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Codice ID - Contabilità #1   (55)\Registro Contabile Giornaliero\"/>
    </mc:Choice>
  </mc:AlternateContent>
  <bookViews>
    <workbookView xWindow="240" yWindow="300" windowWidth="18840" windowHeight="12015" tabRatio="889"/>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VERIFICA" sheetId="15" r:id="rId16"/>
    <sheet name="RIEPILOGO" sheetId="29" r:id="rId17"/>
    <sheet name="STORICO" sheetId="30" r:id="rId18"/>
  </sheets>
  <definedNames>
    <definedName name="_xlnm._FilterDatabase" localSheetId="14" hidden="1">CASSA!$BD$179:$BH$179</definedName>
    <definedName name="_xlnm._FilterDatabase" localSheetId="1" hidden="1">IMPOSTAZIONI!$B$189:$AN$225</definedName>
    <definedName name="_xlnm._FilterDatabase" localSheetId="0" hidden="1">Presentazione!$C$2:$M$2</definedName>
    <definedName name="_xlnm._FilterDatabase" localSheetId="16" hidden="1">RIEPILOGO!$A$2:$R$71</definedName>
    <definedName name="_xlnm._FilterDatabase" localSheetId="17" hidden="1">STORICO!$E$28:$E$29</definedName>
    <definedName name="_xlnm._FilterDatabase" localSheetId="15" hidden="1">VERIFICA!#REF!</definedName>
    <definedName name="_xlnm.Print_Area" localSheetId="9">AGO!$C$2:$N$58,AGO!$C$60:$N$93,AGO!$C$96:$N$179</definedName>
    <definedName name="_xlnm.Print_Area" localSheetId="5">APR!$C$2:$N$58,APR!$C$60:$N$93,APR!$C$96:$N$179</definedName>
    <definedName name="_xlnm.Print_Area" localSheetId="14">CASSA!$B$2:$AF$172</definedName>
    <definedName name="_xlnm.Print_Area" localSheetId="13">DIC!$C$2:$N$58,DIC!$C$60:$N$93,DIC!$C$96:$N$179</definedName>
    <definedName name="_xlnm.Print_Area" localSheetId="3">FEB!$C$2:$N$58,FEB!$C$60:$N$93,FEB!$C$96:$N$179</definedName>
    <definedName name="_xlnm.Print_Area" localSheetId="2">GEN!$C$2:$N$58,GEN!$C$60:$N$93,GEN!$C$96:$N$179</definedName>
    <definedName name="_xlnm.Print_Area" localSheetId="7">GIU!$C$2:$N$58,GIU!$C$60:$N$93,GIU!$C$96:$N$179</definedName>
    <definedName name="_xlnm.Print_Area" localSheetId="1">IMPOSTAZIONI!$A$2:$AN$127,IMPOSTAZIONI!$A$433:$AN$450</definedName>
    <definedName name="_xlnm.Print_Area" localSheetId="8">LUG!$C$2:$N$58,LUG!$C$60:$N$93,LUG!$C$96:$N$179</definedName>
    <definedName name="_xlnm.Print_Area" localSheetId="6">MAG!$C$2:$N$58,MAG!$C$60:$N$93,MAG!$C$96:$N$179</definedName>
    <definedName name="_xlnm.Print_Area" localSheetId="4">MAR!$C$2:$N$58,MAR!$C$60:$N$93,MAR!$C$96:$N$179</definedName>
    <definedName name="_xlnm.Print_Area" localSheetId="12">NOV!$C$2:$N$58,NOV!$C$60:$N$93,NOV!$C$96:$N$179</definedName>
    <definedName name="_xlnm.Print_Area" localSheetId="11">OTT!$C$2:$N$58,OTT!$C$60:$N$93,OTT!$C$96:$N$179</definedName>
    <definedName name="_xlnm.Print_Area" localSheetId="0">Presentazione!$B$2:$N$152</definedName>
    <definedName name="_xlnm.Print_Area" localSheetId="16">RIEPILOGO!$A$2:$T$169</definedName>
    <definedName name="_xlnm.Print_Area" localSheetId="10">SET!$C$2:$N$58,SET!$C$60:$N$93,SET!$C$96:$N$179</definedName>
    <definedName name="_xlnm.Print_Area" localSheetId="17">STORICO!$B$8:$BA$74</definedName>
    <definedName name="_xlnm.Print_Area" localSheetId="15">VERIFICA!$B$4:$BH$109</definedName>
    <definedName name="_xlnm.Print_Titles" localSheetId="16">RIEPILOGO!$A:$B</definedName>
    <definedName name="_xlnm.Print_Titles" localSheetId="17">STORICO!$B:$I</definedName>
  </definedNames>
  <calcPr calcId="152511"/>
</workbook>
</file>

<file path=xl/calcChain.xml><?xml version="1.0" encoding="utf-8"?>
<calcChain xmlns="http://schemas.openxmlformats.org/spreadsheetml/2006/main">
  <c r="B242" i="1" l="1"/>
  <c r="B239" i="1"/>
  <c r="B233" i="1"/>
  <c r="AF23" i="1"/>
  <c r="B248" i="1" s="1"/>
  <c r="AB23" i="1"/>
  <c r="B245" i="1" s="1"/>
  <c r="X23" i="1"/>
  <c r="T23" i="1"/>
  <c r="P23" i="1"/>
  <c r="B236" i="1" s="1"/>
  <c r="L23" i="1"/>
  <c r="H23" i="1"/>
  <c r="B230" i="1" s="1"/>
  <c r="N565" i="14" l="1"/>
  <c r="N564" i="14"/>
  <c r="C151" i="18" l="1"/>
  <c r="C164" i="18" s="1"/>
  <c r="C138" i="18"/>
  <c r="C138" i="19"/>
  <c r="C151" i="19" s="1"/>
  <c r="C164" i="19" s="1"/>
  <c r="C138" i="20"/>
  <c r="C151" i="20" s="1"/>
  <c r="C164" i="20" s="1"/>
  <c r="C138" i="21"/>
  <c r="C151" i="21" s="1"/>
  <c r="C164" i="21" s="1"/>
  <c r="C138" i="22"/>
  <c r="C151" i="22" s="1"/>
  <c r="C164" i="22" s="1"/>
  <c r="C138" i="23"/>
  <c r="C151" i="23" s="1"/>
  <c r="C164" i="23" s="1"/>
  <c r="C138" i="24"/>
  <c r="C151" i="24" s="1"/>
  <c r="C164" i="24" s="1"/>
  <c r="C138" i="25"/>
  <c r="C151" i="25" s="1"/>
  <c r="C164" i="25" s="1"/>
  <c r="C138" i="26"/>
  <c r="C151" i="26" s="1"/>
  <c r="C164" i="26" s="1"/>
  <c r="C138" i="27"/>
  <c r="C151" i="27" s="1"/>
  <c r="C164" i="27" s="1"/>
  <c r="C138" i="28"/>
  <c r="C151" i="28" s="1"/>
  <c r="C164" i="28" s="1"/>
  <c r="C138" i="2"/>
  <c r="C151" i="2" s="1"/>
  <c r="C164" i="2" s="1"/>
  <c r="G57" i="18"/>
  <c r="G57" i="19"/>
  <c r="G57" i="20"/>
  <c r="G57" i="21"/>
  <c r="G57" i="22"/>
  <c r="G57" i="23"/>
  <c r="G57" i="24"/>
  <c r="G57" i="25"/>
  <c r="G57" i="26"/>
  <c r="G57" i="27"/>
  <c r="G57" i="28"/>
  <c r="G57" i="2"/>
  <c r="C42" i="18"/>
  <c r="C42" i="19"/>
  <c r="C42" i="20"/>
  <c r="C42" i="21"/>
  <c r="C42" i="22"/>
  <c r="C42" i="23"/>
  <c r="C42" i="24"/>
  <c r="C42" i="25"/>
  <c r="C42" i="26"/>
  <c r="C42" i="27"/>
  <c r="C42" i="28"/>
  <c r="C42" i="2"/>
  <c r="N64" i="18"/>
  <c r="N64" i="19"/>
  <c r="N64" i="20"/>
  <c r="N64" i="21"/>
  <c r="N64" i="22"/>
  <c r="N64" i="23"/>
  <c r="N64" i="24"/>
  <c r="N64" i="25"/>
  <c r="N64" i="26"/>
  <c r="N64" i="27"/>
  <c r="N64" i="28"/>
  <c r="N64" i="2"/>
  <c r="C491" i="15" l="1"/>
  <c r="J70" i="16" l="1"/>
  <c r="L70" i="16" s="1"/>
  <c r="Z24" i="14" l="1"/>
  <c r="U24" i="14"/>
  <c r="P24" i="14"/>
  <c r="B74" i="30" l="1"/>
  <c r="AI4" i="14" l="1"/>
  <c r="Z36" i="14" l="1"/>
  <c r="Z35" i="14"/>
  <c r="Z34" i="14"/>
  <c r="R169" i="14" l="1"/>
  <c r="R168" i="14"/>
  <c r="R167" i="14"/>
  <c r="R166" i="14"/>
  <c r="R165" i="14"/>
  <c r="R164" i="14"/>
  <c r="R150" i="14"/>
  <c r="R149" i="14"/>
  <c r="AB14" i="14" l="1"/>
  <c r="X14" i="14"/>
  <c r="T14" i="14"/>
  <c r="P14" i="14"/>
  <c r="L14" i="14"/>
  <c r="H14" i="14"/>
  <c r="E117" i="14" s="1"/>
  <c r="D14" i="14"/>
  <c r="N38" i="14" l="1"/>
  <c r="P25" i="14" l="1"/>
  <c r="BG67" i="19" l="1"/>
  <c r="BF67" i="19"/>
  <c r="BE67" i="19"/>
  <c r="BD67" i="19"/>
  <c r="BC67" i="19"/>
  <c r="BB67" i="19"/>
  <c r="BA67" i="19"/>
  <c r="BG66" i="19"/>
  <c r="BF66" i="19"/>
  <c r="BE66" i="19"/>
  <c r="BD66" i="19"/>
  <c r="BC66" i="19"/>
  <c r="BB66" i="19"/>
  <c r="BA66" i="19"/>
  <c r="BG67" i="20"/>
  <c r="BF67" i="20"/>
  <c r="BE67" i="20"/>
  <c r="BD67" i="20"/>
  <c r="BC67" i="20"/>
  <c r="BB67" i="20"/>
  <c r="BA67" i="20"/>
  <c r="BG66" i="20"/>
  <c r="BF66" i="20"/>
  <c r="BE66" i="20"/>
  <c r="BD66" i="20"/>
  <c r="BC66" i="20"/>
  <c r="BB66" i="20"/>
  <c r="BA66" i="20"/>
  <c r="BG67" i="21"/>
  <c r="BF67" i="21"/>
  <c r="BE67" i="21"/>
  <c r="BD67" i="21"/>
  <c r="BC67" i="21"/>
  <c r="BB67" i="21"/>
  <c r="BA67" i="21"/>
  <c r="BG66" i="21"/>
  <c r="BF66" i="21"/>
  <c r="BE66" i="21"/>
  <c r="BD66" i="21"/>
  <c r="BC66" i="21"/>
  <c r="BB66" i="21"/>
  <c r="BA66" i="21"/>
  <c r="BG67" i="22"/>
  <c r="BF67" i="22"/>
  <c r="BE67" i="22"/>
  <c r="BD67" i="22"/>
  <c r="BC67" i="22"/>
  <c r="BB67" i="22"/>
  <c r="BA67" i="22"/>
  <c r="BG66" i="22"/>
  <c r="BF66" i="22"/>
  <c r="BE66" i="22"/>
  <c r="BD66" i="22"/>
  <c r="BC66" i="22"/>
  <c r="BB66" i="22"/>
  <c r="BA66" i="22"/>
  <c r="BG67" i="23"/>
  <c r="BF67" i="23"/>
  <c r="BE67" i="23"/>
  <c r="BD67" i="23"/>
  <c r="BC67" i="23"/>
  <c r="BB67" i="23"/>
  <c r="BA67" i="23"/>
  <c r="BG66" i="23"/>
  <c r="BF66" i="23"/>
  <c r="BE66" i="23"/>
  <c r="BD66" i="23"/>
  <c r="BC66" i="23"/>
  <c r="BB66" i="23"/>
  <c r="BA66" i="23"/>
  <c r="BG67" i="24"/>
  <c r="BF67" i="24"/>
  <c r="BE67" i="24"/>
  <c r="BD67" i="24"/>
  <c r="BC67" i="24"/>
  <c r="BB67" i="24"/>
  <c r="BA67" i="24"/>
  <c r="BG66" i="24"/>
  <c r="BF66" i="24"/>
  <c r="BE66" i="24"/>
  <c r="BD66" i="24"/>
  <c r="BC66" i="24"/>
  <c r="BB66" i="24"/>
  <c r="BA66" i="24"/>
  <c r="BG67" i="25"/>
  <c r="BF67" i="25"/>
  <c r="BE67" i="25"/>
  <c r="BD67" i="25"/>
  <c r="BC67" i="25"/>
  <c r="BB67" i="25"/>
  <c r="BA67" i="25"/>
  <c r="BG66" i="25"/>
  <c r="BF66" i="25"/>
  <c r="BE66" i="25"/>
  <c r="BD66" i="25"/>
  <c r="BC66" i="25"/>
  <c r="BB66" i="25"/>
  <c r="BA66" i="25"/>
  <c r="BG67" i="26"/>
  <c r="BF67" i="26"/>
  <c r="BE67" i="26"/>
  <c r="BD67" i="26"/>
  <c r="BC67" i="26"/>
  <c r="BB67" i="26"/>
  <c r="BA67" i="26"/>
  <c r="BG66" i="26"/>
  <c r="BF66" i="26"/>
  <c r="BE66" i="26"/>
  <c r="BD66" i="26"/>
  <c r="BC66" i="26"/>
  <c r="BB66" i="26"/>
  <c r="BA66" i="26"/>
  <c r="BG67" i="27"/>
  <c r="BF67" i="27"/>
  <c r="BE67" i="27"/>
  <c r="BD67" i="27"/>
  <c r="BC67" i="27"/>
  <c r="BB67" i="27"/>
  <c r="BA67" i="27"/>
  <c r="BG66" i="27"/>
  <c r="BF66" i="27"/>
  <c r="BE66" i="27"/>
  <c r="BD66" i="27"/>
  <c r="BC66" i="27"/>
  <c r="BB66" i="27"/>
  <c r="BA66" i="27"/>
  <c r="BG67" i="28"/>
  <c r="BF67" i="28"/>
  <c r="BE67" i="28"/>
  <c r="BD67" i="28"/>
  <c r="BC67" i="28"/>
  <c r="BB67" i="28"/>
  <c r="BA67" i="28"/>
  <c r="BG66" i="28"/>
  <c r="BF66" i="28"/>
  <c r="BE66" i="28"/>
  <c r="BD66" i="28"/>
  <c r="BC66" i="28"/>
  <c r="BB66" i="28"/>
  <c r="BA66" i="28"/>
  <c r="BG67" i="18"/>
  <c r="BF67" i="18"/>
  <c r="BE67" i="18"/>
  <c r="BD67" i="18"/>
  <c r="BC67" i="18"/>
  <c r="BB67" i="18"/>
  <c r="BA67" i="18"/>
  <c r="BG66" i="18"/>
  <c r="BF66" i="18"/>
  <c r="BE66" i="18"/>
  <c r="BD66" i="18"/>
  <c r="BC66" i="18"/>
  <c r="BB66" i="18"/>
  <c r="BA66" i="18"/>
  <c r="BG67" i="2" l="1"/>
  <c r="BF67" i="2"/>
  <c r="BE67" i="2"/>
  <c r="BD67" i="2"/>
  <c r="BC67" i="2"/>
  <c r="BB67" i="2"/>
  <c r="BA67" i="2"/>
  <c r="BG66" i="2"/>
  <c r="BF66" i="2"/>
  <c r="BE66" i="2"/>
  <c r="BD66" i="2"/>
  <c r="BC66" i="2"/>
  <c r="BB66" i="2"/>
  <c r="BA66" i="2"/>
  <c r="BA45" i="18" l="1"/>
  <c r="BA45" i="19"/>
  <c r="BA45" i="20"/>
  <c r="BA45" i="21"/>
  <c r="BA45" i="22"/>
  <c r="BA45" i="23"/>
  <c r="BA45" i="24"/>
  <c r="BA45" i="25"/>
  <c r="BA45" i="26"/>
  <c r="BA45" i="27"/>
  <c r="BA45" i="28"/>
  <c r="BA45" i="2"/>
  <c r="BA44" i="18"/>
  <c r="BA44" i="19"/>
  <c r="BA44" i="20"/>
  <c r="BA44" i="21"/>
  <c r="BA44" i="22"/>
  <c r="BA44" i="23"/>
  <c r="BA44" i="24"/>
  <c r="BA44" i="25"/>
  <c r="BA44" i="26"/>
  <c r="BA44" i="27"/>
  <c r="BA44" i="28"/>
  <c r="BA44" i="2"/>
  <c r="BA43" i="18"/>
  <c r="BA43" i="19"/>
  <c r="BA43" i="20"/>
  <c r="BA43" i="21"/>
  <c r="BA43" i="22"/>
  <c r="BA43" i="23"/>
  <c r="BA43" i="24"/>
  <c r="BA43" i="25"/>
  <c r="BA43" i="26"/>
  <c r="BA43" i="27"/>
  <c r="BA43" i="28"/>
  <c r="BA43" i="2"/>
  <c r="C7" i="14" l="1"/>
  <c r="BC3" i="2"/>
  <c r="BC3" i="19"/>
  <c r="BC3" i="20"/>
  <c r="BC3" i="21"/>
  <c r="BC3" i="22"/>
  <c r="BC3" i="23"/>
  <c r="BC3" i="24"/>
  <c r="BC3" i="25"/>
  <c r="BC3" i="26"/>
  <c r="BC3" i="27"/>
  <c r="BC3" i="28"/>
  <c r="BC3" i="18"/>
  <c r="BA3" i="18" l="1"/>
  <c r="BA3" i="19"/>
  <c r="BA3" i="20"/>
  <c r="BA3" i="21"/>
  <c r="BA3" i="22"/>
  <c r="BA3" i="23"/>
  <c r="BA3" i="24"/>
  <c r="BA3" i="25"/>
  <c r="BA3" i="26"/>
  <c r="BA3" i="27"/>
  <c r="BA3" i="28"/>
  <c r="BA3" i="2"/>
  <c r="U111" i="14"/>
  <c r="AI131" i="14" l="1"/>
  <c r="AH131" i="14"/>
  <c r="AI130" i="14"/>
  <c r="AH130" i="14"/>
  <c r="AI129" i="14"/>
  <c r="AH129" i="14"/>
  <c r="AI128" i="14"/>
  <c r="AH128" i="14"/>
  <c r="AI127" i="14"/>
  <c r="AH127" i="14"/>
  <c r="AI126" i="14"/>
  <c r="AH126" i="14"/>
  <c r="AI132" i="14" l="1"/>
  <c r="V170" i="14" s="1"/>
  <c r="AJ131" i="14"/>
  <c r="AJ130" i="14"/>
  <c r="AJ129" i="14"/>
  <c r="AJ128" i="14"/>
  <c r="AJ127" i="14"/>
  <c r="AJ126" i="14"/>
  <c r="W169" i="14" l="1"/>
  <c r="AM169" i="14" s="1"/>
  <c r="W165" i="14"/>
  <c r="AM165" i="14" s="1"/>
  <c r="V162" i="14"/>
  <c r="V163" i="14" s="1"/>
  <c r="V164" i="14" s="1"/>
  <c r="V165" i="14" s="1"/>
  <c r="V166" i="14" s="1"/>
  <c r="V167" i="14" s="1"/>
  <c r="V168" i="14" s="1"/>
  <c r="V169" i="14" s="1"/>
  <c r="W161" i="14"/>
  <c r="AM161" i="14" s="1"/>
  <c r="W157" i="14"/>
  <c r="AM157" i="14" s="1"/>
  <c r="W153" i="14"/>
  <c r="AM153" i="14" s="1"/>
  <c r="W149" i="14"/>
  <c r="AM149" i="14" s="1"/>
  <c r="V146" i="14"/>
  <c r="W145" i="14"/>
  <c r="AM145" i="14" s="1"/>
  <c r="W141" i="14"/>
  <c r="AM141" i="14" s="1"/>
  <c r="W137" i="14"/>
  <c r="AM137" i="14" s="1"/>
  <c r="W133" i="14"/>
  <c r="AM133" i="14" s="1"/>
  <c r="W124" i="14"/>
  <c r="AM124" i="14" s="1"/>
  <c r="W168" i="14"/>
  <c r="AM168" i="14" s="1"/>
  <c r="W167" i="14"/>
  <c r="AM167" i="14" s="1"/>
  <c r="W163" i="14"/>
  <c r="AM163" i="14" s="1"/>
  <c r="W159" i="14"/>
  <c r="AM159" i="14" s="1"/>
  <c r="W155" i="14"/>
  <c r="AM155" i="14" s="1"/>
  <c r="W151" i="14"/>
  <c r="AM151" i="14" s="1"/>
  <c r="W147" i="14"/>
  <c r="AM147" i="14" s="1"/>
  <c r="W143" i="14"/>
  <c r="AM143" i="14" s="1"/>
  <c r="W139" i="14"/>
  <c r="AM139" i="14" s="1"/>
  <c r="W135" i="14"/>
  <c r="AM135" i="14" s="1"/>
  <c r="W132" i="14"/>
  <c r="AM132" i="14" s="1"/>
  <c r="W131" i="14"/>
  <c r="AM131" i="14" s="1"/>
  <c r="W130" i="14"/>
  <c r="AM130" i="14" s="1"/>
  <c r="W129" i="14"/>
  <c r="AM129" i="14" s="1"/>
  <c r="W128" i="14"/>
  <c r="AM128" i="14" s="1"/>
  <c r="W127" i="14"/>
  <c r="AM127" i="14" s="1"/>
  <c r="W126" i="14"/>
  <c r="AM126" i="14" s="1"/>
  <c r="W122" i="14"/>
  <c r="AM122" i="14" s="1"/>
  <c r="W166" i="14"/>
  <c r="AM166" i="14" s="1"/>
  <c r="W162" i="14"/>
  <c r="AM162" i="14" s="1"/>
  <c r="W158" i="14"/>
  <c r="AM158" i="14" s="1"/>
  <c r="V155" i="14"/>
  <c r="V156" i="14" s="1"/>
  <c r="V157" i="14" s="1"/>
  <c r="V158" i="14" s="1"/>
  <c r="V159" i="14" s="1"/>
  <c r="V160" i="14" s="1"/>
  <c r="W154" i="14"/>
  <c r="AM154" i="14" s="1"/>
  <c r="W164" i="14"/>
  <c r="AM164" i="14" s="1"/>
  <c r="V161" i="14"/>
  <c r="W146" i="14"/>
  <c r="AM146" i="14" s="1"/>
  <c r="W138" i="14"/>
  <c r="AM138" i="14" s="1"/>
  <c r="W125" i="14"/>
  <c r="AM125" i="14" s="1"/>
  <c r="V122" i="14"/>
  <c r="V123" i="14" s="1"/>
  <c r="V124" i="14" s="1"/>
  <c r="V125" i="14" s="1"/>
  <c r="W148" i="14"/>
  <c r="AM148" i="14" s="1"/>
  <c r="W160" i="14"/>
  <c r="AM160" i="14" s="1"/>
  <c r="W152" i="14"/>
  <c r="AM152" i="14" s="1"/>
  <c r="W144" i="14"/>
  <c r="AM144" i="14" s="1"/>
  <c r="V141" i="14"/>
  <c r="V142" i="14" s="1"/>
  <c r="V143" i="14" s="1"/>
  <c r="V144" i="14" s="1"/>
  <c r="V145" i="14" s="1"/>
  <c r="W136" i="14"/>
  <c r="AM136" i="14" s="1"/>
  <c r="W123" i="14"/>
  <c r="AM123" i="14" s="1"/>
  <c r="W156" i="14"/>
  <c r="AM156" i="14" s="1"/>
  <c r="W150" i="14"/>
  <c r="AM150" i="14" s="1"/>
  <c r="V147" i="14"/>
  <c r="V148" i="14" s="1"/>
  <c r="V149" i="14" s="1"/>
  <c r="V150" i="14" s="1"/>
  <c r="V151" i="14" s="1"/>
  <c r="V152" i="14" s="1"/>
  <c r="V153" i="14" s="1"/>
  <c r="V154" i="14" s="1"/>
  <c r="W142" i="14"/>
  <c r="AM142" i="14" s="1"/>
  <c r="W134" i="14"/>
  <c r="AM134" i="14" s="1"/>
  <c r="V126" i="14"/>
  <c r="V127" i="14" s="1"/>
  <c r="V128" i="14" s="1"/>
  <c r="V129" i="14" s="1"/>
  <c r="V130" i="14" s="1"/>
  <c r="V131" i="14" s="1"/>
  <c r="V132" i="14" s="1"/>
  <c r="V133" i="14" s="1"/>
  <c r="V134" i="14" s="1"/>
  <c r="V135" i="14" s="1"/>
  <c r="V136" i="14" s="1"/>
  <c r="V137" i="14" s="1"/>
  <c r="V138" i="14" s="1"/>
  <c r="V139" i="14" s="1"/>
  <c r="V140" i="14" s="1"/>
  <c r="W140" i="14"/>
  <c r="AM140" i="14" s="1"/>
  <c r="AL131" i="14" l="1"/>
  <c r="AF131" i="14" s="1"/>
  <c r="AL155" i="14"/>
  <c r="AF155" i="14" s="1"/>
  <c r="AL140" i="14"/>
  <c r="AF140" i="14" s="1"/>
  <c r="AL150" i="14"/>
  <c r="AF150" i="14" s="1"/>
  <c r="AL144" i="14"/>
  <c r="AF144" i="14" s="1"/>
  <c r="AL160" i="14"/>
  <c r="AF160" i="14" s="1"/>
  <c r="AL146" i="14"/>
  <c r="AF146" i="14" s="1"/>
  <c r="AL154" i="14"/>
  <c r="AF154" i="14" s="1"/>
  <c r="AL162" i="14"/>
  <c r="AF162" i="14" s="1"/>
  <c r="AL122" i="14"/>
  <c r="AF122" i="14" s="1"/>
  <c r="AL128" i="14"/>
  <c r="AF128" i="14" s="1"/>
  <c r="AL132" i="14"/>
  <c r="AF132" i="14" s="1"/>
  <c r="AL168" i="14"/>
  <c r="AF168" i="14" s="1"/>
  <c r="AL133" i="14"/>
  <c r="AF133" i="14" s="1"/>
  <c r="AL141" i="14"/>
  <c r="AF141" i="14" s="1"/>
  <c r="AL149" i="14"/>
  <c r="AF149" i="14" s="1"/>
  <c r="AL157" i="14"/>
  <c r="AF157" i="14" s="1"/>
  <c r="AL165" i="14"/>
  <c r="AF165" i="14" s="1"/>
  <c r="AL148" i="14"/>
  <c r="AF148" i="14" s="1"/>
  <c r="AL164" i="14"/>
  <c r="AF164" i="14" s="1"/>
  <c r="AL127" i="14"/>
  <c r="AF127" i="14" s="1"/>
  <c r="AL139" i="14"/>
  <c r="AF139" i="14" s="1"/>
  <c r="AL147" i="14"/>
  <c r="AF147" i="14" s="1"/>
  <c r="AL163" i="14"/>
  <c r="AF163" i="14" s="1"/>
  <c r="AL134" i="14"/>
  <c r="AF134" i="14" s="1"/>
  <c r="AL156" i="14"/>
  <c r="AF156" i="14" s="1"/>
  <c r="AL129" i="14"/>
  <c r="AF129" i="14" s="1"/>
  <c r="AL135" i="14"/>
  <c r="AF135" i="14" s="1"/>
  <c r="AL143" i="14"/>
  <c r="AF143" i="14" s="1"/>
  <c r="AL151" i="14"/>
  <c r="AF151" i="14" s="1"/>
  <c r="AL159" i="14"/>
  <c r="AF159" i="14" s="1"/>
  <c r="AL167" i="14"/>
  <c r="AF167" i="14" s="1"/>
  <c r="AL142" i="14"/>
  <c r="AF142" i="14" s="1"/>
  <c r="AL123" i="14"/>
  <c r="AF123" i="14" s="1"/>
  <c r="AL136" i="14"/>
  <c r="AF136" i="14" s="1"/>
  <c r="AL152" i="14"/>
  <c r="AF152" i="14" s="1"/>
  <c r="AL125" i="14"/>
  <c r="AF125" i="14" s="1"/>
  <c r="AL138" i="14"/>
  <c r="AF138" i="14" s="1"/>
  <c r="AL158" i="14"/>
  <c r="AF158" i="14" s="1"/>
  <c r="AL166" i="14"/>
  <c r="AF166" i="14" s="1"/>
  <c r="AL126" i="14"/>
  <c r="AF126" i="14" s="1"/>
  <c r="AL130" i="14"/>
  <c r="AF130" i="14" s="1"/>
  <c r="AL124" i="14"/>
  <c r="AF124" i="14" s="1"/>
  <c r="AL137" i="14"/>
  <c r="AF137" i="14" s="1"/>
  <c r="AL145" i="14"/>
  <c r="AF145" i="14" s="1"/>
  <c r="AL153" i="14"/>
  <c r="AF153" i="14" s="1"/>
  <c r="AL161" i="14"/>
  <c r="AF161" i="14" s="1"/>
  <c r="AL169" i="14"/>
  <c r="AF169" i="14" s="1"/>
  <c r="AE25" i="14" l="1"/>
  <c r="AF41" i="14"/>
  <c r="AF33" i="14"/>
  <c r="R33" i="14"/>
  <c r="R170" i="14" l="1"/>
  <c r="AB170" i="14" s="1"/>
  <c r="AF10" i="14"/>
  <c r="AF48" i="14"/>
  <c r="AJ75" i="14"/>
  <c r="AI75" i="14"/>
  <c r="AH75" i="14"/>
  <c r="AJ74" i="14"/>
  <c r="AI74" i="14"/>
  <c r="AH74" i="14"/>
  <c r="AJ73" i="14"/>
  <c r="AI73" i="14"/>
  <c r="AH73" i="14"/>
  <c r="AJ72" i="14"/>
  <c r="AI72" i="14"/>
  <c r="AH72" i="14"/>
  <c r="AJ71" i="14"/>
  <c r="AI71" i="14"/>
  <c r="AH71" i="14"/>
  <c r="AJ70" i="14"/>
  <c r="AI70" i="14"/>
  <c r="AH70" i="14"/>
  <c r="AK75" i="14" l="1"/>
  <c r="AK72" i="14"/>
  <c r="AK70" i="14"/>
  <c r="AK74" i="14"/>
  <c r="AI76" i="14"/>
  <c r="C110" i="14" s="1"/>
  <c r="AK73" i="14"/>
  <c r="AK71" i="14"/>
  <c r="AG60" i="14" l="1"/>
  <c r="D60" i="14" s="1"/>
  <c r="AG77" i="14"/>
  <c r="D77" i="14" s="1"/>
  <c r="AG79" i="14"/>
  <c r="D79" i="14" s="1"/>
  <c r="AG94" i="14"/>
  <c r="D94" i="14" s="1"/>
  <c r="AG97" i="14"/>
  <c r="D97" i="14" s="1"/>
  <c r="AG106" i="14"/>
  <c r="D106" i="14" s="1"/>
  <c r="AG71" i="14"/>
  <c r="D71" i="14" s="1"/>
  <c r="AG74" i="14"/>
  <c r="D74" i="14" s="1"/>
  <c r="AG63" i="14"/>
  <c r="D63" i="14" s="1"/>
  <c r="AG64" i="14"/>
  <c r="D64" i="14" s="1"/>
  <c r="AG75" i="14"/>
  <c r="D75" i="14" s="1"/>
  <c r="AG80" i="14"/>
  <c r="D80" i="14" s="1"/>
  <c r="AG85" i="14"/>
  <c r="D85" i="14" s="1"/>
  <c r="AG89" i="14"/>
  <c r="D89" i="14" s="1"/>
  <c r="AG91" i="14"/>
  <c r="D91" i="14" s="1"/>
  <c r="AG98" i="14"/>
  <c r="D98" i="14" s="1"/>
  <c r="AG105" i="14"/>
  <c r="D105" i="14" s="1"/>
  <c r="AG107" i="14"/>
  <c r="D107" i="14" s="1"/>
  <c r="AG103" i="14"/>
  <c r="D103" i="14" s="1"/>
  <c r="AG66" i="14"/>
  <c r="D66" i="14" s="1"/>
  <c r="AG84" i="14"/>
  <c r="D84" i="14" s="1"/>
  <c r="AG73" i="14"/>
  <c r="D73" i="14" s="1"/>
  <c r="AG68" i="14"/>
  <c r="D68" i="14" s="1"/>
  <c r="AG65" i="14"/>
  <c r="D65" i="14" s="1"/>
  <c r="AG69" i="14"/>
  <c r="D69" i="14" s="1"/>
  <c r="AG83" i="14"/>
  <c r="D83" i="14" s="1"/>
  <c r="AG78" i="14"/>
  <c r="D78" i="14" s="1"/>
  <c r="V78" i="14" s="1"/>
  <c r="Z78" i="14" s="1"/>
  <c r="AG82" i="14"/>
  <c r="D82" i="14" s="1"/>
  <c r="AG90" i="14"/>
  <c r="D90" i="14" s="1"/>
  <c r="AG93" i="14"/>
  <c r="D93" i="14" s="1"/>
  <c r="AG102" i="14"/>
  <c r="D102" i="14" s="1"/>
  <c r="C97" i="14"/>
  <c r="C98" i="14" s="1"/>
  <c r="C99" i="14" s="1"/>
  <c r="C100" i="14" s="1"/>
  <c r="C101" i="14" s="1"/>
  <c r="C102" i="14" s="1"/>
  <c r="C103" i="14" s="1"/>
  <c r="C104" i="14" s="1"/>
  <c r="C105" i="14" s="1"/>
  <c r="C106" i="14" s="1"/>
  <c r="C107" i="14" s="1"/>
  <c r="C108" i="14" s="1"/>
  <c r="C109" i="14" s="1"/>
  <c r="AG104" i="14"/>
  <c r="D104" i="14" s="1"/>
  <c r="V104" i="14" s="1"/>
  <c r="Z104" i="14" s="1"/>
  <c r="AG99" i="14"/>
  <c r="D99" i="14" s="1"/>
  <c r="AG108" i="14"/>
  <c r="D108" i="14" s="1"/>
  <c r="AG70" i="14"/>
  <c r="D70" i="14" s="1"/>
  <c r="AG67" i="14"/>
  <c r="D67" i="14" s="1"/>
  <c r="AG92" i="14"/>
  <c r="D92" i="14" s="1"/>
  <c r="V92" i="14" s="1"/>
  <c r="Z92" i="14" s="1"/>
  <c r="AG100" i="14"/>
  <c r="D100" i="14" s="1"/>
  <c r="AG109" i="14"/>
  <c r="D109" i="14" s="1"/>
  <c r="AG72" i="14"/>
  <c r="D72" i="14" s="1"/>
  <c r="AG61" i="14"/>
  <c r="D61" i="14" s="1"/>
  <c r="AG62" i="14"/>
  <c r="D62" i="14" s="1"/>
  <c r="AG76" i="14"/>
  <c r="D76" i="14" s="1"/>
  <c r="AG87" i="14"/>
  <c r="D87" i="14" s="1"/>
  <c r="AG81" i="14"/>
  <c r="D81" i="14" s="1"/>
  <c r="AG86" i="14"/>
  <c r="D86" i="14" s="1"/>
  <c r="AG88" i="14"/>
  <c r="D88" i="14" s="1"/>
  <c r="AG95" i="14"/>
  <c r="D95" i="14" s="1"/>
  <c r="AG96" i="14"/>
  <c r="D96" i="14" s="1"/>
  <c r="C60" i="14"/>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AG101" i="14"/>
  <c r="D101" i="14" s="1"/>
  <c r="V84" i="14"/>
  <c r="Z84" i="14" s="1"/>
  <c r="V65" i="14" l="1"/>
  <c r="Z65" i="14" s="1"/>
  <c r="V62" i="14"/>
  <c r="Z62" i="14" s="1"/>
  <c r="V88" i="14"/>
  <c r="Z88" i="14" s="1"/>
  <c r="V70" i="14"/>
  <c r="Z70" i="14" s="1"/>
  <c r="V94" i="14"/>
  <c r="Z94" i="14" s="1"/>
  <c r="AL94" i="14" s="1"/>
  <c r="V86" i="14"/>
  <c r="Z86" i="14" s="1"/>
  <c r="V67" i="14"/>
  <c r="Z67" i="14" s="1"/>
  <c r="V72" i="14"/>
  <c r="Z72" i="14" s="1"/>
  <c r="V105" i="14"/>
  <c r="Z105" i="14" s="1"/>
  <c r="V68" i="14"/>
  <c r="Z68" i="14" s="1"/>
  <c r="V74" i="14"/>
  <c r="Z74" i="14" s="1"/>
  <c r="V87" i="14"/>
  <c r="Z87" i="14" s="1"/>
  <c r="V93" i="14"/>
  <c r="Z93" i="14" s="1"/>
  <c r="V83" i="14"/>
  <c r="Z83" i="14" s="1"/>
  <c r="V89" i="14"/>
  <c r="Z89" i="14" s="1"/>
  <c r="V77" i="14"/>
  <c r="Z77" i="14" s="1"/>
  <c r="V69" i="14"/>
  <c r="Z69" i="14" s="1"/>
  <c r="V103" i="14"/>
  <c r="Z103" i="14" s="1"/>
  <c r="V96" i="14"/>
  <c r="Z96" i="14" s="1"/>
  <c r="AL96" i="14" s="1"/>
  <c r="V81" i="14"/>
  <c r="Z81" i="14" s="1"/>
  <c r="V61" i="14"/>
  <c r="Z61" i="14" s="1"/>
  <c r="V100" i="14"/>
  <c r="Z100" i="14" s="1"/>
  <c r="AM100" i="14" s="1"/>
  <c r="V108" i="14"/>
  <c r="Z108" i="14" s="1"/>
  <c r="V90" i="14"/>
  <c r="Z90" i="14" s="1"/>
  <c r="V82" i="14"/>
  <c r="Z82" i="14" s="1"/>
  <c r="V102" i="14"/>
  <c r="Z102" i="14" s="1"/>
  <c r="V98" i="14"/>
  <c r="Z98" i="14" s="1"/>
  <c r="AM98" i="14" s="1"/>
  <c r="V73" i="14"/>
  <c r="Z73" i="14" s="1"/>
  <c r="V80" i="14"/>
  <c r="Z80" i="14" s="1"/>
  <c r="V95" i="14"/>
  <c r="Z95" i="14" s="1"/>
  <c r="AM95" i="14" s="1"/>
  <c r="V60" i="14"/>
  <c r="Z60" i="14" s="1"/>
  <c r="V64" i="14"/>
  <c r="Z64" i="14" s="1"/>
  <c r="V109" i="14"/>
  <c r="Z109" i="14" s="1"/>
  <c r="V99" i="14"/>
  <c r="Z99" i="14" s="1"/>
  <c r="V66" i="14"/>
  <c r="Z66" i="14" s="1"/>
  <c r="V85" i="14"/>
  <c r="Z85" i="14" s="1"/>
  <c r="V63" i="14"/>
  <c r="Z63" i="14" s="1"/>
  <c r="V97" i="14"/>
  <c r="Z97" i="14" s="1"/>
  <c r="V79" i="14"/>
  <c r="Z79" i="14" s="1"/>
  <c r="V91" i="14"/>
  <c r="Z91" i="14" s="1"/>
  <c r="V75" i="14"/>
  <c r="Z75" i="14" s="1"/>
  <c r="V71" i="14"/>
  <c r="Z71" i="14" s="1"/>
  <c r="V107" i="14"/>
  <c r="Z107" i="14" s="1"/>
  <c r="V101" i="14"/>
  <c r="Z101" i="14" s="1"/>
  <c r="V76" i="14"/>
  <c r="Z76" i="14" s="1"/>
  <c r="V106" i="14"/>
  <c r="Z106" i="14" s="1"/>
  <c r="AM94" i="14"/>
  <c r="AM92" i="14"/>
  <c r="AL92" i="14"/>
  <c r="AL100" i="14" l="1"/>
  <c r="AF100" i="14" s="1"/>
  <c r="AL98" i="14"/>
  <c r="AF98" i="14" s="1"/>
  <c r="AM96" i="14"/>
  <c r="AF96" i="14" s="1"/>
  <c r="AL93" i="14"/>
  <c r="AM93" i="14"/>
  <c r="AL95" i="14"/>
  <c r="AF95" i="14" s="1"/>
  <c r="AM91" i="14"/>
  <c r="AL91" i="14"/>
  <c r="AM99" i="14"/>
  <c r="AL99" i="14"/>
  <c r="AM97" i="14"/>
  <c r="AL97" i="14"/>
  <c r="AF92" i="14"/>
  <c r="AF94" i="14"/>
  <c r="AF91" i="14" l="1"/>
  <c r="AF93" i="14"/>
  <c r="AF97" i="14"/>
  <c r="AF99" i="14"/>
  <c r="W117" i="14" l="1"/>
  <c r="AL108" i="14" l="1"/>
  <c r="AM108" i="14"/>
  <c r="AM109" i="14"/>
  <c r="AL109" i="14"/>
  <c r="AF109" i="14" l="1"/>
  <c r="AF108" i="14"/>
  <c r="AM88" i="14"/>
  <c r="AL88" i="14"/>
  <c r="AM106" i="14"/>
  <c r="AL106" i="14"/>
  <c r="AM80" i="14"/>
  <c r="AL80" i="14"/>
  <c r="AM67" i="14"/>
  <c r="AL67" i="14"/>
  <c r="AM89" i="14"/>
  <c r="AL89" i="14"/>
  <c r="AL69" i="14"/>
  <c r="AM69" i="14"/>
  <c r="AL101" i="14"/>
  <c r="AM101" i="14"/>
  <c r="AM75" i="14"/>
  <c r="AL75" i="14"/>
  <c r="AL72" i="14"/>
  <c r="AM72" i="14"/>
  <c r="AM86" i="14"/>
  <c r="AL86" i="14"/>
  <c r="AL70" i="14"/>
  <c r="AM70" i="14"/>
  <c r="AM102" i="14"/>
  <c r="AL102" i="14"/>
  <c r="AL76" i="14"/>
  <c r="AM76" i="14"/>
  <c r="AM63" i="14"/>
  <c r="AL63" i="14"/>
  <c r="AM85" i="14"/>
  <c r="AL85" i="14"/>
  <c r="AL65" i="14"/>
  <c r="AM65" i="14"/>
  <c r="AM87" i="14"/>
  <c r="AL87" i="14"/>
  <c r="AL68" i="14"/>
  <c r="AM68" i="14"/>
  <c r="AL82" i="14"/>
  <c r="AM82" i="14"/>
  <c r="AM66" i="14"/>
  <c r="AL66" i="14"/>
  <c r="AM73" i="14"/>
  <c r="AL73" i="14"/>
  <c r="AM107" i="14"/>
  <c r="AL107" i="14"/>
  <c r="AL81" i="14"/>
  <c r="AM81" i="14"/>
  <c r="AL61" i="14"/>
  <c r="AM61" i="14"/>
  <c r="AM83" i="14"/>
  <c r="AL83" i="14"/>
  <c r="AL64" i="14"/>
  <c r="AM64" i="14"/>
  <c r="AL78" i="14"/>
  <c r="AM78" i="14"/>
  <c r="AM62" i="14"/>
  <c r="AL62" i="14"/>
  <c r="AL84" i="14"/>
  <c r="AM84" i="14"/>
  <c r="AM71" i="14"/>
  <c r="AL71" i="14"/>
  <c r="AL103" i="14"/>
  <c r="AM103" i="14"/>
  <c r="AL77" i="14"/>
  <c r="AM77" i="14"/>
  <c r="AL105" i="14"/>
  <c r="AM105" i="14"/>
  <c r="AM79" i="14"/>
  <c r="AL79" i="14"/>
  <c r="AM104" i="14"/>
  <c r="AL104" i="14"/>
  <c r="AL90" i="14"/>
  <c r="AM90" i="14"/>
  <c r="AL74" i="14"/>
  <c r="AM74" i="14"/>
  <c r="AF104" i="14" l="1"/>
  <c r="AF83" i="14"/>
  <c r="AF73" i="14"/>
  <c r="AF87" i="14"/>
  <c r="AF85" i="14"/>
  <c r="AF89" i="14"/>
  <c r="AF80" i="14"/>
  <c r="AF88" i="14"/>
  <c r="AF79" i="14"/>
  <c r="AF71" i="14"/>
  <c r="AF62" i="14"/>
  <c r="AF107" i="14"/>
  <c r="AF66" i="14"/>
  <c r="AF63" i="14"/>
  <c r="AF102" i="14"/>
  <c r="AF86" i="14"/>
  <c r="AF75" i="14"/>
  <c r="AF67" i="14"/>
  <c r="AF106" i="14"/>
  <c r="AF105" i="14"/>
  <c r="AF78" i="14"/>
  <c r="AF90" i="14"/>
  <c r="AF77" i="14"/>
  <c r="AF64" i="14"/>
  <c r="AF61" i="14"/>
  <c r="AF68" i="14"/>
  <c r="AF65" i="14"/>
  <c r="AF69" i="14"/>
  <c r="AF74" i="14"/>
  <c r="AF103" i="14"/>
  <c r="AF81" i="14"/>
  <c r="AF82" i="14"/>
  <c r="AF76" i="14"/>
  <c r="AF70" i="14"/>
  <c r="AF72" i="14"/>
  <c r="AF101" i="14"/>
  <c r="AF84" i="14"/>
  <c r="AM60" i="14"/>
  <c r="AL60" i="14"/>
  <c r="AF60" i="14" l="1"/>
  <c r="I2" i="15" l="1"/>
  <c r="AO175" i="14" l="1"/>
  <c r="B118" i="29" l="1"/>
  <c r="J15" i="15" l="1"/>
  <c r="J13" i="15" l="1"/>
  <c r="K11" i="15" l="1"/>
  <c r="L156" i="15"/>
  <c r="L155" i="15"/>
  <c r="E4" i="15" s="1"/>
  <c r="D4" i="15" l="1"/>
  <c r="I145" i="1"/>
  <c r="AG152" i="1"/>
  <c r="AC152" i="1"/>
  <c r="Y152" i="1"/>
  <c r="U152" i="1"/>
  <c r="Q152" i="1"/>
  <c r="M152" i="1"/>
  <c r="I152" i="1"/>
  <c r="AJ6" i="18" l="1"/>
  <c r="AJ6" i="19"/>
  <c r="AJ6" i="20"/>
  <c r="AJ6" i="21"/>
  <c r="AJ6" i="22"/>
  <c r="AJ6" i="23"/>
  <c r="AJ6" i="24"/>
  <c r="AJ6" i="25"/>
  <c r="AJ6" i="26"/>
  <c r="AJ6" i="27"/>
  <c r="AJ6" i="28"/>
  <c r="AJ6" i="2"/>
  <c r="AI6" i="18"/>
  <c r="AI6" i="19"/>
  <c r="AI6" i="20"/>
  <c r="AI6" i="21"/>
  <c r="AI6" i="22"/>
  <c r="AI6" i="23"/>
  <c r="AI6" i="24"/>
  <c r="AI6" i="25"/>
  <c r="AI6" i="26"/>
  <c r="AI6" i="27"/>
  <c r="AI6" i="28"/>
  <c r="AI6" i="2"/>
  <c r="AH6" i="18"/>
  <c r="AH6" i="19"/>
  <c r="AH6" i="20"/>
  <c r="AH6" i="21"/>
  <c r="AH6" i="22"/>
  <c r="AH6" i="23"/>
  <c r="AH6" i="24"/>
  <c r="AH6" i="25"/>
  <c r="AH6" i="26"/>
  <c r="AH6" i="27"/>
  <c r="AH6" i="28"/>
  <c r="AH6" i="2"/>
  <c r="AG6" i="18"/>
  <c r="AG6" i="19"/>
  <c r="AG6" i="20"/>
  <c r="AG6" i="21"/>
  <c r="AG6" i="22"/>
  <c r="AG6" i="23"/>
  <c r="AG6" i="24"/>
  <c r="AG6" i="25"/>
  <c r="AG6" i="26"/>
  <c r="AG6" i="27"/>
  <c r="AG6" i="28"/>
  <c r="AG6" i="2"/>
  <c r="BC178" i="14" l="1"/>
  <c r="CV178" i="14" s="1"/>
  <c r="BB178" i="14"/>
  <c r="CU178" i="14" s="1"/>
  <c r="BA178" i="14"/>
  <c r="CT178" i="14" s="1"/>
  <c r="AZ178" i="14"/>
  <c r="CS178" i="14" s="1"/>
  <c r="C19" i="15" l="1"/>
  <c r="B34" i="15" l="1"/>
  <c r="C21" i="15"/>
  <c r="C84" i="15" s="1"/>
  <c r="C105" i="30" l="1"/>
  <c r="C108" i="30" s="1"/>
  <c r="C111" i="30" s="1"/>
  <c r="C114" i="30" s="1"/>
  <c r="C117" i="30" s="1"/>
  <c r="C120" i="30" s="1"/>
  <c r="C123" i="30" s="1"/>
  <c r="C126" i="30" s="1"/>
  <c r="C129" i="30" s="1"/>
  <c r="U98" i="30" l="1"/>
  <c r="AI8" i="30" l="1"/>
  <c r="AE8" i="30"/>
  <c r="AA8" i="30"/>
  <c r="W8" i="30"/>
  <c r="S8" i="30"/>
  <c r="O8" i="30"/>
  <c r="K8" i="30"/>
  <c r="Q149" i="29" l="1"/>
  <c r="P149" i="29"/>
  <c r="O149" i="29"/>
  <c r="M149" i="29"/>
  <c r="L149" i="29"/>
  <c r="K149" i="29"/>
  <c r="I149" i="29"/>
  <c r="H149" i="29"/>
  <c r="G149" i="29"/>
  <c r="D149" i="29"/>
  <c r="E149" i="29"/>
  <c r="C149" i="29"/>
  <c r="Q157" i="29" l="1"/>
  <c r="Q156" i="29"/>
  <c r="Q152" i="29"/>
  <c r="Q151" i="29"/>
  <c r="P157" i="29"/>
  <c r="P156" i="29"/>
  <c r="P152" i="29"/>
  <c r="P151" i="29"/>
  <c r="O157" i="29"/>
  <c r="O156" i="29"/>
  <c r="R156" i="29" s="1"/>
  <c r="O152" i="29"/>
  <c r="O151" i="29"/>
  <c r="M157" i="29"/>
  <c r="M156" i="29"/>
  <c r="M152" i="29"/>
  <c r="M151" i="29"/>
  <c r="L157" i="29"/>
  <c r="L156" i="29"/>
  <c r="L152" i="29"/>
  <c r="L151" i="29"/>
  <c r="K157" i="29"/>
  <c r="N157" i="29" s="1"/>
  <c r="K156" i="29"/>
  <c r="K152" i="29"/>
  <c r="N152" i="29" s="1"/>
  <c r="K151" i="29"/>
  <c r="N151" i="29" s="1"/>
  <c r="I157" i="29"/>
  <c r="I156" i="29"/>
  <c r="I152" i="29"/>
  <c r="I151" i="29"/>
  <c r="H157" i="29"/>
  <c r="H156" i="29"/>
  <c r="H152" i="29"/>
  <c r="H151" i="29"/>
  <c r="G157" i="29"/>
  <c r="G156" i="29"/>
  <c r="G152" i="29"/>
  <c r="G151" i="29"/>
  <c r="E157" i="29"/>
  <c r="E156" i="29"/>
  <c r="E152" i="29"/>
  <c r="E151" i="29"/>
  <c r="D157" i="29"/>
  <c r="D156" i="29"/>
  <c r="D152" i="29"/>
  <c r="D151" i="29"/>
  <c r="C157" i="29"/>
  <c r="C156" i="29"/>
  <c r="C152" i="29"/>
  <c r="C151" i="29"/>
  <c r="F151" i="29" s="1"/>
  <c r="F152" i="29" l="1"/>
  <c r="T152" i="29"/>
  <c r="J156" i="29"/>
  <c r="F157" i="29"/>
  <c r="T157" i="29"/>
  <c r="J151" i="29"/>
  <c r="J157" i="29"/>
  <c r="R151" i="29"/>
  <c r="R157" i="29"/>
  <c r="F156" i="29"/>
  <c r="J152" i="29"/>
  <c r="N156" i="29"/>
  <c r="R152" i="29"/>
  <c r="B158" i="29"/>
  <c r="B153" i="29"/>
  <c r="K148" i="29"/>
  <c r="K147" i="29"/>
  <c r="T156" i="29" l="1"/>
  <c r="I51" i="18" l="1"/>
  <c r="I51" i="19"/>
  <c r="I51" i="20"/>
  <c r="I51" i="21"/>
  <c r="I51" i="22"/>
  <c r="I51" i="23"/>
  <c r="I51" i="24"/>
  <c r="I51" i="25"/>
  <c r="I51" i="26"/>
  <c r="I51" i="27"/>
  <c r="I51" i="28"/>
  <c r="I51" i="2"/>
  <c r="H51" i="18"/>
  <c r="H51" i="19"/>
  <c r="H51" i="20"/>
  <c r="H51" i="21"/>
  <c r="H51" i="22"/>
  <c r="H51" i="23"/>
  <c r="H51" i="24"/>
  <c r="H51" i="25"/>
  <c r="H51" i="26"/>
  <c r="H51" i="27"/>
  <c r="H51" i="28"/>
  <c r="H51" i="2"/>
  <c r="Q162" i="29" l="1"/>
  <c r="P162" i="29"/>
  <c r="O162" i="29"/>
  <c r="M162" i="29"/>
  <c r="L162" i="29"/>
  <c r="K162" i="29"/>
  <c r="I162" i="29"/>
  <c r="H162" i="29"/>
  <c r="G162" i="29"/>
  <c r="E162" i="29"/>
  <c r="D162" i="29"/>
  <c r="C162" i="29"/>
  <c r="B112" i="29" l="1"/>
  <c r="B117" i="29" l="1"/>
  <c r="B116" i="29"/>
  <c r="P108" i="29" l="1"/>
  <c r="Q108" i="29" s="1"/>
  <c r="L108" i="29"/>
  <c r="M108" i="29" s="1"/>
  <c r="H108" i="29"/>
  <c r="I108" i="29" s="1"/>
  <c r="D108" i="29"/>
  <c r="E108" i="29" s="1"/>
  <c r="C67" i="29" l="1"/>
  <c r="B51" i="15" s="1"/>
  <c r="AQ375" i="1" l="1"/>
  <c r="B4" i="29" l="1"/>
  <c r="E13" i="30" l="1"/>
  <c r="C18" i="15"/>
  <c r="C36" i="15" s="1"/>
  <c r="C53" i="15" s="1"/>
  <c r="C147" i="20"/>
  <c r="C160" i="20" s="1"/>
  <c r="C173" i="20" s="1"/>
  <c r="C147" i="24"/>
  <c r="C160" i="24" s="1"/>
  <c r="C173" i="24" s="1"/>
  <c r="C147" i="28"/>
  <c r="C160" i="28" s="1"/>
  <c r="C173" i="28" s="1"/>
  <c r="C147" i="21"/>
  <c r="C160" i="21" s="1"/>
  <c r="C173" i="21" s="1"/>
  <c r="C147" i="25"/>
  <c r="C160" i="25" s="1"/>
  <c r="C173" i="25" s="1"/>
  <c r="C147" i="2"/>
  <c r="C160" i="2" s="1"/>
  <c r="C173" i="2" s="1"/>
  <c r="C147" i="18"/>
  <c r="C160" i="18" s="1"/>
  <c r="C173" i="18" s="1"/>
  <c r="C147" i="22"/>
  <c r="C160" i="22" s="1"/>
  <c r="C173" i="22" s="1"/>
  <c r="C147" i="26"/>
  <c r="C160" i="26" s="1"/>
  <c r="C173" i="26" s="1"/>
  <c r="C147" i="19"/>
  <c r="C160" i="19" s="1"/>
  <c r="C173" i="19" s="1"/>
  <c r="C147" i="23"/>
  <c r="C160" i="23" s="1"/>
  <c r="C173" i="23" s="1"/>
  <c r="C147" i="27"/>
  <c r="C160" i="27" s="1"/>
  <c r="C173" i="27" s="1"/>
  <c r="B115" i="29"/>
  <c r="AH180" i="1"/>
  <c r="AH185" i="1" s="1"/>
  <c r="AE180" i="1"/>
  <c r="AE185" i="1" s="1"/>
  <c r="AB180" i="1"/>
  <c r="AF29" i="1" l="1"/>
  <c r="AB29" i="1"/>
  <c r="X29" i="1"/>
  <c r="T29" i="1"/>
  <c r="P29" i="1"/>
  <c r="L29" i="1"/>
  <c r="H29" i="1"/>
  <c r="AF27" i="1"/>
  <c r="AB27" i="1"/>
  <c r="X27" i="1"/>
  <c r="T27" i="1"/>
  <c r="P27" i="1"/>
  <c r="L27" i="1"/>
  <c r="H27" i="1"/>
  <c r="S116" i="1" l="1"/>
  <c r="S108" i="1"/>
  <c r="S100" i="1"/>
  <c r="B257" i="1" l="1"/>
  <c r="B254" i="1"/>
  <c r="B251" i="1"/>
  <c r="A329" i="1"/>
  <c r="A328" i="1"/>
  <c r="A327" i="1"/>
  <c r="A326" i="1"/>
  <c r="A325" i="1"/>
  <c r="A324" i="1" l="1"/>
  <c r="AB185" i="1"/>
  <c r="A330" i="1"/>
  <c r="AH9" i="30"/>
  <c r="A331" i="1"/>
  <c r="AM9" i="30"/>
  <c r="A332" i="1"/>
  <c r="AQ9" i="30"/>
  <c r="A333" i="1"/>
  <c r="AU9" i="30"/>
  <c r="C42" i="1"/>
  <c r="C41" i="1"/>
  <c r="C40" i="1"/>
  <c r="C39" i="1"/>
  <c r="B331" i="1" l="1"/>
  <c r="G178" i="29" s="1"/>
  <c r="B71" i="18"/>
  <c r="B72" i="18"/>
  <c r="B73" i="18"/>
  <c r="B71" i="19"/>
  <c r="B72" i="19"/>
  <c r="B73" i="19"/>
  <c r="B71" i="20"/>
  <c r="B72" i="20"/>
  <c r="B73" i="20"/>
  <c r="B71" i="21"/>
  <c r="B72" i="21"/>
  <c r="B73" i="21"/>
  <c r="B71" i="22"/>
  <c r="B72" i="22"/>
  <c r="B73" i="22"/>
  <c r="B71" i="23"/>
  <c r="B72" i="23"/>
  <c r="B73" i="23"/>
  <c r="B71" i="24"/>
  <c r="B72" i="24"/>
  <c r="B73" i="24"/>
  <c r="B71" i="25"/>
  <c r="B72" i="25"/>
  <c r="B73" i="25"/>
  <c r="B71" i="26"/>
  <c r="B72" i="26"/>
  <c r="B73" i="26"/>
  <c r="B71" i="27"/>
  <c r="B72" i="27"/>
  <c r="B73" i="27"/>
  <c r="B71" i="28"/>
  <c r="B72" i="28"/>
  <c r="B73" i="28"/>
  <c r="B71" i="2"/>
  <c r="B72" i="2"/>
  <c r="B73" i="2"/>
  <c r="B70" i="18"/>
  <c r="B70" i="19"/>
  <c r="B70" i="20"/>
  <c r="B70" i="21"/>
  <c r="B70" i="22"/>
  <c r="B70" i="23"/>
  <c r="B70" i="24"/>
  <c r="B70" i="25"/>
  <c r="B70" i="26"/>
  <c r="B70" i="27"/>
  <c r="B70" i="28"/>
  <c r="B70" i="2"/>
  <c r="N130" i="18" l="1"/>
  <c r="N130" i="19"/>
  <c r="N130" i="20"/>
  <c r="N130" i="21"/>
  <c r="N130" i="22"/>
  <c r="N130" i="23"/>
  <c r="N130" i="24"/>
  <c r="N130" i="25"/>
  <c r="N130" i="26"/>
  <c r="N130" i="27"/>
  <c r="N130" i="28"/>
  <c r="N130" i="2"/>
  <c r="D124" i="18" l="1"/>
  <c r="D124" i="19"/>
  <c r="D124" i="20"/>
  <c r="D124" i="21"/>
  <c r="D124" i="22"/>
  <c r="D124" i="23"/>
  <c r="D124" i="24"/>
  <c r="D124" i="25"/>
  <c r="D124" i="26"/>
  <c r="D124" i="27"/>
  <c r="D124" i="28"/>
  <c r="D124" i="2"/>
  <c r="E124" i="18"/>
  <c r="E124" i="19"/>
  <c r="E124" i="20"/>
  <c r="E124" i="21"/>
  <c r="E124" i="22"/>
  <c r="E124" i="23"/>
  <c r="E124" i="24"/>
  <c r="E124" i="25"/>
  <c r="E124" i="26"/>
  <c r="E124" i="27"/>
  <c r="E124" i="28"/>
  <c r="E124" i="2"/>
  <c r="AH188" i="1" l="1"/>
  <c r="AE188" i="1"/>
  <c r="AB188" i="1"/>
  <c r="AN8" i="30" s="1"/>
  <c r="AM19" i="30" s="1"/>
  <c r="AR8" i="30" l="1"/>
  <c r="AQ19" i="30" s="1"/>
  <c r="AV8" i="30"/>
  <c r="AU19" i="30" s="1"/>
  <c r="K167" i="16"/>
  <c r="H199" i="18" l="1"/>
  <c r="H167" i="16"/>
  <c r="H199" i="24"/>
  <c r="H199" i="2"/>
  <c r="H199" i="25"/>
  <c r="H199" i="21"/>
  <c r="H199" i="28"/>
  <c r="H199" i="20"/>
  <c r="H199" i="27"/>
  <c r="H199" i="23"/>
  <c r="H199" i="19"/>
  <c r="H199" i="26"/>
  <c r="H199" i="22"/>
  <c r="E129" i="18" l="1"/>
  <c r="E129" i="19"/>
  <c r="E129" i="20"/>
  <c r="E129" i="21"/>
  <c r="E129" i="22"/>
  <c r="E129" i="23"/>
  <c r="E129" i="24"/>
  <c r="E129" i="25"/>
  <c r="E129" i="26"/>
  <c r="E129" i="27"/>
  <c r="E129" i="28"/>
  <c r="E129" i="2"/>
  <c r="X551" i="14"/>
  <c r="W551" i="14" s="1"/>
  <c r="L3" i="19" l="1"/>
  <c r="L3" i="20"/>
  <c r="L3" i="21"/>
  <c r="L3" i="22"/>
  <c r="L3" i="23"/>
  <c r="L3" i="24"/>
  <c r="L3" i="25"/>
  <c r="L3" i="26"/>
  <c r="L3" i="27"/>
  <c r="L3" i="28"/>
  <c r="L3" i="18"/>
  <c r="L3" i="2"/>
  <c r="C375" i="1" l="1"/>
  <c r="C390" i="1" s="1"/>
  <c r="C405" i="1" l="1"/>
  <c r="B43" i="1"/>
  <c r="AB42" i="1" l="1"/>
  <c r="AZ42" i="1" s="1"/>
  <c r="X42" i="1"/>
  <c r="AY42" i="1" s="1"/>
  <c r="T42" i="1"/>
  <c r="AX42" i="1" s="1"/>
  <c r="AB41" i="1"/>
  <c r="AZ41" i="1" s="1"/>
  <c r="X41" i="1"/>
  <c r="AY41" i="1" s="1"/>
  <c r="T41" i="1"/>
  <c r="AX41" i="1" s="1"/>
  <c r="AB40" i="1"/>
  <c r="AZ40" i="1" s="1"/>
  <c r="X40" i="1"/>
  <c r="AY40" i="1" s="1"/>
  <c r="T40" i="1"/>
  <c r="AX40" i="1" s="1"/>
  <c r="AB39" i="1"/>
  <c r="AZ39" i="1" s="1"/>
  <c r="X39" i="1"/>
  <c r="AY39" i="1" s="1"/>
  <c r="T39" i="1"/>
  <c r="AX39" i="1" s="1"/>
  <c r="AX38" i="1" l="1"/>
  <c r="AY38" i="1"/>
  <c r="AZ38" i="1"/>
  <c r="H38" i="1" l="1"/>
  <c r="L38" i="1"/>
  <c r="P38" i="1"/>
  <c r="T38" i="1"/>
  <c r="X38" i="1"/>
  <c r="AB38" i="1"/>
  <c r="AF38" i="1"/>
  <c r="AI38" i="1" l="1"/>
  <c r="F42" i="1" l="1"/>
  <c r="F41" i="1"/>
  <c r="F40" i="1"/>
  <c r="F39" i="1"/>
  <c r="AS40" i="1"/>
  <c r="AS42" i="1"/>
  <c r="AS39" i="1"/>
  <c r="AS41" i="1"/>
  <c r="C70" i="18" l="1"/>
  <c r="C70" i="19"/>
  <c r="C70" i="21"/>
  <c r="C70" i="28"/>
  <c r="C70" i="22"/>
  <c r="C70" i="23"/>
  <c r="C70" i="25"/>
  <c r="C70" i="20"/>
  <c r="C70" i="26"/>
  <c r="C70" i="27"/>
  <c r="C70" i="2"/>
  <c r="C70" i="24"/>
  <c r="C71" i="18"/>
  <c r="C71" i="19"/>
  <c r="C71" i="21"/>
  <c r="C71" i="26"/>
  <c r="C71" i="22"/>
  <c r="C71" i="23"/>
  <c r="C71" i="25"/>
  <c r="C71" i="27"/>
  <c r="C71" i="28"/>
  <c r="C71" i="24"/>
  <c r="C71" i="20"/>
  <c r="C71" i="2"/>
  <c r="C72" i="18"/>
  <c r="C72" i="19"/>
  <c r="C72" i="21"/>
  <c r="C72" i="27"/>
  <c r="C72" i="22"/>
  <c r="C72" i="23"/>
  <c r="C72" i="25"/>
  <c r="C72" i="2"/>
  <c r="C72" i="28"/>
  <c r="C72" i="24"/>
  <c r="C72" i="20"/>
  <c r="C72" i="26"/>
  <c r="C73" i="18"/>
  <c r="C73" i="19"/>
  <c r="C73" i="21"/>
  <c r="C73" i="27"/>
  <c r="C73" i="22"/>
  <c r="C73" i="23"/>
  <c r="C73" i="25"/>
  <c r="C73" i="2"/>
  <c r="C73" i="24"/>
  <c r="C73" i="28"/>
  <c r="C73" i="20"/>
  <c r="C73" i="26"/>
  <c r="AM42" i="1"/>
  <c r="P42" i="1" s="1"/>
  <c r="AW42" i="1" s="1"/>
  <c r="AN42" i="1"/>
  <c r="AM39" i="1"/>
  <c r="P39" i="1" s="1"/>
  <c r="AW39" i="1" s="1"/>
  <c r="AN39" i="1"/>
  <c r="AM40" i="1"/>
  <c r="P40" i="1" s="1"/>
  <c r="AW40" i="1" s="1"/>
  <c r="AN40" i="1"/>
  <c r="AM41" i="1"/>
  <c r="P41" i="1" s="1"/>
  <c r="AW41" i="1" s="1"/>
  <c r="AN41" i="1"/>
  <c r="AJ151" i="1"/>
  <c r="AL42" i="1"/>
  <c r="L42" i="1" s="1"/>
  <c r="AV42" i="1" s="1"/>
  <c r="AP42" i="1"/>
  <c r="AQ42" i="1"/>
  <c r="AF42" i="1" s="1"/>
  <c r="BA42" i="1" s="1"/>
  <c r="AK42" i="1"/>
  <c r="H42" i="1" s="1"/>
  <c r="AU42" i="1" s="1"/>
  <c r="AO42" i="1"/>
  <c r="AK40" i="1"/>
  <c r="H40" i="1" s="1"/>
  <c r="AU40" i="1" s="1"/>
  <c r="AO40" i="1"/>
  <c r="AL40" i="1"/>
  <c r="L40" i="1" s="1"/>
  <c r="AV40" i="1" s="1"/>
  <c r="AP40" i="1"/>
  <c r="AQ40" i="1"/>
  <c r="AF40" i="1" s="1"/>
  <c r="BA40" i="1" s="1"/>
  <c r="AK41" i="1"/>
  <c r="H41" i="1" s="1"/>
  <c r="AU41" i="1" s="1"/>
  <c r="AO41" i="1"/>
  <c r="AL41" i="1"/>
  <c r="L41" i="1" s="1"/>
  <c r="AV41" i="1" s="1"/>
  <c r="AP41" i="1"/>
  <c r="AQ41" i="1"/>
  <c r="AF41" i="1" s="1"/>
  <c r="BA41" i="1" s="1"/>
  <c r="AO39" i="1"/>
  <c r="AQ39" i="1"/>
  <c r="AF39" i="1" s="1"/>
  <c r="BA39" i="1" s="1"/>
  <c r="AL39" i="1"/>
  <c r="L39" i="1" s="1"/>
  <c r="AV39" i="1" s="1"/>
  <c r="AK39" i="1"/>
  <c r="H39" i="1" s="1"/>
  <c r="AU39" i="1" s="1"/>
  <c r="AP39" i="1"/>
  <c r="BA38" i="1" l="1"/>
  <c r="AW38" i="1"/>
  <c r="AV38" i="1"/>
  <c r="AU38" i="1"/>
  <c r="Y143" i="1" l="1"/>
  <c r="X143" i="1"/>
  <c r="W143" i="1"/>
  <c r="V143" i="1"/>
  <c r="U143" i="1"/>
  <c r="T143" i="1"/>
  <c r="S143" i="1"/>
  <c r="AD141" i="1"/>
  <c r="W140" i="1" l="1"/>
  <c r="W139" i="1"/>
  <c r="W138" i="1"/>
  <c r="W137" i="1"/>
  <c r="W136" i="1"/>
  <c r="W135" i="1"/>
  <c r="W134" i="1"/>
  <c r="S133" i="1"/>
  <c r="S134" i="1"/>
  <c r="S135" i="1"/>
  <c r="S136" i="1"/>
  <c r="S137" i="1"/>
  <c r="S138" i="1"/>
  <c r="S139" i="1"/>
  <c r="S140" i="1"/>
  <c r="S141" i="1"/>
  <c r="Y141" i="1" s="1"/>
  <c r="R141" i="1"/>
  <c r="R133" i="1"/>
  <c r="R134" i="1"/>
  <c r="R135" i="1"/>
  <c r="R136" i="1"/>
  <c r="R137" i="1"/>
  <c r="R138" i="1"/>
  <c r="R139" i="1"/>
  <c r="R140" i="1"/>
  <c r="S132" i="1"/>
  <c r="AD138" i="1" l="1"/>
  <c r="AD135" i="1"/>
  <c r="AD139" i="1"/>
  <c r="AD136" i="1"/>
  <c r="AD140" i="1"/>
  <c r="Y137" i="1"/>
  <c r="AD137" i="1"/>
  <c r="Y136" i="1"/>
  <c r="Y134" i="1"/>
  <c r="AD134" i="1"/>
  <c r="Y135" i="1"/>
  <c r="Y138" i="1"/>
  <c r="Y140" i="1"/>
  <c r="Y139" i="1"/>
  <c r="W17" i="1" l="1"/>
  <c r="W16" i="1"/>
  <c r="A16" i="29" s="1"/>
  <c r="W15" i="1"/>
  <c r="A15" i="29" s="1"/>
  <c r="AW178" i="14" s="1"/>
  <c r="CP178" i="14" s="1"/>
  <c r="W14" i="1"/>
  <c r="A14" i="29" s="1"/>
  <c r="AV178" i="14" s="1"/>
  <c r="CO178" i="14" s="1"/>
  <c r="W13" i="1"/>
  <c r="A13" i="29" s="1"/>
  <c r="AU178" i="14" s="1"/>
  <c r="CN178" i="14" s="1"/>
  <c r="W12" i="1"/>
  <c r="A12" i="29" s="1"/>
  <c r="AT178" i="14" s="1"/>
  <c r="CM178" i="14" s="1"/>
  <c r="W11" i="1"/>
  <c r="A11" i="29" s="1"/>
  <c r="AS178" i="14" s="1"/>
  <c r="CL178" i="14" s="1"/>
  <c r="W10" i="1"/>
  <c r="A10" i="29" s="1"/>
  <c r="W9" i="1"/>
  <c r="A9" i="29" s="1"/>
  <c r="A120" i="29" s="1"/>
  <c r="W8" i="1"/>
  <c r="A8" i="29" s="1"/>
  <c r="B10" i="29" l="1"/>
  <c r="A121" i="29"/>
  <c r="B11" i="29"/>
  <c r="C25" i="15" s="1"/>
  <c r="C88" i="15" s="1"/>
  <c r="A122" i="29"/>
  <c r="B15" i="29"/>
  <c r="A126" i="29"/>
  <c r="B12" i="29"/>
  <c r="A123" i="29"/>
  <c r="B16" i="29"/>
  <c r="A127" i="29"/>
  <c r="B14" i="29"/>
  <c r="A125" i="29"/>
  <c r="B13" i="29"/>
  <c r="A124" i="29"/>
  <c r="U115" i="1"/>
  <c r="U107" i="1"/>
  <c r="U99" i="1"/>
  <c r="B124" i="29" l="1"/>
  <c r="C27" i="15"/>
  <c r="C90" i="15" s="1"/>
  <c r="B127" i="29"/>
  <c r="C30" i="15"/>
  <c r="C93" i="15" s="1"/>
  <c r="B126" i="29"/>
  <c r="C29" i="15"/>
  <c r="C92" i="15" s="1"/>
  <c r="B125" i="29"/>
  <c r="C28" i="15"/>
  <c r="C91" i="15" s="1"/>
  <c r="B123" i="29"/>
  <c r="C26" i="15"/>
  <c r="C89" i="15" s="1"/>
  <c r="B121" i="29"/>
  <c r="C24" i="15"/>
  <c r="C87" i="15" s="1"/>
  <c r="B122" i="29"/>
  <c r="O16" i="1"/>
  <c r="G177" i="16" l="1"/>
  <c r="F180" i="16" s="1"/>
  <c r="G179" i="16" s="1"/>
  <c r="AE171" i="16"/>
  <c r="AH171" i="16" s="1"/>
  <c r="AK171" i="16" s="1"/>
  <c r="AN171" i="16" s="1"/>
  <c r="AQ171" i="16" s="1"/>
  <c r="AT171" i="16" s="1"/>
  <c r="AW171" i="16" s="1"/>
  <c r="AZ171" i="16" s="1"/>
  <c r="BC171" i="16" s="1"/>
  <c r="BF171" i="16" s="1"/>
  <c r="F164" i="16"/>
  <c r="F89" i="16"/>
  <c r="B173" i="16" s="1"/>
  <c r="K91" i="16"/>
  <c r="G173" i="16" s="1"/>
  <c r="J42" i="2"/>
  <c r="K42" i="2"/>
  <c r="H167" i="1"/>
  <c r="W8" i="2" s="1"/>
  <c r="W9" i="2" s="1"/>
  <c r="D9" i="2" s="1"/>
  <c r="E178" i="14"/>
  <c r="E550" i="14"/>
  <c r="G550" i="14"/>
  <c r="I550" i="14"/>
  <c r="K550" i="14"/>
  <c r="N417" i="1"/>
  <c r="L99" i="2"/>
  <c r="W4" i="2" s="1"/>
  <c r="K24" i="1"/>
  <c r="K25" i="1"/>
  <c r="K23" i="1"/>
  <c r="J11" i="30"/>
  <c r="N9" i="30"/>
  <c r="B264" i="1"/>
  <c r="B265" i="1"/>
  <c r="B267" i="1"/>
  <c r="O23" i="1"/>
  <c r="O24" i="1"/>
  <c r="N11" i="30"/>
  <c r="S23" i="1"/>
  <c r="S24" i="1"/>
  <c r="E134" i="29"/>
  <c r="M134" i="29" s="1"/>
  <c r="W23" i="1"/>
  <c r="W24" i="1"/>
  <c r="F134" i="29"/>
  <c r="N134" i="29" s="1"/>
  <c r="AA23" i="1"/>
  <c r="AA24" i="1"/>
  <c r="Z11" i="30"/>
  <c r="AE23" i="1"/>
  <c r="AE24" i="1"/>
  <c r="H134" i="29"/>
  <c r="P134" i="29" s="1"/>
  <c r="AI23" i="1"/>
  <c r="AI24" i="1"/>
  <c r="AI25" i="1"/>
  <c r="AH11" i="30"/>
  <c r="I136" i="29"/>
  <c r="Q136" i="29" s="1"/>
  <c r="J42" i="28"/>
  <c r="K42" i="28"/>
  <c r="C6" i="28"/>
  <c r="E43" i="28" s="1"/>
  <c r="E134" i="28" s="1"/>
  <c r="C6" i="18"/>
  <c r="N555" i="14"/>
  <c r="P555" i="14"/>
  <c r="R555" i="14"/>
  <c r="T555" i="14"/>
  <c r="L99" i="28"/>
  <c r="W4" i="28" s="1"/>
  <c r="G547" i="14"/>
  <c r="J131" i="15"/>
  <c r="J130" i="15"/>
  <c r="J129" i="15"/>
  <c r="J128" i="15"/>
  <c r="J127" i="15"/>
  <c r="J42" i="27"/>
  <c r="K42" i="27"/>
  <c r="C6" i="27"/>
  <c r="E43" i="27" s="1"/>
  <c r="E134" i="27" s="1"/>
  <c r="N554" i="14"/>
  <c r="P554" i="14"/>
  <c r="R554" i="14"/>
  <c r="T554" i="14"/>
  <c r="L99" i="27"/>
  <c r="W4" i="27" s="1"/>
  <c r="J42" i="26"/>
  <c r="K42" i="26"/>
  <c r="C6" i="26"/>
  <c r="E43" i="26" s="1"/>
  <c r="E134" i="26" s="1"/>
  <c r="N553" i="14"/>
  <c r="P553" i="14"/>
  <c r="R553" i="14"/>
  <c r="T553" i="14"/>
  <c r="L99" i="26"/>
  <c r="W4" i="26" s="1"/>
  <c r="J42" i="25"/>
  <c r="K42" i="25"/>
  <c r="C6" i="25"/>
  <c r="E43" i="25" s="1"/>
  <c r="E134" i="25" s="1"/>
  <c r="L99" i="25"/>
  <c r="W4" i="25" s="1"/>
  <c r="J42" i="24"/>
  <c r="K42" i="24"/>
  <c r="C6" i="24"/>
  <c r="E43" i="24" s="1"/>
  <c r="E134" i="24" s="1"/>
  <c r="L99" i="24"/>
  <c r="W4" i="24" s="1"/>
  <c r="J42" i="23"/>
  <c r="K42" i="23"/>
  <c r="C6" i="23"/>
  <c r="E43" i="23" s="1"/>
  <c r="E134" i="23" s="1"/>
  <c r="L99" i="23"/>
  <c r="W4" i="23" s="1"/>
  <c r="J42" i="22"/>
  <c r="K42" i="22"/>
  <c r="C6" i="22"/>
  <c r="E43" i="22" s="1"/>
  <c r="E134" i="22" s="1"/>
  <c r="L99" i="22"/>
  <c r="W4" i="22" s="1"/>
  <c r="J42" i="21"/>
  <c r="K42" i="21"/>
  <c r="C6" i="21"/>
  <c r="E43" i="21" s="1"/>
  <c r="E134" i="21" s="1"/>
  <c r="L99" i="21"/>
  <c r="W4" i="21" s="1"/>
  <c r="J42" i="20"/>
  <c r="K42" i="20"/>
  <c r="C6" i="20"/>
  <c r="E43" i="20" s="1"/>
  <c r="E134" i="20" s="1"/>
  <c r="L99" i="20"/>
  <c r="W4" i="20" s="1"/>
  <c r="J42" i="19"/>
  <c r="K42" i="19"/>
  <c r="C6" i="19"/>
  <c r="E43" i="19" s="1"/>
  <c r="E134" i="19" s="1"/>
  <c r="L99" i="19"/>
  <c r="W4" i="19" s="1"/>
  <c r="J42" i="18"/>
  <c r="K42" i="18"/>
  <c r="L99" i="18"/>
  <c r="W4" i="18" s="1"/>
  <c r="E551" i="14"/>
  <c r="G551" i="14"/>
  <c r="I551" i="14"/>
  <c r="K551" i="14"/>
  <c r="H152" i="1"/>
  <c r="L152" i="1"/>
  <c r="P152" i="1"/>
  <c r="T152" i="1"/>
  <c r="X152" i="1"/>
  <c r="AB152" i="1"/>
  <c r="AF152" i="1"/>
  <c r="AM175" i="14"/>
  <c r="O57" i="1"/>
  <c r="E557" i="14"/>
  <c r="I557" i="14"/>
  <c r="C57" i="1"/>
  <c r="K102" i="2"/>
  <c r="M42" i="2"/>
  <c r="L42" i="2"/>
  <c r="I42" i="2"/>
  <c r="H42" i="2"/>
  <c r="G42" i="2"/>
  <c r="AD6" i="2"/>
  <c r="G57" i="1"/>
  <c r="E558" i="14"/>
  <c r="I558" i="14"/>
  <c r="I57" i="1"/>
  <c r="C8" i="18"/>
  <c r="K102" i="18"/>
  <c r="M42" i="18"/>
  <c r="L42" i="18"/>
  <c r="I42" i="18"/>
  <c r="H42" i="18"/>
  <c r="G42" i="18"/>
  <c r="AD6" i="18"/>
  <c r="E559" i="14"/>
  <c r="I559" i="14"/>
  <c r="E552" i="14"/>
  <c r="G552" i="14"/>
  <c r="I552" i="14"/>
  <c r="K552" i="14"/>
  <c r="C8" i="19"/>
  <c r="K102" i="19"/>
  <c r="M42" i="19"/>
  <c r="L42" i="19"/>
  <c r="I42" i="19"/>
  <c r="H42" i="19"/>
  <c r="G42" i="19"/>
  <c r="AD6" i="19"/>
  <c r="M57" i="1"/>
  <c r="E560" i="14"/>
  <c r="I560" i="14"/>
  <c r="E553" i="14"/>
  <c r="G553" i="14"/>
  <c r="I553" i="14"/>
  <c r="K553" i="14"/>
  <c r="C8" i="20"/>
  <c r="K102" i="20"/>
  <c r="M42" i="20"/>
  <c r="L42" i="20"/>
  <c r="I42" i="20"/>
  <c r="H42" i="20"/>
  <c r="G42" i="20"/>
  <c r="AD6" i="20"/>
  <c r="E561" i="14"/>
  <c r="I561" i="14"/>
  <c r="E554" i="14"/>
  <c r="G554" i="14"/>
  <c r="I554" i="14"/>
  <c r="K554" i="14"/>
  <c r="E57" i="1"/>
  <c r="C8" i="21"/>
  <c r="K102" i="21"/>
  <c r="M42" i="21"/>
  <c r="L42" i="21"/>
  <c r="I42" i="21"/>
  <c r="H42" i="21"/>
  <c r="G42" i="21"/>
  <c r="AD6" i="21"/>
  <c r="E562" i="14"/>
  <c r="I562" i="14"/>
  <c r="E555" i="14"/>
  <c r="G555" i="14"/>
  <c r="I555" i="14"/>
  <c r="K555" i="14"/>
  <c r="K57" i="1"/>
  <c r="C8" i="22"/>
  <c r="K102" i="22"/>
  <c r="M42" i="22"/>
  <c r="L42" i="22"/>
  <c r="I42" i="22"/>
  <c r="H42" i="22"/>
  <c r="G42" i="22"/>
  <c r="AD6" i="22"/>
  <c r="N557" i="14"/>
  <c r="R557" i="14"/>
  <c r="N550" i="14"/>
  <c r="P550" i="14"/>
  <c r="R550" i="14"/>
  <c r="T550" i="14"/>
  <c r="C8" i="23"/>
  <c r="K102" i="23"/>
  <c r="M42" i="23"/>
  <c r="L42" i="23"/>
  <c r="I42" i="23"/>
  <c r="H42" i="23"/>
  <c r="G42" i="23"/>
  <c r="AD6" i="23"/>
  <c r="N558" i="14"/>
  <c r="R558" i="14"/>
  <c r="P551" i="14"/>
  <c r="R551" i="14"/>
  <c r="T551" i="14"/>
  <c r="C8" i="24"/>
  <c r="K102" i="24"/>
  <c r="M42" i="24"/>
  <c r="L42" i="24"/>
  <c r="I42" i="24"/>
  <c r="H42" i="24"/>
  <c r="G42" i="24"/>
  <c r="AD6" i="24"/>
  <c r="N559" i="14"/>
  <c r="R559" i="14"/>
  <c r="N552" i="14"/>
  <c r="P552" i="14"/>
  <c r="R552" i="14"/>
  <c r="T552" i="14"/>
  <c r="C8" i="25"/>
  <c r="K102" i="25"/>
  <c r="M42" i="25"/>
  <c r="L42" i="25"/>
  <c r="I42" i="25"/>
  <c r="H42" i="25"/>
  <c r="G42" i="25"/>
  <c r="AD6" i="25"/>
  <c r="N560" i="14"/>
  <c r="R560" i="14"/>
  <c r="C8" i="26"/>
  <c r="K102" i="26"/>
  <c r="M42" i="26"/>
  <c r="L42" i="26"/>
  <c r="I42" i="26"/>
  <c r="H42" i="26"/>
  <c r="G42" i="26"/>
  <c r="AD6" i="26"/>
  <c r="N561" i="14"/>
  <c r="R561" i="14"/>
  <c r="C8" i="27"/>
  <c r="K102" i="27"/>
  <c r="M42" i="27"/>
  <c r="L42" i="27"/>
  <c r="I42" i="27"/>
  <c r="H42" i="27"/>
  <c r="G42" i="27"/>
  <c r="AD6" i="27"/>
  <c r="N562" i="14"/>
  <c r="R562" i="14"/>
  <c r="C8" i="28"/>
  <c r="K102" i="28"/>
  <c r="M42" i="28"/>
  <c r="L42" i="28"/>
  <c r="I42" i="28"/>
  <c r="H42" i="28"/>
  <c r="G42" i="28"/>
  <c r="AD6" i="28"/>
  <c r="C154" i="1"/>
  <c r="H22" i="1"/>
  <c r="L22" i="1"/>
  <c r="P22" i="1"/>
  <c r="T22" i="1"/>
  <c r="X22" i="1"/>
  <c r="AB22" i="1"/>
  <c r="AF22" i="1"/>
  <c r="AK189" i="1" s="1"/>
  <c r="W133" i="1"/>
  <c r="C155" i="1"/>
  <c r="G168" i="1"/>
  <c r="C156" i="1"/>
  <c r="C157" i="1"/>
  <c r="C158" i="1"/>
  <c r="C159" i="1"/>
  <c r="C160" i="1"/>
  <c r="C161" i="1"/>
  <c r="C162" i="1"/>
  <c r="C163" i="1"/>
  <c r="C164" i="1"/>
  <c r="C165" i="1"/>
  <c r="G169" i="1"/>
  <c r="B232" i="1"/>
  <c r="B235" i="1"/>
  <c r="B238" i="1"/>
  <c r="B241" i="1"/>
  <c r="B244" i="1"/>
  <c r="B247" i="1"/>
  <c r="L185" i="1"/>
  <c r="E130" i="2" s="1"/>
  <c r="U97" i="1"/>
  <c r="AB182" i="1" s="1"/>
  <c r="AM11" i="30" s="1"/>
  <c r="E190" i="1"/>
  <c r="H181" i="1"/>
  <c r="B250" i="1" s="1"/>
  <c r="H182" i="1"/>
  <c r="H183" i="1"/>
  <c r="B256" i="1" s="1"/>
  <c r="R132" i="1"/>
  <c r="AC133" i="1"/>
  <c r="AC134" i="1"/>
  <c r="AC135" i="1"/>
  <c r="AC136" i="1"/>
  <c r="AC137" i="1"/>
  <c r="W132" i="1"/>
  <c r="O8" i="1"/>
  <c r="AK8" i="1"/>
  <c r="E193" i="1"/>
  <c r="E196" i="1"/>
  <c r="E199" i="1"/>
  <c r="E202" i="1"/>
  <c r="E205" i="1"/>
  <c r="E208" i="1"/>
  <c r="E211" i="1"/>
  <c r="E214" i="1"/>
  <c r="E215" i="1" s="1"/>
  <c r="E216" i="1" s="1"/>
  <c r="E217" i="1"/>
  <c r="E220" i="1"/>
  <c r="E223" i="1"/>
  <c r="G97" i="1"/>
  <c r="G98" i="1"/>
  <c r="G99" i="1"/>
  <c r="AB184" i="1"/>
  <c r="AM13" i="30" s="1"/>
  <c r="G115" i="1"/>
  <c r="G113" i="1"/>
  <c r="G114" i="1"/>
  <c r="U113" i="1"/>
  <c r="AH182" i="1" s="1"/>
  <c r="AU11" i="30" s="1"/>
  <c r="G173" i="1"/>
  <c r="G175" i="1"/>
  <c r="G107" i="1"/>
  <c r="G105" i="1"/>
  <c r="G106" i="1"/>
  <c r="U105" i="1"/>
  <c r="G170" i="1"/>
  <c r="G172" i="1"/>
  <c r="AD13" i="30"/>
  <c r="AE25" i="1"/>
  <c r="AC138" i="1"/>
  <c r="AC139" i="1"/>
  <c r="AC140" i="1"/>
  <c r="AC141" i="1"/>
  <c r="AE184" i="1"/>
  <c r="AQ13" i="30" s="1"/>
  <c r="Z13" i="30"/>
  <c r="AA25" i="1"/>
  <c r="AH184" i="1"/>
  <c r="AU13" i="30" s="1"/>
  <c r="V13" i="30"/>
  <c r="W25" i="1"/>
  <c r="E136" i="29"/>
  <c r="M136" i="29" s="1"/>
  <c r="S25" i="1"/>
  <c r="N13" i="30"/>
  <c r="O25" i="1"/>
  <c r="B128" i="29"/>
  <c r="O15" i="1"/>
  <c r="O17" i="1"/>
  <c r="O9" i="1"/>
  <c r="O120" i="28"/>
  <c r="C136" i="16"/>
  <c r="C324" i="1"/>
  <c r="C338" i="1" s="1"/>
  <c r="C330" i="1"/>
  <c r="C344" i="1" s="1"/>
  <c r="C325" i="1"/>
  <c r="C339" i="1" s="1"/>
  <c r="C326" i="1"/>
  <c r="C340" i="1" s="1"/>
  <c r="C327" i="1"/>
  <c r="C341" i="1" s="1"/>
  <c r="C328" i="1"/>
  <c r="C342" i="1" s="1"/>
  <c r="C329" i="1"/>
  <c r="C343" i="1" s="1"/>
  <c r="C367" i="1"/>
  <c r="C382" i="1" s="1"/>
  <c r="C368" i="1"/>
  <c r="C383" i="1" s="1"/>
  <c r="C369" i="1"/>
  <c r="C370" i="1"/>
  <c r="C371" i="1"/>
  <c r="C372" i="1"/>
  <c r="C373" i="1"/>
  <c r="C374" i="1"/>
  <c r="C389" i="1" s="1"/>
  <c r="C376" i="1"/>
  <c r="C391" i="1" s="1"/>
  <c r="AK9" i="1"/>
  <c r="AK10" i="1"/>
  <c r="O11" i="1"/>
  <c r="O14" i="1"/>
  <c r="G171" i="1"/>
  <c r="O10" i="1"/>
  <c r="AK13" i="1"/>
  <c r="O12" i="1"/>
  <c r="O13" i="1"/>
  <c r="F179" i="29"/>
  <c r="T4" i="29"/>
  <c r="T150" i="29" s="1"/>
  <c r="G119" i="2"/>
  <c r="C64" i="28"/>
  <c r="C64" i="27"/>
  <c r="C64" i="26"/>
  <c r="C64" i="25"/>
  <c r="C64" i="24"/>
  <c r="C64" i="23"/>
  <c r="C64" i="22"/>
  <c r="C64" i="21"/>
  <c r="C64" i="20"/>
  <c r="C64" i="19"/>
  <c r="C64" i="2"/>
  <c r="B74" i="15"/>
  <c r="B109" i="15" s="1"/>
  <c r="J152" i="15"/>
  <c r="J153" i="15"/>
  <c r="K148" i="15"/>
  <c r="K149" i="15"/>
  <c r="N128" i="15"/>
  <c r="AL176" i="14"/>
  <c r="AM174" i="14"/>
  <c r="K128" i="15"/>
  <c r="P66" i="18"/>
  <c r="P67" i="18"/>
  <c r="P66" i="20"/>
  <c r="P67" i="20"/>
  <c r="P66" i="21"/>
  <c r="P67" i="21"/>
  <c r="P66" i="22"/>
  <c r="P67" i="22"/>
  <c r="AQ367" i="1"/>
  <c r="AQ368" i="1"/>
  <c r="AQ374" i="1"/>
  <c r="AQ376" i="1"/>
  <c r="AQ327" i="1"/>
  <c r="AQ325" i="1"/>
  <c r="AQ324" i="1"/>
  <c r="P66" i="2"/>
  <c r="P67" i="2"/>
  <c r="P66" i="19"/>
  <c r="P67" i="19"/>
  <c r="P66" i="23"/>
  <c r="P67" i="23"/>
  <c r="P66" i="24"/>
  <c r="P67" i="24"/>
  <c r="P66" i="25"/>
  <c r="P67" i="25"/>
  <c r="P66" i="28"/>
  <c r="P66" i="26"/>
  <c r="P66" i="27"/>
  <c r="C31" i="15"/>
  <c r="C94" i="15" s="1"/>
  <c r="C20" i="15"/>
  <c r="C83" i="15" s="1"/>
  <c r="C82" i="15"/>
  <c r="P67" i="26"/>
  <c r="P67" i="27"/>
  <c r="P67" i="28"/>
  <c r="D52" i="15"/>
  <c r="E52" i="15"/>
  <c r="B136" i="15"/>
  <c r="C176" i="29"/>
  <c r="O120" i="2"/>
  <c r="Q133" i="29"/>
  <c r="P133" i="29"/>
  <c r="O133" i="29"/>
  <c r="N133" i="29"/>
  <c r="M133" i="29"/>
  <c r="L133" i="29"/>
  <c r="K133" i="29"/>
  <c r="AR265" i="1"/>
  <c r="AR266" i="1"/>
  <c r="AR267" i="1"/>
  <c r="AR268" i="1"/>
  <c r="AR262" i="1"/>
  <c r="AR263" i="1"/>
  <c r="AR264" i="1"/>
  <c r="I138" i="29"/>
  <c r="Q138" i="29" s="1"/>
  <c r="H138" i="29"/>
  <c r="P138" i="29" s="1"/>
  <c r="G138" i="29"/>
  <c r="O138" i="29" s="1"/>
  <c r="F138" i="29"/>
  <c r="N138" i="29" s="1"/>
  <c r="E138" i="29"/>
  <c r="M138" i="29" s="1"/>
  <c r="D138" i="29"/>
  <c r="L138" i="29" s="1"/>
  <c r="C138" i="29"/>
  <c r="K138" i="29" s="1"/>
  <c r="C15" i="30"/>
  <c r="G187" i="23" s="1"/>
  <c r="C182" i="2"/>
  <c r="C183" i="2"/>
  <c r="E192" i="2" s="1"/>
  <c r="C184" i="2"/>
  <c r="E193" i="2" s="1"/>
  <c r="C182" i="18"/>
  <c r="E191" i="18" s="1"/>
  <c r="C183" i="18"/>
  <c r="E192" i="18" s="1"/>
  <c r="C184" i="18"/>
  <c r="E193" i="18" s="1"/>
  <c r="C182" i="19"/>
  <c r="C183" i="19"/>
  <c r="E192" i="19" s="1"/>
  <c r="C184" i="19"/>
  <c r="E193" i="19" s="1"/>
  <c r="C182" i="20"/>
  <c r="E191" i="20" s="1"/>
  <c r="C183" i="20"/>
  <c r="E192" i="20" s="1"/>
  <c r="C184" i="20"/>
  <c r="E193" i="20" s="1"/>
  <c r="C182" i="21"/>
  <c r="C183" i="21"/>
  <c r="E192" i="21" s="1"/>
  <c r="C184" i="21"/>
  <c r="E193" i="21" s="1"/>
  <c r="C182" i="22"/>
  <c r="E191" i="22" s="1"/>
  <c r="C183" i="22"/>
  <c r="E192" i="22" s="1"/>
  <c r="C184" i="22"/>
  <c r="E193" i="22" s="1"/>
  <c r="C182" i="23"/>
  <c r="C183" i="23"/>
  <c r="E192" i="23" s="1"/>
  <c r="C184" i="23"/>
  <c r="E193" i="23" s="1"/>
  <c r="C182" i="24"/>
  <c r="E191" i="24" s="1"/>
  <c r="C183" i="24"/>
  <c r="E192" i="24" s="1"/>
  <c r="C184" i="24"/>
  <c r="E193" i="24" s="1"/>
  <c r="C182" i="25"/>
  <c r="C183" i="25"/>
  <c r="E192" i="25" s="1"/>
  <c r="C184" i="25"/>
  <c r="E193" i="25" s="1"/>
  <c r="C182" i="26"/>
  <c r="E191" i="26" s="1"/>
  <c r="C183" i="26"/>
  <c r="E192" i="26" s="1"/>
  <c r="C184" i="26"/>
  <c r="E193" i="26" s="1"/>
  <c r="C182" i="27"/>
  <c r="C183" i="27"/>
  <c r="E192" i="27" s="1"/>
  <c r="C184" i="27"/>
  <c r="E193" i="27" s="1"/>
  <c r="C182" i="28"/>
  <c r="E191" i="28" s="1"/>
  <c r="C183" i="28"/>
  <c r="E192" i="28" s="1"/>
  <c r="C184" i="28"/>
  <c r="E193" i="28" s="1"/>
  <c r="B127" i="15"/>
  <c r="B125" i="15"/>
  <c r="B126" i="15"/>
  <c r="B128" i="15"/>
  <c r="B129" i="15"/>
  <c r="B130" i="15"/>
  <c r="B131" i="15"/>
  <c r="B132" i="15"/>
  <c r="B133" i="15"/>
  <c r="B134" i="15"/>
  <c r="B135" i="15"/>
  <c r="N60" i="1"/>
  <c r="AF60" i="1" s="1"/>
  <c r="Q98" i="30"/>
  <c r="B150" i="29"/>
  <c r="B68" i="29"/>
  <c r="B21" i="29"/>
  <c r="N130" i="15"/>
  <c r="N129" i="15"/>
  <c r="J148" i="15"/>
  <c r="J149" i="15"/>
  <c r="F7" i="15"/>
  <c r="F5" i="15"/>
  <c r="AQ370" i="1"/>
  <c r="D53" i="15"/>
  <c r="K15" i="15"/>
  <c r="G174" i="1"/>
  <c r="B127" i="1"/>
  <c r="B87" i="1"/>
  <c r="B38" i="30"/>
  <c r="B40" i="30"/>
  <c r="B41" i="30"/>
  <c r="AQ43" i="30"/>
  <c r="AU43" i="30" s="1"/>
  <c r="N43" i="30"/>
  <c r="R43" i="30" s="1"/>
  <c r="V43" i="30" s="1"/>
  <c r="Z43" i="30" s="1"/>
  <c r="AD43" i="30" s="1"/>
  <c r="AH43" i="30" s="1"/>
  <c r="B32" i="30"/>
  <c r="B34" i="30"/>
  <c r="B35" i="30"/>
  <c r="B26" i="30"/>
  <c r="B28" i="30"/>
  <c r="B29" i="30"/>
  <c r="B15" i="30"/>
  <c r="B17" i="30"/>
  <c r="B18" i="30"/>
  <c r="AF110" i="30"/>
  <c r="AF113" i="30"/>
  <c r="AC110" i="30"/>
  <c r="AC113" i="30"/>
  <c r="Z110" i="30"/>
  <c r="Z113" i="30"/>
  <c r="W110" i="30"/>
  <c r="W113" i="30"/>
  <c r="T110" i="30"/>
  <c r="T113" i="30"/>
  <c r="Q110" i="30"/>
  <c r="Q113" i="30"/>
  <c r="N110" i="30"/>
  <c r="N113" i="30"/>
  <c r="K110" i="30"/>
  <c r="K113" i="30"/>
  <c r="H110" i="30"/>
  <c r="H113" i="30"/>
  <c r="AF109" i="30"/>
  <c r="AF112" i="30"/>
  <c r="AC109" i="30"/>
  <c r="AC112" i="30"/>
  <c r="Z109" i="30"/>
  <c r="Z112" i="30"/>
  <c r="W109" i="30"/>
  <c r="W112" i="30"/>
  <c r="T109" i="30"/>
  <c r="T112" i="30"/>
  <c r="Q109" i="30"/>
  <c r="Q112" i="30"/>
  <c r="N109" i="30"/>
  <c r="N112" i="30"/>
  <c r="K109" i="30"/>
  <c r="K112" i="30"/>
  <c r="H109" i="30"/>
  <c r="H112" i="30"/>
  <c r="AF107" i="30"/>
  <c r="AF125" i="30" s="1"/>
  <c r="AC107" i="30"/>
  <c r="Z107" i="30"/>
  <c r="W107" i="30"/>
  <c r="T107" i="30"/>
  <c r="T125" i="30" s="1"/>
  <c r="Q107" i="30"/>
  <c r="N107" i="30"/>
  <c r="K107" i="30"/>
  <c r="H107" i="30"/>
  <c r="H125" i="30" s="1"/>
  <c r="AF106" i="30"/>
  <c r="AC106" i="30"/>
  <c r="Z106" i="30"/>
  <c r="W106" i="30"/>
  <c r="T106" i="30"/>
  <c r="Q106" i="30"/>
  <c r="N106" i="30"/>
  <c r="K106" i="30"/>
  <c r="K124" i="30" s="1"/>
  <c r="H106" i="30"/>
  <c r="E110" i="30"/>
  <c r="E113" i="30"/>
  <c r="E109" i="30"/>
  <c r="E112" i="30"/>
  <c r="E107" i="30"/>
  <c r="E106" i="30"/>
  <c r="AF101" i="30"/>
  <c r="AC101" i="30"/>
  <c r="Z101" i="30"/>
  <c r="W101" i="30"/>
  <c r="T101" i="30"/>
  <c r="Q101" i="30"/>
  <c r="N101" i="30"/>
  <c r="K101" i="30"/>
  <c r="H101" i="30"/>
  <c r="E101" i="30"/>
  <c r="K191" i="2"/>
  <c r="K192" i="21"/>
  <c r="K193" i="23"/>
  <c r="K193" i="24"/>
  <c r="K193" i="28"/>
  <c r="K193" i="27"/>
  <c r="K196" i="2"/>
  <c r="K195" i="2"/>
  <c r="K194" i="2"/>
  <c r="K193" i="2"/>
  <c r="K192" i="2"/>
  <c r="K196" i="18"/>
  <c r="K195" i="18"/>
  <c r="K194" i="18"/>
  <c r="K193" i="18"/>
  <c r="K192" i="18"/>
  <c r="K191" i="18"/>
  <c r="K196" i="19"/>
  <c r="K195" i="19"/>
  <c r="K194" i="19"/>
  <c r="K193" i="19"/>
  <c r="K192" i="19"/>
  <c r="K191" i="19"/>
  <c r="K196" i="20"/>
  <c r="K195" i="20"/>
  <c r="K194" i="20"/>
  <c r="K193" i="20"/>
  <c r="K192" i="20"/>
  <c r="K191" i="20"/>
  <c r="K196" i="21"/>
  <c r="K195" i="21"/>
  <c r="K194" i="21"/>
  <c r="K193" i="21"/>
  <c r="K191" i="21"/>
  <c r="K196" i="22"/>
  <c r="K195" i="22"/>
  <c r="K194" i="22"/>
  <c r="K193" i="22"/>
  <c r="K192" i="22"/>
  <c r="K191" i="22"/>
  <c r="K196" i="23"/>
  <c r="K195" i="23"/>
  <c r="K194" i="23"/>
  <c r="K192" i="23"/>
  <c r="K191" i="23"/>
  <c r="K196" i="25"/>
  <c r="K195" i="25"/>
  <c r="K194" i="25"/>
  <c r="K193" i="25"/>
  <c r="K192" i="25"/>
  <c r="K191" i="25"/>
  <c r="K196" i="26"/>
  <c r="K195" i="26"/>
  <c r="K194" i="26"/>
  <c r="K193" i="26"/>
  <c r="K192" i="26"/>
  <c r="K191" i="26"/>
  <c r="K196" i="27"/>
  <c r="K195" i="27"/>
  <c r="K194" i="27"/>
  <c r="K192" i="27"/>
  <c r="K191" i="27"/>
  <c r="K196" i="28"/>
  <c r="K195" i="28"/>
  <c r="K194" i="28"/>
  <c r="K192" i="28"/>
  <c r="K191" i="28"/>
  <c r="K196" i="24"/>
  <c r="K195" i="24"/>
  <c r="K194" i="24"/>
  <c r="K192" i="24"/>
  <c r="K191" i="24"/>
  <c r="C6" i="2"/>
  <c r="E43" i="2" s="1"/>
  <c r="E134" i="2" s="1"/>
  <c r="AM20" i="30"/>
  <c r="C2" i="30"/>
  <c r="E120" i="2"/>
  <c r="N120" i="2"/>
  <c r="E120" i="18"/>
  <c r="N120" i="18"/>
  <c r="O120" i="18"/>
  <c r="E120" i="19"/>
  <c r="N120" i="19"/>
  <c r="O120" i="19"/>
  <c r="E120" i="20"/>
  <c r="N120" i="20"/>
  <c r="O120" i="20"/>
  <c r="E120" i="21"/>
  <c r="N120" i="21"/>
  <c r="O120" i="21"/>
  <c r="E120" i="22"/>
  <c r="N120" i="22"/>
  <c r="O120" i="22"/>
  <c r="E120" i="23"/>
  <c r="N120" i="23"/>
  <c r="O120" i="23"/>
  <c r="E120" i="24"/>
  <c r="N120" i="24"/>
  <c r="O120" i="24"/>
  <c r="E120" i="25"/>
  <c r="N120" i="25"/>
  <c r="O120" i="25"/>
  <c r="E120" i="26"/>
  <c r="N120" i="26"/>
  <c r="O120" i="26"/>
  <c r="E120" i="27"/>
  <c r="N120" i="27"/>
  <c r="O120" i="27"/>
  <c r="E120" i="28"/>
  <c r="N120" i="28"/>
  <c r="K3" i="29"/>
  <c r="K20" i="29"/>
  <c r="C21" i="29"/>
  <c r="D21" i="29"/>
  <c r="E21" i="29"/>
  <c r="F21" i="29"/>
  <c r="G21" i="29"/>
  <c r="H21" i="29"/>
  <c r="I21" i="29"/>
  <c r="J21" i="29"/>
  <c r="K21" i="29"/>
  <c r="L21" i="29"/>
  <c r="M21" i="29"/>
  <c r="N21" i="29"/>
  <c r="O21" i="29"/>
  <c r="P21" i="29"/>
  <c r="Q21" i="29"/>
  <c r="R21" i="29"/>
  <c r="C68" i="29"/>
  <c r="D68" i="29"/>
  <c r="E68" i="29"/>
  <c r="G68" i="29"/>
  <c r="H68" i="29"/>
  <c r="I68" i="29"/>
  <c r="K68" i="29"/>
  <c r="L68" i="29"/>
  <c r="M68" i="29"/>
  <c r="O68" i="29"/>
  <c r="P68" i="29"/>
  <c r="Q68" i="29"/>
  <c r="C161" i="29"/>
  <c r="D161" i="29"/>
  <c r="E161" i="29"/>
  <c r="G161" i="29"/>
  <c r="H161" i="29"/>
  <c r="I161" i="29"/>
  <c r="K161" i="29"/>
  <c r="L161" i="29"/>
  <c r="M161" i="29"/>
  <c r="O161" i="29"/>
  <c r="P161" i="29"/>
  <c r="Q161" i="29"/>
  <c r="C163" i="29"/>
  <c r="D163" i="29"/>
  <c r="E163" i="29"/>
  <c r="G163" i="29"/>
  <c r="H163" i="29"/>
  <c r="I163" i="29"/>
  <c r="K163" i="29"/>
  <c r="L163" i="29"/>
  <c r="M163" i="29"/>
  <c r="O163" i="29"/>
  <c r="P163" i="29"/>
  <c r="Q163" i="29"/>
  <c r="C164" i="29"/>
  <c r="D164" i="29"/>
  <c r="E164" i="29"/>
  <c r="G164" i="29"/>
  <c r="H164" i="29"/>
  <c r="I164" i="29"/>
  <c r="K164" i="29"/>
  <c r="L164" i="29"/>
  <c r="M164" i="29"/>
  <c r="O164" i="29"/>
  <c r="P164" i="29"/>
  <c r="Q164" i="29"/>
  <c r="K67" i="29"/>
  <c r="F68" i="29"/>
  <c r="J68" i="29"/>
  <c r="N68" i="29"/>
  <c r="R68" i="29"/>
  <c r="F168" i="29"/>
  <c r="B5" i="14" s="1"/>
  <c r="N168" i="29"/>
  <c r="N95" i="16"/>
  <c r="AC6" i="2"/>
  <c r="AC6" i="18"/>
  <c r="AC6" i="19"/>
  <c r="AC6" i="20"/>
  <c r="AC6" i="21"/>
  <c r="AC6" i="22"/>
  <c r="AC6" i="23"/>
  <c r="AC6" i="24"/>
  <c r="AC6" i="25"/>
  <c r="AC6" i="26"/>
  <c r="AC6" i="27"/>
  <c r="AC6" i="28"/>
  <c r="AK14" i="1"/>
  <c r="AQ330" i="1"/>
  <c r="AQ372" i="1"/>
  <c r="AQ373" i="1"/>
  <c r="D36" i="15"/>
  <c r="E35" i="15"/>
  <c r="D35" i="15"/>
  <c r="B47" i="1"/>
  <c r="M128" i="15"/>
  <c r="M129" i="15"/>
  <c r="K13" i="15"/>
  <c r="F13" i="15"/>
  <c r="C113" i="15"/>
  <c r="AJ24" i="1"/>
  <c r="AQ369" i="1"/>
  <c r="G176" i="1"/>
  <c r="G178" i="1"/>
  <c r="G177" i="1"/>
  <c r="H127" i="18"/>
  <c r="I127" i="18"/>
  <c r="J127" i="18"/>
  <c r="K127" i="18"/>
  <c r="L127" i="18"/>
  <c r="M127" i="18"/>
  <c r="H127" i="19"/>
  <c r="I127" i="19"/>
  <c r="J127" i="19"/>
  <c r="K127" i="19"/>
  <c r="L127" i="19"/>
  <c r="M127" i="19"/>
  <c r="H127" i="20"/>
  <c r="I127" i="20"/>
  <c r="J127" i="20"/>
  <c r="K127" i="20"/>
  <c r="L127" i="20"/>
  <c r="M127" i="20"/>
  <c r="H127" i="21"/>
  <c r="I127" i="21"/>
  <c r="J127" i="21"/>
  <c r="K127" i="21"/>
  <c r="L127" i="21"/>
  <c r="M127" i="21"/>
  <c r="H127" i="22"/>
  <c r="I127" i="22"/>
  <c r="J127" i="22"/>
  <c r="K127" i="22"/>
  <c r="L127" i="22"/>
  <c r="M127" i="22"/>
  <c r="H127" i="23"/>
  <c r="I127" i="23"/>
  <c r="J127" i="23"/>
  <c r="K127" i="23"/>
  <c r="L127" i="23"/>
  <c r="M127" i="23"/>
  <c r="H127" i="24"/>
  <c r="I127" i="24"/>
  <c r="J127" i="24"/>
  <c r="K127" i="24"/>
  <c r="L127" i="24"/>
  <c r="M127" i="24"/>
  <c r="H127" i="25"/>
  <c r="I127" i="25"/>
  <c r="J127" i="25"/>
  <c r="K127" i="25"/>
  <c r="L127" i="25"/>
  <c r="M127" i="25"/>
  <c r="H127" i="26"/>
  <c r="I127" i="26"/>
  <c r="J127" i="26"/>
  <c r="K127" i="26"/>
  <c r="L127" i="26"/>
  <c r="M127" i="26"/>
  <c r="H127" i="27"/>
  <c r="I127" i="27"/>
  <c r="J127" i="27"/>
  <c r="K127" i="27"/>
  <c r="L127" i="27"/>
  <c r="M127" i="27"/>
  <c r="H127" i="28"/>
  <c r="I127" i="28"/>
  <c r="J127" i="28"/>
  <c r="K127" i="28"/>
  <c r="L127" i="28"/>
  <c r="M127" i="28"/>
  <c r="H127" i="2"/>
  <c r="I127" i="2"/>
  <c r="J127" i="2"/>
  <c r="K127" i="2"/>
  <c r="L127" i="2"/>
  <c r="M127" i="2"/>
  <c r="G127" i="18"/>
  <c r="G127" i="19"/>
  <c r="G127" i="20"/>
  <c r="G127" i="21"/>
  <c r="G127" i="22"/>
  <c r="G127" i="23"/>
  <c r="G127" i="24"/>
  <c r="G127" i="25"/>
  <c r="G127" i="26"/>
  <c r="G127" i="27"/>
  <c r="G127" i="28"/>
  <c r="G127" i="2"/>
  <c r="AQ371" i="1"/>
  <c r="N126" i="18"/>
  <c r="N126" i="19"/>
  <c r="N126" i="20"/>
  <c r="N126" i="21"/>
  <c r="N126" i="22"/>
  <c r="N126" i="23"/>
  <c r="N126" i="24"/>
  <c r="N126" i="25"/>
  <c r="N126" i="26"/>
  <c r="N126" i="27"/>
  <c r="N126" i="28"/>
  <c r="N126" i="2"/>
  <c r="AQ326" i="1"/>
  <c r="AQ328" i="1"/>
  <c r="AQ329" i="1"/>
  <c r="B323" i="1"/>
  <c r="N125" i="18"/>
  <c r="N125" i="19"/>
  <c r="N125" i="20"/>
  <c r="N125" i="21"/>
  <c r="N125" i="22"/>
  <c r="N125" i="23"/>
  <c r="N125" i="24"/>
  <c r="N125" i="25"/>
  <c r="N125" i="26"/>
  <c r="N125" i="27"/>
  <c r="N125" i="28"/>
  <c r="N125" i="2"/>
  <c r="AK11" i="1"/>
  <c r="AK12" i="1"/>
  <c r="AN230" i="1"/>
  <c r="B284" i="1"/>
  <c r="N5" i="18"/>
  <c r="N5" i="19"/>
  <c r="N5" i="20"/>
  <c r="N5" i="21"/>
  <c r="N5" i="22"/>
  <c r="N5" i="23"/>
  <c r="N5" i="24"/>
  <c r="N5" i="25"/>
  <c r="N5" i="26"/>
  <c r="N5" i="27"/>
  <c r="N5" i="28"/>
  <c r="N5" i="2"/>
  <c r="E298" i="1"/>
  <c r="E299" i="1"/>
  <c r="E300" i="1"/>
  <c r="B301" i="1"/>
  <c r="G167" i="1"/>
  <c r="B229" i="1"/>
  <c r="D38" i="18"/>
  <c r="C38" i="18" s="1"/>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93" i="16"/>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C152" i="16"/>
  <c r="C100" i="16"/>
  <c r="D2" i="14"/>
  <c r="G119" i="18"/>
  <c r="G119" i="19"/>
  <c r="G119" i="20"/>
  <c r="G119" i="21"/>
  <c r="G119" i="22"/>
  <c r="G119" i="23"/>
  <c r="G119" i="24"/>
  <c r="G119" i="25"/>
  <c r="G119" i="26"/>
  <c r="G119" i="27"/>
  <c r="G119" i="28"/>
  <c r="C63" i="18"/>
  <c r="C63" i="19"/>
  <c r="C63" i="20"/>
  <c r="C63" i="21"/>
  <c r="C63" i="22"/>
  <c r="C63" i="23"/>
  <c r="C63" i="24"/>
  <c r="C63" i="25"/>
  <c r="C63" i="26"/>
  <c r="C63" i="27"/>
  <c r="C63" i="28"/>
  <c r="C63" i="2"/>
  <c r="G58" i="18"/>
  <c r="G58" i="19"/>
  <c r="G58" i="20"/>
  <c r="G58" i="21"/>
  <c r="G58" i="22"/>
  <c r="G58" i="23"/>
  <c r="G58" i="24"/>
  <c r="G58" i="25"/>
  <c r="G58" i="26"/>
  <c r="G58" i="27"/>
  <c r="G58" i="28"/>
  <c r="G58" i="2"/>
  <c r="C58" i="18"/>
  <c r="C58" i="19"/>
  <c r="C58" i="20"/>
  <c r="C58" i="21"/>
  <c r="C58" i="22"/>
  <c r="C58" i="23"/>
  <c r="C58" i="24"/>
  <c r="C58" i="25"/>
  <c r="C58" i="26"/>
  <c r="C58" i="27"/>
  <c r="C58" i="28"/>
  <c r="C58" i="2"/>
  <c r="C2" i="2"/>
  <c r="C2" i="28"/>
  <c r="J2" i="28"/>
  <c r="C2" i="27"/>
  <c r="J2" i="27"/>
  <c r="C2" i="26"/>
  <c r="J2" i="26"/>
  <c r="C2" i="25"/>
  <c r="J2" i="25"/>
  <c r="C2" i="24"/>
  <c r="J2" i="24"/>
  <c r="C2" i="23"/>
  <c r="J2" i="23"/>
  <c r="C2" i="22"/>
  <c r="J2" i="22"/>
  <c r="C2" i="21"/>
  <c r="J2" i="21"/>
  <c r="C2" i="20"/>
  <c r="J2" i="20"/>
  <c r="C2" i="19"/>
  <c r="J2" i="19"/>
  <c r="C2" i="18"/>
  <c r="J2" i="18"/>
  <c r="J2" i="2"/>
  <c r="AH227" i="1" l="1"/>
  <c r="AH261" i="1" s="1"/>
  <c r="AH89" i="14"/>
  <c r="B208" i="1"/>
  <c r="B210" i="1" s="1"/>
  <c r="AH85" i="14"/>
  <c r="J227" i="1"/>
  <c r="J261" i="1" s="1"/>
  <c r="AH81" i="14"/>
  <c r="AE227" i="1"/>
  <c r="AE261" i="1" s="1"/>
  <c r="AE310" i="1" s="1"/>
  <c r="AH88" i="14"/>
  <c r="S227" i="1"/>
  <c r="S261" i="1" s="1"/>
  <c r="S310" i="1" s="1"/>
  <c r="S420" i="1" s="1"/>
  <c r="AH84" i="14"/>
  <c r="C175" i="1"/>
  <c r="AH87" i="14"/>
  <c r="C171" i="1"/>
  <c r="AH83" i="14"/>
  <c r="C168" i="1"/>
  <c r="AH80" i="14"/>
  <c r="AK227" i="1"/>
  <c r="AK261" i="1" s="1"/>
  <c r="AZ286" i="1" s="1"/>
  <c r="AZ303" i="1" s="1"/>
  <c r="AH90" i="14"/>
  <c r="C174" i="1"/>
  <c r="AH86" i="14"/>
  <c r="M227" i="1"/>
  <c r="M261" i="1" s="1"/>
  <c r="AH276" i="1" s="1"/>
  <c r="AH82" i="14"/>
  <c r="B190" i="1"/>
  <c r="B192" i="1" s="1"/>
  <c r="AH79" i="14"/>
  <c r="J142" i="15"/>
  <c r="M142" i="15"/>
  <c r="W124" i="30"/>
  <c r="N124" i="30"/>
  <c r="Z124" i="30"/>
  <c r="W125" i="30"/>
  <c r="H130" i="30"/>
  <c r="N130" i="30"/>
  <c r="AF130" i="30"/>
  <c r="Q131" i="30"/>
  <c r="AC131" i="30"/>
  <c r="T124" i="30"/>
  <c r="AC125" i="30"/>
  <c r="W130" i="30"/>
  <c r="AC127" i="30"/>
  <c r="T128" i="30"/>
  <c r="AF128" i="30"/>
  <c r="E124" i="30"/>
  <c r="H127" i="30"/>
  <c r="AC128" i="30"/>
  <c r="R63" i="30"/>
  <c r="R62" i="30" s="1"/>
  <c r="T127" i="30"/>
  <c r="H128" i="30"/>
  <c r="Z56" i="30"/>
  <c r="Z51" i="30" s="1"/>
  <c r="C399" i="1"/>
  <c r="C384" i="1"/>
  <c r="C400" i="1"/>
  <c r="C385" i="1"/>
  <c r="C402" i="1"/>
  <c r="C387" i="1"/>
  <c r="C403" i="1"/>
  <c r="C388" i="1"/>
  <c r="C401" i="1"/>
  <c r="C386" i="1"/>
  <c r="C397" i="1"/>
  <c r="J97" i="1"/>
  <c r="AD133" i="1"/>
  <c r="Y132" i="1"/>
  <c r="U98" i="1" s="1"/>
  <c r="AB183" i="1" s="1"/>
  <c r="AM12" i="30" s="1"/>
  <c r="A119" i="29"/>
  <c r="S144" i="1"/>
  <c r="S145" i="1" s="1"/>
  <c r="V144" i="1"/>
  <c r="V145" i="1" s="1"/>
  <c r="T144" i="1"/>
  <c r="T145" i="1" s="1"/>
  <c r="X144" i="1"/>
  <c r="X145" i="1" s="1"/>
  <c r="W8" i="18"/>
  <c r="W9" i="18" s="1"/>
  <c r="C136" i="28"/>
  <c r="C149" i="28" s="1"/>
  <c r="P65" i="20"/>
  <c r="C136" i="22"/>
  <c r="C149" i="22" s="1"/>
  <c r="P65" i="26"/>
  <c r="P65" i="19"/>
  <c r="P65" i="18"/>
  <c r="P65" i="28"/>
  <c r="P65" i="23"/>
  <c r="P65" i="21"/>
  <c r="C136" i="20"/>
  <c r="C149" i="20" s="1"/>
  <c r="C136" i="26"/>
  <c r="C149" i="26" s="1"/>
  <c r="C9" i="2"/>
  <c r="A375" i="1"/>
  <c r="A376" i="1"/>
  <c r="C406" i="1"/>
  <c r="C404" i="1"/>
  <c r="C356" i="1"/>
  <c r="C358" i="1"/>
  <c r="C352" i="1"/>
  <c r="C355" i="1"/>
  <c r="C357" i="1"/>
  <c r="C353" i="1"/>
  <c r="C354" i="1"/>
  <c r="N111" i="1"/>
  <c r="J105" i="1"/>
  <c r="B211" i="1"/>
  <c r="B213" i="1" s="1"/>
  <c r="J107" i="1"/>
  <c r="N103" i="1"/>
  <c r="N95" i="1"/>
  <c r="J115" i="1"/>
  <c r="U106" i="1"/>
  <c r="AE183" i="1" s="1"/>
  <c r="AQ12" i="30" s="1"/>
  <c r="P227" i="1"/>
  <c r="P261" i="1" s="1"/>
  <c r="P310" i="1" s="1"/>
  <c r="P323" i="1" s="1"/>
  <c r="AC132" i="1"/>
  <c r="Y144" i="1"/>
  <c r="W144" i="1"/>
  <c r="W145" i="1" s="1"/>
  <c r="U144" i="1"/>
  <c r="U145" i="1" s="1"/>
  <c r="J99" i="1"/>
  <c r="J113" i="1"/>
  <c r="Q21" i="1"/>
  <c r="AF28" i="1"/>
  <c r="AF151" i="1" s="1"/>
  <c r="P28" i="1"/>
  <c r="P151" i="1" s="1"/>
  <c r="T28" i="1"/>
  <c r="T151" i="1" s="1"/>
  <c r="AB28" i="1"/>
  <c r="I21" i="1"/>
  <c r="B205" i="1"/>
  <c r="B206" i="1" s="1"/>
  <c r="X28" i="1"/>
  <c r="X151" i="1" s="1"/>
  <c r="AB227" i="1"/>
  <c r="AB261" i="1" s="1"/>
  <c r="V227" i="1"/>
  <c r="V261" i="1" s="1"/>
  <c r="B314" i="1"/>
  <c r="AD132" i="1"/>
  <c r="V9" i="30"/>
  <c r="A370" i="1"/>
  <c r="W7" i="2"/>
  <c r="M21" i="1"/>
  <c r="W100" i="30"/>
  <c r="C134" i="29"/>
  <c r="K134" i="29" s="1"/>
  <c r="V11" i="30"/>
  <c r="B217" i="1"/>
  <c r="B218" i="1" s="1"/>
  <c r="AH286" i="1"/>
  <c r="AC286" i="1" s="1"/>
  <c r="AC303" i="1" s="1"/>
  <c r="AA189" i="1"/>
  <c r="BC216" i="1" s="1"/>
  <c r="AU216" i="1" s="1"/>
  <c r="C173" i="1"/>
  <c r="AH181" i="1"/>
  <c r="G189" i="1"/>
  <c r="AF189" i="1"/>
  <c r="BD223" i="1" s="1"/>
  <c r="AV223" i="1" s="1"/>
  <c r="B193" i="1"/>
  <c r="B194" i="1" s="1"/>
  <c r="N184" i="1"/>
  <c r="V184" i="1" s="1"/>
  <c r="B223" i="1"/>
  <c r="B225" i="1" s="1"/>
  <c r="AD9" i="30"/>
  <c r="AH13" i="30"/>
  <c r="Y227" i="1"/>
  <c r="B199" i="1"/>
  <c r="B200" i="1" s="1"/>
  <c r="N185" i="1"/>
  <c r="X185" i="1" s="1"/>
  <c r="E43" i="18"/>
  <c r="G134" i="29"/>
  <c r="O134" i="29" s="1"/>
  <c r="Q189" i="1"/>
  <c r="BA210" i="1" s="1"/>
  <c r="AS210" i="1" s="1"/>
  <c r="AB181" i="1"/>
  <c r="C177" i="1"/>
  <c r="T68" i="29"/>
  <c r="Y21" i="1"/>
  <c r="G227" i="1"/>
  <c r="G261" i="1" s="1"/>
  <c r="G310" i="1" s="1"/>
  <c r="N186" i="1"/>
  <c r="Z186" i="1" s="1"/>
  <c r="C169" i="1"/>
  <c r="C167" i="1"/>
  <c r="D227" i="1"/>
  <c r="D261" i="1" s="1"/>
  <c r="B202" i="1"/>
  <c r="B204" i="1" s="1"/>
  <c r="B214" i="1"/>
  <c r="B215" i="1" s="1"/>
  <c r="AZ276" i="1"/>
  <c r="AZ297" i="1" s="1"/>
  <c r="E130" i="27"/>
  <c r="E130" i="26"/>
  <c r="E130" i="25"/>
  <c r="E130" i="24"/>
  <c r="E130" i="23"/>
  <c r="E130" i="22"/>
  <c r="E130" i="21"/>
  <c r="E130" i="20"/>
  <c r="E130" i="19"/>
  <c r="E130" i="18"/>
  <c r="T21" i="29"/>
  <c r="B313" i="1"/>
  <c r="AC21" i="1"/>
  <c r="A373" i="1"/>
  <c r="K131" i="15"/>
  <c r="N131" i="15" s="1"/>
  <c r="J144" i="15" s="1"/>
  <c r="H136" i="29"/>
  <c r="P136" i="29" s="1"/>
  <c r="L189" i="1"/>
  <c r="K189" i="1" s="1"/>
  <c r="E130" i="28"/>
  <c r="R9" i="30"/>
  <c r="A369" i="1"/>
  <c r="AF100" i="30"/>
  <c r="A368" i="1"/>
  <c r="B316" i="1"/>
  <c r="G136" i="29"/>
  <c r="O136" i="29" s="1"/>
  <c r="W8" i="27"/>
  <c r="W7" i="27" s="1"/>
  <c r="W8" i="20"/>
  <c r="W9" i="20" s="1"/>
  <c r="W10" i="20" s="1"/>
  <c r="W11" i="20" s="1"/>
  <c r="W12" i="20" s="1"/>
  <c r="W13" i="20" s="1"/>
  <c r="W14" i="20" s="1"/>
  <c r="W15" i="20" s="1"/>
  <c r="W16" i="20" s="1"/>
  <c r="W17" i="20" s="1"/>
  <c r="W18" i="20" s="1"/>
  <c r="W19" i="20" s="1"/>
  <c r="W20" i="20" s="1"/>
  <c r="W21" i="20" s="1"/>
  <c r="W22" i="20" s="1"/>
  <c r="W23" i="20" s="1"/>
  <c r="W24" i="20" s="1"/>
  <c r="W25" i="20" s="1"/>
  <c r="W26" i="20" s="1"/>
  <c r="W27" i="20" s="1"/>
  <c r="W28" i="20" s="1"/>
  <c r="W29" i="20" s="1"/>
  <c r="W30" i="20" s="1"/>
  <c r="W31" i="20" s="1"/>
  <c r="W32" i="20" s="1"/>
  <c r="W33" i="20" s="1"/>
  <c r="W34" i="20" s="1"/>
  <c r="W35" i="20" s="1"/>
  <c r="W36" i="20" s="1"/>
  <c r="W37" i="20" s="1"/>
  <c r="B196" i="1"/>
  <c r="B198" i="1" s="1"/>
  <c r="B220" i="1"/>
  <c r="B221" i="1" s="1"/>
  <c r="AG21" i="1"/>
  <c r="AR178" i="14"/>
  <c r="CK178" i="14" s="1"/>
  <c r="A372" i="1"/>
  <c r="C178" i="1"/>
  <c r="C176" i="1"/>
  <c r="C172" i="1"/>
  <c r="C170" i="1"/>
  <c r="B268" i="1"/>
  <c r="R13" i="30"/>
  <c r="F136" i="29"/>
  <c r="N136" i="29" s="1"/>
  <c r="W8" i="26"/>
  <c r="W7" i="26" s="1"/>
  <c r="W8" i="22"/>
  <c r="W7" i="22" s="1"/>
  <c r="W8" i="21"/>
  <c r="W7" i="21" s="1"/>
  <c r="T115" i="29"/>
  <c r="I134" i="29"/>
  <c r="Q134" i="29" s="1"/>
  <c r="G187" i="21"/>
  <c r="I187" i="21" s="1"/>
  <c r="C49" i="30"/>
  <c r="R11" i="30"/>
  <c r="D136" i="29"/>
  <c r="L136" i="29" s="1"/>
  <c r="D134" i="29"/>
  <c r="L134" i="29" s="1"/>
  <c r="G187" i="27"/>
  <c r="I187" i="27" s="1"/>
  <c r="AD11" i="30"/>
  <c r="G187" i="2"/>
  <c r="I187" i="2" s="1"/>
  <c r="C26" i="30"/>
  <c r="G188" i="24" s="1"/>
  <c r="G187" i="18"/>
  <c r="I187" i="18" s="1"/>
  <c r="G187" i="20"/>
  <c r="I187" i="20" s="1"/>
  <c r="G187" i="24"/>
  <c r="I187" i="24" s="1"/>
  <c r="G187" i="26"/>
  <c r="I187" i="26" s="1"/>
  <c r="G187" i="22"/>
  <c r="I187" i="22" s="1"/>
  <c r="G187" i="28"/>
  <c r="I187" i="28" s="1"/>
  <c r="Q66" i="2"/>
  <c r="R66" i="2" s="1"/>
  <c r="G187" i="25"/>
  <c r="I187" i="25" s="1"/>
  <c r="G187" i="19"/>
  <c r="I187" i="19" s="1"/>
  <c r="H100" i="30"/>
  <c r="E180" i="14"/>
  <c r="L180" i="14" s="1"/>
  <c r="N551" i="14"/>
  <c r="Q66" i="20"/>
  <c r="R66" i="20" s="1"/>
  <c r="Q66" i="27"/>
  <c r="R66" i="27" s="1"/>
  <c r="AQ151" i="1"/>
  <c r="AB133" i="30"/>
  <c r="AE173" i="16"/>
  <c r="AE177" i="16" s="1"/>
  <c r="F181" i="16"/>
  <c r="G181" i="16"/>
  <c r="F178" i="16"/>
  <c r="F179" i="16"/>
  <c r="G178" i="16" s="1"/>
  <c r="B172" i="14"/>
  <c r="H124" i="30"/>
  <c r="W127" i="30"/>
  <c r="Q127" i="30"/>
  <c r="T131" i="30"/>
  <c r="R56" i="30"/>
  <c r="R51" i="30" s="1"/>
  <c r="Q124" i="30"/>
  <c r="Z128" i="30"/>
  <c r="N127" i="30"/>
  <c r="Q130" i="30"/>
  <c r="W128" i="30"/>
  <c r="AH56" i="30"/>
  <c r="AH51" i="30" s="1"/>
  <c r="C180" i="29"/>
  <c r="C118" i="15"/>
  <c r="O133" i="30"/>
  <c r="U21" i="1"/>
  <c r="Q66" i="26"/>
  <c r="R66" i="26" s="1"/>
  <c r="AR269" i="1"/>
  <c r="B18" i="29"/>
  <c r="B129" i="29"/>
  <c r="E203" i="1"/>
  <c r="E204" i="1" s="1"/>
  <c r="Q66" i="25"/>
  <c r="R66" i="25" s="1"/>
  <c r="AR271" i="1"/>
  <c r="G179" i="29"/>
  <c r="C114" i="29" s="1"/>
  <c r="Q128" i="30"/>
  <c r="Q125" i="30"/>
  <c r="N131" i="30"/>
  <c r="N125" i="30"/>
  <c r="N128" i="30"/>
  <c r="J13" i="30"/>
  <c r="C136" i="29"/>
  <c r="K136" i="29" s="1"/>
  <c r="Z63" i="30"/>
  <c r="AH63" i="30"/>
  <c r="AH60" i="30" s="1"/>
  <c r="AQ63" i="30"/>
  <c r="AQ59" i="30" s="1"/>
  <c r="E218" i="1"/>
  <c r="E219" i="1" s="1"/>
  <c r="B270" i="1"/>
  <c r="E221" i="1"/>
  <c r="E222" i="1" s="1"/>
  <c r="B266" i="1"/>
  <c r="A371" i="1"/>
  <c r="Z9" i="30"/>
  <c r="C136" i="24"/>
  <c r="C149" i="24" s="1"/>
  <c r="I187" i="23"/>
  <c r="K128" i="30"/>
  <c r="K125" i="30"/>
  <c r="AF127" i="30"/>
  <c r="AF124" i="30"/>
  <c r="Z127" i="30"/>
  <c r="R70" i="30"/>
  <c r="R67" i="30" s="1"/>
  <c r="AH70" i="30"/>
  <c r="AH67" i="30" s="1"/>
  <c r="C136" i="25"/>
  <c r="C149" i="25" s="1"/>
  <c r="E194" i="1"/>
  <c r="E195" i="1" s="1"/>
  <c r="K130" i="30"/>
  <c r="Z131" i="30"/>
  <c r="AF131" i="30"/>
  <c r="P65" i="27"/>
  <c r="C136" i="19"/>
  <c r="C149" i="19" s="1"/>
  <c r="C136" i="27"/>
  <c r="C149" i="27" s="1"/>
  <c r="E209" i="1"/>
  <c r="E210" i="1" s="1"/>
  <c r="E197" i="1"/>
  <c r="E198" i="1" s="1"/>
  <c r="J9" i="30"/>
  <c r="B262" i="1"/>
  <c r="A367" i="1"/>
  <c r="E131" i="30"/>
  <c r="K127" i="30"/>
  <c r="AC100" i="30"/>
  <c r="AQ56" i="30"/>
  <c r="AQ51" i="30" s="1"/>
  <c r="J63" i="30"/>
  <c r="Q66" i="23"/>
  <c r="R66" i="23" s="1"/>
  <c r="Q66" i="28"/>
  <c r="R66" i="28" s="1"/>
  <c r="C136" i="21"/>
  <c r="C149" i="21" s="1"/>
  <c r="Q66" i="22"/>
  <c r="R66" i="22" s="1"/>
  <c r="W1" i="1"/>
  <c r="E130" i="30"/>
  <c r="T130" i="30"/>
  <c r="AC130" i="30"/>
  <c r="H131" i="30"/>
  <c r="Z100" i="30"/>
  <c r="J56" i="30"/>
  <c r="Q66" i="19"/>
  <c r="R66" i="19" s="1"/>
  <c r="Q66" i="24"/>
  <c r="R66" i="24" s="1"/>
  <c r="P65" i="25"/>
  <c r="P65" i="2"/>
  <c r="P65" i="22"/>
  <c r="C136" i="23"/>
  <c r="C149" i="23" s="1"/>
  <c r="BE190" i="1"/>
  <c r="AW190" i="1" s="1"/>
  <c r="AE181" i="1"/>
  <c r="V189" i="1"/>
  <c r="BB201" i="1" s="1"/>
  <c r="AT201" i="1" s="1"/>
  <c r="W8" i="28"/>
  <c r="W7" i="28" s="1"/>
  <c r="Q66" i="18"/>
  <c r="R66" i="18" s="1"/>
  <c r="B271" i="1"/>
  <c r="E224" i="1"/>
  <c r="E225" i="1" s="1"/>
  <c r="E200" i="1"/>
  <c r="E201" i="1" s="1"/>
  <c r="E191" i="1"/>
  <c r="E192" i="1" s="1"/>
  <c r="AL177" i="14"/>
  <c r="AH177" i="14" s="1"/>
  <c r="B263" i="1"/>
  <c r="W8" i="19"/>
  <c r="W7" i="19" s="1"/>
  <c r="AM70" i="30"/>
  <c r="AU70" i="30"/>
  <c r="AQ70" i="30"/>
  <c r="Q66" i="21"/>
  <c r="R66" i="21" s="1"/>
  <c r="AN233" i="1"/>
  <c r="AN236" i="1" s="1"/>
  <c r="AN239" i="1" s="1"/>
  <c r="AN242" i="1" s="1"/>
  <c r="AN245" i="1" s="1"/>
  <c r="AN248" i="1" s="1"/>
  <c r="AN251" i="1" s="1"/>
  <c r="AN254" i="1" s="1"/>
  <c r="AN257" i="1" s="1"/>
  <c r="B261" i="1"/>
  <c r="E128" i="30"/>
  <c r="Z130" i="30"/>
  <c r="W131" i="30"/>
  <c r="AD70" i="30"/>
  <c r="N70" i="30"/>
  <c r="E125" i="30"/>
  <c r="AC124" i="30"/>
  <c r="Z125" i="30"/>
  <c r="Z70" i="30"/>
  <c r="E127" i="30"/>
  <c r="K131" i="30"/>
  <c r="AM56" i="30"/>
  <c r="N56" i="30"/>
  <c r="AD56" i="30"/>
  <c r="AU56" i="30"/>
  <c r="V56" i="30"/>
  <c r="AU63" i="30"/>
  <c r="V63" i="30"/>
  <c r="AM63" i="30"/>
  <c r="N63" i="30"/>
  <c r="AD63" i="30"/>
  <c r="V70" i="30"/>
  <c r="J70" i="30"/>
  <c r="P65" i="24"/>
  <c r="E191" i="23"/>
  <c r="E191" i="19"/>
  <c r="E191" i="27"/>
  <c r="E191" i="25"/>
  <c r="E191" i="21"/>
  <c r="E191" i="2"/>
  <c r="BE191" i="1"/>
  <c r="AW191" i="1" s="1"/>
  <c r="BE209" i="1"/>
  <c r="AW209" i="1" s="1"/>
  <c r="BE214" i="1"/>
  <c r="AW214" i="1" s="1"/>
  <c r="AJ189" i="1"/>
  <c r="BE193" i="1"/>
  <c r="AW193" i="1" s="1"/>
  <c r="BE202" i="1"/>
  <c r="AW202" i="1" s="1"/>
  <c r="BE220" i="1"/>
  <c r="AW220" i="1" s="1"/>
  <c r="BE223" i="1"/>
  <c r="AW223" i="1" s="1"/>
  <c r="BE194" i="1"/>
  <c r="AW194" i="1" s="1"/>
  <c r="BE215" i="1"/>
  <c r="AW215" i="1" s="1"/>
  <c r="BE224" i="1"/>
  <c r="AW224" i="1" s="1"/>
  <c r="BE197" i="1"/>
  <c r="AW197" i="1" s="1"/>
  <c r="BE203" i="1"/>
  <c r="AW203" i="1" s="1"/>
  <c r="BE208" i="1"/>
  <c r="AW208" i="1" s="1"/>
  <c r="BE221" i="1"/>
  <c r="AW221" i="1" s="1"/>
  <c r="C398" i="1"/>
  <c r="BE212" i="1"/>
  <c r="AW212" i="1" s="1"/>
  <c r="BE211" i="1"/>
  <c r="AW211" i="1" s="1"/>
  <c r="E212" i="1"/>
  <c r="E213" i="1" s="1"/>
  <c r="BE205" i="1"/>
  <c r="AW205" i="1" s="1"/>
  <c r="BE206" i="1"/>
  <c r="AW206" i="1" s="1"/>
  <c r="E206" i="1"/>
  <c r="E207" i="1" s="1"/>
  <c r="C136" i="2"/>
  <c r="C149" i="2" s="1"/>
  <c r="AE182" i="1"/>
  <c r="AQ11" i="30" s="1"/>
  <c r="B269" i="1"/>
  <c r="A374" i="1"/>
  <c r="B253" i="1"/>
  <c r="AR270" i="1" s="1"/>
  <c r="BE199" i="1"/>
  <c r="AW199" i="1" s="1"/>
  <c r="BE200" i="1"/>
  <c r="AW200" i="1" s="1"/>
  <c r="AE186" i="1"/>
  <c r="AE187" i="1" s="1"/>
  <c r="T109" i="1" s="1"/>
  <c r="BE218" i="1"/>
  <c r="AW218" i="1" s="1"/>
  <c r="BE217" i="1"/>
  <c r="AW217" i="1" s="1"/>
  <c r="BE196" i="1"/>
  <c r="AW196" i="1" s="1"/>
  <c r="AB186" i="1"/>
  <c r="AB187" i="1" s="1"/>
  <c r="T101" i="1" s="1"/>
  <c r="Y133" i="1"/>
  <c r="W8" i="23"/>
  <c r="W8" i="24"/>
  <c r="W8" i="25"/>
  <c r="H174" i="16"/>
  <c r="M173" i="16" s="1"/>
  <c r="W10" i="2"/>
  <c r="AZ173" i="16"/>
  <c r="AN173" i="16"/>
  <c r="AB173" i="16"/>
  <c r="BF173" i="16"/>
  <c r="AQ173" i="16"/>
  <c r="AH173" i="16"/>
  <c r="AW173" i="16"/>
  <c r="BC173" i="16"/>
  <c r="AK173" i="16"/>
  <c r="AT173" i="16"/>
  <c r="C8" i="14" l="1"/>
  <c r="AN77" i="14"/>
  <c r="B209" i="1"/>
  <c r="B191" i="1"/>
  <c r="AO77" i="14"/>
  <c r="AN78" i="14" s="1"/>
  <c r="AN79" i="14" s="1"/>
  <c r="M310" i="1"/>
  <c r="M420" i="1" s="1"/>
  <c r="AK310" i="1"/>
  <c r="AK420" i="1" s="1"/>
  <c r="E81" i="15"/>
  <c r="E18" i="15"/>
  <c r="E53" i="15" s="1"/>
  <c r="C179" i="18"/>
  <c r="B113" i="14"/>
  <c r="AN80" i="14"/>
  <c r="X2" i="30"/>
  <c r="C133" i="30"/>
  <c r="AB151" i="1"/>
  <c r="AB150" i="1" s="1"/>
  <c r="K114" i="29"/>
  <c r="B79" i="15"/>
  <c r="N8" i="30"/>
  <c r="Z8" i="30"/>
  <c r="AM8" i="30"/>
  <c r="AU8" i="30"/>
  <c r="J8" i="30"/>
  <c r="AQ8" i="30"/>
  <c r="AH8" i="30"/>
  <c r="K100" i="30"/>
  <c r="R8" i="30"/>
  <c r="N100" i="30"/>
  <c r="V8" i="30"/>
  <c r="AD8" i="30"/>
  <c r="Z52" i="30"/>
  <c r="Z54" i="30"/>
  <c r="Z53" i="30"/>
  <c r="Z55" i="30"/>
  <c r="AZ56" i="30"/>
  <c r="J51" i="30" s="1"/>
  <c r="AZ63" i="30"/>
  <c r="R60" i="30"/>
  <c r="R58" i="30"/>
  <c r="R61" i="30"/>
  <c r="R59" i="30"/>
  <c r="B377" i="1"/>
  <c r="G177" i="29" s="1"/>
  <c r="P351" i="1"/>
  <c r="P366" i="1" s="1"/>
  <c r="P396" i="1" s="1"/>
  <c r="P337" i="1"/>
  <c r="E112" i="24"/>
  <c r="E110" i="21"/>
  <c r="E109" i="19"/>
  <c r="U114" i="1"/>
  <c r="AH183" i="1" s="1"/>
  <c r="AU12" i="30" s="1"/>
  <c r="B8" i="29"/>
  <c r="AQ178" i="14"/>
  <c r="CJ178" i="14" s="1"/>
  <c r="B9" i="29"/>
  <c r="C23" i="15" s="1"/>
  <c r="C86" i="15" s="1"/>
  <c r="H28" i="1"/>
  <c r="E134" i="18"/>
  <c r="D123" i="18"/>
  <c r="D122" i="18" s="1"/>
  <c r="C45" i="18" s="1"/>
  <c r="C64" i="18" s="1"/>
  <c r="AY218" i="1"/>
  <c r="AQ218" i="1" s="1"/>
  <c r="AY194" i="1"/>
  <c r="AQ194" i="1" s="1"/>
  <c r="BD190" i="1"/>
  <c r="AV190" i="1" s="1"/>
  <c r="BC215" i="1"/>
  <c r="AU215" i="1" s="1"/>
  <c r="AY212" i="1"/>
  <c r="AQ212" i="1" s="1"/>
  <c r="AK323" i="1"/>
  <c r="BD210" i="1"/>
  <c r="AV210" i="1" s="1"/>
  <c r="AY197" i="1"/>
  <c r="AQ197" i="1" s="1"/>
  <c r="AY203" i="1"/>
  <c r="AQ203" i="1" s="1"/>
  <c r="E110" i="2"/>
  <c r="AH186" i="1"/>
  <c r="AH187" i="1" s="1"/>
  <c r="T117" i="1" s="1"/>
  <c r="B212" i="1"/>
  <c r="BC197" i="1"/>
  <c r="AU197" i="1" s="1"/>
  <c r="AZ204" i="1"/>
  <c r="AR204" i="1" s="1"/>
  <c r="AY224" i="1"/>
  <c r="AQ224" i="1" s="1"/>
  <c r="BC208" i="1"/>
  <c r="AU208" i="1" s="1"/>
  <c r="AY221" i="1"/>
  <c r="AQ221" i="1" s="1"/>
  <c r="Y286" i="1"/>
  <c r="T286" i="1" s="1"/>
  <c r="T303" i="1" s="1"/>
  <c r="BC224" i="1"/>
  <c r="AU224" i="1" s="1"/>
  <c r="AY209" i="1"/>
  <c r="AQ209" i="1" s="1"/>
  <c r="AY206" i="1"/>
  <c r="AQ206" i="1" s="1"/>
  <c r="E110" i="26"/>
  <c r="AB310" i="1"/>
  <c r="AB420" i="1" s="1"/>
  <c r="BC222" i="1"/>
  <c r="AU222" i="1" s="1"/>
  <c r="BC217" i="1"/>
  <c r="AU217" i="1" s="1"/>
  <c r="AY200" i="1"/>
  <c r="AQ200" i="1" s="1"/>
  <c r="BC198" i="1"/>
  <c r="AU198" i="1" s="1"/>
  <c r="F189" i="1"/>
  <c r="AY191" i="1"/>
  <c r="AQ191" i="1" s="1"/>
  <c r="AY215" i="1"/>
  <c r="AQ215" i="1" s="1"/>
  <c r="BC213" i="1"/>
  <c r="AU213" i="1" s="1"/>
  <c r="P420" i="1"/>
  <c r="S185" i="1"/>
  <c r="E110" i="19"/>
  <c r="AQ276" i="1"/>
  <c r="AQ297" i="1" s="1"/>
  <c r="AU276" i="1"/>
  <c r="AU297" i="1" s="1"/>
  <c r="AU286" i="1"/>
  <c r="AU303" i="1" s="1"/>
  <c r="AF150" i="1"/>
  <c r="Y145" i="1"/>
  <c r="BD193" i="1"/>
  <c r="AV193" i="1" s="1"/>
  <c r="H99" i="1"/>
  <c r="I99" i="1" s="1"/>
  <c r="H113" i="1"/>
  <c r="I113" i="1" s="1"/>
  <c r="H97" i="1"/>
  <c r="I97" i="1" s="1"/>
  <c r="H105" i="1"/>
  <c r="I105" i="1" s="1"/>
  <c r="H114" i="1"/>
  <c r="I114" i="1" s="1"/>
  <c r="H98" i="1"/>
  <c r="I98" i="1" s="1"/>
  <c r="H106" i="1"/>
  <c r="I106" i="1" s="1"/>
  <c r="H115" i="1"/>
  <c r="I115" i="1" s="1"/>
  <c r="H107" i="1"/>
  <c r="I107" i="1" s="1"/>
  <c r="Z184" i="1"/>
  <c r="Y184" i="1"/>
  <c r="E109" i="2"/>
  <c r="BA221" i="1"/>
  <c r="AS221" i="1" s="1"/>
  <c r="BA205" i="1"/>
  <c r="AS205" i="1" s="1"/>
  <c r="BA218" i="1"/>
  <c r="AS218" i="1" s="1"/>
  <c r="BA207" i="1"/>
  <c r="AS207" i="1" s="1"/>
  <c r="BD207" i="1"/>
  <c r="AV207" i="1" s="1"/>
  <c r="BA211" i="1"/>
  <c r="AS211" i="1" s="1"/>
  <c r="BD211" i="1"/>
  <c r="AV211" i="1" s="1"/>
  <c r="BD220" i="1"/>
  <c r="AV220" i="1" s="1"/>
  <c r="R185" i="1"/>
  <c r="Y185" i="1"/>
  <c r="B219" i="1"/>
  <c r="BA191" i="1"/>
  <c r="AS191" i="1" s="1"/>
  <c r="BA215" i="1"/>
  <c r="AS215" i="1" s="1"/>
  <c r="BA195" i="1"/>
  <c r="AS195" i="1" s="1"/>
  <c r="BD198" i="1"/>
  <c r="AV198" i="1" s="1"/>
  <c r="BA193" i="1"/>
  <c r="AS193" i="1" s="1"/>
  <c r="BD208" i="1"/>
  <c r="AV208" i="1" s="1"/>
  <c r="BD224" i="1"/>
  <c r="AV224" i="1" s="1"/>
  <c r="U186" i="1"/>
  <c r="BA192" i="1"/>
  <c r="AS192" i="1" s="1"/>
  <c r="B207" i="1"/>
  <c r="L28" i="1"/>
  <c r="E110" i="24"/>
  <c r="E110" i="22"/>
  <c r="BD197" i="1"/>
  <c r="AV197" i="1" s="1"/>
  <c r="BA197" i="1"/>
  <c r="AS197" i="1" s="1"/>
  <c r="BA199" i="1"/>
  <c r="AS199" i="1" s="1"/>
  <c r="BD200" i="1"/>
  <c r="AV200" i="1" s="1"/>
  <c r="BD209" i="1"/>
  <c r="AV209" i="1" s="1"/>
  <c r="BD194" i="1"/>
  <c r="AV194" i="1" s="1"/>
  <c r="P184" i="1"/>
  <c r="Q185" i="1"/>
  <c r="S184" i="1"/>
  <c r="E110" i="23"/>
  <c r="BA216" i="1"/>
  <c r="AS216" i="1" s="1"/>
  <c r="V185" i="1"/>
  <c r="BA204" i="1"/>
  <c r="AS204" i="1" s="1"/>
  <c r="E110" i="18"/>
  <c r="E110" i="28"/>
  <c r="G286" i="1"/>
  <c r="BD217" i="1"/>
  <c r="AV217" i="1" s="1"/>
  <c r="BD201" i="1"/>
  <c r="AV201" i="1" s="1"/>
  <c r="BA198" i="1"/>
  <c r="AS198" i="1" s="1"/>
  <c r="BA223" i="1"/>
  <c r="AS223" i="1" s="1"/>
  <c r="BA203" i="1"/>
  <c r="AS203" i="1" s="1"/>
  <c r="BA209" i="1"/>
  <c r="AS209" i="1" s="1"/>
  <c r="BD191" i="1"/>
  <c r="AV191" i="1" s="1"/>
  <c r="BD221" i="1"/>
  <c r="AV221" i="1" s="1"/>
  <c r="BD216" i="1"/>
  <c r="AV216" i="1" s="1"/>
  <c r="Q184" i="1"/>
  <c r="B424" i="1"/>
  <c r="E110" i="20"/>
  <c r="E110" i="27"/>
  <c r="B201" i="1"/>
  <c r="E110" i="25"/>
  <c r="V310" i="1"/>
  <c r="X150" i="1"/>
  <c r="Z189" i="1"/>
  <c r="BC193" i="1"/>
  <c r="AU193" i="1" s="1"/>
  <c r="BC191" i="1"/>
  <c r="AU191" i="1" s="1"/>
  <c r="BC214" i="1"/>
  <c r="AU214" i="1" s="1"/>
  <c r="BC221" i="1"/>
  <c r="AU221" i="1" s="1"/>
  <c r="BC206" i="1"/>
  <c r="AU206" i="1" s="1"/>
  <c r="BC212" i="1"/>
  <c r="AU212" i="1" s="1"/>
  <c r="BC204" i="1"/>
  <c r="AU204" i="1" s="1"/>
  <c r="BC225" i="1"/>
  <c r="AU225" i="1" s="1"/>
  <c r="BC210" i="1"/>
  <c r="AU210" i="1" s="1"/>
  <c r="B224" i="1"/>
  <c r="BC219" i="1"/>
  <c r="AU219" i="1" s="1"/>
  <c r="BC201" i="1"/>
  <c r="AU201" i="1" s="1"/>
  <c r="BC223" i="1"/>
  <c r="AU223" i="1" s="1"/>
  <c r="BC190" i="1"/>
  <c r="AU190" i="1" s="1"/>
  <c r="BC203" i="1"/>
  <c r="AU203" i="1" s="1"/>
  <c r="BC220" i="1"/>
  <c r="AU220" i="1" s="1"/>
  <c r="BC192" i="1"/>
  <c r="AU192" i="1" s="1"/>
  <c r="BC195" i="1"/>
  <c r="AU195" i="1" s="1"/>
  <c r="BC196" i="1"/>
  <c r="AU196" i="1" s="1"/>
  <c r="BC199" i="1"/>
  <c r="AU199" i="1" s="1"/>
  <c r="B195" i="1"/>
  <c r="BC218" i="1"/>
  <c r="AU218" i="1" s="1"/>
  <c r="BC200" i="1"/>
  <c r="AU200" i="1" s="1"/>
  <c r="BC194" i="1"/>
  <c r="AU194" i="1" s="1"/>
  <c r="BC202" i="1"/>
  <c r="AU202" i="1" s="1"/>
  <c r="BC209" i="1"/>
  <c r="AU209" i="1" s="1"/>
  <c r="BC207" i="1"/>
  <c r="AU207" i="1" s="1"/>
  <c r="BC205" i="1"/>
  <c r="AU205" i="1" s="1"/>
  <c r="BC211" i="1"/>
  <c r="AU211" i="1" s="1"/>
  <c r="AP178" i="14"/>
  <c r="AH303" i="1"/>
  <c r="BD219" i="1"/>
  <c r="AV219" i="1" s="1"/>
  <c r="BD218" i="1"/>
  <c r="AV218" i="1" s="1"/>
  <c r="BD205" i="1"/>
  <c r="AV205" i="1" s="1"/>
  <c r="BD213" i="1"/>
  <c r="AV213" i="1" s="1"/>
  <c r="BD212" i="1"/>
  <c r="AV212" i="1" s="1"/>
  <c r="BD202" i="1"/>
  <c r="AV202" i="1" s="1"/>
  <c r="BD214" i="1"/>
  <c r="AV214" i="1" s="1"/>
  <c r="BD225" i="1"/>
  <c r="AV225" i="1" s="1"/>
  <c r="BD195" i="1"/>
  <c r="AV195" i="1" s="1"/>
  <c r="BD222" i="1"/>
  <c r="AV222" i="1" s="1"/>
  <c r="W9" i="22"/>
  <c r="W10" i="22" s="1"/>
  <c r="W11" i="22" s="1"/>
  <c r="W12" i="22" s="1"/>
  <c r="W13" i="22" s="1"/>
  <c r="W14" i="22" s="1"/>
  <c r="W15" i="22" s="1"/>
  <c r="W16" i="22" s="1"/>
  <c r="W17" i="22" s="1"/>
  <c r="W18" i="22" s="1"/>
  <c r="W19" i="22" s="1"/>
  <c r="W20" i="22" s="1"/>
  <c r="W21" i="22" s="1"/>
  <c r="W22" i="22" s="1"/>
  <c r="W23" i="22" s="1"/>
  <c r="W24" i="22" s="1"/>
  <c r="W25" i="22" s="1"/>
  <c r="W26" i="22" s="1"/>
  <c r="W27" i="22" s="1"/>
  <c r="W28" i="22" s="1"/>
  <c r="W29" i="22" s="1"/>
  <c r="W30" i="22" s="1"/>
  <c r="W31" i="22" s="1"/>
  <c r="W32" i="22" s="1"/>
  <c r="W33" i="22" s="1"/>
  <c r="W34" i="22" s="1"/>
  <c r="W35" i="22" s="1"/>
  <c r="W36" i="22" s="1"/>
  <c r="W37" i="22" s="1"/>
  <c r="BD196" i="1"/>
  <c r="AV196" i="1" s="1"/>
  <c r="BD199" i="1"/>
  <c r="AV199" i="1" s="1"/>
  <c r="BD206" i="1"/>
  <c r="AV206" i="1" s="1"/>
  <c r="AE189" i="1"/>
  <c r="BD203" i="1"/>
  <c r="AV203" i="1" s="1"/>
  <c r="BD215" i="1"/>
  <c r="AV215" i="1" s="1"/>
  <c r="BD192" i="1"/>
  <c r="AV192" i="1" s="1"/>
  <c r="BD204" i="1"/>
  <c r="AV204" i="1" s="1"/>
  <c r="W9" i="21"/>
  <c r="W10" i="21" s="1"/>
  <c r="T100" i="30"/>
  <c r="BA196" i="1"/>
  <c r="AS196" i="1" s="1"/>
  <c r="BA217" i="1"/>
  <c r="AS217" i="1" s="1"/>
  <c r="BA224" i="1"/>
  <c r="AS224" i="1" s="1"/>
  <c r="BA190" i="1"/>
  <c r="AS190" i="1" s="1"/>
  <c r="BA208" i="1"/>
  <c r="AS208" i="1" s="1"/>
  <c r="BA220" i="1"/>
  <c r="AS220" i="1" s="1"/>
  <c r="X184" i="1"/>
  <c r="U185" i="1"/>
  <c r="O185" i="1"/>
  <c r="W184" i="1"/>
  <c r="U184" i="1"/>
  <c r="E112" i="21"/>
  <c r="BA222" i="1"/>
  <c r="AS222" i="1" s="1"/>
  <c r="G191" i="24"/>
  <c r="I191" i="24" s="1"/>
  <c r="P185" i="1"/>
  <c r="BA225" i="1"/>
  <c r="AS225" i="1" s="1"/>
  <c r="Y261" i="1"/>
  <c r="BB220" i="1"/>
  <c r="AT220" i="1" s="1"/>
  <c r="BA200" i="1"/>
  <c r="AS200" i="1" s="1"/>
  <c r="BA201" i="1"/>
  <c r="AS201" i="1" s="1"/>
  <c r="BA219" i="1"/>
  <c r="AS219" i="1" s="1"/>
  <c r="BA194" i="1"/>
  <c r="AS194" i="1" s="1"/>
  <c r="P189" i="1"/>
  <c r="BA202" i="1"/>
  <c r="AS202" i="1" s="1"/>
  <c r="BA214" i="1"/>
  <c r="AS214" i="1" s="1"/>
  <c r="BA206" i="1"/>
  <c r="AS206" i="1" s="1"/>
  <c r="BA213" i="1"/>
  <c r="AS213" i="1" s="1"/>
  <c r="BA212" i="1"/>
  <c r="AS212" i="1" s="1"/>
  <c r="O186" i="1"/>
  <c r="Z185" i="1"/>
  <c r="R184" i="1"/>
  <c r="T184" i="1"/>
  <c r="W185" i="1"/>
  <c r="O184" i="1"/>
  <c r="R186" i="1"/>
  <c r="T185" i="1"/>
  <c r="B222" i="1"/>
  <c r="S323" i="1"/>
  <c r="AZ223" i="1"/>
  <c r="AR223" i="1" s="1"/>
  <c r="E109" i="26"/>
  <c r="T186" i="1"/>
  <c r="Z116" i="1"/>
  <c r="BB190" i="1"/>
  <c r="AT190" i="1" s="1"/>
  <c r="BB222" i="1"/>
  <c r="AT222" i="1" s="1"/>
  <c r="E109" i="23"/>
  <c r="W186" i="1"/>
  <c r="B216" i="1"/>
  <c r="V186" i="1"/>
  <c r="P186" i="1"/>
  <c r="B203" i="1"/>
  <c r="AZ205" i="1"/>
  <c r="AR205" i="1" s="1"/>
  <c r="Q186" i="1"/>
  <c r="X186" i="1"/>
  <c r="P276" i="1"/>
  <c r="AZ199" i="1"/>
  <c r="AR199" i="1" s="1"/>
  <c r="AZ211" i="1"/>
  <c r="AR211" i="1" s="1"/>
  <c r="E109" i="18"/>
  <c r="Y186" i="1"/>
  <c r="S186" i="1"/>
  <c r="B197" i="1"/>
  <c r="W9" i="27"/>
  <c r="D9" i="27" s="1"/>
  <c r="C9" i="27" s="1"/>
  <c r="AZ222" i="1"/>
  <c r="AR222" i="1" s="1"/>
  <c r="E109" i="22"/>
  <c r="B317" i="1"/>
  <c r="B427" i="1" s="1"/>
  <c r="E112" i="19"/>
  <c r="E109" i="27"/>
  <c r="AZ193" i="1"/>
  <c r="AR193" i="1" s="1"/>
  <c r="AZ210" i="1"/>
  <c r="AR210" i="1" s="1"/>
  <c r="AZ192" i="1"/>
  <c r="AR192" i="1" s="1"/>
  <c r="AZ213" i="1"/>
  <c r="AR213" i="1" s="1"/>
  <c r="E109" i="21"/>
  <c r="E109" i="20"/>
  <c r="G188" i="19"/>
  <c r="I188" i="19" s="1"/>
  <c r="AZ201" i="1"/>
  <c r="AR201" i="1" s="1"/>
  <c r="E112" i="18"/>
  <c r="E109" i="24"/>
  <c r="W7" i="20"/>
  <c r="AZ198" i="1"/>
  <c r="AR198" i="1" s="1"/>
  <c r="AE420" i="1"/>
  <c r="AE323" i="1"/>
  <c r="AZ196" i="1"/>
  <c r="AR196" i="1" s="1"/>
  <c r="AZ202" i="1"/>
  <c r="AR202" i="1" s="1"/>
  <c r="AZ214" i="1"/>
  <c r="AR214" i="1" s="1"/>
  <c r="AZ225" i="1"/>
  <c r="AR225" i="1" s="1"/>
  <c r="AZ216" i="1"/>
  <c r="AR216" i="1" s="1"/>
  <c r="E109" i="25"/>
  <c r="B423" i="1"/>
  <c r="B426" i="1"/>
  <c r="AZ217" i="1"/>
  <c r="AR217" i="1" s="1"/>
  <c r="AZ190" i="1"/>
  <c r="AR190" i="1" s="1"/>
  <c r="AZ208" i="1"/>
  <c r="AR208" i="1" s="1"/>
  <c r="AZ220" i="1"/>
  <c r="AR220" i="1" s="1"/>
  <c r="AZ195" i="1"/>
  <c r="AR195" i="1" s="1"/>
  <c r="AZ207" i="1"/>
  <c r="AR207" i="1" s="1"/>
  <c r="E109" i="28"/>
  <c r="AD108" i="1"/>
  <c r="E112" i="23"/>
  <c r="AZ219" i="1"/>
  <c r="AR219" i="1" s="1"/>
  <c r="D9" i="20"/>
  <c r="D10" i="20" s="1"/>
  <c r="D11" i="20" s="1"/>
  <c r="D12" i="20" s="1"/>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AD100" i="1"/>
  <c r="Z108" i="1"/>
  <c r="AW6" i="25"/>
  <c r="AD116" i="1"/>
  <c r="E112" i="26"/>
  <c r="J310" i="1"/>
  <c r="Y276" i="1"/>
  <c r="E112" i="28"/>
  <c r="E112" i="22"/>
  <c r="E112" i="20"/>
  <c r="E112" i="25"/>
  <c r="W9" i="26"/>
  <c r="W10" i="26" s="1"/>
  <c r="Z100" i="1"/>
  <c r="AW6" i="26"/>
  <c r="AW6" i="18"/>
  <c r="G188" i="28"/>
  <c r="I188" i="28" s="1"/>
  <c r="E112" i="2"/>
  <c r="E112" i="27"/>
  <c r="AH310" i="1"/>
  <c r="AQ286" i="1"/>
  <c r="B180" i="14"/>
  <c r="AH54" i="30"/>
  <c r="G188" i="26"/>
  <c r="G191" i="26" s="1"/>
  <c r="I191" i="26" s="1"/>
  <c r="C32" i="30"/>
  <c r="C38" i="30" s="1"/>
  <c r="G188" i="27"/>
  <c r="AW6" i="28"/>
  <c r="AW6" i="20"/>
  <c r="G188" i="21"/>
  <c r="I188" i="21" s="1"/>
  <c r="G188" i="2"/>
  <c r="I188" i="2" s="1"/>
  <c r="AJ105" i="30" s="1"/>
  <c r="AW6" i="23"/>
  <c r="G188" i="22"/>
  <c r="I188" i="22" s="1"/>
  <c r="G180" i="16"/>
  <c r="Q180" i="14"/>
  <c r="H113" i="15"/>
  <c r="J180" i="14"/>
  <c r="C180" i="14"/>
  <c r="D180" i="14" s="1"/>
  <c r="E181" i="14"/>
  <c r="E182" i="14" s="1"/>
  <c r="G188" i="23"/>
  <c r="C56" i="30"/>
  <c r="G188" i="18"/>
  <c r="G188" i="20"/>
  <c r="G188" i="25"/>
  <c r="I188" i="25" s="1"/>
  <c r="AH53" i="30"/>
  <c r="R65" i="30"/>
  <c r="AH58" i="30"/>
  <c r="J55" i="30"/>
  <c r="J59" i="30"/>
  <c r="AQ55" i="30"/>
  <c r="AH65" i="30"/>
  <c r="J58" i="30"/>
  <c r="J61" i="30"/>
  <c r="J62" i="30"/>
  <c r="J60" i="30"/>
  <c r="R53" i="30"/>
  <c r="C179" i="26"/>
  <c r="C179" i="27"/>
  <c r="C179" i="28"/>
  <c r="C179" i="19"/>
  <c r="C179" i="20"/>
  <c r="C179" i="2"/>
  <c r="P173" i="16"/>
  <c r="P177" i="16" s="1"/>
  <c r="V173" i="16"/>
  <c r="V177" i="16" s="1"/>
  <c r="C179" i="24"/>
  <c r="R173" i="16"/>
  <c r="AO171" i="16" s="1"/>
  <c r="N173" i="16"/>
  <c r="N177" i="16" s="1"/>
  <c r="U173" i="16"/>
  <c r="U176" i="16" s="1"/>
  <c r="T173" i="16"/>
  <c r="T177" i="16" s="1"/>
  <c r="C179" i="23"/>
  <c r="C179" i="22"/>
  <c r="C179" i="21"/>
  <c r="C179" i="25"/>
  <c r="AQ53" i="30"/>
  <c r="AQ62" i="30"/>
  <c r="AH52" i="30"/>
  <c r="R55" i="30"/>
  <c r="R54" i="30"/>
  <c r="R52" i="30"/>
  <c r="AQ60" i="30"/>
  <c r="AQ52" i="30"/>
  <c r="AH55" i="30"/>
  <c r="AQ61" i="30"/>
  <c r="L187" i="14"/>
  <c r="L194" i="14" s="1"/>
  <c r="BB208" i="1"/>
  <c r="AT208" i="1" s="1"/>
  <c r="BB223" i="1"/>
  <c r="AT223" i="1" s="1"/>
  <c r="BB195" i="1"/>
  <c r="AT195" i="1" s="1"/>
  <c r="D310" i="1"/>
  <c r="G276" i="1"/>
  <c r="BB192" i="1"/>
  <c r="AT192" i="1" s="1"/>
  <c r="BB204" i="1"/>
  <c r="AT204" i="1" s="1"/>
  <c r="W9" i="19"/>
  <c r="W10" i="19" s="1"/>
  <c r="AQ54" i="30"/>
  <c r="B312" i="1"/>
  <c r="G300" i="1"/>
  <c r="AX178" i="14"/>
  <c r="CQ178" i="14" s="1"/>
  <c r="I188" i="24"/>
  <c r="I135" i="29"/>
  <c r="Q135" i="29" s="1"/>
  <c r="AH12" i="30"/>
  <c r="B311" i="1"/>
  <c r="B320" i="1"/>
  <c r="AC276" i="1"/>
  <c r="AC297" i="1" s="1"/>
  <c r="AH297" i="1"/>
  <c r="S173" i="16"/>
  <c r="BB196" i="1"/>
  <c r="AT196" i="1" s="1"/>
  <c r="BB217" i="1"/>
  <c r="AT217" i="1" s="1"/>
  <c r="BB199" i="1"/>
  <c r="AT199" i="1" s="1"/>
  <c r="BB205" i="1"/>
  <c r="AT205" i="1" s="1"/>
  <c r="E56" i="30"/>
  <c r="G420" i="1"/>
  <c r="G323" i="1"/>
  <c r="R69" i="30"/>
  <c r="R66" i="30"/>
  <c r="R68" i="30"/>
  <c r="Q100" i="30"/>
  <c r="BB219" i="1"/>
  <c r="AT219" i="1" s="1"/>
  <c r="Z62" i="30"/>
  <c r="Z60" i="30"/>
  <c r="Z58" i="30"/>
  <c r="Z61" i="30"/>
  <c r="Z59" i="30"/>
  <c r="BB207" i="1"/>
  <c r="AT207" i="1" s="1"/>
  <c r="BB198" i="1"/>
  <c r="AT198" i="1" s="1"/>
  <c r="B319" i="1"/>
  <c r="BB202" i="1"/>
  <c r="AT202" i="1" s="1"/>
  <c r="BB214" i="1"/>
  <c r="AT214" i="1" s="1"/>
  <c r="BB193" i="1"/>
  <c r="AT193" i="1" s="1"/>
  <c r="BB225" i="1"/>
  <c r="AT225" i="1" s="1"/>
  <c r="BB216" i="1"/>
  <c r="AT216" i="1" s="1"/>
  <c r="U189" i="1"/>
  <c r="BB210" i="1"/>
  <c r="AT210" i="1" s="1"/>
  <c r="BB213" i="1"/>
  <c r="AT213" i="1" s="1"/>
  <c r="BB211" i="1"/>
  <c r="AT211" i="1" s="1"/>
  <c r="W9" i="28"/>
  <c r="W10" i="28" s="1"/>
  <c r="AQ58" i="30"/>
  <c r="E100" i="30"/>
  <c r="AH69" i="30"/>
  <c r="AH68" i="30"/>
  <c r="AH66" i="30"/>
  <c r="B315" i="1"/>
  <c r="AH62" i="30"/>
  <c r="AH61" i="30"/>
  <c r="AH59" i="30"/>
  <c r="Z171" i="16"/>
  <c r="M176" i="16"/>
  <c r="H135" i="29"/>
  <c r="P135" i="29" s="1"/>
  <c r="AD12" i="30"/>
  <c r="W9" i="25"/>
  <c r="W7" i="25"/>
  <c r="W9" i="24"/>
  <c r="W7" i="24"/>
  <c r="W9" i="23"/>
  <c r="W7" i="23"/>
  <c r="F135" i="29"/>
  <c r="N135" i="29" s="1"/>
  <c r="V12" i="30"/>
  <c r="AW6" i="19"/>
  <c r="AZ70" i="30"/>
  <c r="J69" i="30"/>
  <c r="E70" i="30"/>
  <c r="J65" i="30"/>
  <c r="J66" i="30"/>
  <c r="J67" i="30"/>
  <c r="J68" i="30"/>
  <c r="AM58" i="30"/>
  <c r="AM60" i="30"/>
  <c r="AM59" i="30"/>
  <c r="AM61" i="30"/>
  <c r="AM62" i="30"/>
  <c r="AU53" i="30"/>
  <c r="AU51" i="30"/>
  <c r="AU52" i="30"/>
  <c r="AU54" i="30"/>
  <c r="AU55" i="30"/>
  <c r="G299" i="1"/>
  <c r="AM65" i="30"/>
  <c r="AM67" i="30"/>
  <c r="AM69" i="30"/>
  <c r="AM66" i="30"/>
  <c r="AM68" i="30"/>
  <c r="E63" i="30"/>
  <c r="BC177" i="16"/>
  <c r="AW177" i="16"/>
  <c r="AQ177" i="16"/>
  <c r="AZ176" i="16"/>
  <c r="G135" i="29"/>
  <c r="O135" i="29" s="1"/>
  <c r="Z12" i="30"/>
  <c r="W173" i="16"/>
  <c r="O173" i="16"/>
  <c r="W10" i="18"/>
  <c r="D9" i="18"/>
  <c r="C9" i="18" s="1"/>
  <c r="P150" i="1"/>
  <c r="P30" i="1"/>
  <c r="R20" i="30" s="1"/>
  <c r="V68" i="30"/>
  <c r="V65" i="30"/>
  <c r="V66" i="30"/>
  <c r="V69" i="30"/>
  <c r="V67" i="30"/>
  <c r="V62" i="30"/>
  <c r="V61" i="30"/>
  <c r="V58" i="30"/>
  <c r="V59" i="30"/>
  <c r="V60" i="30"/>
  <c r="AD55" i="30"/>
  <c r="AD52" i="30"/>
  <c r="AD53" i="30"/>
  <c r="AD54" i="30"/>
  <c r="AD51" i="30"/>
  <c r="Z69" i="30"/>
  <c r="Z65" i="30"/>
  <c r="Z66" i="30"/>
  <c r="Z67" i="30"/>
  <c r="Z68" i="30"/>
  <c r="G298" i="1"/>
  <c r="N69" i="30"/>
  <c r="N66" i="30"/>
  <c r="N67" i="30"/>
  <c r="N68" i="30"/>
  <c r="N65" i="30"/>
  <c r="AK177" i="16"/>
  <c r="BF176" i="16"/>
  <c r="AN176" i="16"/>
  <c r="E135" i="29"/>
  <c r="M135" i="29" s="1"/>
  <c r="R12" i="30"/>
  <c r="B318" i="1"/>
  <c r="AD59" i="30"/>
  <c r="AD60" i="30"/>
  <c r="AD61" i="30"/>
  <c r="AD62" i="30"/>
  <c r="AD58" i="30"/>
  <c r="AU60" i="30"/>
  <c r="AU58" i="30"/>
  <c r="AU61" i="30"/>
  <c r="AU62" i="30"/>
  <c r="AU59" i="30"/>
  <c r="N52" i="30"/>
  <c r="N53" i="30"/>
  <c r="N55" i="30"/>
  <c r="N54" i="30"/>
  <c r="N51" i="30"/>
  <c r="AD66" i="30"/>
  <c r="AD67" i="30"/>
  <c r="AD69" i="30"/>
  <c r="AD68" i="30"/>
  <c r="AD65" i="30"/>
  <c r="E276" i="1"/>
  <c r="B310" i="1"/>
  <c r="AQ66" i="30"/>
  <c r="AQ68" i="30"/>
  <c r="AQ69" i="30"/>
  <c r="AQ67" i="30"/>
  <c r="AQ65" i="30"/>
  <c r="AT176" i="16"/>
  <c r="AH176" i="16"/>
  <c r="AB176" i="16"/>
  <c r="W11" i="2"/>
  <c r="D10" i="2"/>
  <c r="C10" i="2" s="1"/>
  <c r="Q173" i="16"/>
  <c r="T150" i="1"/>
  <c r="T30" i="1"/>
  <c r="V20" i="30" s="1"/>
  <c r="J146" i="15"/>
  <c r="C66" i="15" s="1"/>
  <c r="C97" i="15" s="1"/>
  <c r="AJ102" i="30"/>
  <c r="N59" i="30"/>
  <c r="N62" i="30"/>
  <c r="N60" i="30"/>
  <c r="N61" i="30"/>
  <c r="N58" i="30"/>
  <c r="V54" i="30"/>
  <c r="V55" i="30"/>
  <c r="V51" i="30"/>
  <c r="V52" i="30"/>
  <c r="V53" i="30"/>
  <c r="AM51" i="30"/>
  <c r="AM53" i="30"/>
  <c r="AM52" i="30"/>
  <c r="AM54" i="30"/>
  <c r="AM55" i="30"/>
  <c r="AU67" i="30"/>
  <c r="AU65" i="30"/>
  <c r="AU69" i="30"/>
  <c r="AU66" i="30"/>
  <c r="AU68" i="30"/>
  <c r="AO79" i="14" l="1"/>
  <c r="AC170" i="14"/>
  <c r="AC119" i="14"/>
  <c r="V111" i="14"/>
  <c r="H48" i="14"/>
  <c r="O170" i="14"/>
  <c r="D48" i="14"/>
  <c r="AB48" i="14"/>
  <c r="M323" i="1"/>
  <c r="M337" i="1" s="1"/>
  <c r="E36" i="15"/>
  <c r="P381" i="1"/>
  <c r="AB30" i="1"/>
  <c r="AD20" i="30" s="1"/>
  <c r="AN81" i="14"/>
  <c r="AO80" i="14"/>
  <c r="AH107" i="1"/>
  <c r="L182" i="1" s="1"/>
  <c r="J106" i="1"/>
  <c r="L151" i="1"/>
  <c r="L150" i="1" s="1"/>
  <c r="J98" i="1"/>
  <c r="H151" i="1"/>
  <c r="H30" i="1" s="1"/>
  <c r="J20" i="30" s="1"/>
  <c r="J114" i="1"/>
  <c r="J52" i="30"/>
  <c r="J53" i="30"/>
  <c r="J54" i="30"/>
  <c r="B120" i="29"/>
  <c r="G351" i="1"/>
  <c r="G366" i="1" s="1"/>
  <c r="G396" i="1" s="1"/>
  <c r="G337" i="1"/>
  <c r="AE351" i="1"/>
  <c r="AE366" i="1" s="1"/>
  <c r="AE381" i="1" s="1"/>
  <c r="AE337" i="1"/>
  <c r="M351" i="1"/>
  <c r="S351" i="1"/>
  <c r="S337" i="1"/>
  <c r="AK351" i="1"/>
  <c r="AK337" i="1"/>
  <c r="J12" i="30"/>
  <c r="C135" i="29"/>
  <c r="K135" i="29" s="1"/>
  <c r="Y303" i="1"/>
  <c r="Q218" i="1"/>
  <c r="P218" i="1" s="1"/>
  <c r="I124" i="26" s="1"/>
  <c r="I123" i="26" s="1"/>
  <c r="T218" i="1"/>
  <c r="I130" i="26" s="1"/>
  <c r="T206" i="1"/>
  <c r="I130" i="22" s="1"/>
  <c r="T194" i="1"/>
  <c r="I130" i="18" s="1"/>
  <c r="T215" i="1"/>
  <c r="I130" i="25" s="1"/>
  <c r="T224" i="1"/>
  <c r="I130" i="28" s="1"/>
  <c r="T221" i="1"/>
  <c r="I130" i="27" s="1"/>
  <c r="T209" i="1"/>
  <c r="I130" i="23" s="1"/>
  <c r="T197" i="1"/>
  <c r="I130" i="19" s="1"/>
  <c r="T203" i="1"/>
  <c r="I130" i="21" s="1"/>
  <c r="T212" i="1"/>
  <c r="I130" i="24" s="1"/>
  <c r="T200" i="1"/>
  <c r="I130" i="20" s="1"/>
  <c r="T191" i="1"/>
  <c r="I130" i="2" s="1"/>
  <c r="AF206" i="1"/>
  <c r="AE206" i="1" s="1"/>
  <c r="L124" i="22" s="1"/>
  <c r="AI224" i="1"/>
  <c r="L130" i="28" s="1"/>
  <c r="AI212" i="1"/>
  <c r="L130" i="24" s="1"/>
  <c r="AI200" i="1"/>
  <c r="L130" i="20" s="1"/>
  <c r="AI191" i="1"/>
  <c r="L130" i="2" s="1"/>
  <c r="AI221" i="1"/>
  <c r="L130" i="27" s="1"/>
  <c r="AI206" i="1"/>
  <c r="L130" i="22" s="1"/>
  <c r="AI194" i="1"/>
  <c r="L130" i="18" s="1"/>
  <c r="AI215" i="1"/>
  <c r="L130" i="25" s="1"/>
  <c r="AI203" i="1"/>
  <c r="L130" i="21" s="1"/>
  <c r="AI209" i="1"/>
  <c r="L130" i="23" s="1"/>
  <c r="AI197" i="1"/>
  <c r="L130" i="19" s="1"/>
  <c r="AI218" i="1"/>
  <c r="L130" i="26" s="1"/>
  <c r="AA192" i="1"/>
  <c r="Z192" i="1" s="1"/>
  <c r="AD221" i="1"/>
  <c r="K130" i="27" s="1"/>
  <c r="AD209" i="1"/>
  <c r="K130" i="23" s="1"/>
  <c r="AD197" i="1"/>
  <c r="K130" i="19" s="1"/>
  <c r="AD218" i="1"/>
  <c r="K130" i="26" s="1"/>
  <c r="AD206" i="1"/>
  <c r="K130" i="22" s="1"/>
  <c r="AD191" i="1"/>
  <c r="K130" i="2" s="1"/>
  <c r="AD203" i="1"/>
  <c r="K130" i="21" s="1"/>
  <c r="AD224" i="1"/>
  <c r="K130" i="28" s="1"/>
  <c r="AD212" i="1"/>
  <c r="K130" i="24" s="1"/>
  <c r="AD200" i="1"/>
  <c r="K130" i="20" s="1"/>
  <c r="AD194" i="1"/>
  <c r="K130" i="18" s="1"/>
  <c r="AD215" i="1"/>
  <c r="K130" i="25" s="1"/>
  <c r="U178" i="16"/>
  <c r="U180" i="16" s="1"/>
  <c r="AB323" i="1"/>
  <c r="AH99" i="1"/>
  <c r="Q223" i="1"/>
  <c r="P223" i="1" s="1"/>
  <c r="AF30" i="1"/>
  <c r="AH20" i="30" s="1"/>
  <c r="AL276" i="1"/>
  <c r="AL297" i="1" s="1"/>
  <c r="AH115" i="1"/>
  <c r="AA190" i="1"/>
  <c r="Z190" i="1" s="1"/>
  <c r="AA214" i="1"/>
  <c r="Z214" i="1" s="1"/>
  <c r="AF208" i="1"/>
  <c r="AE208" i="1" s="1"/>
  <c r="AF192" i="1"/>
  <c r="AE192" i="1" s="1"/>
  <c r="AA202" i="1"/>
  <c r="Z202" i="1" s="1"/>
  <c r="Q192" i="1"/>
  <c r="P192" i="1" s="1"/>
  <c r="AF200" i="1"/>
  <c r="AA217" i="1"/>
  <c r="Z217" i="1" s="1"/>
  <c r="AA215" i="1"/>
  <c r="Q196" i="1"/>
  <c r="P196" i="1" s="1"/>
  <c r="AF209" i="1"/>
  <c r="AA205" i="1"/>
  <c r="Z205" i="1" s="1"/>
  <c r="AA218" i="1"/>
  <c r="Q217" i="1"/>
  <c r="P217" i="1" s="1"/>
  <c r="AF202" i="1"/>
  <c r="AE202" i="1" s="1"/>
  <c r="AF223" i="1"/>
  <c r="AE223" i="1" s="1"/>
  <c r="D135" i="29"/>
  <c r="L135" i="29" s="1"/>
  <c r="N12" i="30"/>
  <c r="G189" i="22"/>
  <c r="G194" i="22" s="1"/>
  <c r="I194" i="22" s="1"/>
  <c r="W10" i="27"/>
  <c r="D10" i="27" s="1"/>
  <c r="C10" i="27" s="1"/>
  <c r="G191" i="22"/>
  <c r="I191" i="22" s="1"/>
  <c r="J181" i="14"/>
  <c r="Q181" i="14"/>
  <c r="G191" i="21"/>
  <c r="I191" i="21" s="1"/>
  <c r="G189" i="21"/>
  <c r="G192" i="21" s="1"/>
  <c r="I192" i="21" s="1"/>
  <c r="G189" i="28"/>
  <c r="G192" i="28" s="1"/>
  <c r="I192" i="28" s="1"/>
  <c r="AA198" i="1"/>
  <c r="Z198" i="1" s="1"/>
  <c r="AA195" i="1"/>
  <c r="Z195" i="1" s="1"/>
  <c r="AA221" i="1"/>
  <c r="Q193" i="1"/>
  <c r="P193" i="1" s="1"/>
  <c r="AV6" i="2"/>
  <c r="V255" i="1"/>
  <c r="G189" i="18"/>
  <c r="G194" i="18" s="1"/>
  <c r="I194" i="18" s="1"/>
  <c r="AA209" i="1"/>
  <c r="AA203" i="1"/>
  <c r="AA206" i="1"/>
  <c r="AA191" i="1"/>
  <c r="Q220" i="1"/>
  <c r="P220" i="1" s="1"/>
  <c r="Q194" i="1"/>
  <c r="V420" i="1"/>
  <c r="V323" i="1"/>
  <c r="AA197" i="1"/>
  <c r="AA199" i="1"/>
  <c r="Z199" i="1" s="1"/>
  <c r="AA220" i="1"/>
  <c r="Z220" i="1" s="1"/>
  <c r="AA196" i="1"/>
  <c r="Z196" i="1" s="1"/>
  <c r="AA212" i="1"/>
  <c r="AA223" i="1"/>
  <c r="Z223" i="1" s="1"/>
  <c r="D9" i="21"/>
  <c r="C9" i="21" s="1"/>
  <c r="Q195" i="1"/>
  <c r="P195" i="1" s="1"/>
  <c r="Q209" i="1"/>
  <c r="AH258" i="1"/>
  <c r="Q190" i="1"/>
  <c r="P190" i="1" s="1"/>
  <c r="Q225" i="1"/>
  <c r="P225" i="1" s="1"/>
  <c r="Q204" i="1"/>
  <c r="P204" i="1" s="1"/>
  <c r="Q222" i="1"/>
  <c r="P222" i="1" s="1"/>
  <c r="Q207" i="1"/>
  <c r="P207" i="1" s="1"/>
  <c r="Q213" i="1"/>
  <c r="P213" i="1" s="1"/>
  <c r="Q219" i="1"/>
  <c r="P219" i="1" s="1"/>
  <c r="Q201" i="1"/>
  <c r="P201" i="1" s="1"/>
  <c r="Q210" i="1"/>
  <c r="P210" i="1" s="1"/>
  <c r="Q216" i="1"/>
  <c r="P216" i="1" s="1"/>
  <c r="AA207" i="1"/>
  <c r="Z207" i="1" s="1"/>
  <c r="AA210" i="1"/>
  <c r="Z210" i="1" s="1"/>
  <c r="AA219" i="1"/>
  <c r="Z219" i="1" s="1"/>
  <c r="AA225" i="1"/>
  <c r="Z225" i="1" s="1"/>
  <c r="AA201" i="1"/>
  <c r="Z201" i="1" s="1"/>
  <c r="AA204" i="1"/>
  <c r="Z204" i="1" s="1"/>
  <c r="AA222" i="1"/>
  <c r="Z222" i="1" s="1"/>
  <c r="AA213" i="1"/>
  <c r="Z213" i="1" s="1"/>
  <c r="AA216" i="1"/>
  <c r="Z216" i="1" s="1"/>
  <c r="B286" i="1"/>
  <c r="B303" i="1" s="1"/>
  <c r="G303" i="1"/>
  <c r="AA211" i="1"/>
  <c r="Z211" i="1" s="1"/>
  <c r="AA193" i="1"/>
  <c r="Z193" i="1" s="1"/>
  <c r="AA208" i="1"/>
  <c r="Z208" i="1" s="1"/>
  <c r="AA194" i="1"/>
  <c r="AA200" i="1"/>
  <c r="AA224" i="1"/>
  <c r="G191" i="19"/>
  <c r="I191" i="19" s="1"/>
  <c r="Q208" i="1"/>
  <c r="P208" i="1" s="1"/>
  <c r="Q205" i="1"/>
  <c r="P205" i="1" s="1"/>
  <c r="Q206" i="1"/>
  <c r="Q191" i="1"/>
  <c r="AF191" i="1"/>
  <c r="AF216" i="1"/>
  <c r="AE216" i="1" s="1"/>
  <c r="AF201" i="1"/>
  <c r="AE201" i="1" s="1"/>
  <c r="AF207" i="1"/>
  <c r="AE207" i="1" s="1"/>
  <c r="AF210" i="1"/>
  <c r="AE210" i="1" s="1"/>
  <c r="AF204" i="1"/>
  <c r="AE204" i="1" s="1"/>
  <c r="AF222" i="1"/>
  <c r="AE222" i="1" s="1"/>
  <c r="AF225" i="1"/>
  <c r="AE225" i="1" s="1"/>
  <c r="AF213" i="1"/>
  <c r="AE213" i="1" s="1"/>
  <c r="AF219" i="1"/>
  <c r="AE219" i="1" s="1"/>
  <c r="E113" i="25"/>
  <c r="E113" i="18"/>
  <c r="X30" i="1"/>
  <c r="Z20" i="30" s="1"/>
  <c r="G255" i="1"/>
  <c r="E113" i="21"/>
  <c r="AV6" i="26"/>
  <c r="G189" i="23"/>
  <c r="I189" i="23" s="1"/>
  <c r="G189" i="19"/>
  <c r="G194" i="19" s="1"/>
  <c r="I194" i="19" s="1"/>
  <c r="C9" i="20"/>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G189" i="24"/>
  <c r="I189" i="24" s="1"/>
  <c r="G189" i="26"/>
  <c r="G192" i="26" s="1"/>
  <c r="I192" i="26" s="1"/>
  <c r="AV6" i="25"/>
  <c r="C22" i="15"/>
  <c r="C85" i="15" s="1"/>
  <c r="AV6" i="24"/>
  <c r="AV6" i="20"/>
  <c r="AV6" i="27"/>
  <c r="B119" i="29"/>
  <c r="AV6" i="22"/>
  <c r="AV6" i="28"/>
  <c r="AV6" i="18"/>
  <c r="CI178" i="14"/>
  <c r="AX6" i="22"/>
  <c r="AF211" i="1"/>
  <c r="AE211" i="1" s="1"/>
  <c r="AF212" i="1"/>
  <c r="AE212" i="1" s="1"/>
  <c r="AF203" i="1"/>
  <c r="AF224" i="1"/>
  <c r="D9" i="22"/>
  <c r="AF220" i="1"/>
  <c r="AE220" i="1" s="1"/>
  <c r="AF199" i="1"/>
  <c r="AE199" i="1" s="1"/>
  <c r="AF195" i="1"/>
  <c r="AE195" i="1" s="1"/>
  <c r="AF218" i="1"/>
  <c r="AF221" i="1"/>
  <c r="AW6" i="2"/>
  <c r="AW6" i="22"/>
  <c r="Q215" i="1"/>
  <c r="Q214" i="1"/>
  <c r="P214" i="1" s="1"/>
  <c r="Q202" i="1"/>
  <c r="P202" i="1" s="1"/>
  <c r="Q197" i="1"/>
  <c r="Q211" i="1"/>
  <c r="P211" i="1" s="1"/>
  <c r="Q199" i="1"/>
  <c r="P199" i="1" s="1"/>
  <c r="Q221" i="1"/>
  <c r="P221" i="1" s="1"/>
  <c r="Q224" i="1"/>
  <c r="Y258" i="1"/>
  <c r="AE252" i="1"/>
  <c r="AF217" i="1"/>
  <c r="AE217" i="1" s="1"/>
  <c r="AF198" i="1"/>
  <c r="AE198" i="1" s="1"/>
  <c r="AF190" i="1"/>
  <c r="AE190" i="1" s="1"/>
  <c r="I188" i="26"/>
  <c r="AF205" i="1"/>
  <c r="AE205" i="1" s="1"/>
  <c r="AF196" i="1"/>
  <c r="AE196" i="1" s="1"/>
  <c r="AF214" i="1"/>
  <c r="AE214" i="1" s="1"/>
  <c r="AF193" i="1"/>
  <c r="AE193" i="1" s="1"/>
  <c r="AF194" i="1"/>
  <c r="AF197" i="1"/>
  <c r="AF215" i="1"/>
  <c r="Q203" i="1"/>
  <c r="Q198" i="1"/>
  <c r="P198" i="1" s="1"/>
  <c r="Q200" i="1"/>
  <c r="Q212" i="1"/>
  <c r="S258" i="1"/>
  <c r="Z95" i="1"/>
  <c r="Z103" i="1"/>
  <c r="AX6" i="20"/>
  <c r="G189" i="2"/>
  <c r="G194" i="2" s="1"/>
  <c r="I194" i="2" s="1"/>
  <c r="AJ123" i="30" s="1"/>
  <c r="G189" i="25"/>
  <c r="G192" i="25" s="1"/>
  <c r="I192" i="25" s="1"/>
  <c r="C63" i="30"/>
  <c r="AW6" i="21"/>
  <c r="B181" i="14"/>
  <c r="AX6" i="26"/>
  <c r="AX6" i="18"/>
  <c r="AX6" i="28"/>
  <c r="G189" i="27"/>
  <c r="G194" i="27" s="1"/>
  <c r="I194" i="27" s="1"/>
  <c r="G189" i="20"/>
  <c r="I189" i="20" s="1"/>
  <c r="AX6" i="27"/>
  <c r="AX6" i="19"/>
  <c r="AK258" i="1"/>
  <c r="G252" i="1"/>
  <c r="Y310" i="1"/>
  <c r="P286" i="1"/>
  <c r="AX6" i="25"/>
  <c r="G191" i="28"/>
  <c r="I191" i="28" s="1"/>
  <c r="Z111" i="1"/>
  <c r="D9" i="26"/>
  <c r="C9" i="26" s="1"/>
  <c r="Y255" i="1"/>
  <c r="J258" i="1"/>
  <c r="G258" i="1"/>
  <c r="AE258" i="1"/>
  <c r="M258" i="1"/>
  <c r="P258" i="1"/>
  <c r="AB258" i="1"/>
  <c r="D258" i="1"/>
  <c r="V258" i="1"/>
  <c r="D255" i="1"/>
  <c r="K276" i="1"/>
  <c r="K297" i="1" s="1"/>
  <c r="P297" i="1"/>
  <c r="AH255" i="1"/>
  <c r="S255" i="1"/>
  <c r="Y252" i="1"/>
  <c r="V252" i="1"/>
  <c r="D9" i="19"/>
  <c r="C9" i="19" s="1"/>
  <c r="E113" i="24"/>
  <c r="P255" i="1"/>
  <c r="AK255" i="1"/>
  <c r="M255" i="1"/>
  <c r="E113" i="19"/>
  <c r="AH252" i="1"/>
  <c r="AW6" i="27"/>
  <c r="E113" i="27"/>
  <c r="AB255" i="1"/>
  <c r="E113" i="26"/>
  <c r="AW6" i="24"/>
  <c r="M252" i="1"/>
  <c r="J252" i="1"/>
  <c r="E113" i="2"/>
  <c r="J255" i="1"/>
  <c r="AE255" i="1"/>
  <c r="E113" i="22"/>
  <c r="E113" i="20"/>
  <c r="E113" i="23"/>
  <c r="E113" i="28"/>
  <c r="J420" i="1"/>
  <c r="J323" i="1"/>
  <c r="AL286" i="1"/>
  <c r="AL303" i="1" s="1"/>
  <c r="AQ303" i="1"/>
  <c r="AH420" i="1"/>
  <c r="AH323" i="1"/>
  <c r="AE8" i="2"/>
  <c r="S252" i="1"/>
  <c r="AB252" i="1"/>
  <c r="D252" i="1"/>
  <c r="AK252" i="1"/>
  <c r="P252" i="1"/>
  <c r="T276" i="1"/>
  <c r="T297" i="1" s="1"/>
  <c r="Y297" i="1"/>
  <c r="H114" i="15"/>
  <c r="C181" i="14"/>
  <c r="D181" i="14" s="1"/>
  <c r="I188" i="27"/>
  <c r="G191" i="27"/>
  <c r="I191" i="27" s="1"/>
  <c r="G191" i="2"/>
  <c r="I191" i="2" s="1"/>
  <c r="AJ114" i="30" s="1"/>
  <c r="D136" i="15"/>
  <c r="D133" i="15"/>
  <c r="D132" i="15"/>
  <c r="D124" i="15"/>
  <c r="D135" i="15"/>
  <c r="D134" i="15"/>
  <c r="D129" i="15"/>
  <c r="D128" i="15"/>
  <c r="D127" i="15"/>
  <c r="D126" i="15" s="1"/>
  <c r="D131" i="15"/>
  <c r="D130" i="15"/>
  <c r="D125" i="15"/>
  <c r="I188" i="23"/>
  <c r="G191" i="23"/>
  <c r="I191" i="23" s="1"/>
  <c r="D9" i="28"/>
  <c r="C9" i="28" s="1"/>
  <c r="I188" i="20"/>
  <c r="G191" i="20"/>
  <c r="I191" i="20" s="1"/>
  <c r="L181" i="14"/>
  <c r="I188" i="18"/>
  <c r="G191" i="18"/>
  <c r="I191" i="18" s="1"/>
  <c r="G191" i="25"/>
  <c r="I191" i="25" s="1"/>
  <c r="AC171" i="16"/>
  <c r="AC173" i="16" s="1"/>
  <c r="M178" i="16"/>
  <c r="M180" i="16" s="1"/>
  <c r="AI171" i="16"/>
  <c r="AI173" i="16" s="1"/>
  <c r="R177" i="16"/>
  <c r="R179" i="16" s="1"/>
  <c r="R180" i="16" s="1"/>
  <c r="AU171" i="16"/>
  <c r="AU173" i="16" s="1"/>
  <c r="V179" i="16"/>
  <c r="V180" i="16" s="1"/>
  <c r="BA171" i="16"/>
  <c r="BA173" i="16" s="1"/>
  <c r="AX171" i="16"/>
  <c r="AX173" i="16" s="1"/>
  <c r="AW179" i="16" s="1"/>
  <c r="AW180" i="16" s="1"/>
  <c r="E55" i="30"/>
  <c r="G297" i="1"/>
  <c r="B276" i="1"/>
  <c r="B297" i="1" s="1"/>
  <c r="D323" i="1"/>
  <c r="D420" i="1"/>
  <c r="AR171" i="16"/>
  <c r="AR173" i="16" s="1"/>
  <c r="E107" i="22"/>
  <c r="E107" i="25"/>
  <c r="E107" i="28"/>
  <c r="E107" i="18"/>
  <c r="E107" i="19"/>
  <c r="E107" i="20"/>
  <c r="E107" i="21"/>
  <c r="E107" i="23"/>
  <c r="E107" i="26"/>
  <c r="E107" i="27"/>
  <c r="E107" i="24"/>
  <c r="B421" i="1"/>
  <c r="E107" i="2"/>
  <c r="S176" i="16"/>
  <c r="S178" i="16" s="1"/>
  <c r="B422" i="1"/>
  <c r="E108" i="18"/>
  <c r="E108" i="19"/>
  <c r="E108" i="24"/>
  <c r="E108" i="27"/>
  <c r="E108" i="20"/>
  <c r="E108" i="22"/>
  <c r="E108" i="25"/>
  <c r="E108" i="28"/>
  <c r="E108" i="2"/>
  <c r="E108" i="26"/>
  <c r="E108" i="23"/>
  <c r="E108" i="21"/>
  <c r="N179" i="16"/>
  <c r="N180" i="16" s="1"/>
  <c r="T179" i="16"/>
  <c r="B429" i="1"/>
  <c r="E115" i="20"/>
  <c r="E115" i="22"/>
  <c r="E115" i="25"/>
  <c r="E115" i="28"/>
  <c r="E115" i="21"/>
  <c r="E115" i="23"/>
  <c r="E115" i="24"/>
  <c r="E115" i="26"/>
  <c r="E115" i="27"/>
  <c r="E115" i="18"/>
  <c r="E115" i="19"/>
  <c r="E115" i="2"/>
  <c r="G301" i="1"/>
  <c r="E111" i="24"/>
  <c r="E111" i="2"/>
  <c r="E111" i="27"/>
  <c r="E111" i="21"/>
  <c r="E111" i="19"/>
  <c r="E111" i="28"/>
  <c r="E111" i="20"/>
  <c r="B425" i="1"/>
  <c r="E111" i="18"/>
  <c r="E111" i="23"/>
  <c r="E111" i="25"/>
  <c r="E111" i="26"/>
  <c r="E111" i="22"/>
  <c r="C136" i="18"/>
  <c r="C149" i="18" s="1"/>
  <c r="E116" i="18"/>
  <c r="E116" i="19"/>
  <c r="B430" i="1"/>
  <c r="E116" i="20"/>
  <c r="E116" i="22"/>
  <c r="E116" i="25"/>
  <c r="E116" i="28"/>
  <c r="E116" i="21"/>
  <c r="E116" i="23"/>
  <c r="E116" i="24"/>
  <c r="E116" i="26"/>
  <c r="E116" i="27"/>
  <c r="E116" i="2"/>
  <c r="AP102" i="30"/>
  <c r="AP104" i="30"/>
  <c r="AP103" i="30"/>
  <c r="W11" i="28"/>
  <c r="O176" i="16"/>
  <c r="O178" i="16" s="1"/>
  <c r="AF171" i="16"/>
  <c r="Z173" i="16"/>
  <c r="W11" i="26"/>
  <c r="Q176" i="16"/>
  <c r="Q178" i="16" s="1"/>
  <c r="AL171" i="16"/>
  <c r="E297" i="1"/>
  <c r="E286" i="1"/>
  <c r="E303" i="1" s="1"/>
  <c r="L201" i="14"/>
  <c r="W11" i="19"/>
  <c r="W176" i="16"/>
  <c r="W178" i="16" s="1"/>
  <c r="BD171" i="16"/>
  <c r="B182" i="14"/>
  <c r="C182" i="14"/>
  <c r="D182" i="14" s="1"/>
  <c r="E183" i="14"/>
  <c r="Q182" i="14"/>
  <c r="H115" i="15"/>
  <c r="J182" i="14"/>
  <c r="AP106" i="30"/>
  <c r="AP107" i="30"/>
  <c r="AP105" i="30"/>
  <c r="W10" i="23"/>
  <c r="D9" i="23"/>
  <c r="C9" i="23" s="1"/>
  <c r="W10" i="25"/>
  <c r="D9" i="25"/>
  <c r="C9" i="25" s="1"/>
  <c r="P179" i="16"/>
  <c r="P180" i="16" s="1"/>
  <c r="W11" i="21"/>
  <c r="W11" i="18"/>
  <c r="D10" i="18"/>
  <c r="C10" i="18" s="1"/>
  <c r="E60" i="30"/>
  <c r="E59" i="30"/>
  <c r="E62" i="30"/>
  <c r="E58" i="30"/>
  <c r="E61" i="30"/>
  <c r="E66" i="30"/>
  <c r="E69" i="30"/>
  <c r="E65" i="30"/>
  <c r="E68" i="30"/>
  <c r="E67" i="30"/>
  <c r="W10" i="24"/>
  <c r="D9" i="24"/>
  <c r="C9" i="24" s="1"/>
  <c r="G190" i="2"/>
  <c r="I190" i="2" s="1"/>
  <c r="AJ111" i="30" s="1"/>
  <c r="G190" i="19"/>
  <c r="G190" i="22"/>
  <c r="I190" i="22" s="1"/>
  <c r="G190" i="21"/>
  <c r="G190" i="26"/>
  <c r="I190" i="26" s="1"/>
  <c r="C70" i="30"/>
  <c r="G190" i="23"/>
  <c r="I190" i="23" s="1"/>
  <c r="G190" i="28"/>
  <c r="I190" i="28" s="1"/>
  <c r="G190" i="20"/>
  <c r="I190" i="20" s="1"/>
  <c r="G190" i="25"/>
  <c r="I190" i="25" s="1"/>
  <c r="G190" i="18"/>
  <c r="I190" i="18" s="1"/>
  <c r="G190" i="24"/>
  <c r="I190" i="24" s="1"/>
  <c r="G190" i="27"/>
  <c r="I190" i="27" s="1"/>
  <c r="W12" i="2"/>
  <c r="D11" i="2"/>
  <c r="C11" i="2" s="1"/>
  <c r="E114" i="24"/>
  <c r="E114" i="27"/>
  <c r="E114" i="2"/>
  <c r="B428" i="1"/>
  <c r="E114" i="18"/>
  <c r="E114" i="19"/>
  <c r="E114" i="26"/>
  <c r="E114" i="20"/>
  <c r="E114" i="22"/>
  <c r="E114" i="23"/>
  <c r="E114" i="25"/>
  <c r="E114" i="28"/>
  <c r="E114" i="21"/>
  <c r="AO173" i="16"/>
  <c r="L48" i="14" l="1"/>
  <c r="G381" i="1"/>
  <c r="AN82" i="14"/>
  <c r="AO81" i="14"/>
  <c r="M181" i="1"/>
  <c r="C118" i="1"/>
  <c r="M182" i="1"/>
  <c r="Y182" i="1" s="1"/>
  <c r="I65" i="26"/>
  <c r="BC65" i="26" s="1"/>
  <c r="AE396" i="1"/>
  <c r="M366" i="1"/>
  <c r="M396" i="1" s="1"/>
  <c r="S366" i="1"/>
  <c r="S381" i="1" s="1"/>
  <c r="AK366" i="1"/>
  <c r="AK381" i="1" s="1"/>
  <c r="AH351" i="1"/>
  <c r="AH337" i="1"/>
  <c r="J351" i="1"/>
  <c r="J337" i="1"/>
  <c r="D351" i="1"/>
  <c r="D337" i="1"/>
  <c r="V351" i="1"/>
  <c r="V337" i="1"/>
  <c r="AB351" i="1"/>
  <c r="AB337" i="1"/>
  <c r="H150" i="1"/>
  <c r="AK151" i="1" s="1"/>
  <c r="AD45" i="1" s="1"/>
  <c r="I1" i="26"/>
  <c r="I125" i="26" s="1"/>
  <c r="BC5" i="26" s="1"/>
  <c r="L1" i="24"/>
  <c r="L125" i="24" s="1"/>
  <c r="BF5" i="24" s="1"/>
  <c r="I1" i="27"/>
  <c r="L1" i="22"/>
  <c r="L123" i="22"/>
  <c r="I120" i="26"/>
  <c r="P203" i="1"/>
  <c r="I124" i="21" s="1"/>
  <c r="I123" i="21" s="1"/>
  <c r="AE194" i="1"/>
  <c r="L124" i="18" s="1"/>
  <c r="AE203" i="1"/>
  <c r="L124" i="21" s="1"/>
  <c r="Z194" i="1"/>
  <c r="K1" i="18" s="1"/>
  <c r="Z221" i="1"/>
  <c r="K124" i="27" s="1"/>
  <c r="K123" i="27" s="1"/>
  <c r="P212" i="1"/>
  <c r="I124" i="24" s="1"/>
  <c r="I123" i="24" s="1"/>
  <c r="AE221" i="1"/>
  <c r="Z206" i="1"/>
  <c r="K124" i="22" s="1"/>
  <c r="K123" i="22" s="1"/>
  <c r="Z218" i="1"/>
  <c r="Z215" i="1"/>
  <c r="K124" i="25" s="1"/>
  <c r="K123" i="25" s="1"/>
  <c r="P200" i="1"/>
  <c r="AE215" i="1"/>
  <c r="L124" i="25" s="1"/>
  <c r="P215" i="1"/>
  <c r="I124" i="25" s="1"/>
  <c r="I123" i="25" s="1"/>
  <c r="AE218" i="1"/>
  <c r="L124" i="26" s="1"/>
  <c r="P206" i="1"/>
  <c r="I1" i="22" s="1"/>
  <c r="Z224" i="1"/>
  <c r="K124" i="28" s="1"/>
  <c r="P209" i="1"/>
  <c r="I124" i="23" s="1"/>
  <c r="I123" i="23" s="1"/>
  <c r="Z212" i="1"/>
  <c r="K124" i="24" s="1"/>
  <c r="Z197" i="1"/>
  <c r="K124" i="19" s="1"/>
  <c r="P194" i="1"/>
  <c r="I124" i="18" s="1"/>
  <c r="I123" i="18" s="1"/>
  <c r="Z203" i="1"/>
  <c r="K124" i="21" s="1"/>
  <c r="AE197" i="1"/>
  <c r="L124" i="19" s="1"/>
  <c r="P224" i="1"/>
  <c r="P197" i="1"/>
  <c r="I124" i="19" s="1"/>
  <c r="I123" i="19" s="1"/>
  <c r="AE224" i="1"/>
  <c r="L124" i="28" s="1"/>
  <c r="Z200" i="1"/>
  <c r="K124" i="20" s="1"/>
  <c r="Z209" i="1"/>
  <c r="K124" i="23" s="1"/>
  <c r="AE209" i="1"/>
  <c r="L1" i="23" s="1"/>
  <c r="AE200" i="1"/>
  <c r="L124" i="20" s="1"/>
  <c r="AE191" i="1"/>
  <c r="L124" i="2" s="1"/>
  <c r="L123" i="2" s="1"/>
  <c r="Z191" i="1"/>
  <c r="P191" i="1"/>
  <c r="L181" i="1"/>
  <c r="W11" i="27"/>
  <c r="W12" i="27" s="1"/>
  <c r="G192" i="22"/>
  <c r="I192" i="22" s="1"/>
  <c r="M183" i="1"/>
  <c r="L183" i="1"/>
  <c r="I189" i="22"/>
  <c r="L30" i="1"/>
  <c r="N20" i="30" s="1"/>
  <c r="I189" i="18"/>
  <c r="G194" i="28"/>
  <c r="I194" i="28" s="1"/>
  <c r="I189" i="28"/>
  <c r="G195" i="21"/>
  <c r="I195" i="21" s="1"/>
  <c r="I189" i="21"/>
  <c r="G194" i="26"/>
  <c r="I194" i="26" s="1"/>
  <c r="G192" i="23"/>
  <c r="I192" i="23" s="1"/>
  <c r="G194" i="21"/>
  <c r="I194" i="21" s="1"/>
  <c r="I189" i="27"/>
  <c r="G192" i="18"/>
  <c r="I192" i="18" s="1"/>
  <c r="G194" i="20"/>
  <c r="I194" i="20" s="1"/>
  <c r="G194" i="24"/>
  <c r="I194" i="24" s="1"/>
  <c r="D10" i="19"/>
  <c r="C10" i="19" s="1"/>
  <c r="G192" i="24"/>
  <c r="I192" i="24" s="1"/>
  <c r="D10" i="21"/>
  <c r="C10" i="21" s="1"/>
  <c r="G196" i="19"/>
  <c r="I196" i="19" s="1"/>
  <c r="G192" i="2"/>
  <c r="I192" i="2" s="1"/>
  <c r="AJ117" i="30" s="1"/>
  <c r="AP119" i="30" s="1"/>
  <c r="G194" i="23"/>
  <c r="I194" i="23" s="1"/>
  <c r="AV6" i="19"/>
  <c r="I189" i="19"/>
  <c r="I189" i="26"/>
  <c r="G192" i="19"/>
  <c r="I192" i="19" s="1"/>
  <c r="G194" i="25"/>
  <c r="I194" i="25" s="1"/>
  <c r="G192" i="27"/>
  <c r="I192" i="27" s="1"/>
  <c r="I189" i="25"/>
  <c r="AV6" i="23"/>
  <c r="AV6" i="21"/>
  <c r="AX6" i="24"/>
  <c r="AP114" i="30"/>
  <c r="AP116" i="30"/>
  <c r="L124" i="24"/>
  <c r="I189" i="2"/>
  <c r="AJ108" i="30" s="1"/>
  <c r="D10" i="22"/>
  <c r="D11" i="22" s="1"/>
  <c r="D12" i="22" s="1"/>
  <c r="D13" i="22" s="1"/>
  <c r="D14" i="22" s="1"/>
  <c r="D15" i="22" s="1"/>
  <c r="D16" i="22" s="1"/>
  <c r="D17" i="22" s="1"/>
  <c r="D18" i="22" s="1"/>
  <c r="D19" i="22" s="1"/>
  <c r="D20" i="22" s="1"/>
  <c r="D21" i="22" s="1"/>
  <c r="D22" i="22" s="1"/>
  <c r="D23" i="22" s="1"/>
  <c r="D24" i="22" s="1"/>
  <c r="D25" i="22" s="1"/>
  <c r="D26" i="22" s="1"/>
  <c r="D27" i="22" s="1"/>
  <c r="D28" i="22" s="1"/>
  <c r="D29" i="22" s="1"/>
  <c r="D30" i="22" s="1"/>
  <c r="D31" i="22" s="1"/>
  <c r="D32" i="22" s="1"/>
  <c r="D33" i="22" s="1"/>
  <c r="D34" i="22" s="1"/>
  <c r="D35" i="22" s="1"/>
  <c r="D36" i="22" s="1"/>
  <c r="D37" i="22" s="1"/>
  <c r="C9" i="22"/>
  <c r="AX6" i="21"/>
  <c r="I124" i="27"/>
  <c r="AX6" i="23"/>
  <c r="D10" i="26"/>
  <c r="C10" i="26" s="1"/>
  <c r="AD171" i="16"/>
  <c r="AD173" i="16" s="1"/>
  <c r="AD176" i="16" s="1"/>
  <c r="AD178" i="16" s="1"/>
  <c r="G192" i="20"/>
  <c r="I192" i="20" s="1"/>
  <c r="AX6" i="2"/>
  <c r="AP115" i="30"/>
  <c r="K286" i="1"/>
  <c r="K303" i="1" s="1"/>
  <c r="P303" i="1"/>
  <c r="Y420" i="1"/>
  <c r="Y323" i="1"/>
  <c r="D10" i="28"/>
  <c r="C10" i="28" s="1"/>
  <c r="AE9" i="2"/>
  <c r="D137" i="15"/>
  <c r="L115" i="15" s="1"/>
  <c r="AA171" i="16"/>
  <c r="AA173" i="16" s="1"/>
  <c r="AB178" i="16" s="1"/>
  <c r="AB180" i="16" s="1"/>
  <c r="AJ171" i="16"/>
  <c r="AJ173" i="16" s="1"/>
  <c r="AJ176" i="16" s="1"/>
  <c r="AJ178" i="16" s="1"/>
  <c r="L182" i="14"/>
  <c r="L183" i="14" s="1"/>
  <c r="L188" i="14"/>
  <c r="AV171" i="16"/>
  <c r="AV173" i="16" s="1"/>
  <c r="AV176" i="16" s="1"/>
  <c r="AV178" i="16" s="1"/>
  <c r="AY171" i="16"/>
  <c r="AY173" i="16" s="1"/>
  <c r="AY177" i="16" s="1"/>
  <c r="AY179" i="16" s="1"/>
  <c r="AS171" i="16"/>
  <c r="AS173" i="16" s="1"/>
  <c r="AS177" i="16" s="1"/>
  <c r="AS179" i="16" s="1"/>
  <c r="X179" i="16"/>
  <c r="X176" i="16" s="1"/>
  <c r="X178" i="16"/>
  <c r="X175" i="16" s="1"/>
  <c r="G196" i="25"/>
  <c r="I196" i="25" s="1"/>
  <c r="G193" i="25"/>
  <c r="I193" i="25" s="1"/>
  <c r="T180" i="16"/>
  <c r="G196" i="21"/>
  <c r="I196" i="21" s="1"/>
  <c r="AY6" i="26"/>
  <c r="AY6" i="25"/>
  <c r="AP171" i="16"/>
  <c r="AP173" i="16" s="1"/>
  <c r="AP176" i="16" s="1"/>
  <c r="AP178" i="16" s="1"/>
  <c r="G195" i="25"/>
  <c r="I195" i="25" s="1"/>
  <c r="G193" i="24"/>
  <c r="I193" i="24" s="1"/>
  <c r="AY6" i="18"/>
  <c r="AY6" i="19"/>
  <c r="AY6" i="20"/>
  <c r="G196" i="28"/>
  <c r="I196" i="28" s="1"/>
  <c r="AY6" i="2"/>
  <c r="AY6" i="27"/>
  <c r="AY6" i="28"/>
  <c r="Q180" i="16"/>
  <c r="O180" i="16"/>
  <c r="AY6" i="22"/>
  <c r="AY6" i="23"/>
  <c r="AY6" i="24"/>
  <c r="AY6" i="21"/>
  <c r="S180" i="16"/>
  <c r="W13" i="2"/>
  <c r="D12" i="2"/>
  <c r="C12" i="2" s="1"/>
  <c r="G195" i="20"/>
  <c r="I195" i="20" s="1"/>
  <c r="AP124" i="30"/>
  <c r="AP123" i="30"/>
  <c r="AP125" i="30"/>
  <c r="W12" i="18"/>
  <c r="D11" i="18"/>
  <c r="C11" i="18" s="1"/>
  <c r="W12" i="21"/>
  <c r="G193" i="26"/>
  <c r="I193" i="26" s="1"/>
  <c r="G193" i="2"/>
  <c r="I193" i="2" s="1"/>
  <c r="AJ120" i="30" s="1"/>
  <c r="B183" i="14"/>
  <c r="E184" i="14"/>
  <c r="C183" i="14"/>
  <c r="Q183" i="14"/>
  <c r="H116" i="15"/>
  <c r="J183" i="14"/>
  <c r="BE171" i="16"/>
  <c r="BE173" i="16" s="1"/>
  <c r="BD173" i="16"/>
  <c r="G195" i="18"/>
  <c r="I195" i="18" s="1"/>
  <c r="G195" i="23"/>
  <c r="I195" i="23" s="1"/>
  <c r="G195" i="22"/>
  <c r="I195" i="22" s="1"/>
  <c r="G195" i="2"/>
  <c r="I195" i="2" s="1"/>
  <c r="AJ126" i="30" s="1"/>
  <c r="AC177" i="16"/>
  <c r="I190" i="19"/>
  <c r="G195" i="19"/>
  <c r="I195" i="19" s="1"/>
  <c r="G193" i="20"/>
  <c r="I193" i="20" s="1"/>
  <c r="G195" i="27"/>
  <c r="I195" i="27" s="1"/>
  <c r="G196" i="27"/>
  <c r="I196" i="27" s="1"/>
  <c r="AI177" i="16"/>
  <c r="W11" i="24"/>
  <c r="D10" i="24"/>
  <c r="C10" i="24" s="1"/>
  <c r="W180" i="16"/>
  <c r="L208" i="14"/>
  <c r="AU177" i="16"/>
  <c r="G196" i="22"/>
  <c r="I196" i="22" s="1"/>
  <c r="G193" i="28"/>
  <c r="I193" i="28" s="1"/>
  <c r="AO177" i="16"/>
  <c r="AP112" i="30"/>
  <c r="AP111" i="30"/>
  <c r="AP113" i="30"/>
  <c r="G196" i="20"/>
  <c r="I196" i="20" s="1"/>
  <c r="G193" i="27"/>
  <c r="I193" i="27" s="1"/>
  <c r="G196" i="2"/>
  <c r="I196" i="2" s="1"/>
  <c r="AJ129" i="30" s="1"/>
  <c r="BA177" i="16"/>
  <c r="W11" i="25"/>
  <c r="D10" i="25"/>
  <c r="C10" i="25" s="1"/>
  <c r="W11" i="23"/>
  <c r="D10" i="23"/>
  <c r="C10" i="23" s="1"/>
  <c r="AE10" i="2"/>
  <c r="W12" i="19"/>
  <c r="G193" i="22"/>
  <c r="I193" i="22" s="1"/>
  <c r="AM171" i="16"/>
  <c r="AM173" i="16" s="1"/>
  <c r="AL173" i="16"/>
  <c r="G195" i="26"/>
  <c r="I195" i="26" s="1"/>
  <c r="G196" i="18"/>
  <c r="I196" i="18" s="1"/>
  <c r="G193" i="23"/>
  <c r="I193" i="23" s="1"/>
  <c r="Z176" i="16"/>
  <c r="Z178" i="16" s="1"/>
  <c r="W12" i="28"/>
  <c r="AX176" i="16"/>
  <c r="AX178" i="16" s="1"/>
  <c r="AR176" i="16"/>
  <c r="AR178" i="16" s="1"/>
  <c r="I190" i="21"/>
  <c r="G193" i="21"/>
  <c r="I193" i="21" s="1"/>
  <c r="BB171" i="16"/>
  <c r="BB173" i="16" s="1"/>
  <c r="AQ179" i="16"/>
  <c r="AQ180" i="16" s="1"/>
  <c r="G193" i="19"/>
  <c r="I193" i="19" s="1"/>
  <c r="W12" i="26"/>
  <c r="G193" i="18"/>
  <c r="I193" i="18" s="1"/>
  <c r="G196" i="23"/>
  <c r="I196" i="23" s="1"/>
  <c r="AG171" i="16"/>
  <c r="AG173" i="16" s="1"/>
  <c r="AF173" i="16"/>
  <c r="G196" i="26"/>
  <c r="I196" i="26" s="1"/>
  <c r="G195" i="24"/>
  <c r="I195" i="24" s="1"/>
  <c r="G196" i="24"/>
  <c r="I196" i="24" s="1"/>
  <c r="G195" i="28"/>
  <c r="I195" i="28" s="1"/>
  <c r="H31" i="1" l="1"/>
  <c r="H34" i="1" s="1"/>
  <c r="M381" i="1"/>
  <c r="BC64" i="26"/>
  <c r="BC63" i="26"/>
  <c r="AO82" i="14"/>
  <c r="AN83" i="14"/>
  <c r="U181" i="1"/>
  <c r="E99" i="23" s="1"/>
  <c r="R182" i="1"/>
  <c r="E100" i="20" s="1"/>
  <c r="H104" i="20" s="1"/>
  <c r="S182" i="1"/>
  <c r="E100" i="21" s="1"/>
  <c r="Z182" i="1"/>
  <c r="E100" i="28" s="1"/>
  <c r="H99" i="28" s="1"/>
  <c r="W182" i="1"/>
  <c r="E100" i="25" s="1"/>
  <c r="H100" i="25" s="1"/>
  <c r="P182" i="1"/>
  <c r="E100" i="18" s="1"/>
  <c r="H104" i="18" s="1"/>
  <c r="U182" i="1"/>
  <c r="E100" i="23" s="1"/>
  <c r="T182" i="1"/>
  <c r="E100" i="22" s="1"/>
  <c r="H101" i="22" s="1"/>
  <c r="V182" i="1"/>
  <c r="AZ212" i="1" s="1"/>
  <c r="AR212" i="1" s="1"/>
  <c r="Q182" i="1"/>
  <c r="E100" i="19" s="1"/>
  <c r="H101" i="19" s="1"/>
  <c r="O182" i="1"/>
  <c r="AZ191" i="1" s="1"/>
  <c r="AR191" i="1" s="1"/>
  <c r="X182" i="1"/>
  <c r="AZ218" i="1" s="1"/>
  <c r="AR218" i="1" s="1"/>
  <c r="I65" i="23"/>
  <c r="BC65" i="23" s="1"/>
  <c r="K65" i="27"/>
  <c r="BE65" i="27" s="1"/>
  <c r="I65" i="19"/>
  <c r="BC65" i="19" s="1"/>
  <c r="L65" i="2"/>
  <c r="BF65" i="2" s="1"/>
  <c r="K65" i="25"/>
  <c r="BE65" i="25" s="1"/>
  <c r="I65" i="24"/>
  <c r="BC65" i="24" s="1"/>
  <c r="I65" i="25"/>
  <c r="BC65" i="25" s="1"/>
  <c r="I65" i="21"/>
  <c r="BC65" i="21" s="1"/>
  <c r="I65" i="18"/>
  <c r="BC65" i="18" s="1"/>
  <c r="K65" i="22"/>
  <c r="BE65" i="22" s="1"/>
  <c r="L65" i="22"/>
  <c r="BF65" i="22" s="1"/>
  <c r="S396" i="1"/>
  <c r="AK396" i="1"/>
  <c r="I74" i="26"/>
  <c r="I68" i="26"/>
  <c r="V366" i="1"/>
  <c r="V381" i="1" s="1"/>
  <c r="J366" i="1"/>
  <c r="J396" i="1" s="1"/>
  <c r="AB366" i="1"/>
  <c r="AB381" i="1" s="1"/>
  <c r="D366" i="1"/>
  <c r="D381" i="1" s="1"/>
  <c r="AH366" i="1"/>
  <c r="AH381" i="1" s="1"/>
  <c r="K121" i="18"/>
  <c r="K125" i="18"/>
  <c r="BE5" i="18" s="1"/>
  <c r="L121" i="22"/>
  <c r="L125" i="22"/>
  <c r="BF5" i="22" s="1"/>
  <c r="I121" i="22"/>
  <c r="I125" i="22"/>
  <c r="BC5" i="22" s="1"/>
  <c r="I121" i="27"/>
  <c r="I125" i="27"/>
  <c r="BC5" i="27" s="1"/>
  <c r="L121" i="23"/>
  <c r="L125" i="23"/>
  <c r="BF5" i="23" s="1"/>
  <c r="Y351" i="1"/>
  <c r="Y337" i="1"/>
  <c r="L121" i="24"/>
  <c r="I126" i="26"/>
  <c r="BC6" i="26" s="1"/>
  <c r="I121" i="26"/>
  <c r="AZ197" i="1"/>
  <c r="AR197" i="1" s="1"/>
  <c r="AZ200" i="1"/>
  <c r="AR200" i="1" s="1"/>
  <c r="BB203" i="1"/>
  <c r="AT203" i="1" s="1"/>
  <c r="Y203" i="1" s="1"/>
  <c r="J130" i="21" s="1"/>
  <c r="AZ203" i="1"/>
  <c r="AR203" i="1" s="1"/>
  <c r="BB224" i="1"/>
  <c r="AT224" i="1" s="1"/>
  <c r="Y224" i="1" s="1"/>
  <c r="J130" i="28" s="1"/>
  <c r="AZ224" i="1"/>
  <c r="AR224" i="1" s="1"/>
  <c r="E100" i="27"/>
  <c r="H100" i="27" s="1"/>
  <c r="AZ221" i="1"/>
  <c r="AR221" i="1" s="1"/>
  <c r="AZ194" i="1"/>
  <c r="AR194" i="1" s="1"/>
  <c r="BB209" i="1"/>
  <c r="AT209" i="1" s="1"/>
  <c r="Y209" i="1" s="1"/>
  <c r="J130" i="23" s="1"/>
  <c r="K1" i="19"/>
  <c r="I1" i="25"/>
  <c r="I125" i="25" s="1"/>
  <c r="BC5" i="25" s="1"/>
  <c r="K1" i="23"/>
  <c r="K125" i="23" s="1"/>
  <c r="BE5" i="23" s="1"/>
  <c r="L1" i="18"/>
  <c r="L125" i="18" s="1"/>
  <c r="BF5" i="18" s="1"/>
  <c r="K1" i="20"/>
  <c r="K125" i="20" s="1"/>
  <c r="BE5" i="20" s="1"/>
  <c r="I1" i="21"/>
  <c r="I125" i="21" s="1"/>
  <c r="BC5" i="21" s="1"/>
  <c r="I1" i="19"/>
  <c r="I125" i="19" s="1"/>
  <c r="BC5" i="19" s="1"/>
  <c r="L1" i="19"/>
  <c r="L125" i="19" s="1"/>
  <c r="BF5" i="19" s="1"/>
  <c r="I1" i="18"/>
  <c r="I125" i="18" s="1"/>
  <c r="BC5" i="18" s="1"/>
  <c r="L1" i="25"/>
  <c r="L125" i="25" s="1"/>
  <c r="BF5" i="25" s="1"/>
  <c r="K1" i="28"/>
  <c r="L1" i="26"/>
  <c r="L125" i="26" s="1"/>
  <c r="BF5" i="26" s="1"/>
  <c r="K1" i="27"/>
  <c r="K125" i="27" s="1"/>
  <c r="BE5" i="27" s="1"/>
  <c r="I1" i="28"/>
  <c r="I125" i="28" s="1"/>
  <c r="BC5" i="28" s="1"/>
  <c r="K1" i="26"/>
  <c r="K125" i="26" s="1"/>
  <c r="BE5" i="26" s="1"/>
  <c r="L1" i="27"/>
  <c r="L125" i="27" s="1"/>
  <c r="BF5" i="27" s="1"/>
  <c r="K1" i="2"/>
  <c r="K125" i="2" s="1"/>
  <c r="BE5" i="2" s="1"/>
  <c r="I1" i="2"/>
  <c r="I125" i="2" s="1"/>
  <c r="BC5" i="2" s="1"/>
  <c r="I1" i="24"/>
  <c r="I125" i="24" s="1"/>
  <c r="BC5" i="24" s="1"/>
  <c r="K1" i="22"/>
  <c r="K125" i="22" s="1"/>
  <c r="BE5" i="22" s="1"/>
  <c r="K126" i="18"/>
  <c r="BE6" i="18" s="1"/>
  <c r="K1" i="21"/>
  <c r="K125" i="21" s="1"/>
  <c r="BE5" i="21" s="1"/>
  <c r="L1" i="20"/>
  <c r="L125" i="20" s="1"/>
  <c r="BF5" i="20" s="1"/>
  <c r="K1" i="25"/>
  <c r="K125" i="25" s="1"/>
  <c r="BE5" i="25" s="1"/>
  <c r="I1" i="23"/>
  <c r="I125" i="23" s="1"/>
  <c r="BC5" i="23" s="1"/>
  <c r="L1" i="21"/>
  <c r="L125" i="21" s="1"/>
  <c r="BF5" i="21" s="1"/>
  <c r="K1" i="24"/>
  <c r="L1" i="2"/>
  <c r="L126" i="2" s="1"/>
  <c r="BF6" i="2" s="1"/>
  <c r="L1" i="28"/>
  <c r="L125" i="28" s="1"/>
  <c r="BF5" i="28" s="1"/>
  <c r="I1" i="20"/>
  <c r="I125" i="20" s="1"/>
  <c r="BC5" i="20" s="1"/>
  <c r="BB197" i="1"/>
  <c r="AT197" i="1" s="1"/>
  <c r="Y197" i="1" s="1"/>
  <c r="J130" i="19" s="1"/>
  <c r="BB200" i="1"/>
  <c r="AT200" i="1" s="1"/>
  <c r="Y200" i="1" s="1"/>
  <c r="J130" i="20" s="1"/>
  <c r="BB212" i="1"/>
  <c r="AT212" i="1" s="1"/>
  <c r="Y212" i="1" s="1"/>
  <c r="J130" i="24" s="1"/>
  <c r="BB206" i="1"/>
  <c r="AT206" i="1" s="1"/>
  <c r="Y206" i="1" s="1"/>
  <c r="J130" i="22" s="1"/>
  <c r="BB221" i="1"/>
  <c r="AT221" i="1" s="1"/>
  <c r="Y221" i="1" s="1"/>
  <c r="J130" i="27" s="1"/>
  <c r="D143" i="1"/>
  <c r="C112" i="15" s="1"/>
  <c r="BB191" i="1"/>
  <c r="AT191" i="1" s="1"/>
  <c r="Y191" i="1" s="1"/>
  <c r="J130" i="2" s="1"/>
  <c r="BB218" i="1"/>
  <c r="AT218" i="1" s="1"/>
  <c r="Y218" i="1" s="1"/>
  <c r="J130" i="26" s="1"/>
  <c r="BB215" i="1"/>
  <c r="AT215" i="1" s="1"/>
  <c r="Y215" i="1" s="1"/>
  <c r="J130" i="25" s="1"/>
  <c r="BB194" i="1"/>
  <c r="AT194" i="1" s="1"/>
  <c r="Y194" i="1" s="1"/>
  <c r="J130" i="18" s="1"/>
  <c r="L120" i="22"/>
  <c r="AB31" i="1"/>
  <c r="B38" i="1"/>
  <c r="C22" i="1"/>
  <c r="AJ45" i="1"/>
  <c r="T31" i="1"/>
  <c r="T34" i="1" s="1"/>
  <c r="L31" i="1"/>
  <c r="L34" i="1" s="1"/>
  <c r="D29" i="1"/>
  <c r="AF31" i="1"/>
  <c r="AF34" i="1" s="1"/>
  <c r="X31" i="1"/>
  <c r="X34" i="1" s="1"/>
  <c r="G7" i="30"/>
  <c r="P31" i="1"/>
  <c r="L123" i="25"/>
  <c r="I123" i="27"/>
  <c r="L123" i="28"/>
  <c r="K123" i="19"/>
  <c r="L123" i="24"/>
  <c r="K123" i="23"/>
  <c r="K123" i="21"/>
  <c r="L123" i="18"/>
  <c r="K123" i="20"/>
  <c r="L123" i="19"/>
  <c r="K123" i="28"/>
  <c r="L123" i="20"/>
  <c r="K123" i="24"/>
  <c r="L123" i="26"/>
  <c r="L123" i="21"/>
  <c r="L120" i="2"/>
  <c r="I120" i="19"/>
  <c r="K120" i="25"/>
  <c r="K120" i="22"/>
  <c r="I120" i="23"/>
  <c r="I120" i="25"/>
  <c r="I120" i="18"/>
  <c r="I120" i="24"/>
  <c r="K120" i="27"/>
  <c r="I120" i="21"/>
  <c r="L124" i="23"/>
  <c r="L123" i="23" s="1"/>
  <c r="I124" i="28"/>
  <c r="I123" i="28" s="1"/>
  <c r="I124" i="22"/>
  <c r="I123" i="22" s="1"/>
  <c r="I124" i="20"/>
  <c r="I123" i="20" s="1"/>
  <c r="K124" i="26"/>
  <c r="K123" i="26" s="1"/>
  <c r="L124" i="27"/>
  <c r="K124" i="18"/>
  <c r="K123" i="18" s="1"/>
  <c r="I124" i="2"/>
  <c r="I123" i="2" s="1"/>
  <c r="K124" i="2"/>
  <c r="K123" i="2" s="1"/>
  <c r="D11" i="27"/>
  <c r="C11" i="27" s="1"/>
  <c r="R181" i="1"/>
  <c r="Z181" i="1"/>
  <c r="V181" i="1"/>
  <c r="P181" i="1"/>
  <c r="S181" i="1"/>
  <c r="X181" i="1"/>
  <c r="W181" i="1"/>
  <c r="Q181" i="1"/>
  <c r="O181" i="1"/>
  <c r="T181" i="1"/>
  <c r="Y181" i="1"/>
  <c r="V183" i="1"/>
  <c r="AY213" i="1" s="1"/>
  <c r="AQ213" i="1" s="1"/>
  <c r="Y183" i="1"/>
  <c r="AY222" i="1" s="1"/>
  <c r="AQ222" i="1" s="1"/>
  <c r="P183" i="1"/>
  <c r="AY195" i="1" s="1"/>
  <c r="AQ195" i="1" s="1"/>
  <c r="R183" i="1"/>
  <c r="AY201" i="1" s="1"/>
  <c r="AQ201" i="1" s="1"/>
  <c r="Z183" i="1"/>
  <c r="AY225" i="1" s="1"/>
  <c r="AQ225" i="1" s="1"/>
  <c r="Q183" i="1"/>
  <c r="AY198" i="1" s="1"/>
  <c r="AQ198" i="1" s="1"/>
  <c r="T183" i="1"/>
  <c r="AY207" i="1" s="1"/>
  <c r="AQ207" i="1" s="1"/>
  <c r="W183" i="1"/>
  <c r="AY216" i="1" s="1"/>
  <c r="AQ216" i="1" s="1"/>
  <c r="O183" i="1"/>
  <c r="AY192" i="1" s="1"/>
  <c r="AQ192" i="1" s="1"/>
  <c r="U183" i="1"/>
  <c r="AY210" i="1" s="1"/>
  <c r="AQ210" i="1" s="1"/>
  <c r="X183" i="1"/>
  <c r="AY219" i="1" s="1"/>
  <c r="AQ219" i="1" s="1"/>
  <c r="S183" i="1"/>
  <c r="AY204" i="1" s="1"/>
  <c r="AQ204" i="1" s="1"/>
  <c r="L126" i="23"/>
  <c r="BF6" i="23" s="1"/>
  <c r="E292" i="1"/>
  <c r="BJ282" i="1" s="1"/>
  <c r="AF289" i="1"/>
  <c r="BG285" i="1" s="1"/>
  <c r="V224" i="1"/>
  <c r="V223" i="1"/>
  <c r="U223" i="1" s="1"/>
  <c r="V225" i="1"/>
  <c r="U225" i="1" s="1"/>
  <c r="V210" i="1"/>
  <c r="U210" i="1" s="1"/>
  <c r="V209" i="1"/>
  <c r="V208" i="1"/>
  <c r="U208" i="1" s="1"/>
  <c r="V204" i="1"/>
  <c r="U204" i="1" s="1"/>
  <c r="V202" i="1"/>
  <c r="U202" i="1" s="1"/>
  <c r="V203" i="1"/>
  <c r="AP117" i="30"/>
  <c r="D11" i="21"/>
  <c r="C11" i="21" s="1"/>
  <c r="D11" i="19"/>
  <c r="C11" i="19" s="1"/>
  <c r="N281" i="1"/>
  <c r="BI277" i="1" s="1"/>
  <c r="I126" i="22"/>
  <c r="BC6" i="22" s="1"/>
  <c r="AX279" i="1"/>
  <c r="BG281" i="1" s="1"/>
  <c r="AX282" i="1"/>
  <c r="BJ281" i="1" s="1"/>
  <c r="AP118" i="30"/>
  <c r="N292" i="1"/>
  <c r="BJ283" i="1" s="1"/>
  <c r="I126" i="27"/>
  <c r="BC6" i="27" s="1"/>
  <c r="L126" i="22"/>
  <c r="BF6" i="22" s="1"/>
  <c r="AO289" i="1"/>
  <c r="BG286" i="1" s="1"/>
  <c r="L126" i="24"/>
  <c r="BF6" i="24" s="1"/>
  <c r="C10" i="22"/>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D11" i="26"/>
  <c r="C11" i="26" s="1"/>
  <c r="AA177" i="16"/>
  <c r="AA179" i="16" s="1"/>
  <c r="AC179" i="16"/>
  <c r="AC180" i="16" s="1"/>
  <c r="D11" i="28"/>
  <c r="C11" i="28" s="1"/>
  <c r="AT178" i="16"/>
  <c r="AT180" i="16" s="1"/>
  <c r="L195" i="14"/>
  <c r="AU179" i="16"/>
  <c r="AU180" i="16" s="1"/>
  <c r="AI179" i="16"/>
  <c r="AI180" i="16" s="1"/>
  <c r="L189" i="14"/>
  <c r="L196" i="14" s="1"/>
  <c r="C162" i="25"/>
  <c r="C162" i="28"/>
  <c r="AZ178" i="16"/>
  <c r="AZ180" i="16" s="1"/>
  <c r="Z180" i="16"/>
  <c r="C162" i="26"/>
  <c r="C162" i="24"/>
  <c r="X180" i="16"/>
  <c r="X177" i="16" s="1"/>
  <c r="W182" i="16" s="1"/>
  <c r="X182" i="16" s="1"/>
  <c r="AJ180" i="16"/>
  <c r="C162" i="27"/>
  <c r="C162" i="23"/>
  <c r="DB174" i="16"/>
  <c r="CS174" i="16"/>
  <c r="C162" i="18"/>
  <c r="AO179" i="16"/>
  <c r="AO180" i="16" s="1"/>
  <c r="C162" i="22"/>
  <c r="C162" i="20"/>
  <c r="W13" i="26"/>
  <c r="BB176" i="16"/>
  <c r="BB178" i="16" s="1"/>
  <c r="AL176" i="16"/>
  <c r="AL178" i="16" s="1"/>
  <c r="AK179" i="16"/>
  <c r="AK180" i="16" s="1"/>
  <c r="W13" i="19"/>
  <c r="AP130" i="30"/>
  <c r="AP129" i="30"/>
  <c r="AP131" i="30"/>
  <c r="D183" i="14"/>
  <c r="AP121" i="30"/>
  <c r="AP122" i="30"/>
  <c r="AP120" i="30"/>
  <c r="W13" i="28"/>
  <c r="DA174" i="16"/>
  <c r="AM177" i="16"/>
  <c r="AM179" i="16" s="1"/>
  <c r="AN178" i="16"/>
  <c r="AN180" i="16" s="1"/>
  <c r="W12" i="25"/>
  <c r="D11" i="25"/>
  <c r="C11" i="25" s="1"/>
  <c r="C162" i="19"/>
  <c r="W14" i="2"/>
  <c r="D13" i="2"/>
  <c r="C13" i="2" s="1"/>
  <c r="W13" i="27"/>
  <c r="AX180" i="16"/>
  <c r="AP180" i="16"/>
  <c r="CW174" i="16"/>
  <c r="AD180" i="16"/>
  <c r="CX174" i="16"/>
  <c r="CY174" i="16"/>
  <c r="BD176" i="16"/>
  <c r="BD178" i="16" s="1"/>
  <c r="BC179" i="16"/>
  <c r="BC180" i="16" s="1"/>
  <c r="AS180" i="16"/>
  <c r="CU174" i="16"/>
  <c r="CS175" i="16"/>
  <c r="CS176" i="16" s="1"/>
  <c r="CS179" i="16" s="1"/>
  <c r="L215" i="14"/>
  <c r="DB175" i="16"/>
  <c r="DB176" i="16" s="1"/>
  <c r="DB179" i="16" s="1"/>
  <c r="BE177" i="16"/>
  <c r="BE179" i="16" s="1"/>
  <c r="BF178" i="16"/>
  <c r="BF180" i="16" s="1"/>
  <c r="W13" i="21"/>
  <c r="AF176" i="16"/>
  <c r="AF178" i="16" s="1"/>
  <c r="AE179" i="16"/>
  <c r="AE180" i="16" s="1"/>
  <c r="CV174" i="16"/>
  <c r="C162" i="2"/>
  <c r="AP127" i="30"/>
  <c r="AP128" i="30"/>
  <c r="AP126" i="30"/>
  <c r="B184" i="14"/>
  <c r="E185" i="14"/>
  <c r="C184" i="14"/>
  <c r="D184" i="14" s="1"/>
  <c r="Q184" i="14"/>
  <c r="L184" i="14"/>
  <c r="H117" i="15"/>
  <c r="J184" i="14"/>
  <c r="W13" i="18"/>
  <c r="D12" i="18"/>
  <c r="C12" i="18" s="1"/>
  <c r="AG177" i="16"/>
  <c r="AG179" i="16" s="1"/>
  <c r="AH178" i="16"/>
  <c r="AH180" i="16" s="1"/>
  <c r="AP110" i="30"/>
  <c r="AP108" i="30"/>
  <c r="AP109" i="30"/>
  <c r="C162" i="21"/>
  <c r="AE11" i="2"/>
  <c r="AR180" i="16"/>
  <c r="AV180" i="16"/>
  <c r="W12" i="23"/>
  <c r="D11" i="23"/>
  <c r="C11" i="23" s="1"/>
  <c r="BA179" i="16"/>
  <c r="BA180" i="16" s="1"/>
  <c r="CT174" i="16"/>
  <c r="W12" i="24"/>
  <c r="D11" i="24"/>
  <c r="C11" i="24" s="1"/>
  <c r="CZ174" i="16"/>
  <c r="L190" i="14"/>
  <c r="AY180" i="16"/>
  <c r="H33" i="1" l="1"/>
  <c r="H35" i="1" s="1"/>
  <c r="J19" i="30" s="1"/>
  <c r="AY208" i="1"/>
  <c r="AQ208" i="1" s="1"/>
  <c r="G210" i="1" s="1"/>
  <c r="F210" i="1" s="1"/>
  <c r="E100" i="24"/>
  <c r="H100" i="24" s="1"/>
  <c r="D396" i="1"/>
  <c r="BF64" i="2"/>
  <c r="BF63" i="2"/>
  <c r="BC64" i="18"/>
  <c r="BC63" i="18"/>
  <c r="BF64" i="22"/>
  <c r="BF63" i="22"/>
  <c r="BC64" i="25"/>
  <c r="BC63" i="25"/>
  <c r="BE64" i="22"/>
  <c r="BE63" i="22"/>
  <c r="BE64" i="27"/>
  <c r="BE63" i="27"/>
  <c r="BE64" i="25"/>
  <c r="BE63" i="25"/>
  <c r="BC64" i="21"/>
  <c r="BC63" i="21"/>
  <c r="BC64" i="24"/>
  <c r="BC63" i="24"/>
  <c r="BC64" i="19"/>
  <c r="BC63" i="19"/>
  <c r="BC64" i="23"/>
  <c r="BC63" i="23"/>
  <c r="AN84" i="14"/>
  <c r="AO83" i="14"/>
  <c r="AZ209" i="1"/>
  <c r="AR209" i="1" s="1"/>
  <c r="E100" i="2"/>
  <c r="H99" i="2" s="1"/>
  <c r="AZ206" i="1"/>
  <c r="AR206" i="1" s="1"/>
  <c r="L207" i="1" s="1"/>
  <c r="K207" i="1" s="1"/>
  <c r="E100" i="26"/>
  <c r="H104" i="26" s="1"/>
  <c r="AZ215" i="1"/>
  <c r="AR215" i="1" s="1"/>
  <c r="O215" i="1" s="1"/>
  <c r="H130" i="25" s="1"/>
  <c r="K65" i="18"/>
  <c r="BE65" i="18" s="1"/>
  <c r="I65" i="28"/>
  <c r="BC65" i="28" s="1"/>
  <c r="I65" i="2"/>
  <c r="BC65" i="2" s="1"/>
  <c r="I65" i="20"/>
  <c r="BC65" i="20" s="1"/>
  <c r="K65" i="24"/>
  <c r="BE65" i="24" s="1"/>
  <c r="K65" i="20"/>
  <c r="BE65" i="20" s="1"/>
  <c r="L65" i="24"/>
  <c r="BF65" i="24" s="1"/>
  <c r="L65" i="25"/>
  <c r="BF65" i="25" s="1"/>
  <c r="I65" i="22"/>
  <c r="BC65" i="22" s="1"/>
  <c r="L65" i="20"/>
  <c r="BF65" i="20" s="1"/>
  <c r="L65" i="18"/>
  <c r="BF65" i="18" s="1"/>
  <c r="K65" i="19"/>
  <c r="BE65" i="19" s="1"/>
  <c r="L65" i="21"/>
  <c r="BF65" i="21" s="1"/>
  <c r="K65" i="28"/>
  <c r="BE65" i="28" s="1"/>
  <c r="K65" i="21"/>
  <c r="BE65" i="21" s="1"/>
  <c r="L65" i="28"/>
  <c r="BF65" i="28" s="1"/>
  <c r="K65" i="2"/>
  <c r="BE65" i="2" s="1"/>
  <c r="K65" i="26"/>
  <c r="BE65" i="26" s="1"/>
  <c r="L65" i="23"/>
  <c r="BF65" i="23" s="1"/>
  <c r="L65" i="26"/>
  <c r="BF65" i="26" s="1"/>
  <c r="L65" i="19"/>
  <c r="BF65" i="19" s="1"/>
  <c r="K65" i="23"/>
  <c r="BE65" i="23" s="1"/>
  <c r="I65" i="27"/>
  <c r="BC65" i="27" s="1"/>
  <c r="K74" i="22"/>
  <c r="K68" i="22"/>
  <c r="L74" i="22"/>
  <c r="L68" i="22"/>
  <c r="I74" i="18"/>
  <c r="I68" i="18"/>
  <c r="K74" i="25"/>
  <c r="K68" i="25"/>
  <c r="I74" i="21"/>
  <c r="I68" i="21"/>
  <c r="I74" i="25"/>
  <c r="I68" i="25"/>
  <c r="I74" i="19"/>
  <c r="I68" i="19"/>
  <c r="I74" i="24"/>
  <c r="I68" i="24"/>
  <c r="K74" i="27"/>
  <c r="K68" i="27"/>
  <c r="I74" i="23"/>
  <c r="I68" i="23"/>
  <c r="L74" i="2"/>
  <c r="L68" i="2"/>
  <c r="Y366" i="1"/>
  <c r="Y396" i="1" s="1"/>
  <c r="AH396" i="1"/>
  <c r="J381" i="1"/>
  <c r="AB396" i="1"/>
  <c r="V396" i="1"/>
  <c r="H98" i="20"/>
  <c r="H102" i="20" s="1"/>
  <c r="H100" i="18"/>
  <c r="H99" i="27"/>
  <c r="H101" i="20"/>
  <c r="H101" i="27"/>
  <c r="H98" i="18"/>
  <c r="H102" i="18" s="1"/>
  <c r="K121" i="24"/>
  <c r="K125" i="24"/>
  <c r="BE5" i="24" s="1"/>
  <c r="K121" i="28"/>
  <c r="K125" i="28"/>
  <c r="BE5" i="28" s="1"/>
  <c r="K121" i="19"/>
  <c r="K125" i="19"/>
  <c r="BE5" i="19" s="1"/>
  <c r="L121" i="2"/>
  <c r="L125" i="2"/>
  <c r="BF5" i="2" s="1"/>
  <c r="H100" i="20"/>
  <c r="H99" i="22"/>
  <c r="H100" i="22"/>
  <c r="H101" i="25"/>
  <c r="AX292" i="1"/>
  <c r="BJ287" i="1" s="1"/>
  <c r="L121" i="28"/>
  <c r="I126" i="23"/>
  <c r="BC6" i="23" s="1"/>
  <c r="I121" i="23"/>
  <c r="E279" i="1"/>
  <c r="BG276" i="1" s="1"/>
  <c r="L13" i="14" s="1"/>
  <c r="I121" i="2"/>
  <c r="I121" i="28"/>
  <c r="L121" i="25"/>
  <c r="AO279" i="1"/>
  <c r="BG280" i="1" s="1"/>
  <c r="I121" i="21"/>
  <c r="I121" i="25"/>
  <c r="H104" i="27"/>
  <c r="E281" i="1"/>
  <c r="BI276" i="1" s="1"/>
  <c r="T13" i="14" s="1"/>
  <c r="K121" i="2"/>
  <c r="AO291" i="1"/>
  <c r="BI286" i="1" s="1"/>
  <c r="K121" i="27"/>
  <c r="I126" i="18"/>
  <c r="BC6" i="18" s="1"/>
  <c r="I121" i="18"/>
  <c r="AF281" i="1"/>
  <c r="BI279" i="1" s="1"/>
  <c r="K121" i="20"/>
  <c r="L126" i="20"/>
  <c r="BF6" i="20" s="1"/>
  <c r="L121" i="20"/>
  <c r="K121" i="22"/>
  <c r="AO292" i="1"/>
  <c r="BJ286" i="1" s="1"/>
  <c r="L121" i="27"/>
  <c r="L121" i="26"/>
  <c r="L121" i="19"/>
  <c r="N282" i="1"/>
  <c r="BJ277" i="1" s="1"/>
  <c r="L121" i="18"/>
  <c r="K121" i="25"/>
  <c r="I126" i="20"/>
  <c r="BC6" i="20" s="1"/>
  <c r="I121" i="20"/>
  <c r="L126" i="21"/>
  <c r="BF6" i="21" s="1"/>
  <c r="L121" i="21"/>
  <c r="AO281" i="1"/>
  <c r="BI280" i="1" s="1"/>
  <c r="K121" i="21"/>
  <c r="N289" i="1"/>
  <c r="BG283" i="1" s="1"/>
  <c r="I121" i="24"/>
  <c r="K121" i="26"/>
  <c r="W279" i="1"/>
  <c r="BG278" i="1" s="1"/>
  <c r="I121" i="19"/>
  <c r="K121" i="23"/>
  <c r="H101" i="18"/>
  <c r="H99" i="20"/>
  <c r="H98" i="27"/>
  <c r="H102" i="27" s="1"/>
  <c r="H99" i="18"/>
  <c r="G100" i="23"/>
  <c r="G104" i="23"/>
  <c r="O209" i="1"/>
  <c r="H130" i="23" s="1"/>
  <c r="L210" i="1"/>
  <c r="K210" i="1" s="1"/>
  <c r="L208" i="1"/>
  <c r="K208" i="1" s="1"/>
  <c r="L209" i="1"/>
  <c r="K209" i="1" s="1"/>
  <c r="H124" i="23" s="1"/>
  <c r="H123" i="23" s="1"/>
  <c r="L216" i="1"/>
  <c r="K216" i="1" s="1"/>
  <c r="L192" i="1"/>
  <c r="K192" i="1" s="1"/>
  <c r="L190" i="1"/>
  <c r="K190" i="1" s="1"/>
  <c r="O191" i="1"/>
  <c r="H130" i="2" s="1"/>
  <c r="L191" i="1"/>
  <c r="K191" i="1" s="1"/>
  <c r="H124" i="2" s="1"/>
  <c r="H123" i="2" s="1"/>
  <c r="L204" i="1"/>
  <c r="K204" i="1" s="1"/>
  <c r="L202" i="1"/>
  <c r="K202" i="1" s="1"/>
  <c r="L203" i="1"/>
  <c r="K203" i="1" s="1"/>
  <c r="H124" i="21" s="1"/>
  <c r="H123" i="21" s="1"/>
  <c r="O203" i="1"/>
  <c r="H130" i="21" s="1"/>
  <c r="O197" i="1"/>
  <c r="H130" i="19" s="1"/>
  <c r="L196" i="1"/>
  <c r="K196" i="1" s="1"/>
  <c r="L198" i="1"/>
  <c r="K198" i="1" s="1"/>
  <c r="L197" i="1"/>
  <c r="K197" i="1" s="1"/>
  <c r="H124" i="19" s="1"/>
  <c r="H123" i="19" s="1"/>
  <c r="L205" i="1"/>
  <c r="K205" i="1" s="1"/>
  <c r="H99" i="25"/>
  <c r="H100" i="19"/>
  <c r="H98" i="25"/>
  <c r="H102" i="25" s="1"/>
  <c r="H98" i="22"/>
  <c r="H102" i="22" s="1"/>
  <c r="H104" i="25"/>
  <c r="H104" i="19"/>
  <c r="H104" i="22"/>
  <c r="L193" i="1"/>
  <c r="K193" i="1" s="1"/>
  <c r="O194" i="1"/>
  <c r="H130" i="18" s="1"/>
  <c r="L195" i="1"/>
  <c r="K195" i="1" s="1"/>
  <c r="L194" i="1"/>
  <c r="K194" i="1" s="1"/>
  <c r="H124" i="18" s="1"/>
  <c r="H123" i="18" s="1"/>
  <c r="L222" i="1"/>
  <c r="K222" i="1" s="1"/>
  <c r="L220" i="1"/>
  <c r="K220" i="1" s="1"/>
  <c r="L221" i="1"/>
  <c r="K221" i="1" s="1"/>
  <c r="H124" i="27" s="1"/>
  <c r="H123" i="27" s="1"/>
  <c r="O221" i="1"/>
  <c r="H130" i="27" s="1"/>
  <c r="L223" i="1"/>
  <c r="K223" i="1" s="1"/>
  <c r="O224" i="1"/>
  <c r="H130" i="28" s="1"/>
  <c r="L225" i="1"/>
  <c r="K225" i="1" s="1"/>
  <c r="L224" i="1"/>
  <c r="K224" i="1" s="1"/>
  <c r="H124" i="28" s="1"/>
  <c r="H123" i="28" s="1"/>
  <c r="L199" i="1"/>
  <c r="K199" i="1" s="1"/>
  <c r="L200" i="1"/>
  <c r="K200" i="1" s="1"/>
  <c r="H124" i="20" s="1"/>
  <c r="H123" i="20" s="1"/>
  <c r="O200" i="1"/>
  <c r="H130" i="20" s="1"/>
  <c r="L201" i="1"/>
  <c r="K201" i="1" s="1"/>
  <c r="O212" i="1"/>
  <c r="H130" i="24" s="1"/>
  <c r="L211" i="1"/>
  <c r="K211" i="1" s="1"/>
  <c r="L212" i="1"/>
  <c r="K212" i="1" s="1"/>
  <c r="H124" i="24" s="1"/>
  <c r="H123" i="24" s="1"/>
  <c r="L213" i="1"/>
  <c r="K213" i="1" s="1"/>
  <c r="L217" i="1"/>
  <c r="K217" i="1" s="1"/>
  <c r="L218" i="1"/>
  <c r="K218" i="1" s="1"/>
  <c r="H124" i="26" s="1"/>
  <c r="H123" i="26" s="1"/>
  <c r="O218" i="1"/>
  <c r="H130" i="26" s="1"/>
  <c r="L219" i="1"/>
  <c r="K219" i="1" s="1"/>
  <c r="H98" i="19"/>
  <c r="H102" i="19" s="1"/>
  <c r="H99" i="19"/>
  <c r="H98" i="28"/>
  <c r="H102" i="28" s="1"/>
  <c r="H104" i="28"/>
  <c r="H101" i="23"/>
  <c r="H104" i="23"/>
  <c r="H98" i="21"/>
  <c r="H102" i="21" s="1"/>
  <c r="H104" i="21"/>
  <c r="H101" i="28"/>
  <c r="H100" i="28"/>
  <c r="I199" i="2"/>
  <c r="I6" i="2" s="1"/>
  <c r="I43" i="2" s="1"/>
  <c r="I199" i="27"/>
  <c r="I126" i="28"/>
  <c r="BC6" i="28" s="1"/>
  <c r="K126" i="26"/>
  <c r="BE6" i="26" s="1"/>
  <c r="AF291" i="1"/>
  <c r="BI285" i="1" s="1"/>
  <c r="L126" i="27"/>
  <c r="BF6" i="27" s="1"/>
  <c r="V216" i="1"/>
  <c r="U216" i="1" s="1"/>
  <c r="I126" i="2"/>
  <c r="BC6" i="2" s="1"/>
  <c r="I199" i="24"/>
  <c r="L5" i="24" s="1"/>
  <c r="L45" i="24" s="1"/>
  <c r="L136" i="24" s="1"/>
  <c r="I199" i="28"/>
  <c r="I3" i="28" s="1"/>
  <c r="K126" i="2"/>
  <c r="BE6" i="2" s="1"/>
  <c r="AX289" i="1"/>
  <c r="BG287" i="1" s="1"/>
  <c r="C175" i="29"/>
  <c r="I199" i="22"/>
  <c r="L4" i="22" s="1"/>
  <c r="L44" i="22" s="1"/>
  <c r="AF279" i="1"/>
  <c r="BG279" i="1" s="1"/>
  <c r="V196" i="1"/>
  <c r="U196" i="1" s="1"/>
  <c r="H99" i="21"/>
  <c r="H100" i="21"/>
  <c r="V197" i="1"/>
  <c r="U197" i="1" s="1"/>
  <c r="J124" i="19" s="1"/>
  <c r="J123" i="19" s="1"/>
  <c r="H100" i="23"/>
  <c r="V198" i="1"/>
  <c r="U198" i="1" s="1"/>
  <c r="H98" i="23"/>
  <c r="H102" i="23" s="1"/>
  <c r="H99" i="23"/>
  <c r="V199" i="1"/>
  <c r="U199" i="1" s="1"/>
  <c r="V201" i="1"/>
  <c r="U201" i="1" s="1"/>
  <c r="H101" i="21"/>
  <c r="V200" i="1"/>
  <c r="U200" i="1" s="1"/>
  <c r="J124" i="20" s="1"/>
  <c r="J123" i="20" s="1"/>
  <c r="I199" i="26"/>
  <c r="L5" i="26" s="1"/>
  <c r="L45" i="26" s="1"/>
  <c r="I199" i="20"/>
  <c r="K6" i="20" s="1"/>
  <c r="K43" i="20" s="1"/>
  <c r="V211" i="1"/>
  <c r="U211" i="1" s="1"/>
  <c r="I199" i="19"/>
  <c r="K6" i="19" s="1"/>
  <c r="K43" i="19" s="1"/>
  <c r="I199" i="25"/>
  <c r="I4" i="25" s="1"/>
  <c r="I44" i="25" s="1"/>
  <c r="V206" i="1"/>
  <c r="U206" i="1" s="1"/>
  <c r="J124" i="22" s="1"/>
  <c r="J123" i="22" s="1"/>
  <c r="V190" i="1"/>
  <c r="U190" i="1" s="1"/>
  <c r="V207" i="1"/>
  <c r="U207" i="1" s="1"/>
  <c r="V212" i="1"/>
  <c r="I199" i="21"/>
  <c r="J6" i="21" s="1"/>
  <c r="J43" i="21" s="1"/>
  <c r="I199" i="23"/>
  <c r="I4" i="23" s="1"/>
  <c r="I44" i="23" s="1"/>
  <c r="I199" i="18"/>
  <c r="K6" i="18" s="1"/>
  <c r="K43" i="18" s="1"/>
  <c r="V213" i="1"/>
  <c r="U213" i="1" s="1"/>
  <c r="V205" i="1"/>
  <c r="U205" i="1" s="1"/>
  <c r="V220" i="1"/>
  <c r="U220" i="1" s="1"/>
  <c r="V221" i="1"/>
  <c r="U221" i="1" s="1"/>
  <c r="J124" i="27" s="1"/>
  <c r="J123" i="27" s="1"/>
  <c r="V222" i="1"/>
  <c r="U222" i="1" s="1"/>
  <c r="V191" i="1"/>
  <c r="U191" i="1" s="1"/>
  <c r="J124" i="2" s="1"/>
  <c r="J123" i="2" s="1"/>
  <c r="V219" i="1"/>
  <c r="U219" i="1" s="1"/>
  <c r="V192" i="1"/>
  <c r="U192" i="1" s="1"/>
  <c r="V218" i="1"/>
  <c r="U218" i="1" s="1"/>
  <c r="J124" i="26" s="1"/>
  <c r="J123" i="26" s="1"/>
  <c r="V214" i="1"/>
  <c r="U214" i="1" s="1"/>
  <c r="V217" i="1"/>
  <c r="U217" i="1" s="1"/>
  <c r="V195" i="1"/>
  <c r="U195" i="1" s="1"/>
  <c r="V194" i="1"/>
  <c r="U194" i="1" s="1"/>
  <c r="J124" i="18" s="1"/>
  <c r="J123" i="18" s="1"/>
  <c r="V215" i="1"/>
  <c r="V193" i="1"/>
  <c r="U193" i="1" s="1"/>
  <c r="AB34" i="1"/>
  <c r="AB33" i="1" s="1"/>
  <c r="AB35" i="1" s="1"/>
  <c r="T33" i="1"/>
  <c r="T35" i="1" s="1"/>
  <c r="L33" i="1"/>
  <c r="K120" i="24"/>
  <c r="L120" i="19"/>
  <c r="K120" i="20"/>
  <c r="I120" i="27"/>
  <c r="L120" i="26"/>
  <c r="K120" i="28"/>
  <c r="K120" i="21"/>
  <c r="K120" i="19"/>
  <c r="L120" i="24"/>
  <c r="L120" i="20"/>
  <c r="L120" i="25"/>
  <c r="AF33" i="1"/>
  <c r="AF35" i="1" s="1"/>
  <c r="X33" i="1"/>
  <c r="X35" i="1" s="1"/>
  <c r="P34" i="1"/>
  <c r="P33" i="1" s="1"/>
  <c r="P35" i="1" s="1"/>
  <c r="E282" i="1"/>
  <c r="BJ276" i="1" s="1"/>
  <c r="X13" i="14" s="1"/>
  <c r="K126" i="20"/>
  <c r="BE6" i="20" s="1"/>
  <c r="L126" i="28"/>
  <c r="BF6" i="28" s="1"/>
  <c r="I126" i="24"/>
  <c r="BC6" i="24" s="1"/>
  <c r="L126" i="25"/>
  <c r="BF6" i="25" s="1"/>
  <c r="W292" i="1"/>
  <c r="BJ284" i="1" s="1"/>
  <c r="E291" i="1"/>
  <c r="BI282" i="1" s="1"/>
  <c r="K126" i="27"/>
  <c r="BE6" i="27" s="1"/>
  <c r="K126" i="23"/>
  <c r="BE6" i="23" s="1"/>
  <c r="I126" i="21"/>
  <c r="BC6" i="21" s="1"/>
  <c r="L126" i="26"/>
  <c r="BF6" i="26" s="1"/>
  <c r="AF292" i="1"/>
  <c r="BJ285" i="1" s="1"/>
  <c r="K126" i="25"/>
  <c r="BE6" i="25" s="1"/>
  <c r="W289" i="1"/>
  <c r="BG284" i="1" s="1"/>
  <c r="K126" i="21"/>
  <c r="BE6" i="21" s="1"/>
  <c r="I126" i="25"/>
  <c r="BC6" i="25" s="1"/>
  <c r="AX281" i="1"/>
  <c r="BI281" i="1" s="1"/>
  <c r="E289" i="1"/>
  <c r="BG282" i="1" s="1"/>
  <c r="W291" i="1"/>
  <c r="BI284" i="1" s="1"/>
  <c r="D31" i="1"/>
  <c r="N279" i="1"/>
  <c r="BG277" i="1" s="1"/>
  <c r="I126" i="19"/>
  <c r="BC6" i="19" s="1"/>
  <c r="K126" i="22"/>
  <c r="BE6" i="22" s="1"/>
  <c r="I63" i="27"/>
  <c r="AF282" i="1"/>
  <c r="BJ279" i="1" s="1"/>
  <c r="L64" i="24"/>
  <c r="L120" i="21"/>
  <c r="L120" i="18"/>
  <c r="K120" i="23"/>
  <c r="L120" i="28"/>
  <c r="L123" i="27"/>
  <c r="AX291" i="1"/>
  <c r="BI287" i="1" s="1"/>
  <c r="AO282" i="1"/>
  <c r="BJ280" i="1" s="1"/>
  <c r="I63" i="2"/>
  <c r="K126" i="24"/>
  <c r="BE6" i="24" s="1"/>
  <c r="K120" i="2"/>
  <c r="I120" i="28"/>
  <c r="L126" i="19"/>
  <c r="BF6" i="19" s="1"/>
  <c r="W281" i="1"/>
  <c r="BI278" i="1" s="1"/>
  <c r="I120" i="2"/>
  <c r="K120" i="26"/>
  <c r="L120" i="23"/>
  <c r="K120" i="18"/>
  <c r="I120" i="20"/>
  <c r="W282" i="1"/>
  <c r="BJ278" i="1" s="1"/>
  <c r="K126" i="19"/>
  <c r="BE6" i="19" s="1"/>
  <c r="I120" i="22"/>
  <c r="L126" i="18"/>
  <c r="BF6" i="18" s="1"/>
  <c r="N291" i="1"/>
  <c r="BI283" i="1" s="1"/>
  <c r="U224" i="1"/>
  <c r="J124" i="28" s="1"/>
  <c r="J123" i="28" s="1"/>
  <c r="U203" i="1"/>
  <c r="J124" i="21" s="1"/>
  <c r="J123" i="21" s="1"/>
  <c r="U209" i="1"/>
  <c r="J1" i="23" s="1"/>
  <c r="L62" i="23"/>
  <c r="K126" i="28"/>
  <c r="BE6" i="28" s="1"/>
  <c r="D12" i="27"/>
  <c r="C12" i="27" s="1"/>
  <c r="G99" i="23"/>
  <c r="G101" i="23"/>
  <c r="G98" i="23"/>
  <c r="G102" i="23" s="1"/>
  <c r="E99" i="22"/>
  <c r="G104" i="22" s="1"/>
  <c r="AY205" i="1"/>
  <c r="AQ205" i="1" s="1"/>
  <c r="J206" i="1" s="1"/>
  <c r="G130" i="22" s="1"/>
  <c r="E99" i="26"/>
  <c r="G104" i="26" s="1"/>
  <c r="AY217" i="1"/>
  <c r="AQ217" i="1" s="1"/>
  <c r="J218" i="1" s="1"/>
  <c r="G130" i="26" s="1"/>
  <c r="AY223" i="1"/>
  <c r="AQ223" i="1" s="1"/>
  <c r="J224" i="1" s="1"/>
  <c r="G130" i="28" s="1"/>
  <c r="E99" i="28"/>
  <c r="G104" i="28" s="1"/>
  <c r="E99" i="19"/>
  <c r="G104" i="19" s="1"/>
  <c r="AY196" i="1"/>
  <c r="AQ196" i="1" s="1"/>
  <c r="J197" i="1" s="1"/>
  <c r="G130" i="19" s="1"/>
  <c r="E99" i="18"/>
  <c r="G104" i="18" s="1"/>
  <c r="AY193" i="1"/>
  <c r="AQ193" i="1" s="1"/>
  <c r="J194" i="1" s="1"/>
  <c r="G130" i="18" s="1"/>
  <c r="E99" i="2"/>
  <c r="G104" i="2" s="1"/>
  <c r="AY190" i="1"/>
  <c r="AQ190" i="1" s="1"/>
  <c r="E99" i="21"/>
  <c r="G104" i="21" s="1"/>
  <c r="AY202" i="1"/>
  <c r="AQ202" i="1" s="1"/>
  <c r="J203" i="1" s="1"/>
  <c r="G130" i="21" s="1"/>
  <c r="AY199" i="1"/>
  <c r="AQ199" i="1" s="1"/>
  <c r="J200" i="1" s="1"/>
  <c r="G130" i="20" s="1"/>
  <c r="E99" i="20"/>
  <c r="G104" i="20" s="1"/>
  <c r="E99" i="27"/>
  <c r="G104" i="27" s="1"/>
  <c r="AY220" i="1"/>
  <c r="AQ220" i="1" s="1"/>
  <c r="J221" i="1" s="1"/>
  <c r="G130" i="27" s="1"/>
  <c r="E99" i="25"/>
  <c r="G104" i="25" s="1"/>
  <c r="AY214" i="1"/>
  <c r="AQ214" i="1" s="1"/>
  <c r="J215" i="1" s="1"/>
  <c r="G130" i="25" s="1"/>
  <c r="E99" i="24"/>
  <c r="G104" i="24" s="1"/>
  <c r="AY211" i="1"/>
  <c r="AQ211" i="1" s="1"/>
  <c r="J212" i="1" s="1"/>
  <c r="G130" i="24" s="1"/>
  <c r="E101" i="21"/>
  <c r="I104" i="21" s="1"/>
  <c r="BE204" i="1"/>
  <c r="AW204" i="1" s="1"/>
  <c r="AN203" i="1" s="1"/>
  <c r="M130" i="21" s="1"/>
  <c r="E101" i="25"/>
  <c r="I104" i="25" s="1"/>
  <c r="BE216" i="1"/>
  <c r="AW216" i="1" s="1"/>
  <c r="AN215" i="1" s="1"/>
  <c r="M130" i="25" s="1"/>
  <c r="E101" i="20"/>
  <c r="I104" i="20" s="1"/>
  <c r="BE201" i="1"/>
  <c r="AW201" i="1" s="1"/>
  <c r="AN200" i="1" s="1"/>
  <c r="M130" i="20" s="1"/>
  <c r="E101" i="26"/>
  <c r="I104" i="26" s="1"/>
  <c r="BE219" i="1"/>
  <c r="AW219" i="1" s="1"/>
  <c r="AN218" i="1" s="1"/>
  <c r="M130" i="26" s="1"/>
  <c r="E101" i="22"/>
  <c r="I104" i="22" s="1"/>
  <c r="BE207" i="1"/>
  <c r="AW207" i="1" s="1"/>
  <c r="AN206" i="1" s="1"/>
  <c r="M130" i="22" s="1"/>
  <c r="BE195" i="1"/>
  <c r="AW195" i="1" s="1"/>
  <c r="AN194" i="1" s="1"/>
  <c r="M130" i="18" s="1"/>
  <c r="E101" i="18"/>
  <c r="I104" i="18" s="1"/>
  <c r="E101" i="23"/>
  <c r="I104" i="23" s="1"/>
  <c r="BE210" i="1"/>
  <c r="AW210" i="1" s="1"/>
  <c r="AN209" i="1" s="1"/>
  <c r="M130" i="23" s="1"/>
  <c r="E101" i="19"/>
  <c r="I104" i="19" s="1"/>
  <c r="BE198" i="1"/>
  <c r="AW198" i="1" s="1"/>
  <c r="AN197" i="1" s="1"/>
  <c r="M130" i="19" s="1"/>
  <c r="E101" i="27"/>
  <c r="I104" i="27" s="1"/>
  <c r="BE222" i="1"/>
  <c r="AW222" i="1" s="1"/>
  <c r="AN221" i="1" s="1"/>
  <c r="M130" i="27" s="1"/>
  <c r="E101" i="2"/>
  <c r="I104" i="2" s="1"/>
  <c r="BE192" i="1"/>
  <c r="AW192" i="1" s="1"/>
  <c r="AN191" i="1" s="1"/>
  <c r="M130" i="2" s="1"/>
  <c r="BE225" i="1"/>
  <c r="AW225" i="1" s="1"/>
  <c r="AN224" i="1" s="1"/>
  <c r="M130" i="28" s="1"/>
  <c r="E101" i="28"/>
  <c r="I104" i="28" s="1"/>
  <c r="BE213" i="1"/>
  <c r="AW213" i="1" s="1"/>
  <c r="AN212" i="1" s="1"/>
  <c r="M130" i="24" s="1"/>
  <c r="E101" i="24"/>
  <c r="I104" i="24" s="1"/>
  <c r="AA180" i="16"/>
  <c r="D12" i="19"/>
  <c r="C12" i="19" s="1"/>
  <c r="D12" i="21"/>
  <c r="D12" i="28"/>
  <c r="C12" i="28" s="1"/>
  <c r="D12" i="26"/>
  <c r="C12" i="26" s="1"/>
  <c r="L202" i="14"/>
  <c r="L209" i="14" s="1"/>
  <c r="M182" i="16"/>
  <c r="Q182" i="16" s="1"/>
  <c r="CU175" i="16"/>
  <c r="CU176" i="16" s="1"/>
  <c r="CU179" i="16" s="1"/>
  <c r="CT175" i="16"/>
  <c r="CT176" i="16" s="1"/>
  <c r="CT179" i="16" s="1"/>
  <c r="BB180" i="16"/>
  <c r="BG178" i="16"/>
  <c r="BG175" i="16" s="1"/>
  <c r="BE180" i="16"/>
  <c r="AL180" i="16"/>
  <c r="CY175" i="16"/>
  <c r="CY176" i="16" s="1"/>
  <c r="CY179" i="16" s="1"/>
  <c r="CZ175" i="16"/>
  <c r="CZ176" i="16" s="1"/>
  <c r="CZ179" i="16" s="1"/>
  <c r="W15" i="2"/>
  <c r="D14" i="2"/>
  <c r="C14" i="2" s="1"/>
  <c r="DA175" i="16"/>
  <c r="DA176" i="16" s="1"/>
  <c r="DA179" i="16" s="1"/>
  <c r="L197" i="14"/>
  <c r="W13" i="24"/>
  <c r="D12" i="24"/>
  <c r="C12" i="24" s="1"/>
  <c r="AG180" i="16"/>
  <c r="W14" i="18"/>
  <c r="D13" i="18"/>
  <c r="C13" i="18" s="1"/>
  <c r="AE12" i="2"/>
  <c r="W14" i="21"/>
  <c r="AM180" i="16"/>
  <c r="W14" i="19"/>
  <c r="CV175" i="16"/>
  <c r="CV176" i="16" s="1"/>
  <c r="CV179" i="16" s="1"/>
  <c r="CX175" i="16"/>
  <c r="CX176" i="16" s="1"/>
  <c r="CX179" i="16" s="1"/>
  <c r="W13" i="23"/>
  <c r="D12" i="23"/>
  <c r="C12" i="23" s="1"/>
  <c r="BD180" i="16"/>
  <c r="W13" i="25"/>
  <c r="D12" i="25"/>
  <c r="C12" i="25" s="1"/>
  <c r="W14" i="26"/>
  <c r="L173" i="26"/>
  <c r="I173" i="25"/>
  <c r="L173" i="27"/>
  <c r="K173" i="22"/>
  <c r="K173" i="19"/>
  <c r="I173" i="28"/>
  <c r="I173" i="23"/>
  <c r="I173" i="24"/>
  <c r="K173" i="25"/>
  <c r="I173" i="22"/>
  <c r="L173" i="28"/>
  <c r="L173" i="23"/>
  <c r="L173" i="25"/>
  <c r="L173" i="19"/>
  <c r="I173" i="27"/>
  <c r="K173" i="27"/>
  <c r="I173" i="26"/>
  <c r="L173" i="22"/>
  <c r="L173" i="24"/>
  <c r="K173" i="23"/>
  <c r="K173" i="26"/>
  <c r="K173" i="28"/>
  <c r="I173" i="19"/>
  <c r="K173" i="24"/>
  <c r="BG179" i="16"/>
  <c r="BG176" i="16" s="1"/>
  <c r="L191" i="14"/>
  <c r="E186" i="14"/>
  <c r="B185" i="14"/>
  <c r="C185" i="14"/>
  <c r="D185" i="14" s="1"/>
  <c r="L185" i="14"/>
  <c r="Q185" i="14"/>
  <c r="H118" i="15"/>
  <c r="J185" i="14"/>
  <c r="AF180" i="16"/>
  <c r="L222" i="14"/>
  <c r="W14" i="27"/>
  <c r="L203" i="14"/>
  <c r="W14" i="28"/>
  <c r="CW175" i="16"/>
  <c r="CW176" i="16" s="1"/>
  <c r="CW179" i="16" s="1"/>
  <c r="X9" i="14" l="1"/>
  <c r="X7" i="14"/>
  <c r="X8" i="14"/>
  <c r="T9" i="14"/>
  <c r="T8" i="14"/>
  <c r="T7" i="14"/>
  <c r="L9" i="14"/>
  <c r="L7" i="14"/>
  <c r="L8" i="14"/>
  <c r="G209" i="1"/>
  <c r="F209" i="1" s="1"/>
  <c r="G124" i="23" s="1"/>
  <c r="G123" i="23" s="1"/>
  <c r="H99" i="24"/>
  <c r="H104" i="24"/>
  <c r="C137" i="29"/>
  <c r="K137" i="29" s="1"/>
  <c r="J209" i="1"/>
  <c r="G130" i="23" s="1"/>
  <c r="G208" i="1"/>
  <c r="G4" i="23" s="1"/>
  <c r="G44" i="23" s="1"/>
  <c r="H101" i="24"/>
  <c r="L35" i="1"/>
  <c r="N19" i="30" s="1"/>
  <c r="AR33" i="1"/>
  <c r="H98" i="24"/>
  <c r="H102" i="24" s="1"/>
  <c r="BE64" i="2"/>
  <c r="BE63" i="2"/>
  <c r="BC64" i="2"/>
  <c r="BC63" i="2"/>
  <c r="BF64" i="18"/>
  <c r="BF63" i="18"/>
  <c r="BE64" i="18"/>
  <c r="BE63" i="18"/>
  <c r="BE64" i="20"/>
  <c r="BE63" i="20"/>
  <c r="BC64" i="22"/>
  <c r="BC63" i="22"/>
  <c r="BF64" i="25"/>
  <c r="BF63" i="25"/>
  <c r="BC64" i="20"/>
  <c r="BC63" i="20"/>
  <c r="BF64" i="20"/>
  <c r="BF63" i="20"/>
  <c r="BC64" i="27"/>
  <c r="BC63" i="27"/>
  <c r="BF64" i="26"/>
  <c r="BF63" i="26"/>
  <c r="BF64" i="28"/>
  <c r="BF63" i="28"/>
  <c r="BE64" i="19"/>
  <c r="BE63" i="19"/>
  <c r="BE64" i="21"/>
  <c r="BE63" i="21"/>
  <c r="BF64" i="24"/>
  <c r="BF63" i="24"/>
  <c r="BE64" i="23"/>
  <c r="BE63" i="23"/>
  <c r="BE64" i="26"/>
  <c r="BE63" i="26"/>
  <c r="BE64" i="28"/>
  <c r="BE63" i="28"/>
  <c r="BC64" i="28"/>
  <c r="BC63" i="28"/>
  <c r="BF64" i="23"/>
  <c r="BF63" i="23"/>
  <c r="BF64" i="19"/>
  <c r="BF63" i="19"/>
  <c r="BF64" i="21"/>
  <c r="BF63" i="21"/>
  <c r="BE64" i="24"/>
  <c r="BE63" i="24"/>
  <c r="AO84" i="14"/>
  <c r="AN85" i="14"/>
  <c r="H101" i="26"/>
  <c r="H100" i="26"/>
  <c r="H99" i="26"/>
  <c r="H98" i="26"/>
  <c r="H102" i="26" s="1"/>
  <c r="H101" i="2"/>
  <c r="H104" i="2"/>
  <c r="H98" i="2"/>
  <c r="H102" i="2" s="1"/>
  <c r="H100" i="2"/>
  <c r="L206" i="1"/>
  <c r="K206" i="1" s="1"/>
  <c r="H124" i="22" s="1"/>
  <c r="H123" i="22" s="1"/>
  <c r="H65" i="22" s="1"/>
  <c r="BB65" i="22" s="1"/>
  <c r="O206" i="1"/>
  <c r="H130" i="22" s="1"/>
  <c r="L215" i="1"/>
  <c r="K215" i="1" s="1"/>
  <c r="H124" i="25" s="1"/>
  <c r="H123" i="25" s="1"/>
  <c r="H65" i="25" s="1"/>
  <c r="BB65" i="25" s="1"/>
  <c r="L214" i="1"/>
  <c r="K214" i="1" s="1"/>
  <c r="J65" i="27"/>
  <c r="BD65" i="27" s="1"/>
  <c r="J65" i="19"/>
  <c r="BD65" i="19" s="1"/>
  <c r="H65" i="20"/>
  <c r="BB65" i="20" s="1"/>
  <c r="J65" i="28"/>
  <c r="BD65" i="28" s="1"/>
  <c r="J65" i="18"/>
  <c r="BD65" i="18" s="1"/>
  <c r="J65" i="26"/>
  <c r="BD65" i="26" s="1"/>
  <c r="H65" i="24"/>
  <c r="BB65" i="24" s="1"/>
  <c r="J65" i="20"/>
  <c r="BD65" i="20" s="1"/>
  <c r="H65" i="26"/>
  <c r="BB65" i="26" s="1"/>
  <c r="J65" i="21"/>
  <c r="BD65" i="21" s="1"/>
  <c r="L65" i="27"/>
  <c r="BF65" i="27" s="1"/>
  <c r="J65" i="2"/>
  <c r="BD65" i="2" s="1"/>
  <c r="J65" i="22"/>
  <c r="BD65" i="22" s="1"/>
  <c r="H65" i="18"/>
  <c r="BB65" i="18" s="1"/>
  <c r="H120" i="19"/>
  <c r="H74" i="19" s="1"/>
  <c r="H65" i="19"/>
  <c r="BB65" i="19" s="1"/>
  <c r="H120" i="2"/>
  <c r="H74" i="2" s="1"/>
  <c r="H65" i="2"/>
  <c r="BB65" i="2" s="1"/>
  <c r="H120" i="23"/>
  <c r="H68" i="23" s="1"/>
  <c r="H65" i="23"/>
  <c r="BB65" i="23" s="1"/>
  <c r="H120" i="28"/>
  <c r="H68" i="28" s="1"/>
  <c r="H65" i="28"/>
  <c r="BB65" i="28" s="1"/>
  <c r="H120" i="21"/>
  <c r="H68" i="21" s="1"/>
  <c r="H65" i="21"/>
  <c r="BB65" i="21" s="1"/>
  <c r="H120" i="27"/>
  <c r="H74" i="27" s="1"/>
  <c r="H65" i="27"/>
  <c r="BB65" i="27" s="1"/>
  <c r="I74" i="20"/>
  <c r="I68" i="20"/>
  <c r="I74" i="2"/>
  <c r="I68" i="2"/>
  <c r="K74" i="2"/>
  <c r="K68" i="2"/>
  <c r="L74" i="18"/>
  <c r="L68" i="18"/>
  <c r="I74" i="22"/>
  <c r="I68" i="22"/>
  <c r="K74" i="18"/>
  <c r="K68" i="18"/>
  <c r="L74" i="21"/>
  <c r="L68" i="21"/>
  <c r="L74" i="24"/>
  <c r="L68" i="24"/>
  <c r="K74" i="21"/>
  <c r="K68" i="21"/>
  <c r="L74" i="26"/>
  <c r="L68" i="26"/>
  <c r="K74" i="20"/>
  <c r="K68" i="20"/>
  <c r="L74" i="19"/>
  <c r="L68" i="19"/>
  <c r="L74" i="23"/>
  <c r="L68" i="23"/>
  <c r="L74" i="28"/>
  <c r="L68" i="28"/>
  <c r="L74" i="20"/>
  <c r="L68" i="20"/>
  <c r="K74" i="26"/>
  <c r="K68" i="26"/>
  <c r="I74" i="28"/>
  <c r="I68" i="28"/>
  <c r="K74" i="23"/>
  <c r="K68" i="23"/>
  <c r="L74" i="25"/>
  <c r="L68" i="25"/>
  <c r="K74" i="19"/>
  <c r="K68" i="19"/>
  <c r="K74" i="28"/>
  <c r="K68" i="28"/>
  <c r="I74" i="27"/>
  <c r="I68" i="27"/>
  <c r="K74" i="24"/>
  <c r="K68" i="24"/>
  <c r="G137" i="29"/>
  <c r="O137" i="29" s="1"/>
  <c r="Z19" i="30"/>
  <c r="E137" i="29"/>
  <c r="M137" i="29" s="1"/>
  <c r="R19" i="30"/>
  <c r="F137" i="29"/>
  <c r="N137" i="29" s="1"/>
  <c r="V19" i="30"/>
  <c r="H137" i="29"/>
  <c r="P137" i="29" s="1"/>
  <c r="AD19" i="30"/>
  <c r="I137" i="29"/>
  <c r="Q137" i="29" s="1"/>
  <c r="AH19" i="30"/>
  <c r="Y381" i="1"/>
  <c r="J121" i="23"/>
  <c r="J125" i="23"/>
  <c r="BD5" i="23" s="1"/>
  <c r="A69" i="29"/>
  <c r="A73" i="29" s="1"/>
  <c r="A22" i="29"/>
  <c r="H6" i="27"/>
  <c r="H43" i="27" s="1"/>
  <c r="H134" i="27" s="1"/>
  <c r="H120" i="20"/>
  <c r="H120" i="18"/>
  <c r="H1" i="26"/>
  <c r="H1" i="20"/>
  <c r="AF278" i="1" s="1"/>
  <c r="BF279" i="1" s="1"/>
  <c r="H1" i="19"/>
  <c r="H125" i="19" s="1"/>
  <c r="BB5" i="19" s="1"/>
  <c r="H1" i="21"/>
  <c r="H125" i="21" s="1"/>
  <c r="BB5" i="21" s="1"/>
  <c r="H1" i="2"/>
  <c r="H125" i="2" s="1"/>
  <c r="BB5" i="2" s="1"/>
  <c r="H1" i="23"/>
  <c r="H120" i="26"/>
  <c r="H1" i="24"/>
  <c r="H125" i="24" s="1"/>
  <c r="BB5" i="24" s="1"/>
  <c r="H1" i="27"/>
  <c r="H125" i="27" s="1"/>
  <c r="BB5" i="27" s="1"/>
  <c r="H120" i="24"/>
  <c r="H1" i="28"/>
  <c r="H1" i="18"/>
  <c r="K5" i="2"/>
  <c r="K45" i="2" s="1"/>
  <c r="K136" i="2" s="1"/>
  <c r="H4" i="2"/>
  <c r="H44" i="2" s="1"/>
  <c r="H135" i="2" s="1"/>
  <c r="K6" i="2"/>
  <c r="K43" i="2" s="1"/>
  <c r="K134" i="2" s="1"/>
  <c r="I5" i="2"/>
  <c r="I45" i="2" s="1"/>
  <c r="I136" i="2" s="1"/>
  <c r="K4" i="2"/>
  <c r="K44" i="2" s="1"/>
  <c r="K135" i="2" s="1"/>
  <c r="H5" i="2"/>
  <c r="H45" i="2" s="1"/>
  <c r="H136" i="2" s="1"/>
  <c r="I4" i="2"/>
  <c r="I44" i="2" s="1"/>
  <c r="I135" i="2" s="1"/>
  <c r="L4" i="2"/>
  <c r="L44" i="2" s="1"/>
  <c r="L135" i="2" s="1"/>
  <c r="I3" i="2"/>
  <c r="L5" i="2"/>
  <c r="L45" i="2" s="1"/>
  <c r="L136" i="2" s="1"/>
  <c r="L6" i="2"/>
  <c r="L43" i="2" s="1"/>
  <c r="L134" i="2" s="1"/>
  <c r="H6" i="2"/>
  <c r="H43" i="2" s="1"/>
  <c r="H134" i="2" s="1"/>
  <c r="I5" i="27"/>
  <c r="I45" i="27" s="1"/>
  <c r="I136" i="27" s="1"/>
  <c r="H6" i="22"/>
  <c r="H43" i="22" s="1"/>
  <c r="H134" i="22" s="1"/>
  <c r="I4" i="22"/>
  <c r="I44" i="22" s="1"/>
  <c r="I135" i="22" s="1"/>
  <c r="H4" i="27"/>
  <c r="H44" i="27" s="1"/>
  <c r="H135" i="27" s="1"/>
  <c r="K4" i="27"/>
  <c r="K44" i="27" s="1"/>
  <c r="K135" i="27" s="1"/>
  <c r="K5" i="27"/>
  <c r="K45" i="27" s="1"/>
  <c r="K136" i="27" s="1"/>
  <c r="I6" i="26"/>
  <c r="I43" i="26" s="1"/>
  <c r="I134" i="26" s="1"/>
  <c r="H4" i="22"/>
  <c r="H44" i="22" s="1"/>
  <c r="H135" i="22" s="1"/>
  <c r="K6" i="27"/>
  <c r="K43" i="27" s="1"/>
  <c r="K134" i="27" s="1"/>
  <c r="I3" i="27"/>
  <c r="L4" i="26"/>
  <c r="L44" i="26" s="1"/>
  <c r="L135" i="26" s="1"/>
  <c r="I3" i="22"/>
  <c r="H5" i="23"/>
  <c r="H45" i="23" s="1"/>
  <c r="H136" i="23" s="1"/>
  <c r="I3" i="26"/>
  <c r="I6" i="22"/>
  <c r="I43" i="22" s="1"/>
  <c r="I134" i="22" s="1"/>
  <c r="K5" i="22"/>
  <c r="K45" i="22" s="1"/>
  <c r="K136" i="22" s="1"/>
  <c r="K4" i="28"/>
  <c r="K44" i="28" s="1"/>
  <c r="K135" i="28" s="1"/>
  <c r="I5" i="22"/>
  <c r="I45" i="22" s="1"/>
  <c r="I136" i="22" s="1"/>
  <c r="L4" i="27"/>
  <c r="L44" i="27" s="1"/>
  <c r="L135" i="27" s="1"/>
  <c r="L5" i="27"/>
  <c r="L45" i="27" s="1"/>
  <c r="L136" i="27" s="1"/>
  <c r="I4" i="27"/>
  <c r="I44" i="27" s="1"/>
  <c r="I135" i="27" s="1"/>
  <c r="L6" i="26"/>
  <c r="L43" i="26" s="1"/>
  <c r="L134" i="26" s="1"/>
  <c r="K6" i="25"/>
  <c r="K43" i="25" s="1"/>
  <c r="K134" i="25" s="1"/>
  <c r="L5" i="22"/>
  <c r="L45" i="22" s="1"/>
  <c r="L136" i="22" s="1"/>
  <c r="H4" i="26"/>
  <c r="H44" i="26" s="1"/>
  <c r="H135" i="26" s="1"/>
  <c r="L6" i="19"/>
  <c r="L43" i="19" s="1"/>
  <c r="L134" i="19" s="1"/>
  <c r="K6" i="22"/>
  <c r="K43" i="22" s="1"/>
  <c r="K134" i="22" s="1"/>
  <c r="H6" i="26"/>
  <c r="H43" i="26" s="1"/>
  <c r="H134" i="26" s="1"/>
  <c r="K4" i="22"/>
  <c r="K44" i="22" s="1"/>
  <c r="K63" i="22" s="1"/>
  <c r="K4" i="26"/>
  <c r="K44" i="26" s="1"/>
  <c r="K135" i="26" s="1"/>
  <c r="K6" i="26"/>
  <c r="K43" i="26" s="1"/>
  <c r="K134" i="26" s="1"/>
  <c r="L6" i="22"/>
  <c r="L43" i="22" s="1"/>
  <c r="L134" i="22" s="1"/>
  <c r="H5" i="27"/>
  <c r="H45" i="27" s="1"/>
  <c r="H136" i="27" s="1"/>
  <c r="L6" i="27"/>
  <c r="L43" i="27" s="1"/>
  <c r="L134" i="27" s="1"/>
  <c r="H5" i="26"/>
  <c r="H45" i="26" s="1"/>
  <c r="H136" i="26" s="1"/>
  <c r="I6" i="27"/>
  <c r="I43" i="27" s="1"/>
  <c r="I134" i="27" s="1"/>
  <c r="L6" i="23"/>
  <c r="L43" i="23" s="1"/>
  <c r="L134" i="23" s="1"/>
  <c r="K4" i="20"/>
  <c r="K44" i="20" s="1"/>
  <c r="K135" i="20" s="1"/>
  <c r="K5" i="25"/>
  <c r="K45" i="25" s="1"/>
  <c r="K136" i="25" s="1"/>
  <c r="I6" i="24"/>
  <c r="I43" i="24" s="1"/>
  <c r="I134" i="24" s="1"/>
  <c r="K6" i="24"/>
  <c r="K43" i="24" s="1"/>
  <c r="K134" i="24" s="1"/>
  <c r="J5" i="20"/>
  <c r="J45" i="20" s="1"/>
  <c r="J136" i="20" s="1"/>
  <c r="H4" i="24"/>
  <c r="H44" i="24" s="1"/>
  <c r="H135" i="24" s="1"/>
  <c r="J5" i="24"/>
  <c r="J45" i="24" s="1"/>
  <c r="J136" i="24" s="1"/>
  <c r="L4" i="24"/>
  <c r="L44" i="24" s="1"/>
  <c r="L135" i="24" s="1"/>
  <c r="H6" i="24"/>
  <c r="H43" i="24" s="1"/>
  <c r="H134" i="24" s="1"/>
  <c r="I3" i="24"/>
  <c r="K5" i="28"/>
  <c r="K45" i="28" s="1"/>
  <c r="K136" i="28" s="1"/>
  <c r="I5" i="25"/>
  <c r="I45" i="25" s="1"/>
  <c r="I136" i="25" s="1"/>
  <c r="J1" i="26"/>
  <c r="J125" i="26" s="1"/>
  <c r="BD5" i="26" s="1"/>
  <c r="J4" i="28"/>
  <c r="J44" i="28" s="1"/>
  <c r="J135" i="28" s="1"/>
  <c r="J1" i="19"/>
  <c r="J125" i="19" s="1"/>
  <c r="BD5" i="19" s="1"/>
  <c r="L5" i="28"/>
  <c r="L45" i="28" s="1"/>
  <c r="L136" i="28" s="1"/>
  <c r="J6" i="20"/>
  <c r="J43" i="20" s="1"/>
  <c r="J134" i="20" s="1"/>
  <c r="J1" i="18"/>
  <c r="J125" i="18" s="1"/>
  <c r="BD5" i="18" s="1"/>
  <c r="J4" i="19"/>
  <c r="J44" i="19" s="1"/>
  <c r="J135" i="19" s="1"/>
  <c r="L6" i="24"/>
  <c r="L43" i="24" s="1"/>
  <c r="L134" i="24" s="1"/>
  <c r="I3" i="23"/>
  <c r="J5" i="28"/>
  <c r="J45" i="28" s="1"/>
  <c r="J136" i="28" s="1"/>
  <c r="K6" i="28"/>
  <c r="K43" i="28" s="1"/>
  <c r="K134" i="28" s="1"/>
  <c r="J6" i="28"/>
  <c r="J43" i="28" s="1"/>
  <c r="J134" i="28" s="1"/>
  <c r="I5" i="28"/>
  <c r="I45" i="28" s="1"/>
  <c r="I136" i="28" s="1"/>
  <c r="I4" i="26"/>
  <c r="I44" i="26" s="1"/>
  <c r="I135" i="26" s="1"/>
  <c r="K5" i="26"/>
  <c r="K45" i="26" s="1"/>
  <c r="K136" i="26" s="1"/>
  <c r="I5" i="26"/>
  <c r="I45" i="26" s="1"/>
  <c r="I136" i="26" s="1"/>
  <c r="L5" i="25"/>
  <c r="L45" i="25" s="1"/>
  <c r="L136" i="25" s="1"/>
  <c r="K4" i="25"/>
  <c r="K44" i="25" s="1"/>
  <c r="K135" i="25" s="1"/>
  <c r="I4" i="28"/>
  <c r="I44" i="28" s="1"/>
  <c r="I135" i="28" s="1"/>
  <c r="J4" i="20"/>
  <c r="J44" i="20" s="1"/>
  <c r="J135" i="20" s="1"/>
  <c r="L5" i="20"/>
  <c r="L45" i="20" s="1"/>
  <c r="L136" i="20" s="1"/>
  <c r="J173" i="23"/>
  <c r="J165" i="23" s="1"/>
  <c r="H5" i="28"/>
  <c r="H45" i="28" s="1"/>
  <c r="H136" i="28" s="1"/>
  <c r="J5" i="25"/>
  <c r="J45" i="25" s="1"/>
  <c r="J136" i="25" s="1"/>
  <c r="J1" i="22"/>
  <c r="J125" i="22" s="1"/>
  <c r="BD5" i="22" s="1"/>
  <c r="J1" i="2"/>
  <c r="J125" i="2" s="1"/>
  <c r="BD5" i="2" s="1"/>
  <c r="J1" i="20"/>
  <c r="J125" i="20" s="1"/>
  <c r="BD5" i="20" s="1"/>
  <c r="H4" i="28"/>
  <c r="H44" i="28" s="1"/>
  <c r="H135" i="28" s="1"/>
  <c r="L4" i="28"/>
  <c r="L44" i="28" s="1"/>
  <c r="L135" i="28" s="1"/>
  <c r="I6" i="25"/>
  <c r="I43" i="25" s="1"/>
  <c r="I134" i="25" s="1"/>
  <c r="L6" i="25"/>
  <c r="L43" i="25" s="1"/>
  <c r="L134" i="25" s="1"/>
  <c r="I4" i="20"/>
  <c r="I44" i="20" s="1"/>
  <c r="I135" i="20" s="1"/>
  <c r="I5" i="20"/>
  <c r="I45" i="20" s="1"/>
  <c r="I136" i="20" s="1"/>
  <c r="H5" i="18"/>
  <c r="H45" i="18" s="1"/>
  <c r="H136" i="18" s="1"/>
  <c r="J1" i="27"/>
  <c r="J125" i="27" s="1"/>
  <c r="BD5" i="27" s="1"/>
  <c r="J1" i="21"/>
  <c r="J125" i="21" s="1"/>
  <c r="BD5" i="21" s="1"/>
  <c r="L4" i="19"/>
  <c r="L44" i="19" s="1"/>
  <c r="L135" i="19" s="1"/>
  <c r="K5" i="24"/>
  <c r="K45" i="24" s="1"/>
  <c r="K136" i="24" s="1"/>
  <c r="K4" i="24"/>
  <c r="K44" i="24" s="1"/>
  <c r="K135" i="24" s="1"/>
  <c r="H5" i="24"/>
  <c r="H45" i="24" s="1"/>
  <c r="H136" i="24" s="1"/>
  <c r="H6" i="28"/>
  <c r="H43" i="28" s="1"/>
  <c r="H134" i="28" s="1"/>
  <c r="I6" i="28"/>
  <c r="I43" i="28" s="1"/>
  <c r="I134" i="28" s="1"/>
  <c r="L6" i="28"/>
  <c r="L43" i="28" s="1"/>
  <c r="L134" i="28" s="1"/>
  <c r="I4" i="24"/>
  <c r="I44" i="24" s="1"/>
  <c r="I135" i="24" s="1"/>
  <c r="H6" i="25"/>
  <c r="H43" i="25" s="1"/>
  <c r="H134" i="25" s="1"/>
  <c r="J6" i="25"/>
  <c r="J43" i="25" s="1"/>
  <c r="J134" i="25" s="1"/>
  <c r="L4" i="25"/>
  <c r="L44" i="25" s="1"/>
  <c r="L135" i="25" s="1"/>
  <c r="I3" i="19"/>
  <c r="H5" i="20"/>
  <c r="H45" i="20" s="1"/>
  <c r="H136" i="20" s="1"/>
  <c r="K5" i="20"/>
  <c r="K45" i="20" s="1"/>
  <c r="K136" i="20" s="1"/>
  <c r="I3" i="20"/>
  <c r="H4" i="20"/>
  <c r="H44" i="20" s="1"/>
  <c r="H135" i="20" s="1"/>
  <c r="I5" i="24"/>
  <c r="I45" i="24" s="1"/>
  <c r="I136" i="24" s="1"/>
  <c r="I6" i="20"/>
  <c r="I43" i="20" s="1"/>
  <c r="I134" i="20" s="1"/>
  <c r="J5" i="26"/>
  <c r="J45" i="26" s="1"/>
  <c r="J136" i="26" s="1"/>
  <c r="J1" i="28"/>
  <c r="J125" i="28" s="1"/>
  <c r="BD5" i="28" s="1"/>
  <c r="U212" i="1"/>
  <c r="J124" i="24" s="1"/>
  <c r="J123" i="24" s="1"/>
  <c r="J6" i="22"/>
  <c r="J43" i="22" s="1"/>
  <c r="J134" i="22" s="1"/>
  <c r="J4" i="24"/>
  <c r="J44" i="24" s="1"/>
  <c r="J135" i="24" s="1"/>
  <c r="J5" i="22"/>
  <c r="J45" i="22" s="1"/>
  <c r="J136" i="22" s="1"/>
  <c r="I5" i="21"/>
  <c r="I45" i="21" s="1"/>
  <c r="I136" i="21" s="1"/>
  <c r="I6" i="18"/>
  <c r="I43" i="18" s="1"/>
  <c r="I134" i="18" s="1"/>
  <c r="I3" i="25"/>
  <c r="L4" i="20"/>
  <c r="L44" i="20" s="1"/>
  <c r="L135" i="20" s="1"/>
  <c r="H6" i="20"/>
  <c r="H43" i="20" s="1"/>
  <c r="H134" i="20" s="1"/>
  <c r="L6" i="20"/>
  <c r="L43" i="20" s="1"/>
  <c r="L134" i="20" s="1"/>
  <c r="L5" i="19"/>
  <c r="L45" i="19" s="1"/>
  <c r="L136" i="19" s="1"/>
  <c r="I4" i="19"/>
  <c r="I44" i="19" s="1"/>
  <c r="I135" i="19" s="1"/>
  <c r="I6" i="19"/>
  <c r="I43" i="19" s="1"/>
  <c r="I134" i="19" s="1"/>
  <c r="K4" i="19"/>
  <c r="K44" i="19" s="1"/>
  <c r="K135" i="19" s="1"/>
  <c r="J5" i="19"/>
  <c r="J45" i="19" s="1"/>
  <c r="J136" i="19" s="1"/>
  <c r="H4" i="19"/>
  <c r="H44" i="19" s="1"/>
  <c r="H135" i="19" s="1"/>
  <c r="J4" i="27"/>
  <c r="J44" i="27" s="1"/>
  <c r="J135" i="27" s="1"/>
  <c r="K5" i="19"/>
  <c r="K45" i="19" s="1"/>
  <c r="K136" i="19" s="1"/>
  <c r="I5" i="19"/>
  <c r="I45" i="19" s="1"/>
  <c r="I136" i="19" s="1"/>
  <c r="I6" i="21"/>
  <c r="I43" i="21" s="1"/>
  <c r="I134" i="21" s="1"/>
  <c r="K4" i="23"/>
  <c r="K44" i="23" s="1"/>
  <c r="K135" i="23" s="1"/>
  <c r="H4" i="23"/>
  <c r="H44" i="23" s="1"/>
  <c r="H135" i="23" s="1"/>
  <c r="L5" i="23"/>
  <c r="L45" i="23" s="1"/>
  <c r="L136" i="23" s="1"/>
  <c r="J6" i="26"/>
  <c r="J43" i="26" s="1"/>
  <c r="J134" i="26" s="1"/>
  <c r="J5" i="23"/>
  <c r="J45" i="23" s="1"/>
  <c r="J136" i="23" s="1"/>
  <c r="K5" i="23"/>
  <c r="K45" i="23" s="1"/>
  <c r="K136" i="23" s="1"/>
  <c r="H6" i="19"/>
  <c r="H43" i="19" s="1"/>
  <c r="H134" i="19" s="1"/>
  <c r="J6" i="19"/>
  <c r="J43" i="19" s="1"/>
  <c r="J134" i="19" s="1"/>
  <c r="H5" i="19"/>
  <c r="H45" i="19" s="1"/>
  <c r="H136" i="19" s="1"/>
  <c r="K6" i="21"/>
  <c r="K43" i="21" s="1"/>
  <c r="K134" i="21" s="1"/>
  <c r="I4" i="21"/>
  <c r="I44" i="21" s="1"/>
  <c r="I135" i="21" s="1"/>
  <c r="K6" i="23"/>
  <c r="K43" i="23" s="1"/>
  <c r="K134" i="23" s="1"/>
  <c r="J4" i="2"/>
  <c r="J44" i="2" s="1"/>
  <c r="J135" i="2" s="1"/>
  <c r="L6" i="21"/>
  <c r="L43" i="21" s="1"/>
  <c r="L134" i="21" s="1"/>
  <c r="L4" i="18"/>
  <c r="L44" i="18" s="1"/>
  <c r="L135" i="18" s="1"/>
  <c r="K5" i="18"/>
  <c r="K45" i="18" s="1"/>
  <c r="K136" i="18" s="1"/>
  <c r="J4" i="23"/>
  <c r="J44" i="23" s="1"/>
  <c r="J135" i="23" s="1"/>
  <c r="H6" i="23"/>
  <c r="H43" i="23" s="1"/>
  <c r="H134" i="23" s="1"/>
  <c r="J6" i="23"/>
  <c r="J43" i="23" s="1"/>
  <c r="J134" i="23" s="1"/>
  <c r="I3" i="18"/>
  <c r="H6" i="18"/>
  <c r="H43" i="18" s="1"/>
  <c r="H134" i="18" s="1"/>
  <c r="L5" i="18"/>
  <c r="L45" i="18" s="1"/>
  <c r="L136" i="18" s="1"/>
  <c r="L4" i="23"/>
  <c r="L44" i="23" s="1"/>
  <c r="L135" i="23" s="1"/>
  <c r="I6" i="23"/>
  <c r="I43" i="23" s="1"/>
  <c r="I134" i="23" s="1"/>
  <c r="I5" i="23"/>
  <c r="I45" i="23" s="1"/>
  <c r="I136" i="23" s="1"/>
  <c r="I4" i="18"/>
  <c r="I44" i="18" s="1"/>
  <c r="I135" i="18" s="1"/>
  <c r="H4" i="18"/>
  <c r="H44" i="18" s="1"/>
  <c r="H135" i="18" s="1"/>
  <c r="K4" i="18"/>
  <c r="K44" i="18" s="1"/>
  <c r="K135" i="18" s="1"/>
  <c r="I3" i="21"/>
  <c r="K5" i="21"/>
  <c r="K45" i="21" s="1"/>
  <c r="K136" i="21" s="1"/>
  <c r="K4" i="21"/>
  <c r="K44" i="21" s="1"/>
  <c r="K135" i="21" s="1"/>
  <c r="J4" i="21"/>
  <c r="J44" i="21" s="1"/>
  <c r="J135" i="21" s="1"/>
  <c r="H4" i="21"/>
  <c r="H44" i="21" s="1"/>
  <c r="H135" i="21" s="1"/>
  <c r="J4" i="22"/>
  <c r="J44" i="22" s="1"/>
  <c r="J135" i="22" s="1"/>
  <c r="J5" i="21"/>
  <c r="J45" i="21" s="1"/>
  <c r="J136" i="21" s="1"/>
  <c r="U215" i="1"/>
  <c r="J1" i="25" s="1"/>
  <c r="J5" i="2"/>
  <c r="J45" i="2" s="1"/>
  <c r="J136" i="2" s="1"/>
  <c r="L5" i="21"/>
  <c r="L45" i="21" s="1"/>
  <c r="L136" i="21" s="1"/>
  <c r="J6" i="24"/>
  <c r="J43" i="24" s="1"/>
  <c r="J134" i="24" s="1"/>
  <c r="L4" i="21"/>
  <c r="L44" i="21" s="1"/>
  <c r="L135" i="21" s="1"/>
  <c r="H6" i="21"/>
  <c r="H43" i="21" s="1"/>
  <c r="H134" i="21" s="1"/>
  <c r="H5" i="21"/>
  <c r="H45" i="21" s="1"/>
  <c r="H136" i="21" s="1"/>
  <c r="L6" i="18"/>
  <c r="L43" i="18" s="1"/>
  <c r="L134" i="18" s="1"/>
  <c r="I5" i="18"/>
  <c r="I45" i="18" s="1"/>
  <c r="I136" i="18" s="1"/>
  <c r="J5" i="27"/>
  <c r="J45" i="27" s="1"/>
  <c r="J136" i="27" s="1"/>
  <c r="J6" i="18"/>
  <c r="J43" i="18" s="1"/>
  <c r="J134" i="18" s="1"/>
  <c r="J4" i="25"/>
  <c r="J44" i="25" s="1"/>
  <c r="J135" i="25" s="1"/>
  <c r="J6" i="27"/>
  <c r="J43" i="27" s="1"/>
  <c r="J134" i="27" s="1"/>
  <c r="J6" i="2"/>
  <c r="J43" i="2" s="1"/>
  <c r="J134" i="2" s="1"/>
  <c r="J4" i="26"/>
  <c r="J44" i="26" s="1"/>
  <c r="J135" i="26" s="1"/>
  <c r="J4" i="18"/>
  <c r="J44" i="18" s="1"/>
  <c r="J135" i="18" s="1"/>
  <c r="J5" i="18"/>
  <c r="J45" i="18" s="1"/>
  <c r="J136" i="18" s="1"/>
  <c r="G6" i="23"/>
  <c r="G43" i="23" s="1"/>
  <c r="G134" i="23" s="1"/>
  <c r="L120" i="27"/>
  <c r="J191" i="1"/>
  <c r="G130" i="2" s="1"/>
  <c r="G191" i="1"/>
  <c r="F191" i="1" s="1"/>
  <c r="AR34" i="1"/>
  <c r="D34" i="1" s="1"/>
  <c r="J124" i="23"/>
  <c r="J123" i="23" s="1"/>
  <c r="J120" i="19"/>
  <c r="J120" i="27"/>
  <c r="J120" i="20"/>
  <c r="J120" i="21"/>
  <c r="J120" i="26"/>
  <c r="J120" i="2"/>
  <c r="J120" i="18"/>
  <c r="J120" i="22"/>
  <c r="J120" i="28"/>
  <c r="J64" i="21"/>
  <c r="D13" i="27"/>
  <c r="C13" i="27" s="1"/>
  <c r="G101" i="25"/>
  <c r="G99" i="25"/>
  <c r="G100" i="25"/>
  <c r="G98" i="25"/>
  <c r="G102" i="25" s="1"/>
  <c r="G200" i="1"/>
  <c r="F200" i="1" s="1"/>
  <c r="G199" i="1"/>
  <c r="F199" i="1" s="1"/>
  <c r="G201" i="1"/>
  <c r="F201" i="1" s="1"/>
  <c r="G101" i="2"/>
  <c r="G98" i="2"/>
  <c r="G102" i="2" s="1"/>
  <c r="G100" i="2"/>
  <c r="G99" i="2"/>
  <c r="G98" i="19"/>
  <c r="G102" i="19" s="1"/>
  <c r="G99" i="19"/>
  <c r="G101" i="19"/>
  <c r="G100" i="19"/>
  <c r="G99" i="26"/>
  <c r="G101" i="26"/>
  <c r="G98" i="26"/>
  <c r="G102" i="26" s="1"/>
  <c r="G100" i="26"/>
  <c r="G212" i="1"/>
  <c r="F212" i="1" s="1"/>
  <c r="G211" i="1"/>
  <c r="F211" i="1" s="1"/>
  <c r="G213" i="1"/>
  <c r="F213" i="1" s="1"/>
  <c r="G222" i="1"/>
  <c r="F222" i="1" s="1"/>
  <c r="G220" i="1"/>
  <c r="F220" i="1" s="1"/>
  <c r="G221" i="1"/>
  <c r="F221" i="1" s="1"/>
  <c r="G204" i="1"/>
  <c r="F204" i="1" s="1"/>
  <c r="G203" i="1"/>
  <c r="F203" i="1" s="1"/>
  <c r="G202" i="1"/>
  <c r="F202" i="1" s="1"/>
  <c r="G194" i="1"/>
  <c r="F194" i="1" s="1"/>
  <c r="G195" i="1"/>
  <c r="F195" i="1" s="1"/>
  <c r="G193" i="1"/>
  <c r="F193" i="1" s="1"/>
  <c r="G100" i="28"/>
  <c r="G101" i="28"/>
  <c r="G99" i="28"/>
  <c r="G98" i="28"/>
  <c r="G102" i="28" s="1"/>
  <c r="G207" i="1"/>
  <c r="F207" i="1" s="1"/>
  <c r="G205" i="1"/>
  <c r="F205" i="1" s="1"/>
  <c r="G206" i="1"/>
  <c r="F206" i="1" s="1"/>
  <c r="G99" i="24"/>
  <c r="G101" i="24"/>
  <c r="G98" i="24"/>
  <c r="G102" i="24" s="1"/>
  <c r="G100" i="24"/>
  <c r="G98" i="27"/>
  <c r="G102" i="27" s="1"/>
  <c r="G100" i="27"/>
  <c r="G101" i="27"/>
  <c r="G99" i="27"/>
  <c r="G100" i="21"/>
  <c r="G101" i="21"/>
  <c r="G99" i="21"/>
  <c r="G98" i="21"/>
  <c r="G102" i="21" s="1"/>
  <c r="G99" i="18"/>
  <c r="G98" i="18"/>
  <c r="G102" i="18" s="1"/>
  <c r="G100" i="18"/>
  <c r="G101" i="18"/>
  <c r="G224" i="1"/>
  <c r="F224" i="1" s="1"/>
  <c r="G225" i="1"/>
  <c r="F225" i="1" s="1"/>
  <c r="G223" i="1"/>
  <c r="F223" i="1" s="1"/>
  <c r="G101" i="22"/>
  <c r="G98" i="22"/>
  <c r="G102" i="22" s="1"/>
  <c r="G99" i="22"/>
  <c r="G100" i="22"/>
  <c r="G216" i="1"/>
  <c r="F216" i="1" s="1"/>
  <c r="G215" i="1"/>
  <c r="F215" i="1" s="1"/>
  <c r="G214" i="1"/>
  <c r="F214" i="1" s="1"/>
  <c r="G98" i="20"/>
  <c r="G102" i="20" s="1"/>
  <c r="G100" i="20"/>
  <c r="G101" i="20"/>
  <c r="G99" i="20"/>
  <c r="G192" i="1"/>
  <c r="F192" i="1" s="1"/>
  <c r="G190" i="1"/>
  <c r="F190" i="1" s="1"/>
  <c r="G198" i="1"/>
  <c r="F198" i="1" s="1"/>
  <c r="G197" i="1"/>
  <c r="F197" i="1" s="1"/>
  <c r="G196" i="1"/>
  <c r="F196" i="1" s="1"/>
  <c r="G219" i="1"/>
  <c r="F219" i="1" s="1"/>
  <c r="G217" i="1"/>
  <c r="F217" i="1" s="1"/>
  <c r="G218" i="1"/>
  <c r="F218" i="1" s="1"/>
  <c r="C12" i="21"/>
  <c r="D13" i="21"/>
  <c r="D14" i="21" s="1"/>
  <c r="I99" i="18"/>
  <c r="I101" i="18"/>
  <c r="I98" i="18"/>
  <c r="I102" i="18" s="1"/>
  <c r="I100" i="18"/>
  <c r="AK217" i="1"/>
  <c r="AJ217" i="1" s="1"/>
  <c r="AK218" i="1"/>
  <c r="AJ218" i="1" s="1"/>
  <c r="AK219" i="1"/>
  <c r="AJ219" i="1" s="1"/>
  <c r="AK215" i="1"/>
  <c r="AJ215" i="1" s="1"/>
  <c r="AK214" i="1"/>
  <c r="AJ214" i="1" s="1"/>
  <c r="AK216" i="1"/>
  <c r="AJ216" i="1" s="1"/>
  <c r="AK206" i="1"/>
  <c r="AJ206" i="1" s="1"/>
  <c r="AK207" i="1"/>
  <c r="AJ207" i="1" s="1"/>
  <c r="AK205" i="1"/>
  <c r="AJ205" i="1" s="1"/>
  <c r="AK201" i="1"/>
  <c r="AJ201" i="1" s="1"/>
  <c r="AK199" i="1"/>
  <c r="AJ199" i="1" s="1"/>
  <c r="AK200" i="1"/>
  <c r="AJ200" i="1" s="1"/>
  <c r="AK204" i="1"/>
  <c r="AJ204" i="1" s="1"/>
  <c r="AK203" i="1"/>
  <c r="AJ203" i="1" s="1"/>
  <c r="AK202" i="1"/>
  <c r="AJ202" i="1" s="1"/>
  <c r="AK212" i="1"/>
  <c r="AJ212" i="1" s="1"/>
  <c r="AK213" i="1"/>
  <c r="AJ213" i="1" s="1"/>
  <c r="AK211" i="1"/>
  <c r="AJ211" i="1" s="1"/>
  <c r="I98" i="2"/>
  <c r="I102" i="2" s="1"/>
  <c r="I99" i="2"/>
  <c r="I101" i="2"/>
  <c r="I100" i="2"/>
  <c r="I101" i="19"/>
  <c r="I98" i="19"/>
  <c r="I102" i="19" s="1"/>
  <c r="I99" i="19"/>
  <c r="I100" i="19"/>
  <c r="AK225" i="1"/>
  <c r="AJ225" i="1" s="1"/>
  <c r="AK224" i="1"/>
  <c r="AJ224" i="1" s="1"/>
  <c r="AK223" i="1"/>
  <c r="AJ223" i="1" s="1"/>
  <c r="I101" i="27"/>
  <c r="I99" i="27"/>
  <c r="I100" i="27"/>
  <c r="I98" i="27"/>
  <c r="I102" i="27" s="1"/>
  <c r="I101" i="23"/>
  <c r="I98" i="23"/>
  <c r="I102" i="23" s="1"/>
  <c r="E103" i="23" s="1"/>
  <c r="H103" i="23" s="1"/>
  <c r="I84" i="23" s="1"/>
  <c r="I99" i="23"/>
  <c r="I100" i="23"/>
  <c r="I101" i="28"/>
  <c r="I100" i="28"/>
  <c r="I99" i="28"/>
  <c r="I98" i="28"/>
  <c r="I102" i="28" s="1"/>
  <c r="AK221" i="1"/>
  <c r="AJ221" i="1" s="1"/>
  <c r="AK220" i="1"/>
  <c r="AJ220" i="1" s="1"/>
  <c r="AK222" i="1"/>
  <c r="AJ222" i="1" s="1"/>
  <c r="AK208" i="1"/>
  <c r="AJ208" i="1" s="1"/>
  <c r="AK210" i="1"/>
  <c r="AJ210" i="1" s="1"/>
  <c r="AK209" i="1"/>
  <c r="AJ209" i="1" s="1"/>
  <c r="AK195" i="1"/>
  <c r="AJ195" i="1" s="1"/>
  <c r="AK194" i="1"/>
  <c r="AJ194" i="1" s="1"/>
  <c r="AK193" i="1"/>
  <c r="AJ193" i="1" s="1"/>
  <c r="I98" i="26"/>
  <c r="I102" i="26" s="1"/>
  <c r="I100" i="26"/>
  <c r="I101" i="26"/>
  <c r="I99" i="26"/>
  <c r="I99" i="25"/>
  <c r="I100" i="25"/>
  <c r="I101" i="25"/>
  <c r="I98" i="25"/>
  <c r="I102" i="25" s="1"/>
  <c r="I99" i="24"/>
  <c r="I101" i="24"/>
  <c r="I100" i="24"/>
  <c r="I98" i="24"/>
  <c r="I102" i="24" s="1"/>
  <c r="AK190" i="1"/>
  <c r="AJ190" i="1" s="1"/>
  <c r="AK192" i="1"/>
  <c r="AJ192" i="1" s="1"/>
  <c r="AK191" i="1"/>
  <c r="AJ191" i="1" s="1"/>
  <c r="AK197" i="1"/>
  <c r="AJ197" i="1" s="1"/>
  <c r="AK196" i="1"/>
  <c r="AJ196" i="1" s="1"/>
  <c r="AK198" i="1"/>
  <c r="AJ198" i="1" s="1"/>
  <c r="I98" i="22"/>
  <c r="I102" i="22" s="1"/>
  <c r="I101" i="22"/>
  <c r="I99" i="22"/>
  <c r="I100" i="22"/>
  <c r="I101" i="20"/>
  <c r="I100" i="20"/>
  <c r="I99" i="20"/>
  <c r="I98" i="20"/>
  <c r="I102" i="20" s="1"/>
  <c r="I98" i="21"/>
  <c r="I102" i="21" s="1"/>
  <c r="I101" i="21"/>
  <c r="I99" i="21"/>
  <c r="I100" i="21"/>
  <c r="E290" i="1"/>
  <c r="BH282" i="1" s="1"/>
  <c r="J126" i="23"/>
  <c r="BD6" i="23" s="1"/>
  <c r="D13" i="26"/>
  <c r="C13" i="26" s="1"/>
  <c r="H64" i="20"/>
  <c r="H63" i="19"/>
  <c r="H63" i="20"/>
  <c r="D13" i="19"/>
  <c r="C13" i="19" s="1"/>
  <c r="L62" i="2"/>
  <c r="L64" i="21"/>
  <c r="L63" i="23"/>
  <c r="L62" i="21"/>
  <c r="L63" i="20"/>
  <c r="L62" i="20"/>
  <c r="L64" i="2"/>
  <c r="L64" i="23"/>
  <c r="L63" i="21"/>
  <c r="L64" i="19"/>
  <c r="L64" i="28"/>
  <c r="L63" i="28"/>
  <c r="L64" i="26"/>
  <c r="L64" i="18"/>
  <c r="L63" i="25"/>
  <c r="L64" i="22"/>
  <c r="L63" i="27"/>
  <c r="L63" i="22"/>
  <c r="L63" i="19"/>
  <c r="L62" i="24"/>
  <c r="L62" i="28"/>
  <c r="L62" i="18"/>
  <c r="L62" i="25"/>
  <c r="L62" i="22"/>
  <c r="L63" i="26"/>
  <c r="L64" i="25"/>
  <c r="L63" i="18"/>
  <c r="L62" i="19"/>
  <c r="L63" i="2"/>
  <c r="L63" i="24"/>
  <c r="L62" i="26"/>
  <c r="L62" i="27"/>
  <c r="L64" i="20"/>
  <c r="L64" i="27"/>
  <c r="D13" i="28"/>
  <c r="C13" i="28" s="1"/>
  <c r="J64" i="19"/>
  <c r="J63" i="28"/>
  <c r="J63" i="2"/>
  <c r="J63" i="26"/>
  <c r="J62" i="18"/>
  <c r="J64" i="26"/>
  <c r="J62" i="20"/>
  <c r="J63" i="19"/>
  <c r="J134" i="21"/>
  <c r="J62" i="21"/>
  <c r="J62" i="28"/>
  <c r="J63" i="22"/>
  <c r="J63" i="20"/>
  <c r="J62" i="22"/>
  <c r="J64" i="22"/>
  <c r="J62" i="19"/>
  <c r="J64" i="2"/>
  <c r="J64" i="18"/>
  <c r="J64" i="20"/>
  <c r="J62" i="2"/>
  <c r="J63" i="21"/>
  <c r="J64" i="28"/>
  <c r="J62" i="26"/>
  <c r="J63" i="18"/>
  <c r="J63" i="27"/>
  <c r="J62" i="27"/>
  <c r="J64" i="27"/>
  <c r="K62" i="21"/>
  <c r="K62" i="25"/>
  <c r="K64" i="18"/>
  <c r="K62" i="27"/>
  <c r="K63" i="19"/>
  <c r="K64" i="26"/>
  <c r="K64" i="25"/>
  <c r="K62" i="26"/>
  <c r="K63" i="20"/>
  <c r="K64" i="27"/>
  <c r="K62" i="19"/>
  <c r="K62" i="2"/>
  <c r="K64" i="19"/>
  <c r="K63" i="2"/>
  <c r="K63" i="23"/>
  <c r="K63" i="24"/>
  <c r="K62" i="24"/>
  <c r="K62" i="23"/>
  <c r="K64" i="23"/>
  <c r="K64" i="28"/>
  <c r="K63" i="28"/>
  <c r="K63" i="26"/>
  <c r="K63" i="25"/>
  <c r="K63" i="18"/>
  <c r="K64" i="20"/>
  <c r="K62" i="22"/>
  <c r="K134" i="20"/>
  <c r="K62" i="20"/>
  <c r="K62" i="18"/>
  <c r="K64" i="21"/>
  <c r="K63" i="21"/>
  <c r="K64" i="2"/>
  <c r="K64" i="24"/>
  <c r="K62" i="28"/>
  <c r="K63" i="27"/>
  <c r="K64" i="22"/>
  <c r="I63" i="26"/>
  <c r="I64" i="27"/>
  <c r="I63" i="19"/>
  <c r="I62" i="19"/>
  <c r="I62" i="21"/>
  <c r="I64" i="21"/>
  <c r="I64" i="23"/>
  <c r="I64" i="28"/>
  <c r="I62" i="26"/>
  <c r="I63" i="18"/>
  <c r="I64" i="22"/>
  <c r="I63" i="22"/>
  <c r="I62" i="22"/>
  <c r="I62" i="27"/>
  <c r="I62" i="2"/>
  <c r="I62" i="23"/>
  <c r="I62" i="28"/>
  <c r="I64" i="26"/>
  <c r="I64" i="18"/>
  <c r="I64" i="2"/>
  <c r="I62" i="24"/>
  <c r="I63" i="24"/>
  <c r="I63" i="28"/>
  <c r="I63" i="20"/>
  <c r="I64" i="24"/>
  <c r="I64" i="19"/>
  <c r="I62" i="18"/>
  <c r="I63" i="21"/>
  <c r="I135" i="23"/>
  <c r="I63" i="23"/>
  <c r="I62" i="25"/>
  <c r="I64" i="25"/>
  <c r="I63" i="25"/>
  <c r="I64" i="20"/>
  <c r="I62" i="20"/>
  <c r="L135" i="22"/>
  <c r="K134" i="18"/>
  <c r="I135" i="25"/>
  <c r="K134" i="19"/>
  <c r="L136" i="26"/>
  <c r="I134" i="2"/>
  <c r="S182" i="16"/>
  <c r="V182" i="16"/>
  <c r="T182" i="16"/>
  <c r="U182" i="16"/>
  <c r="R182" i="16"/>
  <c r="AK182" i="16"/>
  <c r="BG182" i="16" s="1"/>
  <c r="I172" i="19"/>
  <c r="L172" i="19"/>
  <c r="I170" i="23"/>
  <c r="I166" i="23"/>
  <c r="I171" i="23"/>
  <c r="I167" i="23"/>
  <c r="I163" i="23"/>
  <c r="I172" i="23"/>
  <c r="I168" i="23"/>
  <c r="I164" i="23"/>
  <c r="I169" i="23"/>
  <c r="I165" i="23"/>
  <c r="W14" i="23"/>
  <c r="D13" i="23"/>
  <c r="C13" i="23" s="1"/>
  <c r="W14" i="24"/>
  <c r="D13" i="24"/>
  <c r="C13" i="24" s="1"/>
  <c r="W16" i="2"/>
  <c r="D15" i="2"/>
  <c r="C15" i="2" s="1"/>
  <c r="L192" i="14"/>
  <c r="L198" i="14"/>
  <c r="I172" i="28"/>
  <c r="I168" i="28"/>
  <c r="I164" i="28"/>
  <c r="I169" i="28"/>
  <c r="I165" i="28"/>
  <c r="I170" i="28"/>
  <c r="I166" i="28"/>
  <c r="I171" i="28"/>
  <c r="I167" i="28"/>
  <c r="I163" i="28"/>
  <c r="W15" i="26"/>
  <c r="L204" i="14"/>
  <c r="K169" i="26"/>
  <c r="K165" i="26"/>
  <c r="K170" i="26"/>
  <c r="K166" i="26"/>
  <c r="K171" i="26"/>
  <c r="K167" i="26"/>
  <c r="K163" i="26"/>
  <c r="K172" i="26"/>
  <c r="K168" i="26"/>
  <c r="K164" i="26"/>
  <c r="I172" i="26"/>
  <c r="I168" i="26"/>
  <c r="I164" i="26"/>
  <c r="I169" i="26"/>
  <c r="I165" i="26"/>
  <c r="I170" i="26"/>
  <c r="I166" i="26"/>
  <c r="I171" i="26"/>
  <c r="I167" i="26"/>
  <c r="I163" i="26"/>
  <c r="I170" i="27"/>
  <c r="I166" i="27"/>
  <c r="I171" i="27"/>
  <c r="I167" i="27"/>
  <c r="I163" i="27"/>
  <c r="I172" i="27"/>
  <c r="I168" i="27"/>
  <c r="I164" i="27"/>
  <c r="I169" i="27"/>
  <c r="I165" i="27"/>
  <c r="L172" i="23"/>
  <c r="L170" i="23"/>
  <c r="L168" i="23"/>
  <c r="L166" i="23"/>
  <c r="L164" i="23"/>
  <c r="L171" i="23"/>
  <c r="L169" i="23"/>
  <c r="L167" i="23"/>
  <c r="L165" i="23"/>
  <c r="L163" i="23"/>
  <c r="L172" i="28"/>
  <c r="L170" i="28"/>
  <c r="L168" i="28"/>
  <c r="L166" i="28"/>
  <c r="L164" i="28"/>
  <c r="L171" i="28"/>
  <c r="L169" i="28"/>
  <c r="L167" i="28"/>
  <c r="L165" i="28"/>
  <c r="L163" i="28"/>
  <c r="I172" i="24"/>
  <c r="I168" i="24"/>
  <c r="I164" i="24"/>
  <c r="I169" i="24"/>
  <c r="I165" i="24"/>
  <c r="I170" i="24"/>
  <c r="I166" i="24"/>
  <c r="I171" i="24"/>
  <c r="I167" i="24"/>
  <c r="I163" i="24"/>
  <c r="K172" i="22"/>
  <c r="K169" i="22"/>
  <c r="K165" i="22"/>
  <c r="K170" i="22"/>
  <c r="K166" i="22"/>
  <c r="K171" i="22"/>
  <c r="K167" i="22"/>
  <c r="K163" i="22"/>
  <c r="K168" i="22"/>
  <c r="K164" i="22"/>
  <c r="L172" i="27"/>
  <c r="L170" i="27"/>
  <c r="L168" i="27"/>
  <c r="L166" i="27"/>
  <c r="L164" i="27"/>
  <c r="L171" i="27"/>
  <c r="L169" i="27"/>
  <c r="L167" i="27"/>
  <c r="L165" i="27"/>
  <c r="L163" i="27"/>
  <c r="L172" i="26"/>
  <c r="L170" i="26"/>
  <c r="L168" i="26"/>
  <c r="L166" i="26"/>
  <c r="L164" i="26"/>
  <c r="L171" i="26"/>
  <c r="L169" i="26"/>
  <c r="L167" i="26"/>
  <c r="L165" i="26"/>
  <c r="L163" i="26"/>
  <c r="L216" i="14"/>
  <c r="L210" i="14"/>
  <c r="AE13" i="2"/>
  <c r="W15" i="27"/>
  <c r="BG180" i="16"/>
  <c r="E187" i="14"/>
  <c r="C186" i="14"/>
  <c r="B186" i="14"/>
  <c r="Q186" i="14"/>
  <c r="L186" i="14"/>
  <c r="H119" i="15"/>
  <c r="J186" i="14"/>
  <c r="L172" i="24"/>
  <c r="L170" i="24"/>
  <c r="L168" i="24"/>
  <c r="L166" i="24"/>
  <c r="L164" i="24"/>
  <c r="L171" i="24"/>
  <c r="L169" i="24"/>
  <c r="L167" i="24"/>
  <c r="L165" i="24"/>
  <c r="L163" i="24"/>
  <c r="L172" i="25"/>
  <c r="L170" i="25"/>
  <c r="L168" i="25"/>
  <c r="L166" i="25"/>
  <c r="L164" i="25"/>
  <c r="L171" i="25"/>
  <c r="L169" i="25"/>
  <c r="L167" i="25"/>
  <c r="L165" i="25"/>
  <c r="L163" i="25"/>
  <c r="I172" i="22"/>
  <c r="I168" i="22"/>
  <c r="I164" i="22"/>
  <c r="I169" i="22"/>
  <c r="I165" i="22"/>
  <c r="I170" i="22"/>
  <c r="I166" i="22"/>
  <c r="I171" i="22"/>
  <c r="I167" i="22"/>
  <c r="I163" i="22"/>
  <c r="I170" i="25"/>
  <c r="I166" i="25"/>
  <c r="I171" i="25"/>
  <c r="I167" i="25"/>
  <c r="I163" i="25"/>
  <c r="I172" i="25"/>
  <c r="I168" i="25"/>
  <c r="I164" i="25"/>
  <c r="I169" i="25"/>
  <c r="I165" i="25"/>
  <c r="W15" i="18"/>
  <c r="D14" i="18"/>
  <c r="C14" i="18" s="1"/>
  <c r="W15" i="28"/>
  <c r="L229" i="14"/>
  <c r="K169" i="24"/>
  <c r="K165" i="24"/>
  <c r="K170" i="24"/>
  <c r="K166" i="24"/>
  <c r="K171" i="24"/>
  <c r="K167" i="24"/>
  <c r="K163" i="24"/>
  <c r="K172" i="24"/>
  <c r="K168" i="24"/>
  <c r="K164" i="24"/>
  <c r="K169" i="28"/>
  <c r="K165" i="28"/>
  <c r="K170" i="28"/>
  <c r="K166" i="28"/>
  <c r="K171" i="28"/>
  <c r="K167" i="28"/>
  <c r="K163" i="28"/>
  <c r="K172" i="28"/>
  <c r="K168" i="28"/>
  <c r="K164" i="28"/>
  <c r="K171" i="23"/>
  <c r="K167" i="23"/>
  <c r="K163" i="23"/>
  <c r="K172" i="23"/>
  <c r="K168" i="23"/>
  <c r="K164" i="23"/>
  <c r="K169" i="23"/>
  <c r="K165" i="23"/>
  <c r="K170" i="23"/>
  <c r="K166" i="23"/>
  <c r="L172" i="22"/>
  <c r="L170" i="22"/>
  <c r="L168" i="22"/>
  <c r="L166" i="22"/>
  <c r="L164" i="22"/>
  <c r="L171" i="22"/>
  <c r="L169" i="22"/>
  <c r="L167" i="22"/>
  <c r="L165" i="22"/>
  <c r="L163" i="22"/>
  <c r="K171" i="27"/>
  <c r="K167" i="27"/>
  <c r="K163" i="27"/>
  <c r="K172" i="27"/>
  <c r="K168" i="27"/>
  <c r="K164" i="27"/>
  <c r="K169" i="27"/>
  <c r="K165" i="27"/>
  <c r="K170" i="27"/>
  <c r="K166" i="27"/>
  <c r="K171" i="25"/>
  <c r="K167" i="25"/>
  <c r="K163" i="25"/>
  <c r="K172" i="25"/>
  <c r="K168" i="25"/>
  <c r="K164" i="25"/>
  <c r="K169" i="25"/>
  <c r="K165" i="25"/>
  <c r="K170" i="25"/>
  <c r="K166" i="25"/>
  <c r="K172" i="19"/>
  <c r="W14" i="25"/>
  <c r="D13" i="25"/>
  <c r="C13" i="25" s="1"/>
  <c r="W15" i="19"/>
  <c r="W15" i="21"/>
  <c r="G5" i="23" l="1"/>
  <c r="G45" i="23" s="1"/>
  <c r="G136" i="23" s="1"/>
  <c r="F208" i="1"/>
  <c r="AH38" i="1"/>
  <c r="D137" i="29"/>
  <c r="L137" i="29" s="1"/>
  <c r="BD64" i="2"/>
  <c r="BD63" i="2"/>
  <c r="BB64" i="2"/>
  <c r="BB63" i="2"/>
  <c r="BB64" i="18"/>
  <c r="BB63" i="18"/>
  <c r="BD64" i="18"/>
  <c r="BD63" i="18"/>
  <c r="BF64" i="27"/>
  <c r="BF63" i="27"/>
  <c r="BB64" i="20"/>
  <c r="BB63" i="20"/>
  <c r="BB64" i="25"/>
  <c r="BB63" i="25"/>
  <c r="BB64" i="27"/>
  <c r="BB63" i="27"/>
  <c r="BD64" i="20"/>
  <c r="BD63" i="20"/>
  <c r="BD64" i="22"/>
  <c r="BD63" i="22"/>
  <c r="BD64" i="27"/>
  <c r="BD63" i="27"/>
  <c r="BB64" i="22"/>
  <c r="BB63" i="22"/>
  <c r="BB64" i="21"/>
  <c r="BB63" i="21"/>
  <c r="BB64" i="23"/>
  <c r="BB63" i="23"/>
  <c r="BB64" i="19"/>
  <c r="BB63" i="19"/>
  <c r="BD64" i="28"/>
  <c r="BD63" i="28"/>
  <c r="BB64" i="24"/>
  <c r="BB63" i="24"/>
  <c r="BB64" i="28"/>
  <c r="BB63" i="28"/>
  <c r="BD64" i="21"/>
  <c r="BD63" i="21"/>
  <c r="BD64" i="26"/>
  <c r="BD63" i="26"/>
  <c r="BD64" i="19"/>
  <c r="BD63" i="19"/>
  <c r="BB64" i="26"/>
  <c r="BB63" i="26"/>
  <c r="AO85" i="14"/>
  <c r="AN86" i="14"/>
  <c r="H1" i="22"/>
  <c r="H121" i="22" s="1"/>
  <c r="H120" i="22"/>
  <c r="H74" i="22" s="1"/>
  <c r="H5" i="22"/>
  <c r="H45" i="22" s="1"/>
  <c r="H136" i="22" s="1"/>
  <c r="H74" i="28"/>
  <c r="H5" i="25"/>
  <c r="H45" i="25" s="1"/>
  <c r="H136" i="25" s="1"/>
  <c r="H120" i="25"/>
  <c r="H68" i="25" s="1"/>
  <c r="H4" i="25"/>
  <c r="H44" i="25" s="1"/>
  <c r="H135" i="25" s="1"/>
  <c r="H1" i="25"/>
  <c r="H125" i="25" s="1"/>
  <c r="BB5" i="25" s="1"/>
  <c r="J65" i="24"/>
  <c r="BD65" i="24" s="1"/>
  <c r="J65" i="23"/>
  <c r="BD65" i="23" s="1"/>
  <c r="G65" i="23"/>
  <c r="BA65" i="23" s="1"/>
  <c r="H74" i="21"/>
  <c r="H74" i="23"/>
  <c r="H68" i="27"/>
  <c r="H68" i="19"/>
  <c r="H62" i="19"/>
  <c r="H64" i="27"/>
  <c r="H64" i="19"/>
  <c r="H62" i="20"/>
  <c r="H62" i="22"/>
  <c r="H63" i="2"/>
  <c r="H63" i="26"/>
  <c r="H64" i="2"/>
  <c r="H64" i="18"/>
  <c r="H62" i="18"/>
  <c r="J74" i="22"/>
  <c r="J68" i="22"/>
  <c r="J74" i="21"/>
  <c r="J68" i="21"/>
  <c r="H74" i="18"/>
  <c r="H68" i="18"/>
  <c r="J74" i="28"/>
  <c r="J68" i="28"/>
  <c r="J74" i="18"/>
  <c r="J68" i="18"/>
  <c r="J74" i="20"/>
  <c r="J68" i="20"/>
  <c r="H74" i="26"/>
  <c r="H68" i="26"/>
  <c r="H74" i="20"/>
  <c r="H68" i="20"/>
  <c r="J74" i="26"/>
  <c r="J68" i="26"/>
  <c r="J74" i="19"/>
  <c r="J68" i="19"/>
  <c r="J74" i="2"/>
  <c r="J68" i="2"/>
  <c r="J74" i="27"/>
  <c r="J68" i="27"/>
  <c r="L74" i="27"/>
  <c r="L68" i="27"/>
  <c r="H74" i="24"/>
  <c r="H68" i="24"/>
  <c r="H63" i="27"/>
  <c r="H63" i="22"/>
  <c r="H64" i="26"/>
  <c r="H64" i="28"/>
  <c r="H64" i="25"/>
  <c r="H62" i="24"/>
  <c r="H64" i="21"/>
  <c r="H62" i="27"/>
  <c r="H63" i="21"/>
  <c r="H62" i="21"/>
  <c r="H64" i="23"/>
  <c r="H64" i="24"/>
  <c r="H63" i="18"/>
  <c r="H62" i="2"/>
  <c r="H64" i="22"/>
  <c r="H62" i="23"/>
  <c r="H63" i="28"/>
  <c r="H63" i="25"/>
  <c r="H62" i="25"/>
  <c r="H62" i="26"/>
  <c r="H63" i="23"/>
  <c r="H62" i="28"/>
  <c r="H63" i="24"/>
  <c r="K135" i="22"/>
  <c r="AF288" i="1"/>
  <c r="BF285" i="1" s="1"/>
  <c r="H125" i="26"/>
  <c r="BB5" i="26" s="1"/>
  <c r="H121" i="28"/>
  <c r="H125" i="28"/>
  <c r="BB5" i="28" s="1"/>
  <c r="J121" i="25"/>
  <c r="J125" i="25"/>
  <c r="BD5" i="25" s="1"/>
  <c r="H121" i="20"/>
  <c r="H125" i="20"/>
  <c r="BB5" i="20" s="1"/>
  <c r="H121" i="18"/>
  <c r="H125" i="18"/>
  <c r="BB5" i="18" s="1"/>
  <c r="H121" i="23"/>
  <c r="H125" i="23"/>
  <c r="BB5" i="23" s="1"/>
  <c r="A26" i="29"/>
  <c r="A75" i="29"/>
  <c r="A74" i="29"/>
  <c r="A77" i="29"/>
  <c r="A70" i="29"/>
  <c r="A71" i="29"/>
  <c r="J173" i="28"/>
  <c r="J165" i="28" s="1"/>
  <c r="J121" i="28"/>
  <c r="J121" i="22"/>
  <c r="H173" i="19"/>
  <c r="H164" i="19" s="1"/>
  <c r="H121" i="19"/>
  <c r="AO290" i="1"/>
  <c r="BH286" i="1" s="1"/>
  <c r="J121" i="27"/>
  <c r="J121" i="2"/>
  <c r="J173" i="19"/>
  <c r="J172" i="19" s="1"/>
  <c r="J121" i="19"/>
  <c r="H121" i="21"/>
  <c r="H173" i="26"/>
  <c r="H167" i="26" s="1"/>
  <c r="H121" i="26"/>
  <c r="H121" i="27"/>
  <c r="H126" i="20"/>
  <c r="BB6" i="20" s="1"/>
  <c r="J121" i="21"/>
  <c r="J121" i="20"/>
  <c r="J121" i="18"/>
  <c r="J173" i="26"/>
  <c r="J171" i="26" s="1"/>
  <c r="J121" i="26"/>
  <c r="H121" i="24"/>
  <c r="H121" i="2"/>
  <c r="H126" i="26"/>
  <c r="BB6" i="26" s="1"/>
  <c r="H126" i="19"/>
  <c r="BB6" i="19" s="1"/>
  <c r="H126" i="2"/>
  <c r="BB6" i="2" s="1"/>
  <c r="E278" i="1"/>
  <c r="BF276" i="1" s="1"/>
  <c r="H13" i="14" s="1"/>
  <c r="AO278" i="1"/>
  <c r="BF280" i="1" s="1"/>
  <c r="H126" i="21"/>
  <c r="BB6" i="21" s="1"/>
  <c r="W278" i="1"/>
  <c r="BF278" i="1" s="1"/>
  <c r="E288" i="1"/>
  <c r="BF282" i="1" s="1"/>
  <c r="H173" i="23"/>
  <c r="H126" i="23"/>
  <c r="BB6" i="23" s="1"/>
  <c r="H126" i="24"/>
  <c r="BB6" i="24" s="1"/>
  <c r="N288" i="1"/>
  <c r="BF283" i="1" s="1"/>
  <c r="H173" i="24"/>
  <c r="AX288" i="1"/>
  <c r="BF287" i="1" s="1"/>
  <c r="H126" i="28"/>
  <c r="BB6" i="28" s="1"/>
  <c r="H173" i="28"/>
  <c r="N278" i="1"/>
  <c r="BF277" i="1" s="1"/>
  <c r="H126" i="18"/>
  <c r="BB6" i="18" s="1"/>
  <c r="AO288" i="1"/>
  <c r="BF286" i="1" s="1"/>
  <c r="H126" i="27"/>
  <c r="BB6" i="27" s="1"/>
  <c r="H173" i="27"/>
  <c r="J170" i="23"/>
  <c r="J167" i="23"/>
  <c r="J1" i="24"/>
  <c r="J125" i="24" s="1"/>
  <c r="BD5" i="24" s="1"/>
  <c r="M1" i="22"/>
  <c r="G1" i="18"/>
  <c r="M1" i="23"/>
  <c r="M1" i="24"/>
  <c r="G1" i="19"/>
  <c r="G1" i="21"/>
  <c r="G1" i="27"/>
  <c r="J164" i="23"/>
  <c r="J169" i="23"/>
  <c r="M1" i="26"/>
  <c r="J166" i="23"/>
  <c r="J163" i="23"/>
  <c r="J171" i="23"/>
  <c r="M1" i="27"/>
  <c r="G1" i="26"/>
  <c r="G1" i="25"/>
  <c r="G1" i="28"/>
  <c r="G1" i="22"/>
  <c r="J172" i="23"/>
  <c r="M1" i="25"/>
  <c r="G1" i="20"/>
  <c r="J168" i="23"/>
  <c r="M1" i="19"/>
  <c r="M1" i="2"/>
  <c r="M1" i="18"/>
  <c r="M1" i="28"/>
  <c r="M1" i="21"/>
  <c r="M1" i="20"/>
  <c r="G1" i="2"/>
  <c r="G1" i="24"/>
  <c r="G1" i="23"/>
  <c r="W290" i="1"/>
  <c r="BH284" i="1" s="1"/>
  <c r="J64" i="24"/>
  <c r="J120" i="24"/>
  <c r="J63" i="24"/>
  <c r="J62" i="24"/>
  <c r="J173" i="25"/>
  <c r="J167" i="25" s="1"/>
  <c r="J126" i="25"/>
  <c r="BD6" i="25" s="1"/>
  <c r="J124" i="25"/>
  <c r="J123" i="25" s="1"/>
  <c r="G120" i="23"/>
  <c r="E103" i="2"/>
  <c r="G103" i="2" s="1"/>
  <c r="E103" i="21"/>
  <c r="I103" i="21" s="1"/>
  <c r="E103" i="18"/>
  <c r="H103" i="18" s="1"/>
  <c r="I83" i="18" s="1"/>
  <c r="J64" i="23"/>
  <c r="AF290" i="1"/>
  <c r="BH285" i="1" s="1"/>
  <c r="J126" i="20"/>
  <c r="BD6" i="20" s="1"/>
  <c r="AX280" i="1"/>
  <c r="BH281" i="1" s="1"/>
  <c r="AF280" i="1"/>
  <c r="BH279" i="1" s="1"/>
  <c r="J126" i="27"/>
  <c r="BD6" i="27" s="1"/>
  <c r="J126" i="2"/>
  <c r="BD6" i="2" s="1"/>
  <c r="J126" i="21"/>
  <c r="BD6" i="21" s="1"/>
  <c r="AO280" i="1"/>
  <c r="BH280" i="1" s="1"/>
  <c r="J126" i="26"/>
  <c r="BD6" i="26" s="1"/>
  <c r="E280" i="1"/>
  <c r="BH276" i="1" s="1"/>
  <c r="P13" i="14" s="1"/>
  <c r="J173" i="22"/>
  <c r="J169" i="22" s="1"/>
  <c r="J126" i="22"/>
  <c r="BD6" i="22" s="1"/>
  <c r="J126" i="18"/>
  <c r="BD6" i="18" s="1"/>
  <c r="N280" i="1"/>
  <c r="BH277" i="1" s="1"/>
  <c r="J120" i="23"/>
  <c r="J63" i="23"/>
  <c r="W280" i="1"/>
  <c r="BH278" i="1" s="1"/>
  <c r="J126" i="19"/>
  <c r="BD6" i="19" s="1"/>
  <c r="J62" i="23"/>
  <c r="J173" i="27"/>
  <c r="J165" i="27" s="1"/>
  <c r="G64" i="23"/>
  <c r="G62" i="23"/>
  <c r="G63" i="23"/>
  <c r="J126" i="28"/>
  <c r="BD6" i="28" s="1"/>
  <c r="AX290" i="1"/>
  <c r="BH287" i="1" s="1"/>
  <c r="D14" i="27"/>
  <c r="C14" i="27" s="1"/>
  <c r="G135" i="23"/>
  <c r="E103" i="26"/>
  <c r="H103" i="26" s="1"/>
  <c r="I83" i="26" s="1"/>
  <c r="E103" i="27"/>
  <c r="I103" i="27" s="1"/>
  <c r="I83" i="23"/>
  <c r="I103" i="23"/>
  <c r="J83" i="23" s="1"/>
  <c r="G103" i="23"/>
  <c r="H83" i="23" s="1"/>
  <c r="E103" i="20"/>
  <c r="G103" i="20" s="1"/>
  <c r="H83" i="20" s="1"/>
  <c r="E103" i="22"/>
  <c r="G103" i="22" s="1"/>
  <c r="H83" i="22" s="1"/>
  <c r="E103" i="25"/>
  <c r="H103" i="25" s="1"/>
  <c r="E103" i="24"/>
  <c r="G103" i="24" s="1"/>
  <c r="H84" i="24" s="1"/>
  <c r="D14" i="26"/>
  <c r="C14" i="26" s="1"/>
  <c r="E103" i="28"/>
  <c r="E103" i="19"/>
  <c r="H103" i="19" s="1"/>
  <c r="I83" i="19" s="1"/>
  <c r="G124" i="26"/>
  <c r="G5" i="26"/>
  <c r="G45" i="26" s="1"/>
  <c r="G124" i="19"/>
  <c r="G5" i="19"/>
  <c r="G45" i="19" s="1"/>
  <c r="G6" i="2"/>
  <c r="G43" i="2" s="1"/>
  <c r="G6" i="25"/>
  <c r="G43" i="25" s="1"/>
  <c r="G124" i="28"/>
  <c r="G5" i="28"/>
  <c r="G45" i="28" s="1"/>
  <c r="G4" i="21"/>
  <c r="G44" i="21" s="1"/>
  <c r="G4" i="27"/>
  <c r="G44" i="27" s="1"/>
  <c r="G124" i="24"/>
  <c r="G5" i="24"/>
  <c r="G45" i="24" s="1"/>
  <c r="G6" i="20"/>
  <c r="G43" i="20" s="1"/>
  <c r="G4" i="26"/>
  <c r="G44" i="26" s="1"/>
  <c r="G6" i="19"/>
  <c r="G43" i="19" s="1"/>
  <c r="G124" i="22"/>
  <c r="G5" i="22"/>
  <c r="G45" i="22" s="1"/>
  <c r="G4" i="18"/>
  <c r="G44" i="18" s="1"/>
  <c r="G124" i="21"/>
  <c r="G5" i="21"/>
  <c r="G45" i="21" s="1"/>
  <c r="G6" i="27"/>
  <c r="G43" i="27" s="1"/>
  <c r="G4" i="20"/>
  <c r="G44" i="20" s="1"/>
  <c r="G6" i="26"/>
  <c r="G43" i="26" s="1"/>
  <c r="G124" i="2"/>
  <c r="G5" i="2"/>
  <c r="G45" i="2" s="1"/>
  <c r="G4" i="25"/>
  <c r="G44" i="25" s="1"/>
  <c r="G4" i="28"/>
  <c r="G44" i="28" s="1"/>
  <c r="G4" i="22"/>
  <c r="G44" i="22" s="1"/>
  <c r="G6" i="18"/>
  <c r="G43" i="18" s="1"/>
  <c r="G6" i="21"/>
  <c r="G43" i="21" s="1"/>
  <c r="G6" i="24"/>
  <c r="G43" i="24" s="1"/>
  <c r="G124" i="20"/>
  <c r="G5" i="20"/>
  <c r="G45" i="20" s="1"/>
  <c r="G4" i="19"/>
  <c r="G44" i="19" s="1"/>
  <c r="G4" i="2"/>
  <c r="G44" i="2" s="1"/>
  <c r="G124" i="25"/>
  <c r="G5" i="25"/>
  <c r="G45" i="25" s="1"/>
  <c r="G6" i="28"/>
  <c r="G43" i="28" s="1"/>
  <c r="G6" i="22"/>
  <c r="G43" i="22" s="1"/>
  <c r="G124" i="18"/>
  <c r="G5" i="18"/>
  <c r="G45" i="18" s="1"/>
  <c r="G124" i="27"/>
  <c r="G5" i="27"/>
  <c r="G45" i="27" s="1"/>
  <c r="G4" i="24"/>
  <c r="G44" i="24" s="1"/>
  <c r="C13" i="21"/>
  <c r="C14" i="21" s="1"/>
  <c r="M4" i="19"/>
  <c r="M44" i="19" s="1"/>
  <c r="M4" i="2"/>
  <c r="M44" i="2" s="1"/>
  <c r="M4" i="18"/>
  <c r="M44" i="18" s="1"/>
  <c r="M6" i="23"/>
  <c r="M43" i="23" s="1"/>
  <c r="M124" i="27"/>
  <c r="M5" i="27"/>
  <c r="M45" i="27" s="1"/>
  <c r="M4" i="28"/>
  <c r="M44" i="28" s="1"/>
  <c r="M4" i="21"/>
  <c r="M44" i="21" s="1"/>
  <c r="M4" i="20"/>
  <c r="M44" i="20" s="1"/>
  <c r="M124" i="22"/>
  <c r="M5" i="22"/>
  <c r="M45" i="22" s="1"/>
  <c r="M4" i="25"/>
  <c r="M44" i="25" s="1"/>
  <c r="M4" i="26"/>
  <c r="M44" i="26" s="1"/>
  <c r="M124" i="19"/>
  <c r="M5" i="19"/>
  <c r="M45" i="19" s="1"/>
  <c r="M124" i="18"/>
  <c r="M5" i="18"/>
  <c r="M45" i="18" s="1"/>
  <c r="M4" i="23"/>
  <c r="M44" i="23" s="1"/>
  <c r="M124" i="28"/>
  <c r="M5" i="28"/>
  <c r="M45" i="28" s="1"/>
  <c r="M4" i="24"/>
  <c r="M44" i="24" s="1"/>
  <c r="M124" i="21"/>
  <c r="M5" i="21"/>
  <c r="M45" i="21" s="1"/>
  <c r="M6" i="20"/>
  <c r="M43" i="20" s="1"/>
  <c r="M124" i="25"/>
  <c r="M5" i="25"/>
  <c r="M45" i="25" s="1"/>
  <c r="M124" i="2"/>
  <c r="M5" i="2"/>
  <c r="M45" i="2" s="1"/>
  <c r="M6" i="18"/>
  <c r="M43" i="18" s="1"/>
  <c r="M6" i="27"/>
  <c r="M43" i="27" s="1"/>
  <c r="M6" i="28"/>
  <c r="M43" i="28" s="1"/>
  <c r="M6" i="24"/>
  <c r="M43" i="24" s="1"/>
  <c r="M6" i="21"/>
  <c r="M43" i="21" s="1"/>
  <c r="M4" i="22"/>
  <c r="M44" i="22" s="1"/>
  <c r="M6" i="26"/>
  <c r="M43" i="26" s="1"/>
  <c r="M6" i="19"/>
  <c r="M43" i="19" s="1"/>
  <c r="M6" i="2"/>
  <c r="M43" i="2" s="1"/>
  <c r="M124" i="23"/>
  <c r="M5" i="23"/>
  <c r="M45" i="23" s="1"/>
  <c r="M4" i="27"/>
  <c r="M44" i="27" s="1"/>
  <c r="M124" i="24"/>
  <c r="M5" i="24"/>
  <c r="M45" i="24" s="1"/>
  <c r="M124" i="20"/>
  <c r="M5" i="20"/>
  <c r="M45" i="20" s="1"/>
  <c r="M6" i="22"/>
  <c r="M43" i="22" s="1"/>
  <c r="M6" i="25"/>
  <c r="M43" i="25" s="1"/>
  <c r="M124" i="26"/>
  <c r="M5" i="26"/>
  <c r="M45" i="26" s="1"/>
  <c r="D14" i="19"/>
  <c r="C14" i="19" s="1"/>
  <c r="D14" i="28"/>
  <c r="C14" i="28" s="1"/>
  <c r="J178" i="16"/>
  <c r="AE14" i="2"/>
  <c r="W16" i="27"/>
  <c r="W16" i="26"/>
  <c r="E188" i="14"/>
  <c r="B187" i="14"/>
  <c r="C187" i="14"/>
  <c r="Q187" i="14"/>
  <c r="H120" i="15"/>
  <c r="J187" i="14"/>
  <c r="W16" i="19"/>
  <c r="L211" i="14"/>
  <c r="W15" i="25"/>
  <c r="D14" i="25"/>
  <c r="C14" i="25" s="1"/>
  <c r="W15" i="24"/>
  <c r="D14" i="24"/>
  <c r="C14" i="24" s="1"/>
  <c r="W16" i="18"/>
  <c r="D15" i="18"/>
  <c r="C15" i="18" s="1"/>
  <c r="BG177" i="16"/>
  <c r="Z182" i="16"/>
  <c r="AD182" i="16" s="1"/>
  <c r="W15" i="23"/>
  <c r="D14" i="23"/>
  <c r="C14" i="23" s="1"/>
  <c r="L205" i="14"/>
  <c r="L199" i="14"/>
  <c r="W16" i="21"/>
  <c r="D15" i="21"/>
  <c r="L236" i="14"/>
  <c r="W16" i="28"/>
  <c r="L193" i="14"/>
  <c r="D186" i="14"/>
  <c r="L217" i="14"/>
  <c r="L223" i="14"/>
  <c r="W17" i="2"/>
  <c r="D16" i="2"/>
  <c r="C16" i="2" s="1"/>
  <c r="H8" i="14" l="1"/>
  <c r="H9" i="14"/>
  <c r="H7" i="14"/>
  <c r="P8" i="14"/>
  <c r="P7" i="14"/>
  <c r="P9" i="14"/>
  <c r="BD64" i="23"/>
  <c r="BD63" i="23"/>
  <c r="BD64" i="24"/>
  <c r="BD63" i="24"/>
  <c r="AO86" i="14"/>
  <c r="AN87" i="14"/>
  <c r="H68" i="22"/>
  <c r="H173" i="22"/>
  <c r="H163" i="22" s="1"/>
  <c r="AX278" i="1"/>
  <c r="BF281" i="1" s="1"/>
  <c r="H125" i="22"/>
  <c r="BB5" i="22" s="1"/>
  <c r="H126" i="22"/>
  <c r="BB6" i="22" s="1"/>
  <c r="H121" i="25"/>
  <c r="H74" i="25"/>
  <c r="H126" i="25"/>
  <c r="BB6" i="25" s="1"/>
  <c r="H173" i="25"/>
  <c r="H163" i="25" s="1"/>
  <c r="W288" i="1"/>
  <c r="BF284" i="1" s="1"/>
  <c r="J65" i="25"/>
  <c r="BD65" i="25" s="1"/>
  <c r="D187" i="14"/>
  <c r="G74" i="23"/>
  <c r="G68" i="23"/>
  <c r="J74" i="23"/>
  <c r="J68" i="23"/>
  <c r="J74" i="24"/>
  <c r="J68" i="24"/>
  <c r="J164" i="28"/>
  <c r="BQ46" i="30"/>
  <c r="BQ45" i="30"/>
  <c r="BQ43" i="30"/>
  <c r="BQ51" i="30"/>
  <c r="BQ54" i="30"/>
  <c r="BQ53" i="30"/>
  <c r="BM46" i="30"/>
  <c r="BM45" i="30"/>
  <c r="BM43" i="30"/>
  <c r="BM53" i="30"/>
  <c r="BM51" i="30"/>
  <c r="BM54" i="30"/>
  <c r="BK45" i="30"/>
  <c r="BK43" i="30"/>
  <c r="BK46" i="30"/>
  <c r="BK53" i="30"/>
  <c r="BK54" i="30"/>
  <c r="BK51" i="30"/>
  <c r="BJ46" i="30"/>
  <c r="BJ45" i="30"/>
  <c r="BJ43" i="30"/>
  <c r="BG51" i="30"/>
  <c r="BG53" i="30"/>
  <c r="BG54" i="30"/>
  <c r="BN46" i="30"/>
  <c r="BN45" i="30"/>
  <c r="BN43" i="30"/>
  <c r="BN53" i="30"/>
  <c r="BN54" i="30"/>
  <c r="BN51" i="30"/>
  <c r="BF46" i="30"/>
  <c r="BF45" i="30"/>
  <c r="BF43" i="30"/>
  <c r="BF53" i="30"/>
  <c r="BF51" i="30"/>
  <c r="BF54" i="30"/>
  <c r="BI46" i="30"/>
  <c r="BI45" i="30"/>
  <c r="BI43" i="30"/>
  <c r="BH53" i="30"/>
  <c r="BH54" i="30"/>
  <c r="BH51" i="30"/>
  <c r="G125" i="23"/>
  <c r="BA5" i="23" s="1"/>
  <c r="BL46" i="30"/>
  <c r="BL45" i="30"/>
  <c r="BL43" i="30"/>
  <c r="BL54" i="30"/>
  <c r="BL51" i="30"/>
  <c r="BL53" i="30"/>
  <c r="BO43" i="30"/>
  <c r="BO46" i="30"/>
  <c r="BO45" i="30"/>
  <c r="BO53" i="30"/>
  <c r="BO54" i="30"/>
  <c r="BO51" i="30"/>
  <c r="BP46" i="30"/>
  <c r="BP45" i="30"/>
  <c r="BP43" i="30"/>
  <c r="M121" i="20"/>
  <c r="M125" i="20"/>
  <c r="BG5" i="20" s="1"/>
  <c r="M121" i="2"/>
  <c r="M125" i="2"/>
  <c r="BG5" i="2" s="1"/>
  <c r="M121" i="25"/>
  <c r="M125" i="25"/>
  <c r="BG5" i="25" s="1"/>
  <c r="G121" i="25"/>
  <c r="G125" i="25"/>
  <c r="BA5" i="25" s="1"/>
  <c r="M121" i="24"/>
  <c r="M125" i="24"/>
  <c r="BG5" i="24" s="1"/>
  <c r="M121" i="21"/>
  <c r="M125" i="21"/>
  <c r="BG5" i="21" s="1"/>
  <c r="M121" i="19"/>
  <c r="M125" i="19"/>
  <c r="BG5" i="19" s="1"/>
  <c r="G121" i="26"/>
  <c r="G125" i="26"/>
  <c r="BA5" i="26" s="1"/>
  <c r="G121" i="27"/>
  <c r="G125" i="27"/>
  <c r="BA5" i="27" s="1"/>
  <c r="M121" i="23"/>
  <c r="M125" i="23"/>
  <c r="BG5" i="23" s="1"/>
  <c r="G121" i="24"/>
  <c r="G125" i="24"/>
  <c r="BA5" i="24" s="1"/>
  <c r="M121" i="28"/>
  <c r="M125" i="28"/>
  <c r="BG5" i="28" s="1"/>
  <c r="G121" i="22"/>
  <c r="G125" i="22"/>
  <c r="BA5" i="22" s="1"/>
  <c r="M121" i="27"/>
  <c r="M125" i="27"/>
  <c r="BG5" i="27" s="1"/>
  <c r="M121" i="26"/>
  <c r="M125" i="26"/>
  <c r="BG5" i="26" s="1"/>
  <c r="G121" i="21"/>
  <c r="G125" i="21"/>
  <c r="BA5" i="21" s="1"/>
  <c r="G121" i="18"/>
  <c r="G125" i="18"/>
  <c r="BA5" i="18" s="1"/>
  <c r="G121" i="2"/>
  <c r="G125" i="2"/>
  <c r="BA5" i="2" s="1"/>
  <c r="M121" i="18"/>
  <c r="M125" i="18"/>
  <c r="BG5" i="18" s="1"/>
  <c r="G121" i="20"/>
  <c r="G125" i="20"/>
  <c r="BA5" i="20" s="1"/>
  <c r="G121" i="28"/>
  <c r="G125" i="28"/>
  <c r="BA5" i="28" s="1"/>
  <c r="G121" i="19"/>
  <c r="G125" i="19"/>
  <c r="BA5" i="19" s="1"/>
  <c r="M121" i="22"/>
  <c r="M125" i="22"/>
  <c r="BG5" i="22" s="1"/>
  <c r="J171" i="28"/>
  <c r="A30" i="29"/>
  <c r="A79" i="29"/>
  <c r="A78" i="29"/>
  <c r="A81" i="29"/>
  <c r="H172" i="19"/>
  <c r="H168" i="19"/>
  <c r="J163" i="28"/>
  <c r="H169" i="19"/>
  <c r="H163" i="19"/>
  <c r="H166" i="19"/>
  <c r="J168" i="28"/>
  <c r="J169" i="28"/>
  <c r="J170" i="28"/>
  <c r="H167" i="19"/>
  <c r="H171" i="19"/>
  <c r="H165" i="19"/>
  <c r="J167" i="28"/>
  <c r="J166" i="28"/>
  <c r="J172" i="28"/>
  <c r="H170" i="19"/>
  <c r="J167" i="26"/>
  <c r="J163" i="26"/>
  <c r="J165" i="26"/>
  <c r="H168" i="26"/>
  <c r="J170" i="26"/>
  <c r="J164" i="26"/>
  <c r="J166" i="26"/>
  <c r="J168" i="26"/>
  <c r="J169" i="26"/>
  <c r="J172" i="26"/>
  <c r="G121" i="23"/>
  <c r="H165" i="26"/>
  <c r="H166" i="26"/>
  <c r="H169" i="26"/>
  <c r="H172" i="26"/>
  <c r="H170" i="26"/>
  <c r="H163" i="26"/>
  <c r="N290" i="1"/>
  <c r="BH283" i="1" s="1"/>
  <c r="J121" i="24"/>
  <c r="H164" i="26"/>
  <c r="H171" i="26"/>
  <c r="H166" i="27"/>
  <c r="H167" i="27"/>
  <c r="H172" i="27"/>
  <c r="H164" i="27"/>
  <c r="H165" i="27"/>
  <c r="H168" i="27"/>
  <c r="H169" i="27"/>
  <c r="H170" i="27"/>
  <c r="H171" i="27"/>
  <c r="H163" i="27"/>
  <c r="H166" i="28"/>
  <c r="H167" i="28"/>
  <c r="H171" i="28"/>
  <c r="H172" i="28"/>
  <c r="H164" i="28"/>
  <c r="H165" i="28"/>
  <c r="H170" i="28"/>
  <c r="H168" i="28"/>
  <c r="H169" i="28"/>
  <c r="H163" i="28"/>
  <c r="H170" i="23"/>
  <c r="H171" i="23"/>
  <c r="H163" i="23"/>
  <c r="H167" i="23"/>
  <c r="H168" i="23"/>
  <c r="H169" i="23"/>
  <c r="H166" i="23"/>
  <c r="H172" i="23"/>
  <c r="H164" i="23"/>
  <c r="H165" i="23"/>
  <c r="H168" i="24"/>
  <c r="H169" i="24"/>
  <c r="H172" i="24"/>
  <c r="H166" i="24"/>
  <c r="H167" i="24"/>
  <c r="H165" i="24"/>
  <c r="H170" i="24"/>
  <c r="H171" i="24"/>
  <c r="H163" i="24"/>
  <c r="H164" i="24"/>
  <c r="J126" i="24"/>
  <c r="BD6" i="24" s="1"/>
  <c r="J173" i="24"/>
  <c r="J169" i="24" s="1"/>
  <c r="J64" i="25"/>
  <c r="J120" i="25"/>
  <c r="J165" i="25"/>
  <c r="J163" i="25"/>
  <c r="J171" i="25"/>
  <c r="J164" i="25"/>
  <c r="J166" i="25"/>
  <c r="J172" i="25"/>
  <c r="J170" i="25"/>
  <c r="J169" i="25"/>
  <c r="J168" i="25"/>
  <c r="J63" i="25"/>
  <c r="J62" i="25"/>
  <c r="H103" i="2"/>
  <c r="I103" i="2"/>
  <c r="G103" i="21"/>
  <c r="H84" i="21" s="1"/>
  <c r="H103" i="21"/>
  <c r="I84" i="21" s="1"/>
  <c r="I103" i="18"/>
  <c r="J83" i="18" s="1"/>
  <c r="I84" i="18"/>
  <c r="G103" i="18"/>
  <c r="H83" i="18" s="1"/>
  <c r="J167" i="22"/>
  <c r="G126" i="23"/>
  <c r="BA6" i="23" s="1"/>
  <c r="G173" i="23"/>
  <c r="G168" i="23" s="1"/>
  <c r="E287" i="1"/>
  <c r="BE282" i="1" s="1"/>
  <c r="J163" i="22"/>
  <c r="J168" i="22"/>
  <c r="J170" i="22"/>
  <c r="J165" i="22"/>
  <c r="J169" i="27"/>
  <c r="J164" i="22"/>
  <c r="J171" i="22"/>
  <c r="J172" i="22"/>
  <c r="J166" i="22"/>
  <c r="J170" i="27"/>
  <c r="J172" i="27"/>
  <c r="J168" i="27"/>
  <c r="J164" i="27"/>
  <c r="J171" i="27"/>
  <c r="J167" i="27"/>
  <c r="J166" i="27"/>
  <c r="J163" i="27"/>
  <c r="M123" i="24"/>
  <c r="M123" i="28"/>
  <c r="G123" i="21"/>
  <c r="G123" i="24"/>
  <c r="M123" i="23"/>
  <c r="M123" i="21"/>
  <c r="G123" i="27"/>
  <c r="M123" i="18"/>
  <c r="G123" i="18"/>
  <c r="G123" i="25"/>
  <c r="G123" i="20"/>
  <c r="G123" i="2"/>
  <c r="G123" i="22"/>
  <c r="M123" i="2"/>
  <c r="G123" i="28"/>
  <c r="G123" i="19"/>
  <c r="M123" i="19"/>
  <c r="M123" i="22"/>
  <c r="M123" i="26"/>
  <c r="M123" i="20"/>
  <c r="M123" i="25"/>
  <c r="M123" i="27"/>
  <c r="G123" i="26"/>
  <c r="D15" i="27"/>
  <c r="C15" i="27" s="1"/>
  <c r="D15" i="26"/>
  <c r="C15" i="26" s="1"/>
  <c r="G103" i="27"/>
  <c r="H83" i="27" s="1"/>
  <c r="G103" i="25"/>
  <c r="H84" i="25" s="1"/>
  <c r="I103" i="25"/>
  <c r="J83" i="25" s="1"/>
  <c r="H103" i="27"/>
  <c r="I83" i="27" s="1"/>
  <c r="I103" i="20"/>
  <c r="J84" i="20" s="1"/>
  <c r="H84" i="20"/>
  <c r="H84" i="23"/>
  <c r="J84" i="23"/>
  <c r="I103" i="26"/>
  <c r="G103" i="26"/>
  <c r="H103" i="20"/>
  <c r="I84" i="20" s="1"/>
  <c r="H103" i="22"/>
  <c r="I84" i="22" s="1"/>
  <c r="H84" i="22"/>
  <c r="G126" i="24"/>
  <c r="BA6" i="24" s="1"/>
  <c r="I103" i="22"/>
  <c r="J84" i="22" s="1"/>
  <c r="G103" i="19"/>
  <c r="I84" i="19"/>
  <c r="I103" i="19"/>
  <c r="J83" i="19" s="1"/>
  <c r="H103" i="24"/>
  <c r="I103" i="24"/>
  <c r="M173" i="27"/>
  <c r="G126" i="25"/>
  <c r="BA6" i="25" s="1"/>
  <c r="I103" i="28"/>
  <c r="G103" i="28"/>
  <c r="H103" i="28"/>
  <c r="G135" i="24"/>
  <c r="G136" i="18"/>
  <c r="G134" i="28"/>
  <c r="G135" i="2"/>
  <c r="G136" i="20"/>
  <c r="G134" i="21"/>
  <c r="G135" i="22"/>
  <c r="G135" i="25"/>
  <c r="G134" i="26"/>
  <c r="G134" i="27"/>
  <c r="G135" i="18"/>
  <c r="G134" i="19"/>
  <c r="G134" i="20"/>
  <c r="G135" i="27"/>
  <c r="G136" i="28"/>
  <c r="G134" i="2"/>
  <c r="G136" i="26"/>
  <c r="H83" i="24"/>
  <c r="G136" i="27"/>
  <c r="G134" i="22"/>
  <c r="G136" i="25"/>
  <c r="G135" i="19"/>
  <c r="G134" i="24"/>
  <c r="G134" i="18"/>
  <c r="G135" i="28"/>
  <c r="G136" i="2"/>
  <c r="G135" i="20"/>
  <c r="G136" i="21"/>
  <c r="G136" i="22"/>
  <c r="G135" i="26"/>
  <c r="G136" i="24"/>
  <c r="G135" i="21"/>
  <c r="G134" i="25"/>
  <c r="G136" i="19"/>
  <c r="D15" i="19"/>
  <c r="C15" i="19" s="1"/>
  <c r="I84" i="26"/>
  <c r="C15" i="21"/>
  <c r="M136" i="24"/>
  <c r="M135" i="20"/>
  <c r="M135" i="28"/>
  <c r="M135" i="2"/>
  <c r="M136" i="26"/>
  <c r="M134" i="22"/>
  <c r="M135" i="25"/>
  <c r="M134" i="23"/>
  <c r="J83" i="27"/>
  <c r="J84" i="27"/>
  <c r="M134" i="19"/>
  <c r="M135" i="22"/>
  <c r="M134" i="27"/>
  <c r="I84" i="25"/>
  <c r="I83" i="25"/>
  <c r="M136" i="25"/>
  <c r="M136" i="21"/>
  <c r="M136" i="28"/>
  <c r="M136" i="18"/>
  <c r="M134" i="25"/>
  <c r="M136" i="20"/>
  <c r="M135" i="26"/>
  <c r="M136" i="22"/>
  <c r="M135" i="21"/>
  <c r="M136" i="27"/>
  <c r="M135" i="18"/>
  <c r="M135" i="19"/>
  <c r="J83" i="21"/>
  <c r="J84" i="21"/>
  <c r="M136" i="23"/>
  <c r="M134" i="24"/>
  <c r="M135" i="27"/>
  <c r="M134" i="2"/>
  <c r="M134" i="26"/>
  <c r="M134" i="21"/>
  <c r="M134" i="28"/>
  <c r="M134" i="18"/>
  <c r="M136" i="2"/>
  <c r="M134" i="20"/>
  <c r="M135" i="24"/>
  <c r="M135" i="23"/>
  <c r="M136" i="19"/>
  <c r="D15" i="28"/>
  <c r="C15" i="28" s="1"/>
  <c r="AE15" i="2"/>
  <c r="W18" i="2"/>
  <c r="D17" i="2"/>
  <c r="C17" i="2" s="1"/>
  <c r="L243" i="14"/>
  <c r="W17" i="19"/>
  <c r="E189" i="14"/>
  <c r="C188" i="14"/>
  <c r="B188" i="14"/>
  <c r="Q188" i="14"/>
  <c r="H121" i="15"/>
  <c r="J188" i="14"/>
  <c r="W17" i="26"/>
  <c r="W17" i="27"/>
  <c r="W17" i="28"/>
  <c r="L218" i="14"/>
  <c r="W17" i="21"/>
  <c r="D16" i="21"/>
  <c r="W16" i="23"/>
  <c r="D15" i="23"/>
  <c r="C15" i="23" s="1"/>
  <c r="L200" i="14"/>
  <c r="L206" i="14"/>
  <c r="L212" i="14"/>
  <c r="W16" i="24"/>
  <c r="D15" i="24"/>
  <c r="C15" i="24" s="1"/>
  <c r="W16" i="25"/>
  <c r="D15" i="25"/>
  <c r="C15" i="25" s="1"/>
  <c r="L230" i="14"/>
  <c r="L224" i="14"/>
  <c r="AG182" i="16"/>
  <c r="AJ182" i="16"/>
  <c r="AE182" i="16"/>
  <c r="AI182" i="16"/>
  <c r="AF182" i="16"/>
  <c r="AH182" i="16"/>
  <c r="W17" i="18"/>
  <c r="D16" i="18"/>
  <c r="C16" i="18" s="1"/>
  <c r="BD64" i="25" l="1"/>
  <c r="BD63" i="25"/>
  <c r="AO87" i="14"/>
  <c r="AN88" i="14"/>
  <c r="H170" i="22"/>
  <c r="H165" i="22"/>
  <c r="H169" i="22"/>
  <c r="H166" i="22"/>
  <c r="H172" i="22"/>
  <c r="H171" i="22"/>
  <c r="H164" i="22"/>
  <c r="H168" i="22"/>
  <c r="H167" i="22"/>
  <c r="H168" i="25"/>
  <c r="H164" i="25"/>
  <c r="H172" i="25"/>
  <c r="H169" i="25"/>
  <c r="H166" i="25"/>
  <c r="H170" i="25"/>
  <c r="H165" i="25"/>
  <c r="H167" i="25"/>
  <c r="H171" i="25"/>
  <c r="M65" i="26"/>
  <c r="BG65" i="26" s="1"/>
  <c r="G65" i="28"/>
  <c r="BA65" i="28" s="1"/>
  <c r="G65" i="27"/>
  <c r="BA65" i="27" s="1"/>
  <c r="M65" i="22"/>
  <c r="BG65" i="22" s="1"/>
  <c r="G65" i="25"/>
  <c r="BA65" i="25" s="1"/>
  <c r="M65" i="20"/>
  <c r="BG65" i="20" s="1"/>
  <c r="G65" i="19"/>
  <c r="BA65" i="19" s="1"/>
  <c r="G65" i="2"/>
  <c r="BA65" i="2" s="1"/>
  <c r="M65" i="18"/>
  <c r="BG65" i="18" s="1"/>
  <c r="G65" i="24"/>
  <c r="BA65" i="24" s="1"/>
  <c r="G65" i="26"/>
  <c r="BA65" i="26" s="1"/>
  <c r="G65" i="20"/>
  <c r="BA65" i="20" s="1"/>
  <c r="G65" i="21"/>
  <c r="BA65" i="21" s="1"/>
  <c r="M65" i="27"/>
  <c r="BG65" i="27" s="1"/>
  <c r="M65" i="2"/>
  <c r="BG65" i="2" s="1"/>
  <c r="M65" i="21"/>
  <c r="BG65" i="21" s="1"/>
  <c r="M65" i="28"/>
  <c r="BG65" i="28" s="1"/>
  <c r="M65" i="25"/>
  <c r="BG65" i="25" s="1"/>
  <c r="M65" i="19"/>
  <c r="BG65" i="19" s="1"/>
  <c r="G65" i="22"/>
  <c r="BA65" i="22" s="1"/>
  <c r="G65" i="18"/>
  <c r="BA65" i="18" s="1"/>
  <c r="M65" i="23"/>
  <c r="BG65" i="23" s="1"/>
  <c r="M65" i="24"/>
  <c r="BG65" i="24" s="1"/>
  <c r="D188" i="14"/>
  <c r="CO359" i="14"/>
  <c r="CO355" i="14"/>
  <c r="CO351" i="14"/>
  <c r="CO347" i="14"/>
  <c r="CO343" i="14"/>
  <c r="CO339" i="14"/>
  <c r="CO335" i="14"/>
  <c r="CO358" i="14"/>
  <c r="CO354" i="14"/>
  <c r="CO350" i="14"/>
  <c r="CO346" i="14"/>
  <c r="CO342" i="14"/>
  <c r="CO338" i="14"/>
  <c r="CO334" i="14"/>
  <c r="CO360" i="14"/>
  <c r="CO356" i="14"/>
  <c r="CO352" i="14"/>
  <c r="CO348" i="14"/>
  <c r="CO344" i="14"/>
  <c r="CO340" i="14"/>
  <c r="CO336" i="14"/>
  <c r="CO332" i="14"/>
  <c r="CO353" i="14"/>
  <c r="CO337" i="14"/>
  <c r="CO349" i="14"/>
  <c r="CO333" i="14"/>
  <c r="CO357" i="14"/>
  <c r="CO341" i="14"/>
  <c r="CO361" i="14"/>
  <c r="CO345" i="14"/>
  <c r="AV361" i="14"/>
  <c r="AV349" i="14"/>
  <c r="AV333" i="14"/>
  <c r="AV352" i="14"/>
  <c r="AV336" i="14"/>
  <c r="AV357" i="14"/>
  <c r="AV351" i="14"/>
  <c r="AV354" i="14"/>
  <c r="AV360" i="14"/>
  <c r="AV358" i="14"/>
  <c r="AV345" i="14"/>
  <c r="AV348" i="14"/>
  <c r="AV332" i="14"/>
  <c r="AV350" i="14"/>
  <c r="AV335" i="14"/>
  <c r="AV338" i="14"/>
  <c r="AV343" i="14"/>
  <c r="AV356" i="14"/>
  <c r="AV355" i="14"/>
  <c r="AV341" i="14"/>
  <c r="AV344" i="14"/>
  <c r="AV347" i="14"/>
  <c r="AV342" i="14"/>
  <c r="AV346" i="14"/>
  <c r="AV340" i="14"/>
  <c r="AV339" i="14"/>
  <c r="AV334" i="14"/>
  <c r="AV353" i="14"/>
  <c r="AV337" i="14"/>
  <c r="AV359" i="14"/>
  <c r="CO391" i="14"/>
  <c r="CO387" i="14"/>
  <c r="CO383" i="14"/>
  <c r="CO379" i="14"/>
  <c r="CO375" i="14"/>
  <c r="CO371" i="14"/>
  <c r="CO367" i="14"/>
  <c r="CO363" i="14"/>
  <c r="CO390" i="14"/>
  <c r="CO386" i="14"/>
  <c r="CO382" i="14"/>
  <c r="CO378" i="14"/>
  <c r="CO374" i="14"/>
  <c r="CO370" i="14"/>
  <c r="CO366" i="14"/>
  <c r="CO362" i="14"/>
  <c r="CO392" i="14"/>
  <c r="CO388" i="14"/>
  <c r="CO384" i="14"/>
  <c r="CO380" i="14"/>
  <c r="CO376" i="14"/>
  <c r="CO372" i="14"/>
  <c r="CO368" i="14"/>
  <c r="CO364" i="14"/>
  <c r="CO389" i="14"/>
  <c r="CO373" i="14"/>
  <c r="CO385" i="14"/>
  <c r="CO369" i="14"/>
  <c r="CO377" i="14"/>
  <c r="CO381" i="14"/>
  <c r="CO365" i="14"/>
  <c r="AV377" i="14"/>
  <c r="AV384" i="14"/>
  <c r="AV368" i="14"/>
  <c r="AV391" i="14"/>
  <c r="AV386" i="14"/>
  <c r="AV366" i="14"/>
  <c r="AV389" i="14"/>
  <c r="AV373" i="14"/>
  <c r="AV380" i="14"/>
  <c r="AV364" i="14"/>
  <c r="AV383" i="14"/>
  <c r="AV378" i="14"/>
  <c r="AV385" i="14"/>
  <c r="AV369" i="14"/>
  <c r="AV392" i="14"/>
  <c r="AV376" i="14"/>
  <c r="AV375" i="14"/>
  <c r="AV370" i="14"/>
  <c r="AV387" i="14"/>
  <c r="AV390" i="14"/>
  <c r="AV363" i="14"/>
  <c r="AV381" i="14"/>
  <c r="AV382" i="14"/>
  <c r="AV371" i="14"/>
  <c r="AV365" i="14"/>
  <c r="AV388" i="14"/>
  <c r="AV367" i="14"/>
  <c r="AV362" i="14"/>
  <c r="AV379" i="14"/>
  <c r="AV372" i="14"/>
  <c r="AV374" i="14"/>
  <c r="CO270" i="14"/>
  <c r="CO266" i="14"/>
  <c r="CO269" i="14"/>
  <c r="CO265" i="14"/>
  <c r="CO267" i="14"/>
  <c r="CO268" i="14"/>
  <c r="CO262" i="14"/>
  <c r="CO258" i="14"/>
  <c r="CO254" i="14"/>
  <c r="CO250" i="14"/>
  <c r="CO246" i="14"/>
  <c r="CO242" i="14"/>
  <c r="CO261" i="14"/>
  <c r="CO257" i="14"/>
  <c r="CO253" i="14"/>
  <c r="CO249" i="14"/>
  <c r="CO245" i="14"/>
  <c r="CO241" i="14"/>
  <c r="CO264" i="14"/>
  <c r="CO260" i="14"/>
  <c r="CO256" i="14"/>
  <c r="CO252" i="14"/>
  <c r="CO248" i="14"/>
  <c r="CO244" i="14"/>
  <c r="CO240" i="14"/>
  <c r="CO259" i="14"/>
  <c r="CO243" i="14"/>
  <c r="CO255" i="14"/>
  <c r="CO263" i="14"/>
  <c r="CO247" i="14"/>
  <c r="CO251" i="14"/>
  <c r="AV257" i="14"/>
  <c r="AV241" i="14"/>
  <c r="AV264" i="14"/>
  <c r="AV248" i="14"/>
  <c r="AV246" i="14"/>
  <c r="AV269" i="14"/>
  <c r="AV253" i="14"/>
  <c r="AV260" i="14"/>
  <c r="AV244" i="14"/>
  <c r="AV263" i="14"/>
  <c r="AV270" i="14"/>
  <c r="AV267" i="14"/>
  <c r="AV243" i="14"/>
  <c r="AV265" i="14"/>
  <c r="AV249" i="14"/>
  <c r="AV256" i="14"/>
  <c r="AV240" i="14"/>
  <c r="AV255" i="14"/>
  <c r="AV262" i="14"/>
  <c r="AV251" i="14"/>
  <c r="AV266" i="14"/>
  <c r="AV259" i="14"/>
  <c r="AV258" i="14"/>
  <c r="AV242" i="14"/>
  <c r="AV245" i="14"/>
  <c r="AV252" i="14"/>
  <c r="AV261" i="14"/>
  <c r="AV268" i="14"/>
  <c r="AV247" i="14"/>
  <c r="AV250" i="14"/>
  <c r="AV254" i="14"/>
  <c r="CO298" i="14"/>
  <c r="CO294" i="14"/>
  <c r="CO290" i="14"/>
  <c r="CO286" i="14"/>
  <c r="CO282" i="14"/>
  <c r="CO278" i="14"/>
  <c r="CO274" i="14"/>
  <c r="CO297" i="14"/>
  <c r="CO293" i="14"/>
  <c r="CO289" i="14"/>
  <c r="CO285" i="14"/>
  <c r="CO281" i="14"/>
  <c r="CO277" i="14"/>
  <c r="CO273" i="14"/>
  <c r="CO300" i="14"/>
  <c r="CO296" i="14"/>
  <c r="CO292" i="14"/>
  <c r="CO288" i="14"/>
  <c r="CO284" i="14"/>
  <c r="CO280" i="14"/>
  <c r="CO276" i="14"/>
  <c r="CO272" i="14"/>
  <c r="CO295" i="14"/>
  <c r="CO279" i="14"/>
  <c r="CO291" i="14"/>
  <c r="CO275" i="14"/>
  <c r="CO299" i="14"/>
  <c r="CO283" i="14"/>
  <c r="CO271" i="14"/>
  <c r="CO287" i="14"/>
  <c r="AV285" i="14"/>
  <c r="AV296" i="14"/>
  <c r="AV280" i="14"/>
  <c r="AV299" i="14"/>
  <c r="AV273" i="14"/>
  <c r="AV276" i="14"/>
  <c r="AV271" i="14"/>
  <c r="AV286" i="14"/>
  <c r="AV278" i="14"/>
  <c r="AV294" i="14"/>
  <c r="AV297" i="14"/>
  <c r="AV281" i="14"/>
  <c r="AV292" i="14"/>
  <c r="AV291" i="14"/>
  <c r="AV298" i="14"/>
  <c r="AV272" i="14"/>
  <c r="AV274" i="14"/>
  <c r="AV279" i="14"/>
  <c r="AV293" i="14"/>
  <c r="AV288" i="14"/>
  <c r="AV283" i="14"/>
  <c r="AV290" i="14"/>
  <c r="AV284" i="14"/>
  <c r="AV282" i="14"/>
  <c r="AV287" i="14"/>
  <c r="AV295" i="14"/>
  <c r="AV275" i="14"/>
  <c r="AV289" i="14"/>
  <c r="AV300" i="14"/>
  <c r="AV277" i="14"/>
  <c r="CO209" i="14"/>
  <c r="CO205" i="14"/>
  <c r="CO201" i="14"/>
  <c r="CO197" i="14"/>
  <c r="CO193" i="14"/>
  <c r="CO189" i="14"/>
  <c r="CO185" i="14"/>
  <c r="CO181" i="14"/>
  <c r="CO208" i="14"/>
  <c r="CO204" i="14"/>
  <c r="CO200" i="14"/>
  <c r="CO196" i="14"/>
  <c r="CO192" i="14"/>
  <c r="CO188" i="14"/>
  <c r="CO184" i="14"/>
  <c r="CO180" i="14"/>
  <c r="CO207" i="14"/>
  <c r="CO203" i="14"/>
  <c r="CO199" i="14"/>
  <c r="CO195" i="14"/>
  <c r="CO191" i="14"/>
  <c r="CO187" i="14"/>
  <c r="CO183" i="14"/>
  <c r="CO210" i="14"/>
  <c r="CO194" i="14"/>
  <c r="CO206" i="14"/>
  <c r="CO190" i="14"/>
  <c r="CO198" i="14"/>
  <c r="CO182" i="14"/>
  <c r="CO202" i="14"/>
  <c r="CO186" i="14"/>
  <c r="AV208" i="14"/>
  <c r="AV192" i="14"/>
  <c r="AV209" i="14"/>
  <c r="AV193" i="14"/>
  <c r="AV187" i="14"/>
  <c r="AV194" i="14"/>
  <c r="AV183" i="14"/>
  <c r="AV198" i="14"/>
  <c r="AV182" i="14"/>
  <c r="AV204" i="14"/>
  <c r="AV188" i="14"/>
  <c r="AV205" i="14"/>
  <c r="AV189" i="14"/>
  <c r="AV186" i="14"/>
  <c r="AV191" i="14"/>
  <c r="AV180" i="14"/>
  <c r="AV200" i="14"/>
  <c r="AV184" i="14"/>
  <c r="AV201" i="14"/>
  <c r="AV185" i="14"/>
  <c r="AV203" i="14"/>
  <c r="AV210" i="14"/>
  <c r="AV206" i="14"/>
  <c r="AV190" i="14"/>
  <c r="AV197" i="14"/>
  <c r="AV202" i="14"/>
  <c r="AV196" i="14"/>
  <c r="AV195" i="14"/>
  <c r="AV199" i="14"/>
  <c r="AV207" i="14"/>
  <c r="AV181" i="14"/>
  <c r="CO330" i="14"/>
  <c r="CO326" i="14"/>
  <c r="CO322" i="14"/>
  <c r="CO329" i="14"/>
  <c r="CO325" i="14"/>
  <c r="CO321" i="14"/>
  <c r="CO328" i="14"/>
  <c r="CO324" i="14"/>
  <c r="CO320" i="14"/>
  <c r="CO331" i="14"/>
  <c r="CO316" i="14"/>
  <c r="CO312" i="14"/>
  <c r="CO308" i="14"/>
  <c r="CO304" i="14"/>
  <c r="CO327" i="14"/>
  <c r="CO319" i="14"/>
  <c r="CO315" i="14"/>
  <c r="CO311" i="14"/>
  <c r="CO307" i="14"/>
  <c r="CO303" i="14"/>
  <c r="CO317" i="14"/>
  <c r="CO313" i="14"/>
  <c r="CO309" i="14"/>
  <c r="CO305" i="14"/>
  <c r="CO301" i="14"/>
  <c r="CO323" i="14"/>
  <c r="CO310" i="14"/>
  <c r="CO306" i="14"/>
  <c r="CO314" i="14"/>
  <c r="CO302" i="14"/>
  <c r="CO318" i="14"/>
  <c r="AV317" i="14"/>
  <c r="AV320" i="14"/>
  <c r="AV304" i="14"/>
  <c r="AV310" i="14"/>
  <c r="AV319" i="14"/>
  <c r="AV329" i="14"/>
  <c r="AV313" i="14"/>
  <c r="AV316" i="14"/>
  <c r="AV331" i="14"/>
  <c r="AV302" i="14"/>
  <c r="AV330" i="14"/>
  <c r="AV307" i="14"/>
  <c r="AV322" i="14"/>
  <c r="AV325" i="14"/>
  <c r="AV309" i="14"/>
  <c r="AV328" i="14"/>
  <c r="AV312" i="14"/>
  <c r="AV323" i="14"/>
  <c r="AV326" i="14"/>
  <c r="AV314" i="14"/>
  <c r="AV306" i="14"/>
  <c r="AV327" i="14"/>
  <c r="AV321" i="14"/>
  <c r="AV308" i="14"/>
  <c r="AV305" i="14"/>
  <c r="AV324" i="14"/>
  <c r="AV315" i="14"/>
  <c r="AV311" i="14"/>
  <c r="AV301" i="14"/>
  <c r="AV318" i="14"/>
  <c r="AV303" i="14"/>
  <c r="CO482" i="14"/>
  <c r="CO480" i="14"/>
  <c r="CO476" i="14"/>
  <c r="CO472" i="14"/>
  <c r="CO468" i="14"/>
  <c r="CO464" i="14"/>
  <c r="CO460" i="14"/>
  <c r="CO456" i="14"/>
  <c r="CO484" i="14"/>
  <c r="CO479" i="14"/>
  <c r="CO475" i="14"/>
  <c r="CO471" i="14"/>
  <c r="CO467" i="14"/>
  <c r="CO463" i="14"/>
  <c r="CO459" i="14"/>
  <c r="CO455" i="14"/>
  <c r="CO483" i="14"/>
  <c r="CO478" i="14"/>
  <c r="CO474" i="14"/>
  <c r="CO470" i="14"/>
  <c r="CO466" i="14"/>
  <c r="CO462" i="14"/>
  <c r="CO458" i="14"/>
  <c r="CO454" i="14"/>
  <c r="CO473" i="14"/>
  <c r="CO457" i="14"/>
  <c r="CO465" i="14"/>
  <c r="CO469" i="14"/>
  <c r="CO481" i="14"/>
  <c r="CO477" i="14"/>
  <c r="CO461" i="14"/>
  <c r="AV478" i="14"/>
  <c r="AV479" i="14"/>
  <c r="AV462" i="14"/>
  <c r="AV484" i="14"/>
  <c r="AV476" i="14"/>
  <c r="AV465" i="14"/>
  <c r="AV468" i="14"/>
  <c r="AV455" i="14"/>
  <c r="AV467" i="14"/>
  <c r="AV459" i="14"/>
  <c r="AV474" i="14"/>
  <c r="AV480" i="14"/>
  <c r="AV458" i="14"/>
  <c r="AV475" i="14"/>
  <c r="AV461" i="14"/>
  <c r="AV464" i="14"/>
  <c r="AV481" i="14"/>
  <c r="AV470" i="14"/>
  <c r="AV454" i="14"/>
  <c r="AV473" i="14"/>
  <c r="AV457" i="14"/>
  <c r="AV483" i="14"/>
  <c r="AV460" i="14"/>
  <c r="AV469" i="14"/>
  <c r="AV456" i="14"/>
  <c r="AV471" i="14"/>
  <c r="AV482" i="14"/>
  <c r="AV463" i="14"/>
  <c r="AV477" i="14"/>
  <c r="AV472" i="14"/>
  <c r="AV466" i="14"/>
  <c r="CO450" i="14"/>
  <c r="CO446" i="14"/>
  <c r="CO442" i="14"/>
  <c r="CO438" i="14"/>
  <c r="CO434" i="14"/>
  <c r="CO430" i="14"/>
  <c r="CO426" i="14"/>
  <c r="CO453" i="14"/>
  <c r="CO449" i="14"/>
  <c r="CO445" i="14"/>
  <c r="CO441" i="14"/>
  <c r="CO437" i="14"/>
  <c r="CO433" i="14"/>
  <c r="CO429" i="14"/>
  <c r="CO425" i="14"/>
  <c r="CO451" i="14"/>
  <c r="CO447" i="14"/>
  <c r="CO443" i="14"/>
  <c r="CO439" i="14"/>
  <c r="CO435" i="14"/>
  <c r="CO431" i="14"/>
  <c r="CO427" i="14"/>
  <c r="CO448" i="14"/>
  <c r="CO432" i="14"/>
  <c r="CO444" i="14"/>
  <c r="CO428" i="14"/>
  <c r="CO440" i="14"/>
  <c r="CO424" i="14"/>
  <c r="CO452" i="14"/>
  <c r="CO436" i="14"/>
  <c r="AV450" i="14"/>
  <c r="AV434" i="14"/>
  <c r="AV445" i="14"/>
  <c r="AV429" i="14"/>
  <c r="AV448" i="14"/>
  <c r="AV451" i="14"/>
  <c r="AV431" i="14"/>
  <c r="AV436" i="14"/>
  <c r="AV446" i="14"/>
  <c r="AV430" i="14"/>
  <c r="AV441" i="14"/>
  <c r="AV425" i="14"/>
  <c r="AV443" i="14"/>
  <c r="AV444" i="14"/>
  <c r="AV447" i="14"/>
  <c r="AV442" i="14"/>
  <c r="AV426" i="14"/>
  <c r="AV453" i="14"/>
  <c r="AV437" i="14"/>
  <c r="AV435" i="14"/>
  <c r="AV440" i="14"/>
  <c r="AV452" i="14"/>
  <c r="AV438" i="14"/>
  <c r="AV449" i="14"/>
  <c r="AV432" i="14"/>
  <c r="AV424" i="14"/>
  <c r="AV427" i="14"/>
  <c r="AV428" i="14"/>
  <c r="AV439" i="14"/>
  <c r="AV433" i="14"/>
  <c r="CO544" i="14"/>
  <c r="CO540" i="14"/>
  <c r="CO536" i="14"/>
  <c r="CO532" i="14"/>
  <c r="CO528" i="14"/>
  <c r="CO524" i="14"/>
  <c r="CO520" i="14"/>
  <c r="CO516" i="14"/>
  <c r="CO519" i="14"/>
  <c r="CO515" i="14"/>
  <c r="CO518" i="14"/>
  <c r="CO543" i="14"/>
  <c r="CO539" i="14"/>
  <c r="CO535" i="14"/>
  <c r="CO531" i="14"/>
  <c r="CO527" i="14"/>
  <c r="CO523" i="14"/>
  <c r="CO538" i="14"/>
  <c r="CO530" i="14"/>
  <c r="CO545" i="14"/>
  <c r="CO541" i="14"/>
  <c r="CO537" i="14"/>
  <c r="CO533" i="14"/>
  <c r="CO529" i="14"/>
  <c r="CO525" i="14"/>
  <c r="CO521" i="14"/>
  <c r="CO517" i="14"/>
  <c r="CO542" i="14"/>
  <c r="CO534" i="14"/>
  <c r="CO526" i="14"/>
  <c r="CO522" i="14"/>
  <c r="AV538" i="14"/>
  <c r="AV522" i="14"/>
  <c r="AV541" i="14"/>
  <c r="AV525" i="14"/>
  <c r="AV524" i="14"/>
  <c r="AV523" i="14"/>
  <c r="AV528" i="14"/>
  <c r="AV534" i="14"/>
  <c r="AV518" i="14"/>
  <c r="AV537" i="14"/>
  <c r="AV521" i="14"/>
  <c r="AV543" i="14"/>
  <c r="AV516" i="14"/>
  <c r="AV515" i="14"/>
  <c r="AV520" i="14"/>
  <c r="AV540" i="14"/>
  <c r="AV530" i="14"/>
  <c r="AV533" i="14"/>
  <c r="AV517" i="14"/>
  <c r="AV535" i="14"/>
  <c r="AV539" i="14"/>
  <c r="AV544" i="14"/>
  <c r="AV519" i="14"/>
  <c r="AV532" i="14"/>
  <c r="AV529" i="14"/>
  <c r="AV527" i="14"/>
  <c r="AV542" i="14"/>
  <c r="AV531" i="14"/>
  <c r="AV526" i="14"/>
  <c r="AV545" i="14"/>
  <c r="AV536" i="14"/>
  <c r="CO420" i="14"/>
  <c r="CO423" i="14"/>
  <c r="CO419" i="14"/>
  <c r="CO421" i="14"/>
  <c r="CO418" i="14"/>
  <c r="CO414" i="14"/>
  <c r="CO410" i="14"/>
  <c r="CO406" i="14"/>
  <c r="CO402" i="14"/>
  <c r="CO398" i="14"/>
  <c r="CO394" i="14"/>
  <c r="CO422" i="14"/>
  <c r="CO417" i="14"/>
  <c r="CO413" i="14"/>
  <c r="CO409" i="14"/>
  <c r="CO405" i="14"/>
  <c r="CO401" i="14"/>
  <c r="CO397" i="14"/>
  <c r="CO393" i="14"/>
  <c r="CO415" i="14"/>
  <c r="CO411" i="14"/>
  <c r="CO407" i="14"/>
  <c r="CO403" i="14"/>
  <c r="CO399" i="14"/>
  <c r="CO395" i="14"/>
  <c r="CO412" i="14"/>
  <c r="CO396" i="14"/>
  <c r="CO408" i="14"/>
  <c r="CO404" i="14"/>
  <c r="CO400" i="14"/>
  <c r="CO416" i="14"/>
  <c r="AV422" i="14"/>
  <c r="AV406" i="14"/>
  <c r="AV413" i="14"/>
  <c r="AV397" i="14"/>
  <c r="AV420" i="14"/>
  <c r="AV423" i="14"/>
  <c r="AV408" i="14"/>
  <c r="AV411" i="14"/>
  <c r="AV418" i="14"/>
  <c r="AV402" i="14"/>
  <c r="AV409" i="14"/>
  <c r="AV393" i="14"/>
  <c r="AV412" i="14"/>
  <c r="AV415" i="14"/>
  <c r="AV419" i="14"/>
  <c r="AV414" i="14"/>
  <c r="AV398" i="14"/>
  <c r="AV421" i="14"/>
  <c r="AV405" i="14"/>
  <c r="AV404" i="14"/>
  <c r="AV407" i="14"/>
  <c r="AV403" i="14"/>
  <c r="AV395" i="14"/>
  <c r="AV416" i="14"/>
  <c r="AV401" i="14"/>
  <c r="AV400" i="14"/>
  <c r="AV396" i="14"/>
  <c r="AV399" i="14"/>
  <c r="AV394" i="14"/>
  <c r="AV417" i="14"/>
  <c r="AV410" i="14"/>
  <c r="CO236" i="14"/>
  <c r="CO239" i="14"/>
  <c r="CO235" i="14"/>
  <c r="CO238" i="14"/>
  <c r="CO234" i="14"/>
  <c r="CO231" i="14"/>
  <c r="CO227" i="14"/>
  <c r="CO223" i="14"/>
  <c r="CO219" i="14"/>
  <c r="CO215" i="14"/>
  <c r="CO211" i="14"/>
  <c r="CO230" i="14"/>
  <c r="CO226" i="14"/>
  <c r="CO222" i="14"/>
  <c r="CO218" i="14"/>
  <c r="CO214" i="14"/>
  <c r="CO233" i="14"/>
  <c r="CO232" i="14"/>
  <c r="CO228" i="14"/>
  <c r="CO224" i="14"/>
  <c r="CO220" i="14"/>
  <c r="CO216" i="14"/>
  <c r="CO212" i="14"/>
  <c r="CO217" i="14"/>
  <c r="CO229" i="14"/>
  <c r="CO213" i="14"/>
  <c r="CO237" i="14"/>
  <c r="CO225" i="14"/>
  <c r="CO221" i="14"/>
  <c r="AV237" i="14"/>
  <c r="AV222" i="14"/>
  <c r="AV225" i="14"/>
  <c r="AV216" i="14"/>
  <c r="AV231" i="14"/>
  <c r="AV212" i="14"/>
  <c r="AV211" i="14"/>
  <c r="AV228" i="14"/>
  <c r="AV233" i="14"/>
  <c r="AV235" i="14"/>
  <c r="AV218" i="14"/>
  <c r="AV221" i="14"/>
  <c r="AV239" i="14"/>
  <c r="AV223" i="14"/>
  <c r="AV219" i="14"/>
  <c r="AV230" i="14"/>
  <c r="AV234" i="14"/>
  <c r="AV217" i="14"/>
  <c r="AV232" i="14"/>
  <c r="AV213" i="14"/>
  <c r="AV220" i="14"/>
  <c r="AV227" i="14"/>
  <c r="AV238" i="14"/>
  <c r="AV236" i="14"/>
  <c r="AV226" i="14"/>
  <c r="AV224" i="14"/>
  <c r="AV214" i="14"/>
  <c r="AV229" i="14"/>
  <c r="AV215" i="14"/>
  <c r="CO512" i="14"/>
  <c r="CO508" i="14"/>
  <c r="CO504" i="14"/>
  <c r="CO511" i="14"/>
  <c r="CO507" i="14"/>
  <c r="CO514" i="14"/>
  <c r="CO510" i="14"/>
  <c r="CO506" i="14"/>
  <c r="CO502" i="14"/>
  <c r="CO498" i="14"/>
  <c r="CO494" i="14"/>
  <c r="CO490" i="14"/>
  <c r="CO509" i="14"/>
  <c r="CO499" i="14"/>
  <c r="CO496" i="14"/>
  <c r="CO493" i="14"/>
  <c r="CO491" i="14"/>
  <c r="CO488" i="14"/>
  <c r="CO486" i="14"/>
  <c r="CO505" i="14"/>
  <c r="CO503" i="14"/>
  <c r="CO500" i="14"/>
  <c r="CO497" i="14"/>
  <c r="CO487" i="14"/>
  <c r="CO501" i="14"/>
  <c r="CO513" i="14"/>
  <c r="CO495" i="14"/>
  <c r="CO492" i="14"/>
  <c r="CO489" i="14"/>
  <c r="CO485" i="14"/>
  <c r="AV510" i="14"/>
  <c r="AV494" i="14"/>
  <c r="AV496" i="14"/>
  <c r="AV509" i="14"/>
  <c r="AV493" i="14"/>
  <c r="AV512" i="14"/>
  <c r="AV499" i="14"/>
  <c r="AV507" i="14"/>
  <c r="AV506" i="14"/>
  <c r="AV490" i="14"/>
  <c r="AV508" i="14"/>
  <c r="AV492" i="14"/>
  <c r="AV505" i="14"/>
  <c r="AV489" i="14"/>
  <c r="AV511" i="14"/>
  <c r="AV487" i="14"/>
  <c r="AV503" i="14"/>
  <c r="AV491" i="14"/>
  <c r="AV502" i="14"/>
  <c r="AV486" i="14"/>
  <c r="AV504" i="14"/>
  <c r="AV501" i="14"/>
  <c r="AV485" i="14"/>
  <c r="AV495" i="14"/>
  <c r="AV498" i="14"/>
  <c r="AV500" i="14"/>
  <c r="AV513" i="14"/>
  <c r="AV497" i="14"/>
  <c r="AV514" i="14"/>
  <c r="AV488" i="14"/>
  <c r="J74" i="25"/>
  <c r="J68" i="25"/>
  <c r="V341" i="1"/>
  <c r="K125" i="29"/>
  <c r="E125" i="29"/>
  <c r="H125" i="29"/>
  <c r="O125" i="29"/>
  <c r="G125" i="29"/>
  <c r="M125" i="29"/>
  <c r="Q125" i="29"/>
  <c r="D125" i="29"/>
  <c r="I125" i="29"/>
  <c r="L125" i="29"/>
  <c r="P125" i="29"/>
  <c r="V343" i="1"/>
  <c r="M14" i="29"/>
  <c r="D14" i="29"/>
  <c r="O14" i="29"/>
  <c r="I14" i="29"/>
  <c r="C14" i="29"/>
  <c r="E14" i="29"/>
  <c r="Q14" i="29"/>
  <c r="G14" i="29"/>
  <c r="M344" i="1"/>
  <c r="M343" i="1"/>
  <c r="D344" i="1"/>
  <c r="D343" i="1"/>
  <c r="D341" i="1"/>
  <c r="AE344" i="1"/>
  <c r="AE343" i="1"/>
  <c r="AE341" i="1"/>
  <c r="C125" i="29"/>
  <c r="V344" i="1"/>
  <c r="H14" i="29"/>
  <c r="P14" i="29"/>
  <c r="AK344" i="1"/>
  <c r="AK343" i="1"/>
  <c r="AK341" i="1"/>
  <c r="G344" i="1"/>
  <c r="G343" i="1"/>
  <c r="G341" i="1"/>
  <c r="S344" i="1"/>
  <c r="S343" i="1"/>
  <c r="S341" i="1"/>
  <c r="Y344" i="1"/>
  <c r="Y343" i="1"/>
  <c r="Y341" i="1"/>
  <c r="AH344" i="1"/>
  <c r="AH343" i="1"/>
  <c r="J344" i="1"/>
  <c r="J343" i="1"/>
  <c r="J341" i="1"/>
  <c r="P344" i="1"/>
  <c r="P343" i="1"/>
  <c r="AB344" i="1"/>
  <c r="AB343" i="1"/>
  <c r="AB341" i="1"/>
  <c r="A34" i="29"/>
  <c r="A83" i="29"/>
  <c r="A82" i="29"/>
  <c r="A85" i="29"/>
  <c r="L14" i="29"/>
  <c r="K14" i="29"/>
  <c r="J172" i="24"/>
  <c r="J165" i="24"/>
  <c r="J167" i="24"/>
  <c r="J171" i="24"/>
  <c r="J170" i="24"/>
  <c r="J163" i="24"/>
  <c r="J168" i="24"/>
  <c r="J164" i="24"/>
  <c r="J166" i="24"/>
  <c r="H84" i="18"/>
  <c r="I83" i="21"/>
  <c r="H83" i="21"/>
  <c r="J84" i="18"/>
  <c r="M120" i="19"/>
  <c r="G120" i="18"/>
  <c r="M120" i="23"/>
  <c r="M64" i="20"/>
  <c r="M120" i="27"/>
  <c r="M62" i="2"/>
  <c r="M120" i="21"/>
  <c r="M120" i="28"/>
  <c r="M120" i="25"/>
  <c r="M120" i="24"/>
  <c r="G64" i="2"/>
  <c r="M120" i="26"/>
  <c r="G120" i="20"/>
  <c r="E173" i="23"/>
  <c r="G166" i="23"/>
  <c r="G169" i="23"/>
  <c r="G172" i="23"/>
  <c r="G165" i="23"/>
  <c r="G171" i="23"/>
  <c r="G164" i="23"/>
  <c r="G167" i="23"/>
  <c r="G170" i="23"/>
  <c r="G163" i="23"/>
  <c r="M64" i="23"/>
  <c r="M62" i="27"/>
  <c r="M64" i="25"/>
  <c r="M63" i="19"/>
  <c r="M63" i="24"/>
  <c r="M64" i="19"/>
  <c r="G62" i="18"/>
  <c r="M63" i="25"/>
  <c r="M62" i="23"/>
  <c r="M62" i="24"/>
  <c r="M62" i="19"/>
  <c r="G64" i="22"/>
  <c r="G62" i="22"/>
  <c r="G64" i="18"/>
  <c r="M62" i="25"/>
  <c r="M63" i="23"/>
  <c r="M64" i="24"/>
  <c r="G63" i="18"/>
  <c r="M63" i="28"/>
  <c r="M62" i="21"/>
  <c r="M62" i="22"/>
  <c r="M63" i="27"/>
  <c r="M62" i="28"/>
  <c r="M63" i="21"/>
  <c r="M64" i="27"/>
  <c r="M63" i="22"/>
  <c r="M64" i="21"/>
  <c r="M63" i="26"/>
  <c r="G62" i="20"/>
  <c r="G120" i="26"/>
  <c r="G62" i="26"/>
  <c r="G64" i="26"/>
  <c r="G63" i="26"/>
  <c r="G120" i="28"/>
  <c r="G62" i="28"/>
  <c r="G64" i="28"/>
  <c r="G63" i="21"/>
  <c r="M64" i="26"/>
  <c r="M120" i="2"/>
  <c r="G120" i="25"/>
  <c r="M120" i="18"/>
  <c r="M63" i="18"/>
  <c r="M64" i="18"/>
  <c r="M62" i="18"/>
  <c r="M62" i="26"/>
  <c r="G63" i="20"/>
  <c r="G63" i="28"/>
  <c r="G64" i="20"/>
  <c r="G120" i="27"/>
  <c r="G63" i="27"/>
  <c r="G64" i="27"/>
  <c r="G62" i="27"/>
  <c r="G120" i="21"/>
  <c r="G64" i="21"/>
  <c r="G62" i="21"/>
  <c r="G120" i="22"/>
  <c r="G63" i="22"/>
  <c r="M120" i="20"/>
  <c r="M63" i="20"/>
  <c r="M62" i="20"/>
  <c r="G120" i="19"/>
  <c r="G63" i="19"/>
  <c r="G64" i="19"/>
  <c r="G63" i="2"/>
  <c r="G62" i="2"/>
  <c r="G120" i="2"/>
  <c r="M64" i="22"/>
  <c r="M120" i="22"/>
  <c r="M64" i="28"/>
  <c r="G63" i="25"/>
  <c r="G62" i="25"/>
  <c r="G64" i="25"/>
  <c r="G64" i="24"/>
  <c r="G62" i="24"/>
  <c r="G120" i="24"/>
  <c r="G63" i="24"/>
  <c r="G62" i="19"/>
  <c r="M63" i="2"/>
  <c r="M64" i="2"/>
  <c r="D16" i="27"/>
  <c r="C16" i="27" s="1"/>
  <c r="D16" i="26"/>
  <c r="C16" i="26" s="1"/>
  <c r="I83" i="22"/>
  <c r="G173" i="24"/>
  <c r="G164" i="24" s="1"/>
  <c r="J84" i="25"/>
  <c r="H84" i="27"/>
  <c r="H83" i="25"/>
  <c r="J83" i="20"/>
  <c r="I84" i="27"/>
  <c r="J83" i="22"/>
  <c r="M126" i="27"/>
  <c r="BG6" i="27" s="1"/>
  <c r="H84" i="26"/>
  <c r="H83" i="26"/>
  <c r="J84" i="26"/>
  <c r="J83" i="26"/>
  <c r="I83" i="20"/>
  <c r="AO293" i="1"/>
  <c r="BK286" i="1" s="1"/>
  <c r="N287" i="1"/>
  <c r="BE283" i="1" s="1"/>
  <c r="G126" i="2"/>
  <c r="BA6" i="2" s="1"/>
  <c r="E277" i="1"/>
  <c r="BE276" i="1" s="1"/>
  <c r="D13" i="14" s="1"/>
  <c r="J84" i="19"/>
  <c r="M173" i="24"/>
  <c r="M167" i="24" s="1"/>
  <c r="W287" i="1"/>
  <c r="BE284" i="1" s="1"/>
  <c r="I83" i="24"/>
  <c r="I84" i="24"/>
  <c r="AH251" i="1"/>
  <c r="AH269" i="1" s="1"/>
  <c r="G173" i="25"/>
  <c r="G170" i="25" s="1"/>
  <c r="AX277" i="1"/>
  <c r="BE281" i="1" s="1"/>
  <c r="J83" i="24"/>
  <c r="J84" i="24"/>
  <c r="H84" i="19"/>
  <c r="H83" i="19"/>
  <c r="G173" i="22"/>
  <c r="G171" i="22" s="1"/>
  <c r="J84" i="28"/>
  <c r="J83" i="28"/>
  <c r="Y251" i="1"/>
  <c r="Y269" i="1" s="1"/>
  <c r="M126" i="24"/>
  <c r="G126" i="22"/>
  <c r="BA6" i="22" s="1"/>
  <c r="I84" i="28"/>
  <c r="I83" i="28"/>
  <c r="W293" i="1"/>
  <c r="BK284" i="1" s="1"/>
  <c r="N293" i="1"/>
  <c r="BK283" i="1" s="1"/>
  <c r="H84" i="28"/>
  <c r="H83" i="28"/>
  <c r="N277" i="1"/>
  <c r="BE277" i="1" s="1"/>
  <c r="G126" i="18"/>
  <c r="BA6" i="18" s="1"/>
  <c r="M126" i="25"/>
  <c r="M173" i="25"/>
  <c r="M168" i="25" s="1"/>
  <c r="G173" i="26"/>
  <c r="AF287" i="1"/>
  <c r="BE285" i="1" s="1"/>
  <c r="G126" i="26"/>
  <c r="BA6" i="26" s="1"/>
  <c r="G173" i="28"/>
  <c r="G126" i="28"/>
  <c r="BA6" i="28" s="1"/>
  <c r="AX287" i="1"/>
  <c r="BE287" i="1" s="1"/>
  <c r="D16" i="19"/>
  <c r="C16" i="19" s="1"/>
  <c r="M173" i="23"/>
  <c r="M167" i="23" s="1"/>
  <c r="AO277" i="1"/>
  <c r="BE280" i="1" s="1"/>
  <c r="G126" i="21"/>
  <c r="BA6" i="21" s="1"/>
  <c r="G126" i="20"/>
  <c r="BA6" i="20" s="1"/>
  <c r="AF277" i="1"/>
  <c r="BE279" i="1" s="1"/>
  <c r="G173" i="19"/>
  <c r="W277" i="1"/>
  <c r="BE278" i="1" s="1"/>
  <c r="G126" i="19"/>
  <c r="BA6" i="19" s="1"/>
  <c r="AB251" i="1"/>
  <c r="AB269" i="1" s="1"/>
  <c r="G173" i="27"/>
  <c r="AO287" i="1"/>
  <c r="BE286" i="1" s="1"/>
  <c r="G126" i="27"/>
  <c r="BA6" i="27" s="1"/>
  <c r="C16" i="21"/>
  <c r="V251" i="1"/>
  <c r="V250" i="1" s="1"/>
  <c r="M126" i="23"/>
  <c r="E293" i="1"/>
  <c r="BK282" i="1" s="1"/>
  <c r="N283" i="1"/>
  <c r="BK277" i="1" s="1"/>
  <c r="M126" i="18"/>
  <c r="BG6" i="18" s="1"/>
  <c r="AF293" i="1"/>
  <c r="BK285" i="1" s="1"/>
  <c r="M126" i="26"/>
  <c r="BG6" i="26" s="1"/>
  <c r="M173" i="26"/>
  <c r="AE251" i="1"/>
  <c r="AX283" i="1"/>
  <c r="BK281" i="1" s="1"/>
  <c r="M173" i="22"/>
  <c r="M126" i="22"/>
  <c r="BG6" i="22" s="1"/>
  <c r="S251" i="1"/>
  <c r="AF283" i="1"/>
  <c r="BK279" i="1" s="1"/>
  <c r="M126" i="20"/>
  <c r="BG6" i="20" s="1"/>
  <c r="M251" i="1"/>
  <c r="M172" i="27"/>
  <c r="M165" i="27"/>
  <c r="M167" i="27"/>
  <c r="M168" i="27"/>
  <c r="M170" i="27"/>
  <c r="M163" i="27"/>
  <c r="M164" i="27"/>
  <c r="M166" i="27"/>
  <c r="M169" i="27"/>
  <c r="M171" i="27"/>
  <c r="M126" i="21"/>
  <c r="BG6" i="21" s="1"/>
  <c r="P251" i="1"/>
  <c r="AO283" i="1"/>
  <c r="BK280" i="1" s="1"/>
  <c r="M126" i="19"/>
  <c r="BG6" i="19" s="1"/>
  <c r="M173" i="19"/>
  <c r="W283" i="1"/>
  <c r="BK278" i="1" s="1"/>
  <c r="D428" i="1"/>
  <c r="M126" i="2"/>
  <c r="BG6" i="2" s="1"/>
  <c r="D251" i="1"/>
  <c r="D269" i="1" s="1"/>
  <c r="D318" i="1" s="1"/>
  <c r="E283" i="1"/>
  <c r="BK276" i="1" s="1"/>
  <c r="AB13" i="14" s="1"/>
  <c r="M173" i="28"/>
  <c r="M126" i="28"/>
  <c r="BG6" i="28" s="1"/>
  <c r="AK251" i="1"/>
  <c r="AX293" i="1"/>
  <c r="BK287" i="1" s="1"/>
  <c r="D16" i="28"/>
  <c r="C16" i="28" s="1"/>
  <c r="J179" i="16"/>
  <c r="W18" i="21"/>
  <c r="D17" i="21"/>
  <c r="W18" i="26"/>
  <c r="E190" i="14"/>
  <c r="C189" i="14"/>
  <c r="B189" i="14"/>
  <c r="Q189" i="14"/>
  <c r="H122" i="15"/>
  <c r="J189" i="14"/>
  <c r="W17" i="23"/>
  <c r="D16" i="23"/>
  <c r="C16" i="23" s="1"/>
  <c r="W18" i="27"/>
  <c r="W19" i="2"/>
  <c r="D18" i="2"/>
  <c r="C18" i="2" s="1"/>
  <c r="W17" i="24"/>
  <c r="D16" i="24"/>
  <c r="C16" i="24" s="1"/>
  <c r="L219" i="14"/>
  <c r="L207" i="14"/>
  <c r="L225" i="14"/>
  <c r="W18" i="28"/>
  <c r="AE16" i="2"/>
  <c r="W18" i="18"/>
  <c r="D17" i="18"/>
  <c r="C17" i="18" s="1"/>
  <c r="J177" i="16"/>
  <c r="L231" i="14"/>
  <c r="L237" i="14"/>
  <c r="W17" i="25"/>
  <c r="D16" i="25"/>
  <c r="C16" i="25" s="1"/>
  <c r="L213" i="14"/>
  <c r="W18" i="19"/>
  <c r="L250" i="14"/>
  <c r="D7" i="14" l="1"/>
  <c r="D8" i="14"/>
  <c r="D9" i="14"/>
  <c r="AB8" i="14"/>
  <c r="AB7" i="14"/>
  <c r="AB9" i="14"/>
  <c r="BG64" i="2"/>
  <c r="BG63" i="2"/>
  <c r="BG64" i="18"/>
  <c r="BG63" i="18"/>
  <c r="BG64" i="25"/>
  <c r="BG63" i="25"/>
  <c r="BG64" i="27"/>
  <c r="BG63" i="27"/>
  <c r="BG64" i="20"/>
  <c r="BG63" i="20"/>
  <c r="BG64" i="22"/>
  <c r="BG63" i="22"/>
  <c r="BG64" i="23"/>
  <c r="BG63" i="23"/>
  <c r="BG64" i="21"/>
  <c r="BG63" i="21"/>
  <c r="BG64" i="24"/>
  <c r="BG63" i="24"/>
  <c r="BG64" i="19"/>
  <c r="BG63" i="19"/>
  <c r="BG64" i="28"/>
  <c r="BG63" i="28"/>
  <c r="BG64" i="26"/>
  <c r="BG63" i="26"/>
  <c r="AO88" i="14"/>
  <c r="AN89" i="14"/>
  <c r="Y375" i="1"/>
  <c r="BG6" i="24"/>
  <c r="V406" i="1"/>
  <c r="BG6" i="23"/>
  <c r="AB376" i="1"/>
  <c r="BG6" i="25"/>
  <c r="D189" i="14"/>
  <c r="M74" i="22"/>
  <c r="M68" i="22"/>
  <c r="D120" i="24"/>
  <c r="G74" i="24"/>
  <c r="G68" i="24"/>
  <c r="M74" i="2"/>
  <c r="M68" i="2"/>
  <c r="G74" i="22"/>
  <c r="G68" i="22"/>
  <c r="M74" i="25"/>
  <c r="M68" i="25"/>
  <c r="M74" i="21"/>
  <c r="M68" i="21"/>
  <c r="M74" i="27"/>
  <c r="M68" i="27"/>
  <c r="D120" i="23"/>
  <c r="M74" i="23"/>
  <c r="M68" i="23"/>
  <c r="M74" i="19"/>
  <c r="M68" i="19"/>
  <c r="M74" i="26"/>
  <c r="M68" i="26"/>
  <c r="M74" i="24"/>
  <c r="M68" i="24"/>
  <c r="G74" i="2"/>
  <c r="M74" i="20"/>
  <c r="M68" i="20"/>
  <c r="D120" i="28"/>
  <c r="G74" i="28"/>
  <c r="G68" i="28"/>
  <c r="G74" i="26"/>
  <c r="G68" i="26"/>
  <c r="M74" i="28"/>
  <c r="M68" i="28"/>
  <c r="G74" i="18"/>
  <c r="G68" i="18"/>
  <c r="G74" i="25"/>
  <c r="G68" i="25"/>
  <c r="G74" i="19"/>
  <c r="G68" i="19"/>
  <c r="G74" i="21"/>
  <c r="G68" i="21"/>
  <c r="G74" i="27"/>
  <c r="G68" i="27"/>
  <c r="M74" i="18"/>
  <c r="M68" i="18"/>
  <c r="G74" i="20"/>
  <c r="G68" i="20"/>
  <c r="D17" i="26"/>
  <c r="C17" i="26" s="1"/>
  <c r="T151" i="29"/>
  <c r="J14" i="29"/>
  <c r="F14" i="29"/>
  <c r="R14" i="29"/>
  <c r="D120" i="27"/>
  <c r="F125" i="29"/>
  <c r="R125" i="29"/>
  <c r="J125" i="29"/>
  <c r="N125" i="29"/>
  <c r="A38" i="29"/>
  <c r="Y355" i="1"/>
  <c r="P390" i="1"/>
  <c r="P389" i="1"/>
  <c r="P391" i="1"/>
  <c r="G390" i="1"/>
  <c r="G389" i="1"/>
  <c r="G391" i="1"/>
  <c r="AH390" i="1"/>
  <c r="AH391" i="1"/>
  <c r="AH389" i="1"/>
  <c r="M390" i="1"/>
  <c r="M389" i="1"/>
  <c r="M391" i="1"/>
  <c r="S390" i="1"/>
  <c r="S389" i="1"/>
  <c r="S391" i="1"/>
  <c r="AB405" i="1"/>
  <c r="AB391" i="1"/>
  <c r="V391" i="1"/>
  <c r="Y389" i="1"/>
  <c r="AK390" i="1"/>
  <c r="AK391" i="1"/>
  <c r="AK389" i="1"/>
  <c r="AE390" i="1"/>
  <c r="AE389" i="1"/>
  <c r="AE391" i="1"/>
  <c r="D390" i="1"/>
  <c r="D389" i="1"/>
  <c r="D391" i="1"/>
  <c r="Y390" i="1"/>
  <c r="AB390" i="1"/>
  <c r="V389" i="1"/>
  <c r="J390" i="1"/>
  <c r="J391" i="1"/>
  <c r="J389" i="1"/>
  <c r="Y391" i="1"/>
  <c r="A87" i="29"/>
  <c r="A86" i="29"/>
  <c r="A89" i="29"/>
  <c r="AB389" i="1"/>
  <c r="V390" i="1"/>
  <c r="AE375" i="1"/>
  <c r="AE405" i="1"/>
  <c r="AB375" i="1"/>
  <c r="AH375" i="1"/>
  <c r="AH405" i="1"/>
  <c r="M375" i="1"/>
  <c r="M405" i="1"/>
  <c r="S375" i="1"/>
  <c r="S405" i="1"/>
  <c r="Y405" i="1"/>
  <c r="V405" i="1"/>
  <c r="AK375" i="1"/>
  <c r="AK405" i="1"/>
  <c r="D375" i="1"/>
  <c r="D405" i="1"/>
  <c r="J375" i="1"/>
  <c r="J405" i="1"/>
  <c r="P375" i="1"/>
  <c r="P405" i="1"/>
  <c r="G375" i="1"/>
  <c r="G405" i="1"/>
  <c r="V375" i="1"/>
  <c r="N14" i="29"/>
  <c r="D120" i="20"/>
  <c r="D120" i="21"/>
  <c r="D120" i="19"/>
  <c r="D120" i="25"/>
  <c r="D120" i="26"/>
  <c r="D120" i="18"/>
  <c r="D120" i="2"/>
  <c r="D17" i="27"/>
  <c r="C17" i="27" s="1"/>
  <c r="D120" i="22"/>
  <c r="G172" i="24"/>
  <c r="G166" i="24"/>
  <c r="Y404" i="1"/>
  <c r="G169" i="24"/>
  <c r="G167" i="24"/>
  <c r="G165" i="24"/>
  <c r="G165" i="25"/>
  <c r="G163" i="24"/>
  <c r="G170" i="24"/>
  <c r="G171" i="24"/>
  <c r="G168" i="24"/>
  <c r="E173" i="24"/>
  <c r="AB327" i="1"/>
  <c r="Y358" i="1"/>
  <c r="Y357" i="1"/>
  <c r="M165" i="24"/>
  <c r="Y374" i="1"/>
  <c r="Y329" i="1"/>
  <c r="Y330" i="1"/>
  <c r="Y327" i="1"/>
  <c r="M163" i="25"/>
  <c r="G169" i="22"/>
  <c r="M171" i="25"/>
  <c r="M171" i="23"/>
  <c r="M165" i="25"/>
  <c r="AB355" i="1"/>
  <c r="AB329" i="1"/>
  <c r="M168" i="24"/>
  <c r="AB250" i="1"/>
  <c r="AH404" i="1"/>
  <c r="M163" i="24"/>
  <c r="AH330" i="1"/>
  <c r="G172" i="22"/>
  <c r="V330" i="1"/>
  <c r="AB406" i="1"/>
  <c r="G166" i="22"/>
  <c r="G171" i="25"/>
  <c r="AB358" i="1"/>
  <c r="M169" i="25"/>
  <c r="M172" i="25"/>
  <c r="AB357" i="1"/>
  <c r="M170" i="25"/>
  <c r="AH250" i="1"/>
  <c r="M172" i="24"/>
  <c r="M170" i="24"/>
  <c r="M171" i="24"/>
  <c r="Y250" i="1"/>
  <c r="AH358" i="1"/>
  <c r="G167" i="22"/>
  <c r="G168" i="22"/>
  <c r="G172" i="25"/>
  <c r="M166" i="24"/>
  <c r="M164" i="24"/>
  <c r="AH374" i="1"/>
  <c r="E173" i="22"/>
  <c r="G164" i="22"/>
  <c r="G165" i="22"/>
  <c r="D17" i="19"/>
  <c r="C17" i="19" s="1"/>
  <c r="M169" i="24"/>
  <c r="AB330" i="1"/>
  <c r="AH376" i="1"/>
  <c r="AH406" i="1"/>
  <c r="G163" i="22"/>
  <c r="G170" i="22"/>
  <c r="V376" i="1"/>
  <c r="G164" i="25"/>
  <c r="G167" i="25"/>
  <c r="Y406" i="1"/>
  <c r="V404" i="1"/>
  <c r="V358" i="1"/>
  <c r="M164" i="25"/>
  <c r="M167" i="25"/>
  <c r="G166" i="25"/>
  <c r="G169" i="25"/>
  <c r="E173" i="25"/>
  <c r="Y376" i="1"/>
  <c r="V374" i="1"/>
  <c r="AH329" i="1"/>
  <c r="AH357" i="1"/>
  <c r="M166" i="25"/>
  <c r="AB404" i="1"/>
  <c r="G168" i="25"/>
  <c r="G163" i="25"/>
  <c r="M163" i="23"/>
  <c r="M166" i="23"/>
  <c r="M168" i="23"/>
  <c r="C17" i="21"/>
  <c r="V269" i="1"/>
  <c r="M170" i="23"/>
  <c r="G168" i="26"/>
  <c r="E173" i="26"/>
  <c r="G166" i="26"/>
  <c r="G167" i="26"/>
  <c r="G163" i="26"/>
  <c r="G172" i="26"/>
  <c r="G165" i="26"/>
  <c r="G169" i="26"/>
  <c r="G171" i="26"/>
  <c r="G170" i="26"/>
  <c r="G164" i="26"/>
  <c r="V357" i="1"/>
  <c r="M165" i="23"/>
  <c r="M164" i="23"/>
  <c r="M169" i="23"/>
  <c r="AB374" i="1"/>
  <c r="G167" i="27"/>
  <c r="G165" i="27"/>
  <c r="G164" i="27"/>
  <c r="E173" i="27"/>
  <c r="G166" i="27"/>
  <c r="G171" i="27"/>
  <c r="G169" i="27"/>
  <c r="G172" i="27"/>
  <c r="G163" i="27"/>
  <c r="G168" i="27"/>
  <c r="G170" i="27"/>
  <c r="G172" i="19"/>
  <c r="E173" i="19"/>
  <c r="M172" i="23"/>
  <c r="G166" i="28"/>
  <c r="G165" i="28"/>
  <c r="G164" i="28"/>
  <c r="G169" i="28"/>
  <c r="G171" i="28"/>
  <c r="G170" i="28"/>
  <c r="G167" i="28"/>
  <c r="G163" i="28"/>
  <c r="E173" i="28"/>
  <c r="G168" i="28"/>
  <c r="G172" i="28"/>
  <c r="V329" i="1"/>
  <c r="V327" i="1"/>
  <c r="V355" i="1"/>
  <c r="D17" i="28"/>
  <c r="C17" i="28" s="1"/>
  <c r="P329" i="1"/>
  <c r="P357" i="1"/>
  <c r="P358" i="1"/>
  <c r="P330" i="1"/>
  <c r="M358" i="1"/>
  <c r="M330" i="1"/>
  <c r="M329" i="1"/>
  <c r="M357" i="1"/>
  <c r="M170" i="26"/>
  <c r="M171" i="26"/>
  <c r="M168" i="26"/>
  <c r="M165" i="26"/>
  <c r="M166" i="26"/>
  <c r="M172" i="26"/>
  <c r="M169" i="26"/>
  <c r="M164" i="26"/>
  <c r="M167" i="26"/>
  <c r="M163" i="26"/>
  <c r="AE406" i="1"/>
  <c r="AE376" i="1"/>
  <c r="AE374" i="1"/>
  <c r="AE404" i="1"/>
  <c r="G358" i="1"/>
  <c r="G327" i="1"/>
  <c r="G330" i="1"/>
  <c r="G355" i="1"/>
  <c r="G329" i="1"/>
  <c r="G357" i="1"/>
  <c r="AK404" i="1"/>
  <c r="AK374" i="1"/>
  <c r="AK406" i="1"/>
  <c r="AK376" i="1"/>
  <c r="M171" i="28"/>
  <c r="M168" i="28"/>
  <c r="M167" i="28"/>
  <c r="M164" i="28"/>
  <c r="M170" i="28"/>
  <c r="M163" i="28"/>
  <c r="M169" i="28"/>
  <c r="M166" i="28"/>
  <c r="M172" i="28"/>
  <c r="M165" i="28"/>
  <c r="D404" i="1"/>
  <c r="D406" i="1"/>
  <c r="D376" i="1"/>
  <c r="D374" i="1"/>
  <c r="J374" i="1"/>
  <c r="J404" i="1"/>
  <c r="J376" i="1"/>
  <c r="J406" i="1"/>
  <c r="P376" i="1"/>
  <c r="P404" i="1"/>
  <c r="P374" i="1"/>
  <c r="P406" i="1"/>
  <c r="M250" i="1"/>
  <c r="M269" i="1"/>
  <c r="S269" i="1"/>
  <c r="S250" i="1"/>
  <c r="AE329" i="1"/>
  <c r="AE355" i="1"/>
  <c r="AE327" i="1"/>
  <c r="AE358" i="1"/>
  <c r="AE357" i="1"/>
  <c r="AE330" i="1"/>
  <c r="AK250" i="1"/>
  <c r="AK269" i="1"/>
  <c r="J355" i="1"/>
  <c r="J357" i="1"/>
  <c r="J358" i="1"/>
  <c r="J329" i="1"/>
  <c r="J330" i="1"/>
  <c r="J327" i="1"/>
  <c r="S376" i="1"/>
  <c r="S374" i="1"/>
  <c r="S406" i="1"/>
  <c r="S404" i="1"/>
  <c r="M172" i="22"/>
  <c r="M164" i="22"/>
  <c r="M165" i="22"/>
  <c r="M169" i="22"/>
  <c r="M171" i="22"/>
  <c r="M168" i="22"/>
  <c r="M163" i="22"/>
  <c r="M167" i="22"/>
  <c r="M166" i="22"/>
  <c r="M170" i="22"/>
  <c r="S355" i="1"/>
  <c r="S329" i="1"/>
  <c r="S330" i="1"/>
  <c r="S357" i="1"/>
  <c r="S327" i="1"/>
  <c r="S358" i="1"/>
  <c r="G404" i="1"/>
  <c r="G406" i="1"/>
  <c r="G374" i="1"/>
  <c r="G376" i="1"/>
  <c r="M172" i="19"/>
  <c r="M404" i="1"/>
  <c r="M406" i="1"/>
  <c r="M376" i="1"/>
  <c r="M374" i="1"/>
  <c r="AK327" i="1"/>
  <c r="AK329" i="1"/>
  <c r="AK357" i="1"/>
  <c r="AK358" i="1"/>
  <c r="AK330" i="1"/>
  <c r="AK355" i="1"/>
  <c r="D330" i="1"/>
  <c r="D358" i="1"/>
  <c r="D357" i="1"/>
  <c r="D327" i="1"/>
  <c r="D355" i="1"/>
  <c r="D329" i="1"/>
  <c r="P250" i="1"/>
  <c r="P269" i="1"/>
  <c r="AE269" i="1"/>
  <c r="AE250" i="1"/>
  <c r="J173" i="16"/>
  <c r="AE17" i="2"/>
  <c r="L220" i="14"/>
  <c r="W19" i="18"/>
  <c r="D18" i="18"/>
  <c r="C18" i="18" s="1"/>
  <c r="W18" i="23"/>
  <c r="D17" i="23"/>
  <c r="C17" i="23" s="1"/>
  <c r="W18" i="25"/>
  <c r="D17" i="25"/>
  <c r="C17" i="25" s="1"/>
  <c r="L214" i="14"/>
  <c r="L226" i="14"/>
  <c r="W20" i="2"/>
  <c r="D19" i="2"/>
  <c r="C19" i="2" s="1"/>
  <c r="W19" i="26"/>
  <c r="L257" i="14"/>
  <c r="L244" i="14"/>
  <c r="L238" i="14"/>
  <c r="W19" i="28"/>
  <c r="W19" i="27"/>
  <c r="E191" i="14"/>
  <c r="C190" i="14"/>
  <c r="D190" i="14" s="1"/>
  <c r="B190" i="14"/>
  <c r="Q190" i="14"/>
  <c r="H123" i="15"/>
  <c r="J190" i="14"/>
  <c r="L232" i="14"/>
  <c r="W19" i="19"/>
  <c r="W18" i="24"/>
  <c r="D17" i="24"/>
  <c r="C17" i="24" s="1"/>
  <c r="W19" i="21"/>
  <c r="D18" i="21"/>
  <c r="D18" i="26" l="1"/>
  <c r="C18" i="26" s="1"/>
  <c r="AO89" i="14"/>
  <c r="AN90" i="14"/>
  <c r="T14" i="29"/>
  <c r="T125" i="29"/>
  <c r="A42" i="29"/>
  <c r="AN343" i="1"/>
  <c r="AN344" i="1"/>
  <c r="A91" i="29"/>
  <c r="A90" i="29"/>
  <c r="A93" i="29"/>
  <c r="AN391" i="1"/>
  <c r="AN390" i="1"/>
  <c r="AN389" i="1"/>
  <c r="AN405" i="1"/>
  <c r="AN375" i="1"/>
  <c r="B375" i="1" s="1"/>
  <c r="D18" i="27"/>
  <c r="C18" i="27" s="1"/>
  <c r="D18" i="19"/>
  <c r="C18" i="19" s="1"/>
  <c r="C18" i="21"/>
  <c r="D18" i="28"/>
  <c r="C18" i="28" s="1"/>
  <c r="AN357" i="1"/>
  <c r="AN330" i="1"/>
  <c r="B330" i="1" s="1"/>
  <c r="AN376" i="1"/>
  <c r="B376" i="1" s="1"/>
  <c r="AN406" i="1"/>
  <c r="AN329" i="1"/>
  <c r="B329" i="1" s="1"/>
  <c r="AN358" i="1"/>
  <c r="AN374" i="1"/>
  <c r="B374" i="1" s="1"/>
  <c r="AN404" i="1"/>
  <c r="I97" i="16"/>
  <c r="B98" i="16" s="1"/>
  <c r="J169" i="16"/>
  <c r="O99" i="16"/>
  <c r="C12" i="16"/>
  <c r="O98" i="16"/>
  <c r="E167" i="16"/>
  <c r="E168" i="16"/>
  <c r="B417" i="1" s="1"/>
  <c r="C96" i="16"/>
  <c r="D24" i="16" s="1"/>
  <c r="F88" i="16"/>
  <c r="W20" i="19"/>
  <c r="W20" i="27"/>
  <c r="W20" i="28"/>
  <c r="W19" i="25"/>
  <c r="D18" i="25"/>
  <c r="C18" i="25" s="1"/>
  <c r="W20" i="18"/>
  <c r="D19" i="18"/>
  <c r="C19" i="18" s="1"/>
  <c r="W20" i="21"/>
  <c r="D19" i="21"/>
  <c r="W19" i="24"/>
  <c r="D18" i="24"/>
  <c r="C18" i="24" s="1"/>
  <c r="E192" i="14"/>
  <c r="B191" i="14"/>
  <c r="C191" i="14"/>
  <c r="D191" i="14" s="1"/>
  <c r="Q191" i="14"/>
  <c r="H124" i="15"/>
  <c r="J191" i="14"/>
  <c r="L245" i="14"/>
  <c r="W20" i="26"/>
  <c r="W21" i="2"/>
  <c r="D20" i="2"/>
  <c r="C20" i="2" s="1"/>
  <c r="L221" i="14"/>
  <c r="L251" i="14"/>
  <c r="L233" i="14"/>
  <c r="W19" i="23"/>
  <c r="D18" i="23"/>
  <c r="C18" i="23" s="1"/>
  <c r="L227" i="14"/>
  <c r="AE18" i="2"/>
  <c r="L264" i="14"/>
  <c r="D19" i="26" l="1"/>
  <c r="C19" i="26" s="1"/>
  <c r="L199" i="28"/>
  <c r="BB3" i="28" s="1"/>
  <c r="AZ14" i="28" s="1"/>
  <c r="Q26" i="16"/>
  <c r="R26" i="16"/>
  <c r="AO90" i="14"/>
  <c r="AN91" i="14"/>
  <c r="AQ38" i="30"/>
  <c r="AC111" i="30" s="1"/>
  <c r="Z38" i="30"/>
  <c r="Q111" i="30" s="1"/>
  <c r="J38" i="30"/>
  <c r="E111" i="30" s="1"/>
  <c r="AH32" i="30"/>
  <c r="W108" i="30" s="1"/>
  <c r="R32" i="30"/>
  <c r="K108" i="30" s="1"/>
  <c r="AQ26" i="30"/>
  <c r="AC105" i="30" s="1"/>
  <c r="Z26" i="30"/>
  <c r="Q105" i="30" s="1"/>
  <c r="J26" i="30"/>
  <c r="E105" i="30" s="1"/>
  <c r="AM38" i="30"/>
  <c r="Z111" i="30" s="1"/>
  <c r="V38" i="30"/>
  <c r="N111" i="30" s="1"/>
  <c r="AU32" i="30"/>
  <c r="AF108" i="30" s="1"/>
  <c r="AD32" i="30"/>
  <c r="T108" i="30" s="1"/>
  <c r="N32" i="30"/>
  <c r="H108" i="30" s="1"/>
  <c r="AM26" i="30"/>
  <c r="Z105" i="30" s="1"/>
  <c r="V26" i="30"/>
  <c r="N105" i="30" s="1"/>
  <c r="AH38" i="30"/>
  <c r="W111" i="30" s="1"/>
  <c r="R38" i="30"/>
  <c r="K111" i="30" s="1"/>
  <c r="AQ32" i="30"/>
  <c r="AC108" i="30" s="1"/>
  <c r="Z32" i="30"/>
  <c r="Q108" i="30" s="1"/>
  <c r="J32" i="30"/>
  <c r="E108" i="30" s="1"/>
  <c r="AH26" i="30"/>
  <c r="W105" i="30" s="1"/>
  <c r="R26" i="30"/>
  <c r="K105" i="30" s="1"/>
  <c r="AU38" i="30"/>
  <c r="AF111" i="30" s="1"/>
  <c r="AD38" i="30"/>
  <c r="T111" i="30" s="1"/>
  <c r="N38" i="30"/>
  <c r="H111" i="30" s="1"/>
  <c r="AM32" i="30"/>
  <c r="Z108" i="30" s="1"/>
  <c r="V32" i="30"/>
  <c r="N108" i="30" s="1"/>
  <c r="AU26" i="30"/>
  <c r="AF105" i="30" s="1"/>
  <c r="AD26" i="30"/>
  <c r="T105" i="30" s="1"/>
  <c r="N26" i="30"/>
  <c r="H105" i="30" s="1"/>
  <c r="B389" i="1"/>
  <c r="B404" i="1"/>
  <c r="B391" i="1"/>
  <c r="B406" i="1"/>
  <c r="B405" i="1"/>
  <c r="B390" i="1"/>
  <c r="A46" i="29"/>
  <c r="B358" i="1"/>
  <c r="B344" i="1"/>
  <c r="B357" i="1"/>
  <c r="B343" i="1"/>
  <c r="A95" i="29"/>
  <c r="A94" i="29"/>
  <c r="A97" i="29"/>
  <c r="D19" i="27"/>
  <c r="C19" i="27" s="1"/>
  <c r="C19" i="21"/>
  <c r="D19" i="19"/>
  <c r="C19" i="19" s="1"/>
  <c r="D19" i="28"/>
  <c r="C19" i="28" s="1"/>
  <c r="L199" i="2"/>
  <c r="BB3" i="2" s="1"/>
  <c r="L199" i="20"/>
  <c r="BB3" i="20" s="1"/>
  <c r="C121" i="15"/>
  <c r="L199" i="25"/>
  <c r="BB3" i="25" s="1"/>
  <c r="C182" i="29"/>
  <c r="L199" i="21"/>
  <c r="BB3" i="21" s="1"/>
  <c r="L199" i="23"/>
  <c r="BB3" i="23" s="1"/>
  <c r="L199" i="26"/>
  <c r="BB3" i="26" s="1"/>
  <c r="L199" i="18"/>
  <c r="BB3" i="18" s="1"/>
  <c r="L199" i="24"/>
  <c r="BB3" i="24" s="1"/>
  <c r="L199" i="27"/>
  <c r="BB3" i="27" s="1"/>
  <c r="O569" i="14"/>
  <c r="U4" i="14" s="1"/>
  <c r="L199" i="19"/>
  <c r="BB3" i="19" s="1"/>
  <c r="L199" i="22"/>
  <c r="BB3" i="22" s="1"/>
  <c r="E29" i="30"/>
  <c r="E35" i="30"/>
  <c r="E28" i="30"/>
  <c r="E41" i="30"/>
  <c r="E34" i="30"/>
  <c r="E40" i="30"/>
  <c r="H23" i="16"/>
  <c r="Z70" i="1" s="1"/>
  <c r="W20" i="23"/>
  <c r="D19" i="23"/>
  <c r="C19" i="23" s="1"/>
  <c r="L228" i="14"/>
  <c r="AE19" i="2"/>
  <c r="W21" i="18"/>
  <c r="D20" i="18"/>
  <c r="C20" i="18" s="1"/>
  <c r="W20" i="25"/>
  <c r="D19" i="25"/>
  <c r="C19" i="25" s="1"/>
  <c r="L234" i="14"/>
  <c r="E193" i="14"/>
  <c r="B192" i="14"/>
  <c r="C192" i="14"/>
  <c r="D192" i="14" s="1"/>
  <c r="Q192" i="14"/>
  <c r="H125" i="15"/>
  <c r="J192" i="14"/>
  <c r="W21" i="21"/>
  <c r="D20" i="21"/>
  <c r="W21" i="27"/>
  <c r="L258" i="14"/>
  <c r="L252" i="14"/>
  <c r="W21" i="28"/>
  <c r="W21" i="19"/>
  <c r="L271" i="14"/>
  <c r="L240" i="14"/>
  <c r="W22" i="2"/>
  <c r="D21" i="2"/>
  <c r="C21" i="2" s="1"/>
  <c r="W21" i="26"/>
  <c r="W20" i="24"/>
  <c r="D19" i="24"/>
  <c r="C19" i="24" s="1"/>
  <c r="AZ18" i="28" l="1"/>
  <c r="D20" i="26"/>
  <c r="C20" i="26" s="1"/>
  <c r="AZ15" i="28"/>
  <c r="AZ16" i="28"/>
  <c r="AZ17" i="28"/>
  <c r="AZ21" i="28"/>
  <c r="AZ9" i="28"/>
  <c r="B97" i="29"/>
  <c r="B61" i="15" s="1"/>
  <c r="AZ8" i="28"/>
  <c r="AZ19" i="28"/>
  <c r="AZ13" i="28"/>
  <c r="AZ12" i="28"/>
  <c r="AZ10" i="28"/>
  <c r="AZ20" i="28"/>
  <c r="AZ11" i="28"/>
  <c r="B130" i="20"/>
  <c r="G172" i="29" s="1"/>
  <c r="B130" i="22"/>
  <c r="I172" i="29" s="1"/>
  <c r="B130" i="24"/>
  <c r="L172" i="29" s="1"/>
  <c r="B130" i="21"/>
  <c r="H172" i="29" s="1"/>
  <c r="B130" i="19"/>
  <c r="E172" i="29" s="1"/>
  <c r="B130" i="28"/>
  <c r="B130" i="25"/>
  <c r="M172" i="29" s="1"/>
  <c r="B130" i="18"/>
  <c r="D172" i="29" s="1"/>
  <c r="B130" i="26"/>
  <c r="O172" i="29" s="1"/>
  <c r="B130" i="27"/>
  <c r="P172" i="29" s="1"/>
  <c r="B130" i="2"/>
  <c r="C172" i="29" s="1"/>
  <c r="B130" i="23"/>
  <c r="K172" i="29" s="1"/>
  <c r="F113" i="15"/>
  <c r="B129" i="25"/>
  <c r="I165" i="16"/>
  <c r="B129" i="23"/>
  <c r="B129" i="26"/>
  <c r="AK21" i="26" s="1"/>
  <c r="CX467" i="14" s="1"/>
  <c r="B129" i="18"/>
  <c r="F112" i="15"/>
  <c r="B129" i="27"/>
  <c r="B129" i="22"/>
  <c r="B129" i="2"/>
  <c r="B129" i="21"/>
  <c r="B129" i="24"/>
  <c r="B129" i="20"/>
  <c r="AK20" i="20" s="1"/>
  <c r="B129" i="19"/>
  <c r="B129" i="28"/>
  <c r="AZ10" i="22"/>
  <c r="AZ21" i="22"/>
  <c r="AZ16" i="22"/>
  <c r="AZ9" i="22"/>
  <c r="AZ12" i="22"/>
  <c r="AZ29" i="22"/>
  <c r="AZ20" i="22"/>
  <c r="AZ24" i="22"/>
  <c r="AZ23" i="22"/>
  <c r="AZ37" i="22"/>
  <c r="AZ13" i="22"/>
  <c r="AZ31" i="22"/>
  <c r="AZ22" i="22"/>
  <c r="AZ33" i="22"/>
  <c r="AZ27" i="22"/>
  <c r="AZ15" i="22"/>
  <c r="AZ36" i="22"/>
  <c r="AZ18" i="22"/>
  <c r="AZ14" i="22"/>
  <c r="AZ30" i="22"/>
  <c r="AZ32" i="22"/>
  <c r="AZ35" i="22"/>
  <c r="AZ25" i="22"/>
  <c r="AZ17" i="22"/>
  <c r="AZ11" i="22"/>
  <c r="AZ8" i="22"/>
  <c r="AZ19" i="22"/>
  <c r="AZ34" i="22"/>
  <c r="AZ28" i="22"/>
  <c r="AZ26" i="22"/>
  <c r="AZ9" i="21"/>
  <c r="AZ12" i="21"/>
  <c r="AZ16" i="21"/>
  <c r="AZ13" i="21"/>
  <c r="AZ8" i="21"/>
  <c r="AZ17" i="21"/>
  <c r="AZ11" i="21"/>
  <c r="AZ18" i="21"/>
  <c r="AZ21" i="21"/>
  <c r="AZ10" i="21"/>
  <c r="AZ19" i="21"/>
  <c r="AZ14" i="21"/>
  <c r="AZ15" i="21"/>
  <c r="AZ20" i="21"/>
  <c r="AZ20" i="26"/>
  <c r="AZ10" i="26"/>
  <c r="AZ16" i="26"/>
  <c r="AZ21" i="26"/>
  <c r="AZ11" i="26"/>
  <c r="AZ9" i="26"/>
  <c r="AZ13" i="26"/>
  <c r="AZ12" i="26"/>
  <c r="AZ19" i="26"/>
  <c r="AZ8" i="26"/>
  <c r="AZ14" i="26"/>
  <c r="AZ18" i="26"/>
  <c r="AZ15" i="26"/>
  <c r="AZ17" i="26"/>
  <c r="AZ14" i="25"/>
  <c r="AZ9" i="25"/>
  <c r="AZ17" i="25"/>
  <c r="AZ8" i="25"/>
  <c r="AZ10" i="25"/>
  <c r="AZ15" i="25"/>
  <c r="AZ19" i="25"/>
  <c r="AZ12" i="25"/>
  <c r="AZ20" i="25"/>
  <c r="AZ18" i="25"/>
  <c r="AZ11" i="25"/>
  <c r="AZ13" i="25"/>
  <c r="AZ16" i="25"/>
  <c r="AZ14" i="27"/>
  <c r="AZ19" i="27"/>
  <c r="AZ10" i="27"/>
  <c r="AZ21" i="27"/>
  <c r="AZ17" i="27"/>
  <c r="AZ8" i="27"/>
  <c r="AZ12" i="27"/>
  <c r="AZ15" i="27"/>
  <c r="AZ13" i="27"/>
  <c r="AZ20" i="27"/>
  <c r="AZ16" i="27"/>
  <c r="AZ9" i="27"/>
  <c r="AZ11" i="27"/>
  <c r="AZ18" i="27"/>
  <c r="AZ13" i="23"/>
  <c r="AZ15" i="23"/>
  <c r="AZ11" i="23"/>
  <c r="AZ18" i="23"/>
  <c r="AZ10" i="23"/>
  <c r="AZ8" i="23"/>
  <c r="AZ14" i="23"/>
  <c r="AZ19" i="23"/>
  <c r="AZ9" i="23"/>
  <c r="AZ17" i="23"/>
  <c r="AZ20" i="23"/>
  <c r="AZ16" i="23"/>
  <c r="AZ12" i="23"/>
  <c r="AZ18" i="24"/>
  <c r="AZ9" i="24"/>
  <c r="AZ13" i="24"/>
  <c r="AZ15" i="24"/>
  <c r="AZ16" i="24"/>
  <c r="AZ19" i="24"/>
  <c r="AZ12" i="24"/>
  <c r="AZ10" i="24"/>
  <c r="AZ8" i="24"/>
  <c r="AZ17" i="24"/>
  <c r="AZ14" i="24"/>
  <c r="AZ20" i="24"/>
  <c r="AZ11" i="24"/>
  <c r="AZ24" i="20"/>
  <c r="AZ26" i="20"/>
  <c r="AZ11" i="20"/>
  <c r="AZ33" i="20"/>
  <c r="AZ28" i="20"/>
  <c r="AZ30" i="20"/>
  <c r="AZ34" i="20"/>
  <c r="AZ14" i="20"/>
  <c r="AZ9" i="20"/>
  <c r="AZ37" i="20"/>
  <c r="AZ31" i="20"/>
  <c r="AZ16" i="20"/>
  <c r="AZ13" i="20"/>
  <c r="AZ25" i="20"/>
  <c r="AZ10" i="20"/>
  <c r="AZ36" i="20"/>
  <c r="AZ32" i="20"/>
  <c r="AZ18" i="20"/>
  <c r="AZ19" i="20"/>
  <c r="AZ15" i="20"/>
  <c r="AZ22" i="20"/>
  <c r="AZ12" i="20"/>
  <c r="AZ20" i="20"/>
  <c r="AZ17" i="20"/>
  <c r="AZ8" i="20"/>
  <c r="AZ29" i="20"/>
  <c r="AZ23" i="20"/>
  <c r="AZ27" i="20"/>
  <c r="AZ35" i="20"/>
  <c r="AZ21" i="20"/>
  <c r="AZ19" i="19"/>
  <c r="AZ18" i="19"/>
  <c r="AZ14" i="19"/>
  <c r="AZ9" i="19"/>
  <c r="AZ10" i="19"/>
  <c r="AZ20" i="19"/>
  <c r="AZ15" i="19"/>
  <c r="AZ16" i="19"/>
  <c r="AZ17" i="19"/>
  <c r="AZ21" i="19"/>
  <c r="AZ11" i="19"/>
  <c r="AZ12" i="19"/>
  <c r="AZ13" i="19"/>
  <c r="AZ8" i="19"/>
  <c r="AZ9" i="18"/>
  <c r="AZ15" i="18"/>
  <c r="AZ21" i="18"/>
  <c r="AZ8" i="18"/>
  <c r="AZ10" i="18"/>
  <c r="AZ11" i="18"/>
  <c r="AZ14" i="18"/>
  <c r="AZ16" i="18"/>
  <c r="AZ17" i="18"/>
  <c r="AZ12" i="18"/>
  <c r="AZ19" i="18"/>
  <c r="AZ20" i="18"/>
  <c r="AZ18" i="18"/>
  <c r="AZ13" i="18"/>
  <c r="AZ12" i="2"/>
  <c r="AZ13" i="2"/>
  <c r="AZ15" i="2"/>
  <c r="AZ18" i="2"/>
  <c r="AZ17" i="2"/>
  <c r="AZ14" i="2"/>
  <c r="AZ8" i="2"/>
  <c r="AZ22" i="2"/>
  <c r="AZ19" i="2"/>
  <c r="AZ21" i="2"/>
  <c r="AZ16" i="2"/>
  <c r="AZ11" i="2"/>
  <c r="AZ20" i="2"/>
  <c r="AZ9" i="2"/>
  <c r="AZ10" i="2"/>
  <c r="AO91" i="14"/>
  <c r="AN92" i="14"/>
  <c r="AM10" i="28"/>
  <c r="T129" i="30"/>
  <c r="H129" i="30"/>
  <c r="AM20" i="28"/>
  <c r="AM16" i="28"/>
  <c r="AM18" i="28"/>
  <c r="AM15" i="28"/>
  <c r="AM8" i="28"/>
  <c r="AM17" i="28"/>
  <c r="AM11" i="28"/>
  <c r="AM9" i="28"/>
  <c r="AM12" i="28"/>
  <c r="AM19" i="28"/>
  <c r="D20" i="27"/>
  <c r="C20" i="27" s="1"/>
  <c r="A50" i="29"/>
  <c r="A99" i="29"/>
  <c r="A98" i="29"/>
  <c r="E32" i="30"/>
  <c r="E26" i="30"/>
  <c r="E38" i="30"/>
  <c r="C20" i="21"/>
  <c r="D20" i="28"/>
  <c r="C20" i="28" s="1"/>
  <c r="D20" i="19"/>
  <c r="C20" i="19" s="1"/>
  <c r="E129" i="30"/>
  <c r="Z129" i="30"/>
  <c r="AC129" i="30"/>
  <c r="AF129" i="30"/>
  <c r="K129" i="30"/>
  <c r="N129" i="30"/>
  <c r="W129" i="30"/>
  <c r="N126" i="30"/>
  <c r="N123" i="30"/>
  <c r="E123" i="30"/>
  <c r="E126" i="30"/>
  <c r="H126" i="30"/>
  <c r="H123" i="30"/>
  <c r="K126" i="30"/>
  <c r="K123" i="30"/>
  <c r="AF126" i="30"/>
  <c r="AF123" i="30"/>
  <c r="Q126" i="30"/>
  <c r="Q123" i="30"/>
  <c r="T123" i="30"/>
  <c r="T126" i="30"/>
  <c r="Z126" i="30"/>
  <c r="Z123" i="30"/>
  <c r="W126" i="30"/>
  <c r="W123" i="30"/>
  <c r="AC126" i="30"/>
  <c r="AC123" i="30"/>
  <c r="Q129" i="30"/>
  <c r="M176" i="19"/>
  <c r="M176" i="27"/>
  <c r="AK72" i="30"/>
  <c r="M176" i="24"/>
  <c r="BH73" i="15"/>
  <c r="BH108" i="15" s="1"/>
  <c r="M176" i="21"/>
  <c r="M176" i="2"/>
  <c r="M176" i="18"/>
  <c r="M176" i="26"/>
  <c r="M86" i="1"/>
  <c r="M176" i="25"/>
  <c r="C166" i="29"/>
  <c r="K166" i="29" s="1"/>
  <c r="M176" i="23"/>
  <c r="M126" i="1"/>
  <c r="M176" i="20"/>
  <c r="M176" i="28"/>
  <c r="M46" i="1"/>
  <c r="M176" i="22"/>
  <c r="L278" i="14"/>
  <c r="W22" i="27"/>
  <c r="AZ22" i="27" s="1"/>
  <c r="W23" i="2"/>
  <c r="AZ23" i="2" s="1"/>
  <c r="D22" i="2"/>
  <c r="C22" i="2" s="1"/>
  <c r="L241" i="14"/>
  <c r="W22" i="18"/>
  <c r="AZ22" i="18" s="1"/>
  <c r="D21" i="18"/>
  <c r="C21" i="18" s="1"/>
  <c r="L235" i="14"/>
  <c r="L265" i="14"/>
  <c r="AE20" i="2"/>
  <c r="W21" i="25"/>
  <c r="AZ21" i="25" s="1"/>
  <c r="D20" i="25"/>
  <c r="C20" i="25" s="1"/>
  <c r="W21" i="24"/>
  <c r="AZ21" i="24" s="1"/>
  <c r="D20" i="24"/>
  <c r="C20" i="24" s="1"/>
  <c r="W22" i="26"/>
  <c r="AZ22" i="26" s="1"/>
  <c r="L247" i="14"/>
  <c r="W22" i="19"/>
  <c r="AZ22" i="19" s="1"/>
  <c r="W22" i="28"/>
  <c r="AZ22" i="28" s="1"/>
  <c r="L259" i="14"/>
  <c r="W22" i="21"/>
  <c r="AZ22" i="21" s="1"/>
  <c r="D21" i="21"/>
  <c r="E194" i="14"/>
  <c r="B193" i="14"/>
  <c r="C193" i="14"/>
  <c r="D193" i="14" s="1"/>
  <c r="Q193" i="14"/>
  <c r="H126" i="15"/>
  <c r="J193" i="14"/>
  <c r="W21" i="23"/>
  <c r="AZ21" i="23" s="1"/>
  <c r="D20" i="23"/>
  <c r="C20" i="23" s="1"/>
  <c r="AK21" i="20" l="1"/>
  <c r="CX284" i="14" s="1"/>
  <c r="D21" i="26"/>
  <c r="C21" i="26" s="1"/>
  <c r="AK14" i="24"/>
  <c r="CX399" i="14" s="1"/>
  <c r="AK9" i="26"/>
  <c r="CX455" i="14" s="1"/>
  <c r="AK28" i="20"/>
  <c r="CX291" i="14" s="1"/>
  <c r="AK13" i="20"/>
  <c r="CX276" i="14" s="1"/>
  <c r="AK16" i="26"/>
  <c r="CX462" i="14" s="1"/>
  <c r="AK36" i="20"/>
  <c r="CX299" i="14" s="1"/>
  <c r="AK21" i="19"/>
  <c r="CX253" i="14" s="1"/>
  <c r="I113" i="15"/>
  <c r="AJ79" i="14" s="1"/>
  <c r="AK35" i="20"/>
  <c r="CX298" i="14" s="1"/>
  <c r="AK32" i="20"/>
  <c r="CX295" i="14" s="1"/>
  <c r="AK19" i="26"/>
  <c r="CX465" i="14" s="1"/>
  <c r="AK24" i="20"/>
  <c r="CX287" i="14" s="1"/>
  <c r="AK17" i="20"/>
  <c r="CX280" i="14" s="1"/>
  <c r="I117" i="15"/>
  <c r="AK10" i="26"/>
  <c r="CX456" i="14" s="1"/>
  <c r="AK13" i="26"/>
  <c r="CX459" i="14" s="1"/>
  <c r="AK22" i="20"/>
  <c r="CX285" i="14" s="1"/>
  <c r="AK26" i="20"/>
  <c r="CX289" i="14" s="1"/>
  <c r="AK30" i="20"/>
  <c r="CX293" i="14" s="1"/>
  <c r="AK11" i="26"/>
  <c r="CX457" i="14" s="1"/>
  <c r="AK18" i="20"/>
  <c r="CX281" i="14" s="1"/>
  <c r="AK8" i="20"/>
  <c r="CX271" i="14" s="1"/>
  <c r="AK11" i="20"/>
  <c r="CX274" i="14" s="1"/>
  <c r="AK15" i="20"/>
  <c r="CX278" i="14" s="1"/>
  <c r="AK17" i="19"/>
  <c r="CX249" i="14" s="1"/>
  <c r="AK13" i="22"/>
  <c r="CX337" i="14" s="1"/>
  <c r="AK9" i="22"/>
  <c r="CX333" i="14" s="1"/>
  <c r="AK8" i="26"/>
  <c r="CX454" i="14" s="1"/>
  <c r="AK20" i="26"/>
  <c r="CX466" i="14" s="1"/>
  <c r="AK12" i="26"/>
  <c r="CX458" i="14" s="1"/>
  <c r="AK17" i="26"/>
  <c r="CX463" i="14" s="1"/>
  <c r="AK34" i="20"/>
  <c r="CX297" i="14" s="1"/>
  <c r="AK9" i="20"/>
  <c r="CX272" i="14" s="1"/>
  <c r="AK23" i="20"/>
  <c r="CX286" i="14" s="1"/>
  <c r="AK29" i="20"/>
  <c r="CX292" i="14" s="1"/>
  <c r="AK27" i="20"/>
  <c r="CX290" i="14" s="1"/>
  <c r="AK33" i="20"/>
  <c r="CX296" i="14" s="1"/>
  <c r="AK31" i="20"/>
  <c r="CX294" i="14" s="1"/>
  <c r="AK37" i="20"/>
  <c r="CX300" i="14" s="1"/>
  <c r="AK9" i="27"/>
  <c r="CX486" i="14" s="1"/>
  <c r="AK17" i="22"/>
  <c r="CX341" i="14" s="1"/>
  <c r="AK15" i="26"/>
  <c r="CX461" i="14" s="1"/>
  <c r="AK14" i="26"/>
  <c r="CX460" i="14" s="1"/>
  <c r="AK18" i="26"/>
  <c r="CX464" i="14" s="1"/>
  <c r="AK19" i="20"/>
  <c r="CX282" i="14" s="1"/>
  <c r="AK25" i="20"/>
  <c r="CX288" i="14" s="1"/>
  <c r="AK12" i="20"/>
  <c r="CX275" i="14" s="1"/>
  <c r="AK10" i="20"/>
  <c r="CX273" i="14" s="1"/>
  <c r="AK16" i="20"/>
  <c r="CX279" i="14" s="1"/>
  <c r="AK14" i="20"/>
  <c r="CX277" i="14" s="1"/>
  <c r="I116" i="15"/>
  <c r="I120" i="15"/>
  <c r="I123" i="15"/>
  <c r="I124" i="15"/>
  <c r="I119" i="15"/>
  <c r="I126" i="15"/>
  <c r="I114" i="15"/>
  <c r="I118" i="15"/>
  <c r="I121" i="15"/>
  <c r="I115" i="15"/>
  <c r="AK15" i="2"/>
  <c r="CX187" i="14" s="1"/>
  <c r="AK8" i="25"/>
  <c r="CX424" i="14" s="1"/>
  <c r="I125" i="15"/>
  <c r="I122" i="15"/>
  <c r="AK20" i="25"/>
  <c r="CX436" i="14" s="1"/>
  <c r="AK22" i="2"/>
  <c r="CX194" i="14" s="1"/>
  <c r="AK11" i="22"/>
  <c r="CX335" i="14" s="1"/>
  <c r="AK19" i="22"/>
  <c r="CX343" i="14" s="1"/>
  <c r="AK15" i="22"/>
  <c r="CX339" i="14" s="1"/>
  <c r="AK23" i="22"/>
  <c r="CX347" i="14" s="1"/>
  <c r="AK20" i="23"/>
  <c r="CX374" i="14" s="1"/>
  <c r="AK8" i="21"/>
  <c r="CX301" i="14" s="1"/>
  <c r="AK18" i="24"/>
  <c r="CX403" i="14" s="1"/>
  <c r="AK15" i="23"/>
  <c r="CX369" i="14" s="1"/>
  <c r="E17" i="2"/>
  <c r="G189" i="14" s="1"/>
  <c r="AK19" i="24"/>
  <c r="CX404" i="14" s="1"/>
  <c r="AK12" i="22"/>
  <c r="CX336" i="14" s="1"/>
  <c r="AK16" i="22"/>
  <c r="CX340" i="14" s="1"/>
  <c r="AK20" i="22"/>
  <c r="CX344" i="14" s="1"/>
  <c r="AK24" i="22"/>
  <c r="CX348" i="14" s="1"/>
  <c r="AK20" i="21"/>
  <c r="CX313" i="14" s="1"/>
  <c r="AK8" i="19"/>
  <c r="CX240" i="14" s="1"/>
  <c r="AK14" i="21"/>
  <c r="CX307" i="14" s="1"/>
  <c r="AK37" i="22"/>
  <c r="CX361" i="14" s="1"/>
  <c r="AK10" i="22"/>
  <c r="CX334" i="14" s="1"/>
  <c r="AK14" i="22"/>
  <c r="CX338" i="14" s="1"/>
  <c r="AK18" i="22"/>
  <c r="CX342" i="14" s="1"/>
  <c r="AK8" i="23"/>
  <c r="CX362" i="14" s="1"/>
  <c r="AK16" i="21"/>
  <c r="CX309" i="14" s="1"/>
  <c r="AK10" i="21"/>
  <c r="CX303" i="14" s="1"/>
  <c r="AK16" i="24"/>
  <c r="CX401" i="14" s="1"/>
  <c r="AK10" i="23"/>
  <c r="CX364" i="14" s="1"/>
  <c r="AK16" i="23"/>
  <c r="CX370" i="14" s="1"/>
  <c r="AK17" i="18"/>
  <c r="CX220" i="14" s="1"/>
  <c r="AK18" i="21"/>
  <c r="CX311" i="14" s="1"/>
  <c r="AK9" i="24"/>
  <c r="CX394" i="14" s="1"/>
  <c r="AK12" i="24"/>
  <c r="CX397" i="14" s="1"/>
  <c r="AK18" i="23"/>
  <c r="CX372" i="14" s="1"/>
  <c r="AK11" i="27"/>
  <c r="CX488" i="14" s="1"/>
  <c r="AK10" i="2"/>
  <c r="CX182" i="14" s="1"/>
  <c r="AK16" i="18"/>
  <c r="CX219" i="14" s="1"/>
  <c r="AK11" i="25"/>
  <c r="CX427" i="14" s="1"/>
  <c r="AK12" i="21"/>
  <c r="CX305" i="14" s="1"/>
  <c r="AK13" i="24"/>
  <c r="CX398" i="14" s="1"/>
  <c r="AK10" i="24"/>
  <c r="CX395" i="14" s="1"/>
  <c r="AK14" i="23"/>
  <c r="CX368" i="14" s="1"/>
  <c r="AK10" i="27"/>
  <c r="CX487" i="14" s="1"/>
  <c r="E13" i="2"/>
  <c r="G185" i="14" s="1"/>
  <c r="AK13" i="25"/>
  <c r="CX429" i="14" s="1"/>
  <c r="AK12" i="2"/>
  <c r="CX184" i="14" s="1"/>
  <c r="AK8" i="18"/>
  <c r="CX211" i="14" s="1"/>
  <c r="AK20" i="19"/>
  <c r="CX252" i="14" s="1"/>
  <c r="AK15" i="21"/>
  <c r="CX308" i="14" s="1"/>
  <c r="AK19" i="21"/>
  <c r="CX312" i="14" s="1"/>
  <c r="AK9" i="21"/>
  <c r="CX302" i="14" s="1"/>
  <c r="AK20" i="24"/>
  <c r="CX405" i="14" s="1"/>
  <c r="AK11" i="24"/>
  <c r="CX396" i="14" s="1"/>
  <c r="AK17" i="24"/>
  <c r="CX402" i="14" s="1"/>
  <c r="AK21" i="22"/>
  <c r="CX345" i="14" s="1"/>
  <c r="AK27" i="22"/>
  <c r="CX351" i="14" s="1"/>
  <c r="AK25" i="22"/>
  <c r="CX349" i="14" s="1"/>
  <c r="AK31" i="22"/>
  <c r="CX355" i="14" s="1"/>
  <c r="AK29" i="22"/>
  <c r="CX353" i="14" s="1"/>
  <c r="AK35" i="22"/>
  <c r="CX359" i="14" s="1"/>
  <c r="AK33" i="22"/>
  <c r="CX357" i="14" s="1"/>
  <c r="AK8" i="22"/>
  <c r="CX332" i="14" s="1"/>
  <c r="AK17" i="23"/>
  <c r="CX371" i="14" s="1"/>
  <c r="AK9" i="23"/>
  <c r="CX363" i="14" s="1"/>
  <c r="AK12" i="23"/>
  <c r="CX366" i="14" s="1"/>
  <c r="AK21" i="2"/>
  <c r="CX193" i="14" s="1"/>
  <c r="AK12" i="18"/>
  <c r="CX215" i="14" s="1"/>
  <c r="AK18" i="19"/>
  <c r="CX250" i="14" s="1"/>
  <c r="AK13" i="21"/>
  <c r="CX306" i="14" s="1"/>
  <c r="AK17" i="21"/>
  <c r="CX310" i="14" s="1"/>
  <c r="AK21" i="21"/>
  <c r="CX314" i="14" s="1"/>
  <c r="AK11" i="21"/>
  <c r="CX304" i="14" s="1"/>
  <c r="AK15" i="24"/>
  <c r="CX400" i="14" s="1"/>
  <c r="AK8" i="24"/>
  <c r="CX393" i="14" s="1"/>
  <c r="AK22" i="22"/>
  <c r="CX346" i="14" s="1"/>
  <c r="AK28" i="22"/>
  <c r="CX352" i="14" s="1"/>
  <c r="AK26" i="22"/>
  <c r="CX350" i="14" s="1"/>
  <c r="AK32" i="22"/>
  <c r="CX356" i="14" s="1"/>
  <c r="AK30" i="22"/>
  <c r="CX354" i="14" s="1"/>
  <c r="AK36" i="22"/>
  <c r="CX360" i="14" s="1"/>
  <c r="AK34" i="22"/>
  <c r="CX358" i="14" s="1"/>
  <c r="AK11" i="23"/>
  <c r="CX365" i="14" s="1"/>
  <c r="AK13" i="23"/>
  <c r="CX367" i="14" s="1"/>
  <c r="AK19" i="23"/>
  <c r="CX373" i="14" s="1"/>
  <c r="E9" i="2"/>
  <c r="G181" i="14" s="1"/>
  <c r="E8" i="2"/>
  <c r="P72" i="2" s="1"/>
  <c r="E15" i="2"/>
  <c r="G187" i="14" s="1"/>
  <c r="E11" i="2"/>
  <c r="G183" i="14" s="1"/>
  <c r="AK12" i="25"/>
  <c r="CX428" i="14" s="1"/>
  <c r="AK9" i="25"/>
  <c r="CX425" i="14" s="1"/>
  <c r="AK15" i="25"/>
  <c r="CX431" i="14" s="1"/>
  <c r="AK9" i="2"/>
  <c r="CX181" i="14" s="1"/>
  <c r="AK13" i="2"/>
  <c r="CX185" i="14" s="1"/>
  <c r="AK11" i="2"/>
  <c r="CX183" i="14" s="1"/>
  <c r="AK14" i="2"/>
  <c r="CX186" i="14" s="1"/>
  <c r="AK10" i="18"/>
  <c r="CX213" i="14" s="1"/>
  <c r="AK14" i="18"/>
  <c r="CX217" i="14" s="1"/>
  <c r="AK15" i="18"/>
  <c r="CX218" i="14" s="1"/>
  <c r="AK20" i="18"/>
  <c r="CX223" i="14" s="1"/>
  <c r="AK16" i="19"/>
  <c r="CX248" i="14" s="1"/>
  <c r="AK9" i="19"/>
  <c r="CX241" i="14" s="1"/>
  <c r="AK10" i="19"/>
  <c r="CX242" i="14" s="1"/>
  <c r="AK16" i="27"/>
  <c r="CX493" i="14" s="1"/>
  <c r="AK13" i="27"/>
  <c r="CX490" i="14" s="1"/>
  <c r="AK20" i="27"/>
  <c r="CX497" i="14" s="1"/>
  <c r="AK18" i="27"/>
  <c r="CX495" i="14" s="1"/>
  <c r="E20" i="2"/>
  <c r="G192" i="14" s="1"/>
  <c r="E14" i="2"/>
  <c r="G186" i="14" s="1"/>
  <c r="E10" i="2"/>
  <c r="G182" i="14" s="1"/>
  <c r="E19" i="2"/>
  <c r="G191" i="14" s="1"/>
  <c r="AK17" i="25"/>
  <c r="CX433" i="14" s="1"/>
  <c r="AK16" i="25"/>
  <c r="CX432" i="14" s="1"/>
  <c r="AK14" i="25"/>
  <c r="CX430" i="14" s="1"/>
  <c r="AK19" i="25"/>
  <c r="CX435" i="14" s="1"/>
  <c r="AK17" i="2"/>
  <c r="CX189" i="14" s="1"/>
  <c r="AK20" i="2"/>
  <c r="CX192" i="14" s="1"/>
  <c r="AK16" i="2"/>
  <c r="CX188" i="14" s="1"/>
  <c r="AK18" i="2"/>
  <c r="CX190" i="14" s="1"/>
  <c r="AK13" i="18"/>
  <c r="CX216" i="14" s="1"/>
  <c r="AK9" i="18"/>
  <c r="CX212" i="14" s="1"/>
  <c r="AK19" i="18"/>
  <c r="CX222" i="14" s="1"/>
  <c r="AK19" i="19"/>
  <c r="CX251" i="14" s="1"/>
  <c r="AK12" i="19"/>
  <c r="CX244" i="14" s="1"/>
  <c r="AK13" i="19"/>
  <c r="CX245" i="14" s="1"/>
  <c r="AK14" i="19"/>
  <c r="CX246" i="14" s="1"/>
  <c r="AK17" i="27"/>
  <c r="CX494" i="14" s="1"/>
  <c r="AK19" i="27"/>
  <c r="CX496" i="14" s="1"/>
  <c r="AK8" i="27"/>
  <c r="CX485" i="14" s="1"/>
  <c r="AK12" i="28"/>
  <c r="CX519" i="14" s="1"/>
  <c r="AK8" i="28"/>
  <c r="CX515" i="14" s="1"/>
  <c r="AK10" i="28"/>
  <c r="CX517" i="14" s="1"/>
  <c r="AK18" i="28"/>
  <c r="CX525" i="14" s="1"/>
  <c r="AK19" i="28"/>
  <c r="CX526" i="14" s="1"/>
  <c r="AK15" i="28"/>
  <c r="CX522" i="14" s="1"/>
  <c r="AK14" i="28"/>
  <c r="CX521" i="14" s="1"/>
  <c r="AK20" i="28"/>
  <c r="CX527" i="14" s="1"/>
  <c r="AK13" i="28"/>
  <c r="CX520" i="14" s="1"/>
  <c r="AK11" i="28"/>
  <c r="CX518" i="14" s="1"/>
  <c r="AK9" i="28"/>
  <c r="CX516" i="14" s="1"/>
  <c r="AK16" i="28"/>
  <c r="CX523" i="14" s="1"/>
  <c r="AK17" i="28"/>
  <c r="CX524" i="14" s="1"/>
  <c r="AF113" i="14"/>
  <c r="BH74" i="15"/>
  <c r="BH109" i="15" s="1"/>
  <c r="AK73" i="30"/>
  <c r="M177" i="26"/>
  <c r="M177" i="2"/>
  <c r="M177" i="22"/>
  <c r="C167" i="29"/>
  <c r="K167" i="29" s="1"/>
  <c r="M177" i="24"/>
  <c r="M177" i="21"/>
  <c r="M87" i="1"/>
  <c r="M47" i="1"/>
  <c r="M177" i="25"/>
  <c r="M177" i="28"/>
  <c r="M177" i="18"/>
  <c r="M177" i="19"/>
  <c r="M177" i="20"/>
  <c r="AF172" i="14"/>
  <c r="M177" i="27"/>
  <c r="M127" i="1"/>
  <c r="M177" i="23"/>
  <c r="Q172" i="29"/>
  <c r="E16" i="2"/>
  <c r="G188" i="14" s="1"/>
  <c r="E18" i="2"/>
  <c r="G190" i="14" s="1"/>
  <c r="E12" i="2"/>
  <c r="G184" i="14" s="1"/>
  <c r="AK10" i="25"/>
  <c r="CX426" i="14" s="1"/>
  <c r="AK18" i="25"/>
  <c r="CX434" i="14" s="1"/>
  <c r="AK19" i="2"/>
  <c r="CX191" i="14" s="1"/>
  <c r="AK8" i="2"/>
  <c r="CX180" i="14" s="1"/>
  <c r="AK21" i="18"/>
  <c r="CX224" i="14" s="1"/>
  <c r="AK18" i="18"/>
  <c r="CX221" i="14" s="1"/>
  <c r="AK11" i="18"/>
  <c r="CX214" i="14" s="1"/>
  <c r="AK11" i="19"/>
  <c r="CX243" i="14" s="1"/>
  <c r="AK15" i="19"/>
  <c r="CX247" i="14" s="1"/>
  <c r="AK12" i="27"/>
  <c r="CX489" i="14" s="1"/>
  <c r="AK21" i="27"/>
  <c r="CX498" i="14" s="1"/>
  <c r="AK15" i="27"/>
  <c r="CX492" i="14" s="1"/>
  <c r="AK14" i="27"/>
  <c r="CX491" i="14" s="1"/>
  <c r="AK21" i="28"/>
  <c r="CX528" i="14" s="1"/>
  <c r="BF4" i="20"/>
  <c r="BJ292" i="1" s="1"/>
  <c r="BA64" i="20"/>
  <c r="BA63" i="20" s="1"/>
  <c r="BB4" i="20"/>
  <c r="BF292" i="1" s="1"/>
  <c r="BD4" i="20"/>
  <c r="BH292" i="1" s="1"/>
  <c r="BG4" i="20"/>
  <c r="BK292" i="1" s="1"/>
  <c r="BC4" i="20"/>
  <c r="BG292" i="1" s="1"/>
  <c r="BE4" i="20"/>
  <c r="BI292" i="1" s="1"/>
  <c r="BD4" i="22"/>
  <c r="BH294" i="1" s="1"/>
  <c r="BF4" i="22"/>
  <c r="BJ294" i="1" s="1"/>
  <c r="BE4" i="22"/>
  <c r="BI294" i="1" s="1"/>
  <c r="BB4" i="22"/>
  <c r="BF294" i="1" s="1"/>
  <c r="BG4" i="22"/>
  <c r="BK294" i="1" s="1"/>
  <c r="BC4" i="22"/>
  <c r="BG294" i="1" s="1"/>
  <c r="BA64" i="22"/>
  <c r="BA63" i="22" s="1"/>
  <c r="AO92" i="14"/>
  <c r="AN93" i="14"/>
  <c r="AM13" i="22"/>
  <c r="AM11" i="23"/>
  <c r="AM11" i="22"/>
  <c r="AK22" i="19"/>
  <c r="CX254" i="14" s="1"/>
  <c r="CX283" i="14"/>
  <c r="AK22" i="28"/>
  <c r="CX529" i="14" s="1"/>
  <c r="AK21" i="25"/>
  <c r="CX437" i="14" s="1"/>
  <c r="AK23" i="2"/>
  <c r="CX195" i="14" s="1"/>
  <c r="AK21" i="23"/>
  <c r="CX375" i="14" s="1"/>
  <c r="AK22" i="21"/>
  <c r="CX315" i="14" s="1"/>
  <c r="AK21" i="24"/>
  <c r="CX406" i="14" s="1"/>
  <c r="AK22" i="26"/>
  <c r="CX468" i="14" s="1"/>
  <c r="AK22" i="27"/>
  <c r="CX499" i="14" s="1"/>
  <c r="AK22" i="18"/>
  <c r="CX225" i="14" s="1"/>
  <c r="AM17" i="23"/>
  <c r="AM36" i="22"/>
  <c r="AM22" i="22"/>
  <c r="AM15" i="22"/>
  <c r="D21" i="27"/>
  <c r="C21" i="27" s="1"/>
  <c r="AM13" i="24"/>
  <c r="AM23" i="22"/>
  <c r="AM11" i="24"/>
  <c r="AM24" i="22"/>
  <c r="AM20" i="24"/>
  <c r="AM19" i="24"/>
  <c r="AM26" i="22"/>
  <c r="AM21" i="22"/>
  <c r="AM15" i="23"/>
  <c r="AM14" i="22"/>
  <c r="AM16" i="22"/>
  <c r="AM8" i="24"/>
  <c r="AM20" i="22"/>
  <c r="AM8" i="23"/>
  <c r="AM21" i="26"/>
  <c r="AM25" i="22"/>
  <c r="AM18" i="24"/>
  <c r="AM27" i="22"/>
  <c r="AM10" i="23"/>
  <c r="AM17" i="22"/>
  <c r="AM19" i="23"/>
  <c r="AM17" i="24"/>
  <c r="AM21" i="28"/>
  <c r="AM32" i="22"/>
  <c r="AM15" i="24"/>
  <c r="AM14" i="24"/>
  <c r="AM16" i="24"/>
  <c r="AM35" i="22"/>
  <c r="AM8" i="22"/>
  <c r="AM13" i="23"/>
  <c r="AM34" i="22"/>
  <c r="AM8" i="26"/>
  <c r="AM8" i="2"/>
  <c r="AM8" i="25"/>
  <c r="AM22" i="2"/>
  <c r="AM29" i="22"/>
  <c r="AM31" i="22"/>
  <c r="AM9" i="22"/>
  <c r="AM28" i="22"/>
  <c r="AM17" i="26"/>
  <c r="A54" i="29"/>
  <c r="A56" i="29" s="1"/>
  <c r="A51" i="29"/>
  <c r="A52" i="29"/>
  <c r="C21" i="21"/>
  <c r="D21" i="28"/>
  <c r="C21" i="28" s="1"/>
  <c r="D21" i="19"/>
  <c r="C21" i="19" s="1"/>
  <c r="AM16" i="23"/>
  <c r="AM15" i="25"/>
  <c r="AM18" i="26"/>
  <c r="AM14" i="25"/>
  <c r="AM16" i="26"/>
  <c r="AM14" i="23"/>
  <c r="AM12" i="23"/>
  <c r="AM19" i="26"/>
  <c r="AM19" i="2"/>
  <c r="AM21" i="2"/>
  <c r="AM17" i="2"/>
  <c r="AM10" i="24"/>
  <c r="AM10" i="22"/>
  <c r="AM12" i="22"/>
  <c r="AM12" i="24"/>
  <c r="AM18" i="22"/>
  <c r="AM11" i="25"/>
  <c r="AM12" i="26"/>
  <c r="AM9" i="25"/>
  <c r="AM9" i="26"/>
  <c r="AM17" i="25"/>
  <c r="AM14" i="26"/>
  <c r="AM12" i="25"/>
  <c r="AM20" i="26"/>
  <c r="AM11" i="2"/>
  <c r="AM13" i="2"/>
  <c r="AM14" i="2"/>
  <c r="AM10" i="25"/>
  <c r="AM13" i="26"/>
  <c r="AM30" i="22"/>
  <c r="AM9" i="23"/>
  <c r="AM15" i="26"/>
  <c r="AM12" i="2"/>
  <c r="AM20" i="2"/>
  <c r="AM16" i="2"/>
  <c r="AM18" i="25"/>
  <c r="AM18" i="2"/>
  <c r="AM37" i="22"/>
  <c r="AM9" i="24"/>
  <c r="AM33" i="22"/>
  <c r="AM19" i="22"/>
  <c r="AM18" i="23"/>
  <c r="AM11" i="26"/>
  <c r="AM19" i="25"/>
  <c r="AM16" i="25"/>
  <c r="AM13" i="25"/>
  <c r="AM10" i="26"/>
  <c r="AM15" i="2"/>
  <c r="AM10" i="2"/>
  <c r="AM9" i="2"/>
  <c r="A31" i="29"/>
  <c r="A40" i="29"/>
  <c r="A35" i="29"/>
  <c r="A24" i="29"/>
  <c r="A48" i="29"/>
  <c r="A23" i="29"/>
  <c r="A47" i="29"/>
  <c r="A28" i="29"/>
  <c r="A39" i="29"/>
  <c r="A44" i="29"/>
  <c r="A27" i="29"/>
  <c r="A36" i="29"/>
  <c r="A43" i="29"/>
  <c r="A32" i="29"/>
  <c r="D82" i="16"/>
  <c r="C120" i="15"/>
  <c r="W22" i="25"/>
  <c r="AZ22" i="25" s="1"/>
  <c r="D21" i="25"/>
  <c r="C21" i="25" s="1"/>
  <c r="L242" i="14"/>
  <c r="W24" i="2"/>
  <c r="AZ24" i="2" s="1"/>
  <c r="D23" i="2"/>
  <c r="C23" i="2" s="1"/>
  <c r="AE21" i="2"/>
  <c r="E21" i="2" s="1"/>
  <c r="G193" i="14" s="1"/>
  <c r="W23" i="21"/>
  <c r="AZ23" i="21" s="1"/>
  <c r="D22" i="21"/>
  <c r="W23" i="19"/>
  <c r="AZ23" i="19" s="1"/>
  <c r="L254" i="14"/>
  <c r="W22" i="24"/>
  <c r="AZ22" i="24" s="1"/>
  <c r="D21" i="24"/>
  <c r="C21" i="24" s="1"/>
  <c r="W23" i="27"/>
  <c r="AZ23" i="27" s="1"/>
  <c r="E195" i="14"/>
  <c r="C194" i="14"/>
  <c r="D194" i="14" s="1"/>
  <c r="B194" i="14"/>
  <c r="Q194" i="14"/>
  <c r="H127" i="15"/>
  <c r="I127" i="15" s="1"/>
  <c r="J194" i="14"/>
  <c r="L266" i="14"/>
  <c r="W23" i="28"/>
  <c r="AZ23" i="28" s="1"/>
  <c r="W23" i="26"/>
  <c r="AZ23" i="26" s="1"/>
  <c r="L272" i="14"/>
  <c r="L248" i="14"/>
  <c r="W22" i="23"/>
  <c r="AZ22" i="23" s="1"/>
  <c r="D21" i="23"/>
  <c r="C21" i="23" s="1"/>
  <c r="W23" i="18"/>
  <c r="AZ23" i="18" s="1"/>
  <c r="D22" i="18"/>
  <c r="C22" i="18" s="1"/>
  <c r="L285" i="14"/>
  <c r="D22" i="26" l="1"/>
  <c r="C22" i="26" s="1"/>
  <c r="U6" i="2"/>
  <c r="U23" i="2" s="1"/>
  <c r="AC23" i="2" s="1"/>
  <c r="BF23" i="2" s="1"/>
  <c r="Q70" i="2"/>
  <c r="S6" i="2"/>
  <c r="S23" i="2" s="1"/>
  <c r="AP23" i="2" s="1"/>
  <c r="T6" i="2"/>
  <c r="T23" i="2" s="1"/>
  <c r="AB23" i="2" s="1"/>
  <c r="BE23" i="2" s="1"/>
  <c r="R6" i="2"/>
  <c r="R23" i="2" s="1"/>
  <c r="AT195" i="14" s="1"/>
  <c r="Q71" i="2"/>
  <c r="P70" i="2"/>
  <c r="R70" i="2" s="1"/>
  <c r="Q72" i="2"/>
  <c r="C126" i="29" s="1"/>
  <c r="P71" i="2"/>
  <c r="R71" i="2" s="1"/>
  <c r="P6" i="2"/>
  <c r="P24" i="2" s="1"/>
  <c r="X24" i="2" s="1"/>
  <c r="BA24" i="2" s="1"/>
  <c r="V6" i="2"/>
  <c r="V23" i="2" s="1"/>
  <c r="G180" i="14"/>
  <c r="Q6" i="2"/>
  <c r="Q12" i="2" s="1"/>
  <c r="Q73" i="2"/>
  <c r="C127" i="29" s="1"/>
  <c r="P73" i="2"/>
  <c r="BA4" i="22"/>
  <c r="BE294" i="1" s="1"/>
  <c r="BA4" i="20"/>
  <c r="BE292" i="1" s="1"/>
  <c r="AO93" i="14"/>
  <c r="AN94" i="14"/>
  <c r="AK23" i="28"/>
  <c r="CX530" i="14" s="1"/>
  <c r="D22" i="27"/>
  <c r="C22" i="27" s="1"/>
  <c r="AK22" i="23"/>
  <c r="AK23" i="26"/>
  <c r="AK22" i="24"/>
  <c r="AK23" i="21"/>
  <c r="CX316" i="14" s="1"/>
  <c r="AK23" i="18"/>
  <c r="AK23" i="27"/>
  <c r="AK23" i="19"/>
  <c r="CX255" i="14" s="1"/>
  <c r="AK22" i="25"/>
  <c r="AK24" i="2"/>
  <c r="CX196" i="14" s="1"/>
  <c r="AM21" i="25"/>
  <c r="AM23" i="2"/>
  <c r="AM21" i="24"/>
  <c r="R72" i="2"/>
  <c r="A55" i="29"/>
  <c r="AM21" i="23"/>
  <c r="AM22" i="28"/>
  <c r="AM22" i="26"/>
  <c r="A58" i="29"/>
  <c r="C22" i="21"/>
  <c r="D22" i="28"/>
  <c r="C22" i="28" s="1"/>
  <c r="D22" i="19"/>
  <c r="C22" i="19" s="1"/>
  <c r="C18" i="29"/>
  <c r="C95" i="20"/>
  <c r="C95" i="27"/>
  <c r="C95" i="23"/>
  <c r="C95" i="24"/>
  <c r="K129" i="29"/>
  <c r="C95" i="28"/>
  <c r="C95" i="25"/>
  <c r="C129" i="29"/>
  <c r="C95" i="26"/>
  <c r="C95" i="19"/>
  <c r="C95" i="2"/>
  <c r="C95" i="18"/>
  <c r="K18" i="29"/>
  <c r="C95" i="22"/>
  <c r="C95" i="21"/>
  <c r="L292" i="14"/>
  <c r="W24" i="21"/>
  <c r="AZ24" i="21" s="1"/>
  <c r="D23" i="21"/>
  <c r="W24" i="19"/>
  <c r="AZ24" i="19" s="1"/>
  <c r="W24" i="18"/>
  <c r="AZ24" i="18" s="1"/>
  <c r="D23" i="18"/>
  <c r="C23" i="18" s="1"/>
  <c r="W23" i="23"/>
  <c r="AZ23" i="23" s="1"/>
  <c r="D22" i="23"/>
  <c r="C22" i="23" s="1"/>
  <c r="E196" i="14"/>
  <c r="B195" i="14"/>
  <c r="C195" i="14"/>
  <c r="D195" i="14" s="1"/>
  <c r="Q195" i="14"/>
  <c r="H128" i="15"/>
  <c r="I128" i="15" s="1"/>
  <c r="J195" i="14"/>
  <c r="W23" i="24"/>
  <c r="AZ23" i="24" s="1"/>
  <c r="D22" i="24"/>
  <c r="C22" i="24" s="1"/>
  <c r="L249" i="14"/>
  <c r="L255" i="14"/>
  <c r="L279" i="14"/>
  <c r="W24" i="26"/>
  <c r="AZ24" i="26" s="1"/>
  <c r="L273" i="14"/>
  <c r="W24" i="27"/>
  <c r="AZ24" i="27" s="1"/>
  <c r="W23" i="25"/>
  <c r="AZ23" i="25" s="1"/>
  <c r="D22" i="25"/>
  <c r="C22" i="25" s="1"/>
  <c r="L261" i="14"/>
  <c r="AE22" i="2"/>
  <c r="E22" i="2" s="1"/>
  <c r="G194" i="14" s="1"/>
  <c r="W24" i="28"/>
  <c r="AZ24" i="28" s="1"/>
  <c r="W25" i="2"/>
  <c r="AZ25" i="2" s="1"/>
  <c r="D24" i="2"/>
  <c r="C24" i="2" s="1"/>
  <c r="AD23" i="2" l="1"/>
  <c r="BG23" i="2" s="1"/>
  <c r="AU195" i="14"/>
  <c r="P18" i="2"/>
  <c r="X18" i="2" s="1"/>
  <c r="BA18" i="2" s="1"/>
  <c r="P14" i="2"/>
  <c r="X14" i="2" s="1"/>
  <c r="BA14" i="2" s="1"/>
  <c r="P21" i="2"/>
  <c r="X21" i="2" s="1"/>
  <c r="BA21" i="2" s="1"/>
  <c r="P15" i="2"/>
  <c r="X15" i="2" s="1"/>
  <c r="BA15" i="2" s="1"/>
  <c r="P12" i="2"/>
  <c r="X12" i="2" s="1"/>
  <c r="BA12" i="2" s="1"/>
  <c r="P23" i="2"/>
  <c r="X23" i="2" s="1"/>
  <c r="BA23" i="2" s="1"/>
  <c r="P20" i="2"/>
  <c r="X20" i="2" s="1"/>
  <c r="BA20" i="2" s="1"/>
  <c r="P16" i="2"/>
  <c r="X16" i="2" s="1"/>
  <c r="BA16" i="2" s="1"/>
  <c r="P10" i="2"/>
  <c r="X10" i="2" s="1"/>
  <c r="BA10" i="2" s="1"/>
  <c r="P22" i="2"/>
  <c r="X22" i="2" s="1"/>
  <c r="BA22" i="2" s="1"/>
  <c r="P11" i="2"/>
  <c r="X11" i="2" s="1"/>
  <c r="BA11" i="2" s="1"/>
  <c r="P13" i="2"/>
  <c r="X13" i="2" s="1"/>
  <c r="BA13" i="2" s="1"/>
  <c r="P19" i="2"/>
  <c r="X19" i="2" s="1"/>
  <c r="BA19" i="2" s="1"/>
  <c r="P9" i="2"/>
  <c r="X9" i="2" s="1"/>
  <c r="BA9" i="2" s="1"/>
  <c r="P8" i="2"/>
  <c r="P17" i="2"/>
  <c r="X17" i="2" s="1"/>
  <c r="BA17" i="2" s="1"/>
  <c r="Z23" i="2"/>
  <c r="BC23" i="2" s="1"/>
  <c r="D23" i="26"/>
  <c r="C23" i="26" s="1"/>
  <c r="R73" i="2"/>
  <c r="AA23" i="2"/>
  <c r="BD23" i="2" s="1"/>
  <c r="U10" i="2"/>
  <c r="AR10" i="2" s="1"/>
  <c r="T18" i="2"/>
  <c r="AQ18" i="2" s="1"/>
  <c r="R16" i="2"/>
  <c r="U15" i="2"/>
  <c r="AR15" i="2" s="1"/>
  <c r="U19" i="2"/>
  <c r="AR19" i="2" s="1"/>
  <c r="T9" i="2"/>
  <c r="AQ9" i="2" s="1"/>
  <c r="R24" i="2"/>
  <c r="U8" i="2"/>
  <c r="AR8" i="2" s="1"/>
  <c r="R21" i="2"/>
  <c r="U13" i="2"/>
  <c r="AR13" i="2" s="1"/>
  <c r="S10" i="2"/>
  <c r="AP10" i="2" s="1"/>
  <c r="CL182" i="14" s="1"/>
  <c r="U14" i="2"/>
  <c r="AR14" i="2" s="1"/>
  <c r="U18" i="2"/>
  <c r="AR18" i="2" s="1"/>
  <c r="R13" i="2"/>
  <c r="U24" i="2"/>
  <c r="AC24" i="2" s="1"/>
  <c r="BF24" i="2" s="1"/>
  <c r="U9" i="2"/>
  <c r="AR9" i="2" s="1"/>
  <c r="U22" i="2"/>
  <c r="AR22" i="2" s="1"/>
  <c r="U11" i="2"/>
  <c r="AR11" i="2" s="1"/>
  <c r="U20" i="2"/>
  <c r="AR20" i="2" s="1"/>
  <c r="R20" i="2"/>
  <c r="R17" i="2"/>
  <c r="AR23" i="2"/>
  <c r="U17" i="2"/>
  <c r="AR17" i="2" s="1"/>
  <c r="U16" i="2"/>
  <c r="AR16" i="2" s="1"/>
  <c r="U21" i="2"/>
  <c r="AR21" i="2" s="1"/>
  <c r="U12" i="2"/>
  <c r="AR12" i="2" s="1"/>
  <c r="R14" i="2"/>
  <c r="R9" i="2"/>
  <c r="Q22" i="2"/>
  <c r="Y22" i="2" s="1"/>
  <c r="S24" i="2"/>
  <c r="AP24" i="2" s="1"/>
  <c r="S21" i="2"/>
  <c r="AP21" i="2" s="1"/>
  <c r="CL193" i="14" s="1"/>
  <c r="S12" i="2"/>
  <c r="AP12" i="2" s="1"/>
  <c r="CL184" i="14" s="1"/>
  <c r="Q23" i="2"/>
  <c r="Y23" i="2" s="1"/>
  <c r="BB23" i="2" s="1"/>
  <c r="AS195" i="14"/>
  <c r="S11" i="2"/>
  <c r="AP11" i="2" s="1"/>
  <c r="CL183" i="14" s="1"/>
  <c r="Q21" i="2"/>
  <c r="Y21" i="2" s="1"/>
  <c r="T19" i="2"/>
  <c r="AQ19" i="2" s="1"/>
  <c r="T20" i="2"/>
  <c r="AQ20" i="2" s="1"/>
  <c r="Q13" i="2"/>
  <c r="Y13" i="2" s="1"/>
  <c r="Q15" i="2"/>
  <c r="Y15" i="2" s="1"/>
  <c r="C15" i="29"/>
  <c r="T14" i="2"/>
  <c r="AQ14" i="2" s="1"/>
  <c r="T13" i="2"/>
  <c r="AQ13" i="2" s="1"/>
  <c r="T22" i="2"/>
  <c r="AQ22" i="2" s="1"/>
  <c r="Q11" i="2"/>
  <c r="Y11" i="2" s="1"/>
  <c r="Q24" i="2"/>
  <c r="Y24" i="2" s="1"/>
  <c r="BB24" i="2" s="1"/>
  <c r="T24" i="2"/>
  <c r="AB24" i="2" s="1"/>
  <c r="BE24" i="2" s="1"/>
  <c r="T8" i="2"/>
  <c r="AQ8" i="2" s="1"/>
  <c r="T16" i="2"/>
  <c r="AQ16" i="2" s="1"/>
  <c r="T12" i="2"/>
  <c r="AQ12" i="2" s="1"/>
  <c r="T17" i="2"/>
  <c r="AQ17" i="2" s="1"/>
  <c r="Q14" i="2"/>
  <c r="Y14" i="2" s="1"/>
  <c r="Q17" i="2"/>
  <c r="Y17" i="2" s="1"/>
  <c r="Q20" i="2"/>
  <c r="Y20" i="2" s="1"/>
  <c r="AQ23" i="2"/>
  <c r="T21" i="2"/>
  <c r="AQ21" i="2" s="1"/>
  <c r="T11" i="2"/>
  <c r="AQ11" i="2" s="1"/>
  <c r="T10" i="2"/>
  <c r="AQ10" i="2" s="1"/>
  <c r="T15" i="2"/>
  <c r="AQ15" i="2" s="1"/>
  <c r="Q10" i="2"/>
  <c r="Y10" i="2" s="1"/>
  <c r="Q8" i="2"/>
  <c r="AN8" i="2" s="1"/>
  <c r="Q16" i="2"/>
  <c r="Y16" i="2" s="1"/>
  <c r="S20" i="2"/>
  <c r="AP20" i="2" s="1"/>
  <c r="CL192" i="14" s="1"/>
  <c r="S19" i="2"/>
  <c r="AP19" i="2" s="1"/>
  <c r="CL191" i="14" s="1"/>
  <c r="S9" i="2"/>
  <c r="AP9" i="2" s="1"/>
  <c r="CL181" i="14" s="1"/>
  <c r="S16" i="2"/>
  <c r="AP16" i="2" s="1"/>
  <c r="CL188" i="14" s="1"/>
  <c r="S8" i="2"/>
  <c r="AP8" i="2" s="1"/>
  <c r="CL180" i="14" s="1"/>
  <c r="S17" i="2"/>
  <c r="AP17" i="2" s="1"/>
  <c r="CL189" i="14" s="1"/>
  <c r="S22" i="2"/>
  <c r="AP22" i="2" s="1"/>
  <c r="CL194" i="14" s="1"/>
  <c r="AS23" i="2"/>
  <c r="CN195" i="14" s="1"/>
  <c r="V19" i="2"/>
  <c r="S15" i="2"/>
  <c r="AP15" i="2" s="1"/>
  <c r="CL187" i="14" s="1"/>
  <c r="S13" i="2"/>
  <c r="AP13" i="2" s="1"/>
  <c r="CL185" i="14" s="1"/>
  <c r="S18" i="2"/>
  <c r="AP18" i="2" s="1"/>
  <c r="CL190" i="14" s="1"/>
  <c r="S14" i="2"/>
  <c r="AP14" i="2" s="1"/>
  <c r="CL186" i="14" s="1"/>
  <c r="AO23" i="2"/>
  <c r="R22" i="2"/>
  <c r="R19" i="2"/>
  <c r="R8" i="2"/>
  <c r="R11" i="2"/>
  <c r="R15" i="2"/>
  <c r="R10" i="2"/>
  <c r="R12" i="2"/>
  <c r="R18" i="2"/>
  <c r="V13" i="2"/>
  <c r="V12" i="2"/>
  <c r="Q18" i="2"/>
  <c r="Y18" i="2" s="1"/>
  <c r="Q9" i="2"/>
  <c r="Y9" i="2" s="1"/>
  <c r="Q19" i="2"/>
  <c r="Y19" i="2" s="1"/>
  <c r="C16" i="29"/>
  <c r="V20" i="2"/>
  <c r="V16" i="2"/>
  <c r="V8" i="2"/>
  <c r="V18" i="2"/>
  <c r="V11" i="2"/>
  <c r="V24" i="2"/>
  <c r="V22" i="2"/>
  <c r="V21" i="2"/>
  <c r="V9" i="2"/>
  <c r="V15" i="2"/>
  <c r="V17" i="2"/>
  <c r="V10" i="2"/>
  <c r="V14" i="2"/>
  <c r="D23" i="27"/>
  <c r="C23" i="27" s="1"/>
  <c r="AO94" i="14"/>
  <c r="AN95" i="14"/>
  <c r="AS16" i="2"/>
  <c r="CN188" i="14" s="1"/>
  <c r="AN9" i="2"/>
  <c r="Y12" i="2"/>
  <c r="AN12" i="2"/>
  <c r="AN21" i="2"/>
  <c r="AN18" i="2"/>
  <c r="AN13" i="2"/>
  <c r="AK24" i="19"/>
  <c r="CX256" i="14" s="1"/>
  <c r="AK24" i="27"/>
  <c r="AK23" i="24"/>
  <c r="AK23" i="23"/>
  <c r="C23" i="21"/>
  <c r="CL195" i="14"/>
  <c r="AK24" i="26"/>
  <c r="CX470" i="14" s="1"/>
  <c r="AK25" i="2"/>
  <c r="CX197" i="14" s="1"/>
  <c r="AK24" i="21"/>
  <c r="CX317" i="14" s="1"/>
  <c r="AK24" i="28"/>
  <c r="CX531" i="14" s="1"/>
  <c r="AK23" i="25"/>
  <c r="CX439" i="14" s="1"/>
  <c r="AK24" i="18"/>
  <c r="CX227" i="14" s="1"/>
  <c r="CX438" i="14"/>
  <c r="CX500" i="14"/>
  <c r="CX226" i="14"/>
  <c r="CX407" i="14"/>
  <c r="CX469" i="14"/>
  <c r="CX376" i="14"/>
  <c r="AM23" i="28"/>
  <c r="AM23" i="26"/>
  <c r="AM22" i="23"/>
  <c r="AM24" i="2"/>
  <c r="AM22" i="24"/>
  <c r="AM22" i="25"/>
  <c r="A62" i="29"/>
  <c r="A59" i="29"/>
  <c r="A60" i="29"/>
  <c r="D23" i="28"/>
  <c r="C23" i="28" s="1"/>
  <c r="R25" i="2"/>
  <c r="S25" i="2"/>
  <c r="Q25" i="2"/>
  <c r="Y25" i="2" s="1"/>
  <c r="BB25" i="2" s="1"/>
  <c r="T25" i="2"/>
  <c r="AB25" i="2" s="1"/>
  <c r="BE25" i="2" s="1"/>
  <c r="U25" i="2"/>
  <c r="AC25" i="2" s="1"/>
  <c r="BF25" i="2" s="1"/>
  <c r="P25" i="2"/>
  <c r="X25" i="2" s="1"/>
  <c r="BA25" i="2" s="1"/>
  <c r="V25" i="2"/>
  <c r="D23" i="19"/>
  <c r="C23" i="19" s="1"/>
  <c r="AE23" i="2"/>
  <c r="E23" i="2" s="1"/>
  <c r="G195" i="14" s="1"/>
  <c r="W25" i="28"/>
  <c r="AZ25" i="28" s="1"/>
  <c r="W25" i="26"/>
  <c r="AZ25" i="26" s="1"/>
  <c r="L262" i="14"/>
  <c r="E197" i="14"/>
  <c r="C196" i="14"/>
  <c r="D196" i="14" s="1"/>
  <c r="B196" i="14"/>
  <c r="Q196" i="14"/>
  <c r="H129" i="15"/>
  <c r="I129" i="15" s="1"/>
  <c r="J196" i="14"/>
  <c r="W25" i="18"/>
  <c r="AZ25" i="18" s="1"/>
  <c r="D24" i="18"/>
  <c r="C24" i="18" s="1"/>
  <c r="W25" i="21"/>
  <c r="AZ25" i="21" s="1"/>
  <c r="D24" i="21"/>
  <c r="L299" i="14"/>
  <c r="W25" i="19"/>
  <c r="AZ25" i="19" s="1"/>
  <c r="L268" i="14"/>
  <c r="W25" i="27"/>
  <c r="AZ25" i="27" s="1"/>
  <c r="D24" i="27"/>
  <c r="C24" i="27" s="1"/>
  <c r="L286" i="14"/>
  <c r="W26" i="2"/>
  <c r="AZ26" i="2" s="1"/>
  <c r="D25" i="2"/>
  <c r="C25" i="2" s="1"/>
  <c r="W24" i="24"/>
  <c r="AZ24" i="24" s="1"/>
  <c r="D23" i="24"/>
  <c r="C23" i="24" s="1"/>
  <c r="W24" i="25"/>
  <c r="AZ24" i="25" s="1"/>
  <c r="D23" i="25"/>
  <c r="C23" i="25" s="1"/>
  <c r="L280" i="14"/>
  <c r="L256" i="14"/>
  <c r="W24" i="23"/>
  <c r="AZ24" i="23" s="1"/>
  <c r="D23" i="23"/>
  <c r="C23" i="23" s="1"/>
  <c r="D24" i="26" l="1"/>
  <c r="C24" i="26" s="1"/>
  <c r="AN19" i="2"/>
  <c r="AN24" i="2"/>
  <c r="AN20" i="2"/>
  <c r="AN10" i="2"/>
  <c r="AN16" i="2"/>
  <c r="AN23" i="2"/>
  <c r="AN22" i="2"/>
  <c r="AN17" i="2"/>
  <c r="AN14" i="2"/>
  <c r="AL23" i="2"/>
  <c r="AN15" i="2"/>
  <c r="AN11" i="2"/>
  <c r="AC10" i="2"/>
  <c r="BF10" i="2" s="1"/>
  <c r="AS15" i="2"/>
  <c r="CN187" i="14" s="1"/>
  <c r="AU187" i="14"/>
  <c r="AD16" i="2"/>
  <c r="BG16" i="2" s="1"/>
  <c r="AU188" i="14"/>
  <c r="AS10" i="2"/>
  <c r="CN182" i="14" s="1"/>
  <c r="AU182" i="14"/>
  <c r="AS21" i="2"/>
  <c r="CN193" i="14" s="1"/>
  <c r="AU193" i="14"/>
  <c r="AS18" i="2"/>
  <c r="CN190" i="14" s="1"/>
  <c r="AU190" i="14"/>
  <c r="AS12" i="2"/>
  <c r="CN184" i="14" s="1"/>
  <c r="AU184" i="14"/>
  <c r="AD25" i="2"/>
  <c r="BG25" i="2" s="1"/>
  <c r="AU197" i="14"/>
  <c r="AS17" i="2"/>
  <c r="CN189" i="14" s="1"/>
  <c r="AU189" i="14"/>
  <c r="AS22" i="2"/>
  <c r="CN194" i="14" s="1"/>
  <c r="AU194" i="14"/>
  <c r="AS8" i="2"/>
  <c r="CN180" i="14" s="1"/>
  <c r="AU180" i="14"/>
  <c r="AS13" i="2"/>
  <c r="CN185" i="14" s="1"/>
  <c r="AU185" i="14"/>
  <c r="AD24" i="2"/>
  <c r="BG24" i="2" s="1"/>
  <c r="AU196" i="14"/>
  <c r="AT197" i="14"/>
  <c r="AS14" i="2"/>
  <c r="CN186" i="14" s="1"/>
  <c r="AU186" i="14"/>
  <c r="AS9" i="2"/>
  <c r="CN181" i="14" s="1"/>
  <c r="AU181" i="14"/>
  <c r="AS11" i="2"/>
  <c r="CN183" i="14" s="1"/>
  <c r="AU183" i="14"/>
  <c r="AS20" i="2"/>
  <c r="CN192" i="14" s="1"/>
  <c r="AU192" i="14"/>
  <c r="AS19" i="2"/>
  <c r="CN191" i="14" s="1"/>
  <c r="AU191" i="14"/>
  <c r="AO18" i="2"/>
  <c r="AT190" i="14"/>
  <c r="AO11" i="2"/>
  <c r="CM183" i="14" s="1"/>
  <c r="AT183" i="14"/>
  <c r="CK195" i="14"/>
  <c r="CM195" i="14"/>
  <c r="AO12" i="2"/>
  <c r="CM184" i="14" s="1"/>
  <c r="AT184" i="14"/>
  <c r="AO8" i="2"/>
  <c r="CM180" i="14" s="1"/>
  <c r="AT180" i="14"/>
  <c r="AO16" i="2"/>
  <c r="AT188" i="14"/>
  <c r="AO10" i="2"/>
  <c r="CM182" i="14" s="1"/>
  <c r="AT182" i="14"/>
  <c r="AO19" i="2"/>
  <c r="CM191" i="14" s="1"/>
  <c r="AT191" i="14"/>
  <c r="AO13" i="2"/>
  <c r="CM185" i="14" s="1"/>
  <c r="AT185" i="14"/>
  <c r="AD15" i="2"/>
  <c r="BG15" i="2" s="1"/>
  <c r="AO9" i="2"/>
  <c r="CM181" i="14" s="1"/>
  <c r="AT181" i="14"/>
  <c r="AO20" i="2"/>
  <c r="CM192" i="14" s="1"/>
  <c r="AT192" i="14"/>
  <c r="AO14" i="2"/>
  <c r="AT186" i="14"/>
  <c r="AR196" i="14"/>
  <c r="AT196" i="14"/>
  <c r="AO15" i="2"/>
  <c r="CM187" i="14" s="1"/>
  <c r="AT187" i="14"/>
  <c r="AO22" i="2"/>
  <c r="CM194" i="14" s="1"/>
  <c r="AT194" i="14"/>
  <c r="AO17" i="2"/>
  <c r="AT189" i="14"/>
  <c r="AO21" i="2"/>
  <c r="CM193" i="14" s="1"/>
  <c r="AT193" i="14"/>
  <c r="CK180" i="14"/>
  <c r="AR195" i="14"/>
  <c r="Z15" i="2"/>
  <c r="BC15" i="2" s="1"/>
  <c r="AA22" i="2"/>
  <c r="BD22" i="2" s="1"/>
  <c r="AA9" i="2"/>
  <c r="BD9" i="2" s="1"/>
  <c r="AC19" i="2"/>
  <c r="BF19" i="2" s="1"/>
  <c r="BY195" i="14"/>
  <c r="BP195" i="14"/>
  <c r="Z21" i="2"/>
  <c r="BC21" i="2" s="1"/>
  <c r="Y8" i="2"/>
  <c r="BB8" i="2" s="1"/>
  <c r="AA18" i="2"/>
  <c r="BD18" i="2" s="1"/>
  <c r="AD22" i="2"/>
  <c r="BG22" i="2" s="1"/>
  <c r="AB9" i="2"/>
  <c r="BE9" i="2" s="1"/>
  <c r="AB11" i="2"/>
  <c r="BE11" i="2" s="1"/>
  <c r="AA13" i="2"/>
  <c r="BD13" i="2" s="1"/>
  <c r="AC22" i="2"/>
  <c r="BF22" i="2" s="1"/>
  <c r="Z22" i="2"/>
  <c r="BC22" i="2" s="1"/>
  <c r="Z17" i="2"/>
  <c r="BC17" i="2" s="1"/>
  <c r="AB19" i="2"/>
  <c r="BE19" i="2" s="1"/>
  <c r="AB16" i="2"/>
  <c r="BE16" i="2" s="1"/>
  <c r="AC18" i="2"/>
  <c r="BF18" i="2" s="1"/>
  <c r="AC21" i="2"/>
  <c r="BF21" i="2" s="1"/>
  <c r="X8" i="2"/>
  <c r="BA8" i="2" s="1"/>
  <c r="Z20" i="2"/>
  <c r="BC20" i="2" s="1"/>
  <c r="AD9" i="2"/>
  <c r="BG9" i="2" s="1"/>
  <c r="Z11" i="2"/>
  <c r="BC11" i="2" s="1"/>
  <c r="AD13" i="2"/>
  <c r="BG13" i="2" s="1"/>
  <c r="AA12" i="2"/>
  <c r="BD12" i="2" s="1"/>
  <c r="AC15" i="2"/>
  <c r="BF15" i="2" s="1"/>
  <c r="AC16" i="2"/>
  <c r="BF16" i="2" s="1"/>
  <c r="AA19" i="2"/>
  <c r="BD19" i="2" s="1"/>
  <c r="AB22" i="2"/>
  <c r="BE22" i="2" s="1"/>
  <c r="Z8" i="2"/>
  <c r="BC8" i="2" s="1"/>
  <c r="AA20" i="2"/>
  <c r="BD20" i="2" s="1"/>
  <c r="AA17" i="2"/>
  <c r="BD17" i="2" s="1"/>
  <c r="Z18" i="2"/>
  <c r="BC18" i="2" s="1"/>
  <c r="AC8" i="2"/>
  <c r="BF8" i="2" s="1"/>
  <c r="AB8" i="2"/>
  <c r="BE8" i="2" s="1"/>
  <c r="AC14" i="2"/>
  <c r="BF14" i="2" s="1"/>
  <c r="AD14" i="2"/>
  <c r="BG14" i="2" s="1"/>
  <c r="AB21" i="2"/>
  <c r="BE21" i="2" s="1"/>
  <c r="AC9" i="2"/>
  <c r="BF9" i="2" s="1"/>
  <c r="AB15" i="2"/>
  <c r="BE15" i="2" s="1"/>
  <c r="AA15" i="2"/>
  <c r="BD15" i="2" s="1"/>
  <c r="Z9" i="2"/>
  <c r="BC9" i="2" s="1"/>
  <c r="Z24" i="2"/>
  <c r="BC24" i="2" s="1"/>
  <c r="Z16" i="2"/>
  <c r="BC16" i="2" s="1"/>
  <c r="AA14" i="2"/>
  <c r="BD14" i="2" s="1"/>
  <c r="Z12" i="2"/>
  <c r="BC12" i="2" s="1"/>
  <c r="AA8" i="2"/>
  <c r="BD8" i="2" s="1"/>
  <c r="AB17" i="2"/>
  <c r="BE17" i="2" s="1"/>
  <c r="Z14" i="2"/>
  <c r="BC14" i="2" s="1"/>
  <c r="AA11" i="2"/>
  <c r="BD11" i="2" s="1"/>
  <c r="AC20" i="2"/>
  <c r="BF20" i="2" s="1"/>
  <c r="AC17" i="2"/>
  <c r="BF17" i="2" s="1"/>
  <c r="AD19" i="2"/>
  <c r="BG19" i="2" s="1"/>
  <c r="AB13" i="2"/>
  <c r="BE13" i="2" s="1"/>
  <c r="AA21" i="2"/>
  <c r="BD21" i="2" s="1"/>
  <c r="AD21" i="2"/>
  <c r="BG21" i="2" s="1"/>
  <c r="AB18" i="2"/>
  <c r="BE18" i="2" s="1"/>
  <c r="AA10" i="2"/>
  <c r="BD10" i="2" s="1"/>
  <c r="AD10" i="2"/>
  <c r="BG10" i="2" s="1"/>
  <c r="AD18" i="2"/>
  <c r="BG18" i="2" s="1"/>
  <c r="B62" i="29"/>
  <c r="B47" i="15" s="1"/>
  <c r="AR193" i="14"/>
  <c r="AB14" i="2"/>
  <c r="BE14" i="2" s="1"/>
  <c r="Z19" i="2"/>
  <c r="BC19" i="2" s="1"/>
  <c r="Z10" i="2"/>
  <c r="BC10" i="2" s="1"/>
  <c r="AD8" i="2"/>
  <c r="BG8" i="2" s="1"/>
  <c r="AC12" i="2"/>
  <c r="BF12" i="2" s="1"/>
  <c r="AD17" i="2"/>
  <c r="BG17" i="2" s="1"/>
  <c r="AD11" i="2"/>
  <c r="BG11" i="2" s="1"/>
  <c r="AD20" i="2"/>
  <c r="BG20" i="2" s="1"/>
  <c r="AD12" i="2"/>
  <c r="BG12" i="2" s="1"/>
  <c r="AA16" i="2"/>
  <c r="BD16" i="2" s="1"/>
  <c r="AB10" i="2"/>
  <c r="BE10" i="2" s="1"/>
  <c r="AB20" i="2"/>
  <c r="BE20" i="2" s="1"/>
  <c r="AA24" i="2"/>
  <c r="BD24" i="2" s="1"/>
  <c r="AB12" i="2"/>
  <c r="BE12" i="2" s="1"/>
  <c r="Z13" i="2"/>
  <c r="BC13" i="2" s="1"/>
  <c r="AC13" i="2"/>
  <c r="BF13" i="2" s="1"/>
  <c r="AC11" i="2"/>
  <c r="BF11" i="2" s="1"/>
  <c r="AR185" i="14"/>
  <c r="AR188" i="14"/>
  <c r="AR181" i="14"/>
  <c r="AS184" i="14"/>
  <c r="AO24" i="2"/>
  <c r="AR24" i="2"/>
  <c r="AS188" i="14"/>
  <c r="AS196" i="14"/>
  <c r="AS180" i="14"/>
  <c r="AR189" i="14"/>
  <c r="AS182" i="14"/>
  <c r="AR186" i="14"/>
  <c r="AS193" i="14"/>
  <c r="AS183" i="14"/>
  <c r="AR192" i="14"/>
  <c r="AS181" i="14"/>
  <c r="AR191" i="14"/>
  <c r="AR182" i="14"/>
  <c r="AS190" i="14"/>
  <c r="AQ24" i="2"/>
  <c r="AS192" i="14"/>
  <c r="AS186" i="14"/>
  <c r="AS185" i="14"/>
  <c r="AS194" i="14"/>
  <c r="AR183" i="14"/>
  <c r="AS191" i="14"/>
  <c r="AR190" i="14"/>
  <c r="AS189" i="14"/>
  <c r="AS187" i="14"/>
  <c r="AS24" i="2"/>
  <c r="CN196" i="14" s="1"/>
  <c r="AR180" i="14"/>
  <c r="AR194" i="14"/>
  <c r="AR184" i="14"/>
  <c r="AR187" i="14"/>
  <c r="C24" i="21"/>
  <c r="AO95" i="14"/>
  <c r="AN96" i="14"/>
  <c r="BB22" i="2"/>
  <c r="AL22" i="2"/>
  <c r="BB17" i="2"/>
  <c r="BB9" i="2"/>
  <c r="AL9" i="2"/>
  <c r="BB19" i="2"/>
  <c r="BB20" i="2"/>
  <c r="BB13" i="2"/>
  <c r="BB15" i="2"/>
  <c r="AL15" i="2"/>
  <c r="BB21" i="2"/>
  <c r="AL21" i="2"/>
  <c r="BB12" i="2"/>
  <c r="BB16" i="2"/>
  <c r="AL16" i="2"/>
  <c r="BB14" i="2"/>
  <c r="AL14" i="2"/>
  <c r="BB18" i="2"/>
  <c r="AL18" i="2"/>
  <c r="BB10" i="2"/>
  <c r="BB11" i="2"/>
  <c r="AK25" i="27"/>
  <c r="CX502" i="14" s="1"/>
  <c r="AK25" i="26"/>
  <c r="CX471" i="14" s="1"/>
  <c r="CX377" i="14"/>
  <c r="CX501" i="14"/>
  <c r="CX408" i="14"/>
  <c r="AK24" i="25"/>
  <c r="CX440" i="14" s="1"/>
  <c r="AK25" i="21"/>
  <c r="CX318" i="14" s="1"/>
  <c r="AK25" i="28"/>
  <c r="CX532" i="14" s="1"/>
  <c r="AK25" i="19"/>
  <c r="CX257" i="14" s="1"/>
  <c r="AK24" i="23"/>
  <c r="CX378" i="14" s="1"/>
  <c r="AK26" i="2"/>
  <c r="CX198" i="14" s="1"/>
  <c r="AK24" i="24"/>
  <c r="CX409" i="14" s="1"/>
  <c r="AK25" i="18"/>
  <c r="CX228" i="14" s="1"/>
  <c r="CL196" i="14"/>
  <c r="AM23" i="24"/>
  <c r="AR197" i="14"/>
  <c r="Z25" i="2"/>
  <c r="BC25" i="2" s="1"/>
  <c r="AM23" i="23"/>
  <c r="AM24" i="28"/>
  <c r="AS197" i="14"/>
  <c r="AA25" i="2"/>
  <c r="BD25" i="2" s="1"/>
  <c r="AL24" i="2"/>
  <c r="AN25" i="2"/>
  <c r="AP25" i="2"/>
  <c r="AM24" i="26"/>
  <c r="AM25" i="2"/>
  <c r="AM23" i="25"/>
  <c r="AS25" i="2"/>
  <c r="CN197" i="14" s="1"/>
  <c r="A64" i="29"/>
  <c r="A63" i="29"/>
  <c r="D24" i="28"/>
  <c r="C24" i="28" s="1"/>
  <c r="D24" i="19"/>
  <c r="C24" i="19" s="1"/>
  <c r="S26" i="2"/>
  <c r="U26" i="2"/>
  <c r="P26" i="2"/>
  <c r="V26" i="2"/>
  <c r="Q26" i="2"/>
  <c r="Y26" i="2" s="1"/>
  <c r="BB26" i="2" s="1"/>
  <c r="R26" i="2"/>
  <c r="AT198" i="14" s="1"/>
  <c r="T26" i="2"/>
  <c r="AB26" i="2" s="1"/>
  <c r="BE26" i="2" s="1"/>
  <c r="AR25" i="2"/>
  <c r="AQ25" i="2"/>
  <c r="AO25" i="2"/>
  <c r="L287" i="14"/>
  <c r="W26" i="18"/>
  <c r="AZ26" i="18" s="1"/>
  <c r="D25" i="18"/>
  <c r="C25" i="18" s="1"/>
  <c r="W25" i="25"/>
  <c r="AZ25" i="25" s="1"/>
  <c r="D24" i="25"/>
  <c r="C24" i="25" s="1"/>
  <c r="W26" i="27"/>
  <c r="AZ26" i="27" s="1"/>
  <c r="D25" i="27"/>
  <c r="C25" i="27" s="1"/>
  <c r="L306" i="14"/>
  <c r="W26" i="21"/>
  <c r="AZ26" i="21" s="1"/>
  <c r="D25" i="21"/>
  <c r="E198" i="14"/>
  <c r="B197" i="14"/>
  <c r="C197" i="14"/>
  <c r="D197" i="14" s="1"/>
  <c r="Q197" i="14"/>
  <c r="H130" i="15"/>
  <c r="I130" i="15" s="1"/>
  <c r="J197" i="14"/>
  <c r="W26" i="26"/>
  <c r="AZ26" i="26" s="1"/>
  <c r="D25" i="26"/>
  <c r="C25" i="26" s="1"/>
  <c r="W26" i="28"/>
  <c r="AZ26" i="28" s="1"/>
  <c r="W25" i="23"/>
  <c r="AZ25" i="23" s="1"/>
  <c r="D24" i="23"/>
  <c r="C24" i="23" s="1"/>
  <c r="L263" i="14"/>
  <c r="W25" i="24"/>
  <c r="AZ25" i="24" s="1"/>
  <c r="D24" i="24"/>
  <c r="C24" i="24" s="1"/>
  <c r="W26" i="19"/>
  <c r="AZ26" i="19" s="1"/>
  <c r="AE24" i="2"/>
  <c r="E24" i="2" s="1"/>
  <c r="W27" i="2"/>
  <c r="AZ27" i="2" s="1"/>
  <c r="D26" i="2"/>
  <c r="C26" i="2" s="1"/>
  <c r="L293" i="14"/>
  <c r="L275" i="14"/>
  <c r="L269" i="14"/>
  <c r="BP197" i="14" l="1"/>
  <c r="BP196" i="14"/>
  <c r="BP186" i="14"/>
  <c r="BP181" i="14"/>
  <c r="BP190" i="14"/>
  <c r="BP191" i="14"/>
  <c r="CK183" i="14"/>
  <c r="CK191" i="14"/>
  <c r="CM197" i="14"/>
  <c r="CK185" i="14"/>
  <c r="CK184" i="14"/>
  <c r="AD26" i="2"/>
  <c r="BG26" i="2" s="1"/>
  <c r="AU198" i="14"/>
  <c r="CK182" i="14"/>
  <c r="CK192" i="14"/>
  <c r="CK194" i="14"/>
  <c r="CK193" i="14"/>
  <c r="CK181" i="14"/>
  <c r="CK187" i="14"/>
  <c r="CK186" i="14"/>
  <c r="CM186" i="14"/>
  <c r="CK189" i="14"/>
  <c r="CM189" i="14"/>
  <c r="CK188" i="14"/>
  <c r="CM188" i="14"/>
  <c r="CK196" i="14"/>
  <c r="CM196" i="14"/>
  <c r="CK190" i="14"/>
  <c r="CM190" i="14"/>
  <c r="BY188" i="14"/>
  <c r="BY197" i="14"/>
  <c r="BY189" i="14"/>
  <c r="BY193" i="14"/>
  <c r="BY185" i="14"/>
  <c r="BY196" i="14"/>
  <c r="BY187" i="14"/>
  <c r="BY194" i="14"/>
  <c r="BY184" i="14"/>
  <c r="BY182" i="14"/>
  <c r="BY190" i="14"/>
  <c r="BY192" i="14"/>
  <c r="BY181" i="14"/>
  <c r="BY183" i="14"/>
  <c r="BY191" i="14"/>
  <c r="BY186" i="14"/>
  <c r="BP187" i="14"/>
  <c r="BP193" i="14"/>
  <c r="BP183" i="14"/>
  <c r="BP194" i="14"/>
  <c r="BY180" i="14"/>
  <c r="BP188" i="14"/>
  <c r="BP189" i="14"/>
  <c r="BP180" i="14"/>
  <c r="BP185" i="14"/>
  <c r="AL11" i="2"/>
  <c r="AL12" i="2"/>
  <c r="BP184" i="14"/>
  <c r="AL19" i="2"/>
  <c r="AL17" i="2"/>
  <c r="AL10" i="2"/>
  <c r="AL20" i="2"/>
  <c r="BP182" i="14"/>
  <c r="BP192" i="14"/>
  <c r="AL13" i="2"/>
  <c r="AL8" i="2"/>
  <c r="C25" i="21"/>
  <c r="AO96" i="14"/>
  <c r="AN97" i="14"/>
  <c r="AM24" i="23"/>
  <c r="AK26" i="19"/>
  <c r="CX258" i="14" s="1"/>
  <c r="AK26" i="27"/>
  <c r="CX503" i="14" s="1"/>
  <c r="AK26" i="18"/>
  <c r="CX229" i="14" s="1"/>
  <c r="CL197" i="14"/>
  <c r="AK26" i="26"/>
  <c r="CX472" i="14" s="1"/>
  <c r="AK27" i="2"/>
  <c r="CX199" i="14" s="1"/>
  <c r="AK25" i="24"/>
  <c r="CX410" i="14" s="1"/>
  <c r="AK25" i="23"/>
  <c r="CX379" i="14" s="1"/>
  <c r="AK25" i="25"/>
  <c r="CX441" i="14" s="1"/>
  <c r="AK26" i="21"/>
  <c r="CX319" i="14" s="1"/>
  <c r="AK26" i="28"/>
  <c r="CX533" i="14" s="1"/>
  <c r="CK197" i="14"/>
  <c r="AM26" i="2"/>
  <c r="X26" i="2"/>
  <c r="BA26" i="2" s="1"/>
  <c r="AS198" i="14"/>
  <c r="AA26" i="2"/>
  <c r="BD26" i="2" s="1"/>
  <c r="AM24" i="24"/>
  <c r="AR198" i="14"/>
  <c r="Z26" i="2"/>
  <c r="BC26" i="2" s="1"/>
  <c r="AC26" i="2"/>
  <c r="BF26" i="2" s="1"/>
  <c r="AP26" i="2"/>
  <c r="D25" i="19"/>
  <c r="C25" i="19" s="1"/>
  <c r="AL25" i="2"/>
  <c r="D25" i="28"/>
  <c r="C25" i="28" s="1"/>
  <c r="G196" i="14"/>
  <c r="AN26" i="2"/>
  <c r="AM25" i="28"/>
  <c r="AM24" i="25"/>
  <c r="AM25" i="26"/>
  <c r="AS26" i="2"/>
  <c r="CN198" i="14" s="1"/>
  <c r="Q27" i="2"/>
  <c r="P27" i="2"/>
  <c r="U27" i="2"/>
  <c r="AC27" i="2" s="1"/>
  <c r="BF27" i="2" s="1"/>
  <c r="S27" i="2"/>
  <c r="V27" i="2"/>
  <c r="T27" i="2"/>
  <c r="R27" i="2"/>
  <c r="AT199" i="14" s="1"/>
  <c r="AR26" i="2"/>
  <c r="AQ26" i="2"/>
  <c r="AO26" i="2"/>
  <c r="L282" i="14"/>
  <c r="W26" i="24"/>
  <c r="AZ26" i="24" s="1"/>
  <c r="D25" i="24"/>
  <c r="C25" i="24" s="1"/>
  <c r="W27" i="18"/>
  <c r="AZ27" i="18" s="1"/>
  <c r="D26" i="18"/>
  <c r="C26" i="18" s="1"/>
  <c r="L270" i="14"/>
  <c r="W27" i="26"/>
  <c r="AZ27" i="26" s="1"/>
  <c r="D26" i="26"/>
  <c r="C26" i="26" s="1"/>
  <c r="AE25" i="2"/>
  <c r="E25" i="2" s="1"/>
  <c r="W26" i="25"/>
  <c r="AZ26" i="25" s="1"/>
  <c r="D25" i="25"/>
  <c r="C25" i="25" s="1"/>
  <c r="L313" i="14"/>
  <c r="W27" i="27"/>
  <c r="AZ27" i="27" s="1"/>
  <c r="D26" i="27"/>
  <c r="C26" i="27" s="1"/>
  <c r="L276" i="14"/>
  <c r="L300" i="14"/>
  <c r="W27" i="19"/>
  <c r="AZ27" i="19" s="1"/>
  <c r="D26" i="19"/>
  <c r="C26" i="19" s="1"/>
  <c r="W27" i="28"/>
  <c r="AZ27" i="28" s="1"/>
  <c r="E199" i="14"/>
  <c r="C198" i="14"/>
  <c r="D198" i="14" s="1"/>
  <c r="B198" i="14"/>
  <c r="Q198" i="14"/>
  <c r="H131" i="15"/>
  <c r="I131" i="15" s="1"/>
  <c r="J198" i="14"/>
  <c r="W28" i="2"/>
  <c r="AZ28" i="2" s="1"/>
  <c r="D27" i="2"/>
  <c r="C27" i="2" s="1"/>
  <c r="L294" i="14"/>
  <c r="W26" i="23"/>
  <c r="AZ26" i="23" s="1"/>
  <c r="D25" i="23"/>
  <c r="C25" i="23" s="1"/>
  <c r="W27" i="21"/>
  <c r="AZ27" i="21" s="1"/>
  <c r="D26" i="21"/>
  <c r="CM198" i="14" l="1"/>
  <c r="AD27" i="2"/>
  <c r="BG27" i="2" s="1"/>
  <c r="AU199" i="14"/>
  <c r="BY198" i="14"/>
  <c r="BP198" i="14"/>
  <c r="C26" i="21"/>
  <c r="AO97" i="14"/>
  <c r="AN98" i="14"/>
  <c r="AK27" i="21"/>
  <c r="CX320" i="14" s="1"/>
  <c r="AK27" i="26"/>
  <c r="CX473" i="14" s="1"/>
  <c r="AK28" i="2"/>
  <c r="CX200" i="14" s="1"/>
  <c r="AK26" i="23"/>
  <c r="CX380" i="14" s="1"/>
  <c r="AK27" i="19"/>
  <c r="CX259" i="14" s="1"/>
  <c r="AK27" i="27"/>
  <c r="CX504" i="14" s="1"/>
  <c r="CK198" i="14"/>
  <c r="CL198" i="14"/>
  <c r="AK27" i="28"/>
  <c r="CX534" i="14" s="1"/>
  <c r="AK26" i="25"/>
  <c r="CX442" i="14" s="1"/>
  <c r="AK26" i="24"/>
  <c r="CX411" i="14" s="1"/>
  <c r="AK27" i="18"/>
  <c r="CX230" i="14" s="1"/>
  <c r="D26" i="28"/>
  <c r="C26" i="28" s="1"/>
  <c r="AB27" i="2"/>
  <c r="BE27" i="2" s="1"/>
  <c r="AM27" i="2"/>
  <c r="X27" i="2"/>
  <c r="BA27" i="2" s="1"/>
  <c r="AN27" i="2"/>
  <c r="Y27" i="2"/>
  <c r="BB27" i="2" s="1"/>
  <c r="AS199" i="14"/>
  <c r="AA27" i="2"/>
  <c r="BD27" i="2" s="1"/>
  <c r="AR199" i="14"/>
  <c r="Z27" i="2"/>
  <c r="BC27" i="2" s="1"/>
  <c r="AP27" i="2"/>
  <c r="AL26" i="2"/>
  <c r="G197" i="14"/>
  <c r="AM26" i="26"/>
  <c r="AM26" i="28"/>
  <c r="AM25" i="25"/>
  <c r="AM25" i="23"/>
  <c r="AM25" i="24"/>
  <c r="AS27" i="2"/>
  <c r="CN199" i="14" s="1"/>
  <c r="P28" i="2"/>
  <c r="X28" i="2" s="1"/>
  <c r="BA28" i="2" s="1"/>
  <c r="V28" i="2"/>
  <c r="R28" i="2"/>
  <c r="Q28" i="2"/>
  <c r="S28" i="2"/>
  <c r="U28" i="2"/>
  <c r="T28" i="2"/>
  <c r="AB28" i="2" s="1"/>
  <c r="BE28" i="2" s="1"/>
  <c r="AR27" i="2"/>
  <c r="AQ27" i="2"/>
  <c r="AO27" i="2"/>
  <c r="W28" i="26"/>
  <c r="AZ28" i="26" s="1"/>
  <c r="D27" i="26"/>
  <c r="C27" i="26" s="1"/>
  <c r="L277" i="14"/>
  <c r="W28" i="18"/>
  <c r="AZ28" i="18" s="1"/>
  <c r="D27" i="18"/>
  <c r="C27" i="18" s="1"/>
  <c r="W27" i="24"/>
  <c r="AZ27" i="24" s="1"/>
  <c r="D26" i="24"/>
  <c r="C26" i="24" s="1"/>
  <c r="W28" i="21"/>
  <c r="AZ28" i="21" s="1"/>
  <c r="D27" i="21"/>
  <c r="W27" i="23"/>
  <c r="AZ27" i="23" s="1"/>
  <c r="D26" i="23"/>
  <c r="C26" i="23" s="1"/>
  <c r="W29" i="2"/>
  <c r="AZ29" i="2" s="1"/>
  <c r="D28" i="2"/>
  <c r="C28" i="2" s="1"/>
  <c r="E200" i="14"/>
  <c r="B199" i="14"/>
  <c r="C199" i="14"/>
  <c r="Q199" i="14"/>
  <c r="H132" i="15"/>
  <c r="I132" i="15" s="1"/>
  <c r="J199" i="14"/>
  <c r="L283" i="14"/>
  <c r="L320" i="14"/>
  <c r="W27" i="25"/>
  <c r="AZ27" i="25" s="1"/>
  <c r="D26" i="25"/>
  <c r="C26" i="25" s="1"/>
  <c r="L289" i="14"/>
  <c r="W28" i="27"/>
  <c r="AZ28" i="27" s="1"/>
  <c r="D27" i="27"/>
  <c r="C27" i="27" s="1"/>
  <c r="L301" i="14"/>
  <c r="AE26" i="2"/>
  <c r="E26" i="2" s="1"/>
  <c r="W28" i="28"/>
  <c r="AZ28" i="28" s="1"/>
  <c r="W28" i="19"/>
  <c r="AZ28" i="19" s="1"/>
  <c r="D27" i="19"/>
  <c r="C27" i="19" s="1"/>
  <c r="L307" i="14"/>
  <c r="CM199" i="14" l="1"/>
  <c r="AD28" i="2"/>
  <c r="BG28" i="2" s="1"/>
  <c r="AU200" i="14"/>
  <c r="AT200" i="14"/>
  <c r="BY199" i="14"/>
  <c r="BP199" i="14"/>
  <c r="C27" i="21"/>
  <c r="D27" i="28"/>
  <c r="C27" i="28" s="1"/>
  <c r="AO98" i="14"/>
  <c r="AN99" i="14"/>
  <c r="AK27" i="23"/>
  <c r="CX381" i="14" s="1"/>
  <c r="AK27" i="24"/>
  <c r="CX412" i="14" s="1"/>
  <c r="AK28" i="28"/>
  <c r="CX535" i="14" s="1"/>
  <c r="AK28" i="27"/>
  <c r="CX505" i="14" s="1"/>
  <c r="AK28" i="26"/>
  <c r="CX474" i="14" s="1"/>
  <c r="AK27" i="25"/>
  <c r="CX443" i="14" s="1"/>
  <c r="AK29" i="2"/>
  <c r="CX201" i="14" s="1"/>
  <c r="AK28" i="21"/>
  <c r="CX321" i="14" s="1"/>
  <c r="AK28" i="18"/>
  <c r="CX231" i="14" s="1"/>
  <c r="CL199" i="14"/>
  <c r="AK28" i="19"/>
  <c r="CX260" i="14" s="1"/>
  <c r="CK199" i="14"/>
  <c r="AM26" i="25"/>
  <c r="AS200" i="14"/>
  <c r="AA28" i="2"/>
  <c r="BD28" i="2" s="1"/>
  <c r="AN28" i="2"/>
  <c r="Y28" i="2"/>
  <c r="BB28" i="2" s="1"/>
  <c r="AR200" i="14"/>
  <c r="Z28" i="2"/>
  <c r="BC28" i="2" s="1"/>
  <c r="AC28" i="2"/>
  <c r="BF28" i="2" s="1"/>
  <c r="AS28" i="2"/>
  <c r="CN200" i="14" s="1"/>
  <c r="AL27" i="2"/>
  <c r="D199" i="14"/>
  <c r="G198" i="14"/>
  <c r="AM26" i="23"/>
  <c r="AP28" i="2"/>
  <c r="AM28" i="2"/>
  <c r="AM26" i="24"/>
  <c r="AM27" i="26"/>
  <c r="AM27" i="28"/>
  <c r="U29" i="2"/>
  <c r="AC29" i="2" s="1"/>
  <c r="BF29" i="2" s="1"/>
  <c r="S29" i="2"/>
  <c r="P29" i="2"/>
  <c r="X29" i="2" s="1"/>
  <c r="BA29" i="2" s="1"/>
  <c r="T29" i="2"/>
  <c r="AB29" i="2" s="1"/>
  <c r="BE29" i="2" s="1"/>
  <c r="Q29" i="2"/>
  <c r="Y29" i="2" s="1"/>
  <c r="BB29" i="2" s="1"/>
  <c r="V29" i="2"/>
  <c r="AU201" i="14" s="1"/>
  <c r="R29" i="2"/>
  <c r="AR28" i="2"/>
  <c r="AQ28" i="2"/>
  <c r="AO28" i="2"/>
  <c r="I118" i="20"/>
  <c r="L118" i="20"/>
  <c r="L118" i="22"/>
  <c r="I118" i="22"/>
  <c r="G118" i="20"/>
  <c r="BD357" i="14"/>
  <c r="H118" i="20"/>
  <c r="BD350" i="14"/>
  <c r="BD335" i="14"/>
  <c r="BD339" i="14"/>
  <c r="BD358" i="14"/>
  <c r="BD359" i="14"/>
  <c r="BD356" i="14"/>
  <c r="BD352" i="14"/>
  <c r="BD344" i="14"/>
  <c r="BD353" i="14"/>
  <c r="BD340" i="14"/>
  <c r="BD360" i="14"/>
  <c r="BD361" i="14"/>
  <c r="BD333" i="14"/>
  <c r="BD338" i="14"/>
  <c r="BD336" i="14"/>
  <c r="BD341" i="14"/>
  <c r="BD355" i="14"/>
  <c r="BD345" i="14"/>
  <c r="BD354" i="14"/>
  <c r="BD347" i="14"/>
  <c r="BD343" i="14"/>
  <c r="BD332" i="14"/>
  <c r="BD348" i="14"/>
  <c r="BD342" i="14"/>
  <c r="BD351" i="14"/>
  <c r="BD334" i="14"/>
  <c r="AF6" i="22"/>
  <c r="BD337" i="14"/>
  <c r="BD346" i="14"/>
  <c r="BD349" i="14"/>
  <c r="AF6" i="20"/>
  <c r="H118" i="22"/>
  <c r="K118" i="22"/>
  <c r="K118" i="20"/>
  <c r="M118" i="20"/>
  <c r="W29" i="21"/>
  <c r="AZ29" i="21" s="1"/>
  <c r="D28" i="21"/>
  <c r="W29" i="26"/>
  <c r="AZ29" i="26" s="1"/>
  <c r="D28" i="26"/>
  <c r="C28" i="26" s="1"/>
  <c r="W29" i="19"/>
  <c r="AZ29" i="19" s="1"/>
  <c r="D28" i="19"/>
  <c r="C28" i="19" s="1"/>
  <c r="L308" i="14"/>
  <c r="W29" i="27"/>
  <c r="AZ29" i="27" s="1"/>
  <c r="D28" i="27"/>
  <c r="C28" i="27" s="1"/>
  <c r="AE27" i="2"/>
  <c r="E27" i="2" s="1"/>
  <c r="G199" i="14" s="1"/>
  <c r="W30" i="2"/>
  <c r="AZ30" i="2" s="1"/>
  <c r="D29" i="2"/>
  <c r="C29" i="2" s="1"/>
  <c r="L284" i="14"/>
  <c r="L314" i="14"/>
  <c r="L290" i="14"/>
  <c r="W28" i="23"/>
  <c r="AZ28" i="23" s="1"/>
  <c r="D27" i="23"/>
  <c r="C27" i="23" s="1"/>
  <c r="L296" i="14"/>
  <c r="W28" i="25"/>
  <c r="AZ28" i="25" s="1"/>
  <c r="D27" i="25"/>
  <c r="C27" i="25" s="1"/>
  <c r="L327" i="14"/>
  <c r="E201" i="14"/>
  <c r="C200" i="14"/>
  <c r="B200" i="14"/>
  <c r="Q200" i="14"/>
  <c r="H133" i="15"/>
  <c r="I133" i="15" s="1"/>
  <c r="J200" i="14"/>
  <c r="W28" i="24"/>
  <c r="AZ28" i="24" s="1"/>
  <c r="D27" i="24"/>
  <c r="C27" i="24" s="1"/>
  <c r="W29" i="28"/>
  <c r="AZ29" i="28" s="1"/>
  <c r="W29" i="18"/>
  <c r="AZ29" i="18" s="1"/>
  <c r="D28" i="18"/>
  <c r="C28" i="18" s="1"/>
  <c r="BP200" i="14" l="1"/>
  <c r="AT201" i="14"/>
  <c r="CM200" i="14"/>
  <c r="BY200" i="14"/>
  <c r="D28" i="28"/>
  <c r="C28" i="28" s="1"/>
  <c r="C28" i="21"/>
  <c r="AO99" i="14"/>
  <c r="AN100" i="14"/>
  <c r="AK29" i="19"/>
  <c r="CX261" i="14" s="1"/>
  <c r="AK28" i="23"/>
  <c r="CX382" i="14" s="1"/>
  <c r="AK28" i="25"/>
  <c r="CX444" i="14" s="1"/>
  <c r="AK30" i="2"/>
  <c r="CX202" i="14" s="1"/>
  <c r="AK29" i="26"/>
  <c r="CX475" i="14" s="1"/>
  <c r="CL200" i="14"/>
  <c r="AK29" i="21"/>
  <c r="CX322" i="14" s="1"/>
  <c r="CK200" i="14"/>
  <c r="AK29" i="18"/>
  <c r="CX232" i="14" s="1"/>
  <c r="AK28" i="24"/>
  <c r="CX413" i="14" s="1"/>
  <c r="AK29" i="27"/>
  <c r="CX506" i="14" s="1"/>
  <c r="AK29" i="28"/>
  <c r="CX536" i="14" s="1"/>
  <c r="AD29" i="2"/>
  <c r="BG29" i="2" s="1"/>
  <c r="AS201" i="14"/>
  <c r="AA29" i="2"/>
  <c r="BD29" i="2" s="1"/>
  <c r="AM28" i="28"/>
  <c r="AM27" i="25"/>
  <c r="AM28" i="26"/>
  <c r="AR201" i="14"/>
  <c r="Z29" i="2"/>
  <c r="BC29" i="2" s="1"/>
  <c r="AP29" i="2"/>
  <c r="AL28" i="2"/>
  <c r="D200" i="14"/>
  <c r="AM27" i="24"/>
  <c r="AM29" i="2"/>
  <c r="AN29" i="2"/>
  <c r="AM27" i="23"/>
  <c r="AS29" i="2"/>
  <c r="CN201" i="14" s="1"/>
  <c r="Q30" i="2"/>
  <c r="Y30" i="2" s="1"/>
  <c r="BB30" i="2" s="1"/>
  <c r="T30" i="2"/>
  <c r="AB30" i="2" s="1"/>
  <c r="BE30" i="2" s="1"/>
  <c r="V30" i="2"/>
  <c r="P30" i="2"/>
  <c r="X30" i="2" s="1"/>
  <c r="BA30" i="2" s="1"/>
  <c r="U30" i="2"/>
  <c r="R30" i="2"/>
  <c r="S30" i="2"/>
  <c r="AP30" i="2" s="1"/>
  <c r="CL202" i="14" s="1"/>
  <c r="AR29" i="2"/>
  <c r="AQ29" i="2"/>
  <c r="AO29" i="2"/>
  <c r="G118" i="22"/>
  <c r="J118" i="22"/>
  <c r="J118" i="20"/>
  <c r="C60" i="20" s="1"/>
  <c r="L334" i="14"/>
  <c r="W29" i="25"/>
  <c r="AZ29" i="25" s="1"/>
  <c r="D28" i="25"/>
  <c r="C28" i="25" s="1"/>
  <c r="L297" i="14"/>
  <c r="W30" i="26"/>
  <c r="AZ30" i="26" s="1"/>
  <c r="D29" i="26"/>
  <c r="C29" i="26" s="1"/>
  <c r="W29" i="23"/>
  <c r="AZ29" i="23" s="1"/>
  <c r="D28" i="23"/>
  <c r="C28" i="23" s="1"/>
  <c r="L321" i="14"/>
  <c r="L291" i="14"/>
  <c r="W31" i="2"/>
  <c r="AZ31" i="2" s="1"/>
  <c r="D30" i="2"/>
  <c r="C30" i="2" s="1"/>
  <c r="W30" i="18"/>
  <c r="AZ30" i="18" s="1"/>
  <c r="D29" i="18"/>
  <c r="C29" i="18" s="1"/>
  <c r="E202" i="14"/>
  <c r="C201" i="14"/>
  <c r="B201" i="14"/>
  <c r="Q201" i="14"/>
  <c r="H134" i="15"/>
  <c r="I134" i="15" s="1"/>
  <c r="J201" i="14"/>
  <c r="L303" i="14"/>
  <c r="W30" i="27"/>
  <c r="AZ30" i="27" s="1"/>
  <c r="D29" i="27"/>
  <c r="C29" i="27" s="1"/>
  <c r="W30" i="19"/>
  <c r="AZ30" i="19" s="1"/>
  <c r="D29" i="19"/>
  <c r="C29" i="19" s="1"/>
  <c r="W30" i="21"/>
  <c r="AZ30" i="21" s="1"/>
  <c r="D29" i="21"/>
  <c r="AE28" i="2"/>
  <c r="E28" i="2" s="1"/>
  <c r="G200" i="14" s="1"/>
  <c r="W30" i="28"/>
  <c r="AZ30" i="28" s="1"/>
  <c r="W29" i="24"/>
  <c r="AZ29" i="24" s="1"/>
  <c r="D28" i="24"/>
  <c r="C28" i="24" s="1"/>
  <c r="L315" i="14"/>
  <c r="BP201" i="14" l="1"/>
  <c r="AD30" i="2"/>
  <c r="BG30" i="2" s="1"/>
  <c r="AU202" i="14"/>
  <c r="CM201" i="14"/>
  <c r="AT202" i="14"/>
  <c r="BY201" i="14"/>
  <c r="C29" i="21"/>
  <c r="D29" i="28"/>
  <c r="C29" i="28" s="1"/>
  <c r="AO100" i="14"/>
  <c r="AN101" i="14"/>
  <c r="AK29" i="24"/>
  <c r="CX414" i="14" s="1"/>
  <c r="AK30" i="18"/>
  <c r="CX233" i="14" s="1"/>
  <c r="AK29" i="25"/>
  <c r="CX445" i="14" s="1"/>
  <c r="CK201" i="14"/>
  <c r="AK30" i="27"/>
  <c r="CX507" i="14" s="1"/>
  <c r="AK31" i="2"/>
  <c r="CX203" i="14" s="1"/>
  <c r="AK29" i="23"/>
  <c r="CX383" i="14" s="1"/>
  <c r="AK30" i="19"/>
  <c r="CX262" i="14" s="1"/>
  <c r="AK30" i="26"/>
  <c r="CX476" i="14" s="1"/>
  <c r="CL201" i="14"/>
  <c r="AK30" i="28"/>
  <c r="CX537" i="14" s="1"/>
  <c r="AK30" i="21"/>
  <c r="CX323" i="14" s="1"/>
  <c r="AC30" i="2"/>
  <c r="BF30" i="2" s="1"/>
  <c r="AM28" i="23"/>
  <c r="AS202" i="14"/>
  <c r="AA30" i="2"/>
  <c r="BD30" i="2" s="1"/>
  <c r="AR202" i="14"/>
  <c r="Z30" i="2"/>
  <c r="BC30" i="2" s="1"/>
  <c r="AM28" i="24"/>
  <c r="AM29" i="28"/>
  <c r="AL29" i="2"/>
  <c r="D201" i="14"/>
  <c r="AM30" i="2"/>
  <c r="AM29" i="26"/>
  <c r="AN30" i="2"/>
  <c r="AM28" i="25"/>
  <c r="AS30" i="2"/>
  <c r="CN202" i="14" s="1"/>
  <c r="Q31" i="2"/>
  <c r="Y31" i="2" s="1"/>
  <c r="BB31" i="2" s="1"/>
  <c r="P31" i="2"/>
  <c r="U31" i="2"/>
  <c r="AC31" i="2" s="1"/>
  <c r="BF31" i="2" s="1"/>
  <c r="R31" i="2"/>
  <c r="S31" i="2"/>
  <c r="V31" i="2"/>
  <c r="T31" i="2"/>
  <c r="AB31" i="2" s="1"/>
  <c r="BE31" i="2" s="1"/>
  <c r="AR30" i="2"/>
  <c r="AQ30" i="2"/>
  <c r="AO30" i="2"/>
  <c r="W31" i="28"/>
  <c r="AZ31" i="28" s="1"/>
  <c r="W30" i="23"/>
  <c r="AZ30" i="23" s="1"/>
  <c r="D29" i="23"/>
  <c r="C29" i="23" s="1"/>
  <c r="L341" i="14"/>
  <c r="L322" i="14"/>
  <c r="W31" i="21"/>
  <c r="AZ31" i="21" s="1"/>
  <c r="D30" i="21"/>
  <c r="W31" i="19"/>
  <c r="AZ31" i="19" s="1"/>
  <c r="D30" i="19"/>
  <c r="C30" i="19" s="1"/>
  <c r="E203" i="14"/>
  <c r="C202" i="14"/>
  <c r="B202" i="14"/>
  <c r="Q202" i="14"/>
  <c r="H135" i="15"/>
  <c r="I135" i="15" s="1"/>
  <c r="J202" i="14"/>
  <c r="L298" i="14"/>
  <c r="L328" i="14"/>
  <c r="W30" i="25"/>
  <c r="AZ30" i="25" s="1"/>
  <c r="D29" i="25"/>
  <c r="C29" i="25" s="1"/>
  <c r="W30" i="24"/>
  <c r="AZ30" i="24" s="1"/>
  <c r="D29" i="24"/>
  <c r="C29" i="24" s="1"/>
  <c r="W31" i="27"/>
  <c r="AZ31" i="27" s="1"/>
  <c r="D30" i="27"/>
  <c r="C30" i="27" s="1"/>
  <c r="AE29" i="2"/>
  <c r="E29" i="2" s="1"/>
  <c r="G201" i="14" s="1"/>
  <c r="L310" i="14"/>
  <c r="W32" i="2"/>
  <c r="AZ32" i="2" s="1"/>
  <c r="D31" i="2"/>
  <c r="C31" i="2" s="1"/>
  <c r="L304" i="14"/>
  <c r="W31" i="18"/>
  <c r="AZ31" i="18" s="1"/>
  <c r="D30" i="18"/>
  <c r="C30" i="18" s="1"/>
  <c r="W31" i="26"/>
  <c r="AZ31" i="26" s="1"/>
  <c r="D30" i="26"/>
  <c r="C30" i="26" s="1"/>
  <c r="BP202" i="14" l="1"/>
  <c r="AD31" i="2"/>
  <c r="BG31" i="2" s="1"/>
  <c r="AU203" i="14"/>
  <c r="AT203" i="14"/>
  <c r="CM202" i="14"/>
  <c r="BY202" i="14"/>
  <c r="D30" i="28"/>
  <c r="C30" i="28" s="1"/>
  <c r="C30" i="21"/>
  <c r="AO101" i="14"/>
  <c r="AN102" i="14"/>
  <c r="AK30" i="23"/>
  <c r="CX384" i="14" s="1"/>
  <c r="AK30" i="24"/>
  <c r="CX415" i="14" s="1"/>
  <c r="AK31" i="19"/>
  <c r="CX263" i="14" s="1"/>
  <c r="AK31" i="26"/>
  <c r="CX477" i="14" s="1"/>
  <c r="AK32" i="2"/>
  <c r="CX204" i="14" s="1"/>
  <c r="AK31" i="27"/>
  <c r="CX508" i="14" s="1"/>
  <c r="AK30" i="25"/>
  <c r="CX446" i="14" s="1"/>
  <c r="AK31" i="28"/>
  <c r="CX538" i="14" s="1"/>
  <c r="AK31" i="18"/>
  <c r="CX234" i="14" s="1"/>
  <c r="AK31" i="21"/>
  <c r="CX324" i="14" s="1"/>
  <c r="CK202" i="14"/>
  <c r="AM29" i="25"/>
  <c r="AM31" i="2"/>
  <c r="X31" i="2"/>
  <c r="BA31" i="2" s="1"/>
  <c r="AM29" i="24"/>
  <c r="AM29" i="23"/>
  <c r="AS203" i="14"/>
  <c r="AA31" i="2"/>
  <c r="BD31" i="2" s="1"/>
  <c r="AR203" i="14"/>
  <c r="Z31" i="2"/>
  <c r="BC31" i="2" s="1"/>
  <c r="AL30" i="2"/>
  <c r="D202" i="14"/>
  <c r="AN31" i="2"/>
  <c r="AP31" i="2"/>
  <c r="AM30" i="28"/>
  <c r="AM30" i="26"/>
  <c r="AS31" i="2"/>
  <c r="CN203" i="14" s="1"/>
  <c r="U32" i="2"/>
  <c r="AC32" i="2" s="1"/>
  <c r="BF32" i="2" s="1"/>
  <c r="Q32" i="2"/>
  <c r="Y32" i="2" s="1"/>
  <c r="BB32" i="2" s="1"/>
  <c r="R32" i="2"/>
  <c r="S32" i="2"/>
  <c r="V32" i="2"/>
  <c r="T32" i="2"/>
  <c r="AB32" i="2" s="1"/>
  <c r="BE32" i="2" s="1"/>
  <c r="P32" i="2"/>
  <c r="X32" i="2" s="1"/>
  <c r="BA32" i="2" s="1"/>
  <c r="AR31" i="2"/>
  <c r="AQ31" i="2"/>
  <c r="AO31" i="2"/>
  <c r="AE30" i="2"/>
  <c r="E30" i="2" s="1"/>
  <c r="G202" i="14" s="1"/>
  <c r="L329" i="14"/>
  <c r="E204" i="14"/>
  <c r="B203" i="14"/>
  <c r="C203" i="14"/>
  <c r="Q203" i="14"/>
  <c r="H136" i="15"/>
  <c r="I136" i="15" s="1"/>
  <c r="J203" i="14"/>
  <c r="W31" i="23"/>
  <c r="AZ31" i="23" s="1"/>
  <c r="D30" i="23"/>
  <c r="C30" i="23" s="1"/>
  <c r="W33" i="2"/>
  <c r="AZ33" i="2" s="1"/>
  <c r="D32" i="2"/>
  <c r="C32" i="2" s="1"/>
  <c r="W32" i="26"/>
  <c r="AZ32" i="26" s="1"/>
  <c r="D31" i="26"/>
  <c r="C31" i="26" s="1"/>
  <c r="L311" i="14"/>
  <c r="W32" i="27"/>
  <c r="AZ32" i="27" s="1"/>
  <c r="D31" i="27"/>
  <c r="C31" i="27" s="1"/>
  <c r="W31" i="24"/>
  <c r="AZ31" i="24" s="1"/>
  <c r="D30" i="24"/>
  <c r="C30" i="24" s="1"/>
  <c r="W31" i="25"/>
  <c r="AZ31" i="25" s="1"/>
  <c r="D30" i="25"/>
  <c r="C30" i="25" s="1"/>
  <c r="W32" i="19"/>
  <c r="AZ32" i="19" s="1"/>
  <c r="D31" i="19"/>
  <c r="C31" i="19" s="1"/>
  <c r="W32" i="21"/>
  <c r="AZ32" i="21" s="1"/>
  <c r="D31" i="21"/>
  <c r="L348" i="14"/>
  <c r="W32" i="28"/>
  <c r="AZ32" i="28" s="1"/>
  <c r="D31" i="28"/>
  <c r="C31" i="28" s="1"/>
  <c r="W32" i="18"/>
  <c r="AZ32" i="18" s="1"/>
  <c r="D31" i="18"/>
  <c r="C31" i="18" s="1"/>
  <c r="L317" i="14"/>
  <c r="L335" i="14"/>
  <c r="L305" i="14"/>
  <c r="AT204" i="14" l="1"/>
  <c r="CM203" i="14"/>
  <c r="AD32" i="2"/>
  <c r="BG32" i="2" s="1"/>
  <c r="AU204" i="14"/>
  <c r="BY203" i="14"/>
  <c r="BP203" i="14"/>
  <c r="C31" i="21"/>
  <c r="AO102" i="14"/>
  <c r="AN103" i="14"/>
  <c r="AM30" i="23"/>
  <c r="AK32" i="19"/>
  <c r="CX264" i="14" s="1"/>
  <c r="AK31" i="24"/>
  <c r="CX416" i="14" s="1"/>
  <c r="AK32" i="18"/>
  <c r="CX235" i="14" s="1"/>
  <c r="AK32" i="26"/>
  <c r="CX478" i="14" s="1"/>
  <c r="CK203" i="14"/>
  <c r="AK32" i="28"/>
  <c r="CX539" i="14" s="1"/>
  <c r="AK33" i="2"/>
  <c r="CX205" i="14" s="1"/>
  <c r="CL203" i="14"/>
  <c r="AK32" i="21"/>
  <c r="CX325" i="14" s="1"/>
  <c r="AK31" i="25"/>
  <c r="CX447" i="14" s="1"/>
  <c r="AK32" i="27"/>
  <c r="CX509" i="14" s="1"/>
  <c r="AK31" i="23"/>
  <c r="CX385" i="14" s="1"/>
  <c r="AS204" i="14"/>
  <c r="AA32" i="2"/>
  <c r="BD32" i="2" s="1"/>
  <c r="AM31" i="28"/>
  <c r="AM31" i="26"/>
  <c r="AR204" i="14"/>
  <c r="Z32" i="2"/>
  <c r="BC32" i="2" s="1"/>
  <c r="AS32" i="2"/>
  <c r="CN204" i="14" s="1"/>
  <c r="AL31" i="2"/>
  <c r="D203" i="14"/>
  <c r="AP32" i="2"/>
  <c r="AN32" i="2"/>
  <c r="AM30" i="25"/>
  <c r="AM30" i="24"/>
  <c r="AM32" i="2"/>
  <c r="S33" i="2"/>
  <c r="T33" i="2"/>
  <c r="AB33" i="2" s="1"/>
  <c r="BE33" i="2" s="1"/>
  <c r="V33" i="2"/>
  <c r="R33" i="2"/>
  <c r="Q33" i="2"/>
  <c r="P33" i="2"/>
  <c r="X33" i="2" s="1"/>
  <c r="BA33" i="2" s="1"/>
  <c r="U33" i="2"/>
  <c r="AC33" i="2" s="1"/>
  <c r="BF33" i="2" s="1"/>
  <c r="AR32" i="2"/>
  <c r="AQ32" i="2"/>
  <c r="AO32" i="2"/>
  <c r="W33" i="28"/>
  <c r="AZ33" i="28" s="1"/>
  <c r="D32" i="28"/>
  <c r="C32" i="28" s="1"/>
  <c r="L355" i="14"/>
  <c r="W33" i="21"/>
  <c r="AZ33" i="21" s="1"/>
  <c r="D32" i="21"/>
  <c r="W32" i="24"/>
  <c r="AZ32" i="24" s="1"/>
  <c r="D31" i="24"/>
  <c r="C31" i="24" s="1"/>
  <c r="L318" i="14"/>
  <c r="W32" i="23"/>
  <c r="AZ32" i="23" s="1"/>
  <c r="D31" i="23"/>
  <c r="C31" i="23" s="1"/>
  <c r="W33" i="18"/>
  <c r="AZ33" i="18" s="1"/>
  <c r="D32" i="18"/>
  <c r="C32" i="18" s="1"/>
  <c r="W32" i="25"/>
  <c r="AZ32" i="25" s="1"/>
  <c r="D31" i="25"/>
  <c r="C31" i="25" s="1"/>
  <c r="W33" i="26"/>
  <c r="AZ33" i="26" s="1"/>
  <c r="D32" i="26"/>
  <c r="C32" i="26" s="1"/>
  <c r="E205" i="14"/>
  <c r="C204" i="14"/>
  <c r="B204" i="14"/>
  <c r="Q204" i="14"/>
  <c r="H137" i="15"/>
  <c r="I137" i="15" s="1"/>
  <c r="J204" i="14"/>
  <c r="L336" i="14"/>
  <c r="L312" i="14"/>
  <c r="L342" i="14"/>
  <c r="L324" i="14"/>
  <c r="W33" i="19"/>
  <c r="AZ33" i="19" s="1"/>
  <c r="D32" i="19"/>
  <c r="C32" i="19" s="1"/>
  <c r="W33" i="27"/>
  <c r="AZ33" i="27" s="1"/>
  <c r="D32" i="27"/>
  <c r="C32" i="27" s="1"/>
  <c r="AE31" i="2"/>
  <c r="E31" i="2" s="1"/>
  <c r="G203" i="14" s="1"/>
  <c r="W34" i="2"/>
  <c r="AZ34" i="2" s="1"/>
  <c r="D33" i="2"/>
  <c r="C33" i="2" s="1"/>
  <c r="BP204" i="14" l="1"/>
  <c r="CM204" i="14"/>
  <c r="BY204" i="14"/>
  <c r="AD33" i="2"/>
  <c r="BG33" i="2" s="1"/>
  <c r="AU205" i="14"/>
  <c r="AT205" i="14"/>
  <c r="C32" i="21"/>
  <c r="AO103" i="14"/>
  <c r="AN104" i="14"/>
  <c r="AK33" i="19"/>
  <c r="CX265" i="14" s="1"/>
  <c r="AK33" i="26"/>
  <c r="CX479" i="14" s="1"/>
  <c r="AK33" i="21"/>
  <c r="CX326" i="14" s="1"/>
  <c r="AK34" i="2"/>
  <c r="CX206" i="14" s="1"/>
  <c r="AK32" i="25"/>
  <c r="CX448" i="14" s="1"/>
  <c r="AK32" i="23"/>
  <c r="CX386" i="14" s="1"/>
  <c r="AK33" i="28"/>
  <c r="CX540" i="14" s="1"/>
  <c r="CK204" i="14"/>
  <c r="CL204" i="14"/>
  <c r="AK33" i="18"/>
  <c r="CX236" i="14" s="1"/>
  <c r="AK33" i="27"/>
  <c r="CX510" i="14" s="1"/>
  <c r="AK32" i="24"/>
  <c r="CX417" i="14" s="1"/>
  <c r="AM31" i="23"/>
  <c r="AN33" i="2"/>
  <c r="Y33" i="2"/>
  <c r="BB33" i="2" s="1"/>
  <c r="AS205" i="14"/>
  <c r="AA33" i="2"/>
  <c r="BD33" i="2" s="1"/>
  <c r="AR205" i="14"/>
  <c r="Z33" i="2"/>
  <c r="BC33" i="2" s="1"/>
  <c r="AM32" i="26"/>
  <c r="AL32" i="2"/>
  <c r="D204" i="14"/>
  <c r="AP33" i="2"/>
  <c r="AM33" i="2"/>
  <c r="AM31" i="25"/>
  <c r="AM31" i="24"/>
  <c r="AM32" i="28"/>
  <c r="AS33" i="2"/>
  <c r="CN205" i="14" s="1"/>
  <c r="T34" i="2"/>
  <c r="AB34" i="2" s="1"/>
  <c r="BE34" i="2" s="1"/>
  <c r="Q34" i="2"/>
  <c r="Y34" i="2" s="1"/>
  <c r="BB34" i="2" s="1"/>
  <c r="S34" i="2"/>
  <c r="V34" i="2"/>
  <c r="R34" i="2"/>
  <c r="U34" i="2"/>
  <c r="AC34" i="2" s="1"/>
  <c r="BF34" i="2" s="1"/>
  <c r="P34" i="2"/>
  <c r="AR33" i="2"/>
  <c r="AQ33" i="2"/>
  <c r="AO33" i="2"/>
  <c r="AE32" i="2"/>
  <c r="E32" i="2" s="1"/>
  <c r="G204" i="14" s="1"/>
  <c r="W34" i="27"/>
  <c r="AZ34" i="27" s="1"/>
  <c r="D33" i="27"/>
  <c r="C33" i="27" s="1"/>
  <c r="W33" i="25"/>
  <c r="AZ33" i="25" s="1"/>
  <c r="D32" i="25"/>
  <c r="C32" i="25" s="1"/>
  <c r="W34" i="18"/>
  <c r="AZ34" i="18" s="1"/>
  <c r="D33" i="18"/>
  <c r="C33" i="18" s="1"/>
  <c r="L325" i="14"/>
  <c r="L343" i="14"/>
  <c r="W34" i="26"/>
  <c r="AZ34" i="26" s="1"/>
  <c r="D33" i="26"/>
  <c r="C33" i="26" s="1"/>
  <c r="L362" i="14"/>
  <c r="L331" i="14"/>
  <c r="W33" i="23"/>
  <c r="AZ33" i="23" s="1"/>
  <c r="D32" i="23"/>
  <c r="C32" i="23" s="1"/>
  <c r="W34" i="28"/>
  <c r="AZ34" i="28" s="1"/>
  <c r="D33" i="28"/>
  <c r="C33" i="28" s="1"/>
  <c r="W35" i="2"/>
  <c r="AZ35" i="2" s="1"/>
  <c r="D34" i="2"/>
  <c r="C34" i="2" s="1"/>
  <c r="W34" i="19"/>
  <c r="AZ34" i="19" s="1"/>
  <c r="D33" i="19"/>
  <c r="C33" i="19" s="1"/>
  <c r="L349" i="14"/>
  <c r="L319" i="14"/>
  <c r="E206" i="14"/>
  <c r="B205" i="14"/>
  <c r="C205" i="14"/>
  <c r="Q205" i="14"/>
  <c r="H138" i="15"/>
  <c r="I138" i="15" s="1"/>
  <c r="J205" i="14"/>
  <c r="W33" i="24"/>
  <c r="AZ33" i="24" s="1"/>
  <c r="D32" i="24"/>
  <c r="C32" i="24" s="1"/>
  <c r="W34" i="21"/>
  <c r="AZ34" i="21" s="1"/>
  <c r="D33" i="21"/>
  <c r="C33" i="21" l="1"/>
  <c r="BP205" i="14"/>
  <c r="AD34" i="2"/>
  <c r="BG34" i="2" s="1"/>
  <c r="AU206" i="14"/>
  <c r="AT206" i="14"/>
  <c r="CM205" i="14"/>
  <c r="BY205" i="14"/>
  <c r="AO104" i="14"/>
  <c r="AN105" i="14"/>
  <c r="AK33" i="24"/>
  <c r="CX418" i="14" s="1"/>
  <c r="AK35" i="2"/>
  <c r="CX207" i="14" s="1"/>
  <c r="CK205" i="14"/>
  <c r="AK33" i="25"/>
  <c r="CX449" i="14" s="1"/>
  <c r="AK33" i="23"/>
  <c r="CX387" i="14" s="1"/>
  <c r="AK34" i="26"/>
  <c r="CX480" i="14" s="1"/>
  <c r="AK34" i="18"/>
  <c r="CX237" i="14" s="1"/>
  <c r="AK34" i="27"/>
  <c r="CX511" i="14" s="1"/>
  <c r="CL205" i="14"/>
  <c r="AK34" i="21"/>
  <c r="CX327" i="14" s="1"/>
  <c r="AK34" i="19"/>
  <c r="CX266" i="14" s="1"/>
  <c r="AK34" i="28"/>
  <c r="CX541" i="14" s="1"/>
  <c r="AM33" i="26"/>
  <c r="AM34" i="2"/>
  <c r="X34" i="2"/>
  <c r="BA34" i="2" s="1"/>
  <c r="AS206" i="14"/>
  <c r="AA34" i="2"/>
  <c r="BD34" i="2" s="1"/>
  <c r="AM32" i="23"/>
  <c r="AR206" i="14"/>
  <c r="Z34" i="2"/>
  <c r="BC34" i="2" s="1"/>
  <c r="AM32" i="25"/>
  <c r="AL33" i="2"/>
  <c r="D205" i="14"/>
  <c r="AP34" i="2"/>
  <c r="AN34" i="2"/>
  <c r="AM33" i="28"/>
  <c r="AM32" i="24"/>
  <c r="AS34" i="2"/>
  <c r="CN206" i="14" s="1"/>
  <c r="Q35" i="2"/>
  <c r="V35" i="2"/>
  <c r="T35" i="2"/>
  <c r="AB35" i="2" s="1"/>
  <c r="BE35" i="2" s="1"/>
  <c r="R35" i="2"/>
  <c r="S35" i="2"/>
  <c r="P35" i="2"/>
  <c r="X35" i="2" s="1"/>
  <c r="BA35" i="2" s="1"/>
  <c r="U35" i="2"/>
  <c r="AC35" i="2" s="1"/>
  <c r="BF35" i="2" s="1"/>
  <c r="AR34" i="2"/>
  <c r="AQ34" i="2"/>
  <c r="AO34" i="2"/>
  <c r="L356" i="14"/>
  <c r="L338" i="14"/>
  <c r="W35" i="26"/>
  <c r="AZ35" i="26" s="1"/>
  <c r="D34" i="26"/>
  <c r="C34" i="26" s="1"/>
  <c r="W35" i="27"/>
  <c r="AZ35" i="27" s="1"/>
  <c r="D34" i="27"/>
  <c r="C34" i="27" s="1"/>
  <c r="W35" i="28"/>
  <c r="AZ35" i="28" s="1"/>
  <c r="D34" i="28"/>
  <c r="C34" i="28" s="1"/>
  <c r="W34" i="25"/>
  <c r="AZ34" i="25" s="1"/>
  <c r="D33" i="25"/>
  <c r="C33" i="25" s="1"/>
  <c r="E207" i="14"/>
  <c r="C206" i="14"/>
  <c r="B206" i="14"/>
  <c r="Q206" i="14"/>
  <c r="H139" i="15"/>
  <c r="I139" i="15" s="1"/>
  <c r="J206" i="14"/>
  <c r="W36" i="2"/>
  <c r="AZ36" i="2" s="1"/>
  <c r="D35" i="2"/>
  <c r="C35" i="2" s="1"/>
  <c r="W35" i="19"/>
  <c r="AZ35" i="19" s="1"/>
  <c r="D34" i="19"/>
  <c r="C34" i="19" s="1"/>
  <c r="L369" i="14"/>
  <c r="L332" i="14"/>
  <c r="W35" i="18"/>
  <c r="AZ35" i="18" s="1"/>
  <c r="D34" i="18"/>
  <c r="C34" i="18" s="1"/>
  <c r="L326" i="14"/>
  <c r="W35" i="21"/>
  <c r="AZ35" i="21" s="1"/>
  <c r="D34" i="21"/>
  <c r="C34" i="21" s="1"/>
  <c r="W34" i="24"/>
  <c r="AZ34" i="24" s="1"/>
  <c r="D33" i="24"/>
  <c r="C33" i="24" s="1"/>
  <c r="AE33" i="2"/>
  <c r="E33" i="2" s="1"/>
  <c r="G205" i="14" s="1"/>
  <c r="W34" i="23"/>
  <c r="AZ34" i="23" s="1"/>
  <c r="D33" i="23"/>
  <c r="C33" i="23" s="1"/>
  <c r="L350" i="14"/>
  <c r="BP206" i="14" l="1"/>
  <c r="CM206" i="14"/>
  <c r="AD35" i="2"/>
  <c r="BG35" i="2" s="1"/>
  <c r="AU207" i="14"/>
  <c r="AT207" i="14"/>
  <c r="BY206" i="14"/>
  <c r="AO105" i="14"/>
  <c r="AN106" i="14"/>
  <c r="AK34" i="23"/>
  <c r="CX388" i="14" s="1"/>
  <c r="CK206" i="14"/>
  <c r="CL206" i="14"/>
  <c r="AK35" i="21"/>
  <c r="CX328" i="14" s="1"/>
  <c r="AK35" i="28"/>
  <c r="CX542" i="14" s="1"/>
  <c r="AK35" i="26"/>
  <c r="CX481" i="14" s="1"/>
  <c r="AK35" i="18"/>
  <c r="CX238" i="14" s="1"/>
  <c r="AK35" i="19"/>
  <c r="CX267" i="14" s="1"/>
  <c r="AK34" i="24"/>
  <c r="CX419" i="14" s="1"/>
  <c r="AK36" i="2"/>
  <c r="CX208" i="14" s="1"/>
  <c r="AK34" i="25"/>
  <c r="CX450" i="14" s="1"/>
  <c r="AK35" i="27"/>
  <c r="CX512" i="14" s="1"/>
  <c r="AS207" i="14"/>
  <c r="AA35" i="2"/>
  <c r="BD35" i="2" s="1"/>
  <c r="AN35" i="2"/>
  <c r="Y35" i="2"/>
  <c r="BB35" i="2" s="1"/>
  <c r="AM34" i="28"/>
  <c r="AR207" i="14"/>
  <c r="Z35" i="2"/>
  <c r="BC35" i="2" s="1"/>
  <c r="AM33" i="24"/>
  <c r="AP35" i="2"/>
  <c r="AL34" i="2"/>
  <c r="D206" i="14"/>
  <c r="AM33" i="25"/>
  <c r="AS35" i="2"/>
  <c r="CN207" i="14" s="1"/>
  <c r="AM34" i="26"/>
  <c r="AM33" i="23"/>
  <c r="AM35" i="2"/>
  <c r="U36" i="2"/>
  <c r="AC36" i="2" s="1"/>
  <c r="BF36" i="2" s="1"/>
  <c r="R36" i="2"/>
  <c r="Q36" i="2"/>
  <c r="Y36" i="2" s="1"/>
  <c r="BB36" i="2" s="1"/>
  <c r="V36" i="2"/>
  <c r="T36" i="2"/>
  <c r="AB36" i="2" s="1"/>
  <c r="BE36" i="2" s="1"/>
  <c r="S36" i="2"/>
  <c r="P36" i="2"/>
  <c r="X36" i="2" s="1"/>
  <c r="BA36" i="2" s="1"/>
  <c r="AR35" i="2"/>
  <c r="AQ35" i="2"/>
  <c r="AO35" i="2"/>
  <c r="AE34" i="2"/>
  <c r="E34" i="2" s="1"/>
  <c r="G206" i="14" s="1"/>
  <c r="W36" i="26"/>
  <c r="AZ36" i="26" s="1"/>
  <c r="D35" i="26"/>
  <c r="C35" i="26" s="1"/>
  <c r="L357" i="14"/>
  <c r="W35" i="23"/>
  <c r="AZ35" i="23" s="1"/>
  <c r="D34" i="23"/>
  <c r="C34" i="23" s="1"/>
  <c r="W35" i="24"/>
  <c r="AZ35" i="24" s="1"/>
  <c r="D34" i="24"/>
  <c r="C34" i="24" s="1"/>
  <c r="L339" i="14"/>
  <c r="L376" i="14"/>
  <c r="W36" i="21"/>
  <c r="AZ36" i="21" s="1"/>
  <c r="D35" i="21"/>
  <c r="C35" i="21" s="1"/>
  <c r="W37" i="2"/>
  <c r="AZ37" i="2" s="1"/>
  <c r="D36" i="2"/>
  <c r="C36" i="2" s="1"/>
  <c r="W35" i="25"/>
  <c r="AZ35" i="25" s="1"/>
  <c r="D34" i="25"/>
  <c r="C34" i="25" s="1"/>
  <c r="L345" i="14"/>
  <c r="L363" i="14"/>
  <c r="W36" i="19"/>
  <c r="AZ36" i="19" s="1"/>
  <c r="D35" i="19"/>
  <c r="C35" i="19" s="1"/>
  <c r="L333" i="14"/>
  <c r="W36" i="18"/>
  <c r="AZ36" i="18" s="1"/>
  <c r="D35" i="18"/>
  <c r="C35" i="18" s="1"/>
  <c r="E208" i="14"/>
  <c r="B207" i="14"/>
  <c r="C207" i="14"/>
  <c r="Q207" i="14"/>
  <c r="H140" i="15"/>
  <c r="I140" i="15" s="1"/>
  <c r="J207" i="14"/>
  <c r="W36" i="28"/>
  <c r="AZ36" i="28" s="1"/>
  <c r="D35" i="28"/>
  <c r="C35" i="28" s="1"/>
  <c r="W36" i="27"/>
  <c r="AZ36" i="27" s="1"/>
  <c r="D35" i="27"/>
  <c r="C35" i="27" s="1"/>
  <c r="BA64" i="18" l="1"/>
  <c r="BA63" i="18" s="1"/>
  <c r="BA4" i="18" s="1"/>
  <c r="BE290" i="1" s="1"/>
  <c r="BD4" i="18"/>
  <c r="BH290" i="1" s="1"/>
  <c r="BF4" i="18"/>
  <c r="BJ290" i="1" s="1"/>
  <c r="BG4" i="18"/>
  <c r="BK290" i="1" s="1"/>
  <c r="BE4" i="18"/>
  <c r="BI290" i="1" s="1"/>
  <c r="BC4" i="18"/>
  <c r="BG290" i="1" s="1"/>
  <c r="BB4" i="18"/>
  <c r="BF290" i="1" s="1"/>
  <c r="BP207" i="14"/>
  <c r="CM207" i="14"/>
  <c r="AD36" i="2"/>
  <c r="BG36" i="2" s="1"/>
  <c r="AU208" i="14"/>
  <c r="AT208" i="14"/>
  <c r="BY207" i="14"/>
  <c r="AO106" i="14"/>
  <c r="AN107" i="14"/>
  <c r="AK37" i="2"/>
  <c r="CX209" i="14" s="1"/>
  <c r="AK35" i="23"/>
  <c r="CX389" i="14" s="1"/>
  <c r="CK207" i="14"/>
  <c r="AK36" i="28"/>
  <c r="CX543" i="14" s="1"/>
  <c r="AK36" i="18"/>
  <c r="CX239" i="14" s="1"/>
  <c r="AK36" i="26"/>
  <c r="CX482" i="14" s="1"/>
  <c r="AK36" i="27"/>
  <c r="CX513" i="14" s="1"/>
  <c r="AK36" i="19"/>
  <c r="CX268" i="14" s="1"/>
  <c r="AK35" i="25"/>
  <c r="CX451" i="14" s="1"/>
  <c r="AK36" i="21"/>
  <c r="CX329" i="14" s="1"/>
  <c r="AK35" i="24"/>
  <c r="CX420" i="14" s="1"/>
  <c r="CL207" i="14"/>
  <c r="AM34" i="23"/>
  <c r="AM35" i="28"/>
  <c r="AM34" i="25"/>
  <c r="AS208" i="14"/>
  <c r="AA36" i="2"/>
  <c r="BD36" i="2" s="1"/>
  <c r="AR208" i="14"/>
  <c r="Z36" i="2"/>
  <c r="BC36" i="2" s="1"/>
  <c r="AP36" i="2"/>
  <c r="AL35" i="2"/>
  <c r="D207" i="14"/>
  <c r="AM35" i="26"/>
  <c r="AM34" i="24"/>
  <c r="AM36" i="2"/>
  <c r="AN36" i="2"/>
  <c r="AS36" i="2"/>
  <c r="CN208" i="14" s="1"/>
  <c r="Q37" i="2"/>
  <c r="S37" i="2"/>
  <c r="U37" i="2"/>
  <c r="AC37" i="2" s="1"/>
  <c r="BF37" i="2" s="1"/>
  <c r="R37" i="2"/>
  <c r="V37" i="2"/>
  <c r="T37" i="2"/>
  <c r="AB37" i="2" s="1"/>
  <c r="BE37" i="2" s="1"/>
  <c r="P37" i="2"/>
  <c r="X37" i="2" s="1"/>
  <c r="BA37" i="2" s="1"/>
  <c r="AR36" i="2"/>
  <c r="AQ36" i="2"/>
  <c r="AO36" i="2"/>
  <c r="W37" i="27"/>
  <c r="AZ37" i="27" s="1"/>
  <c r="D36" i="27"/>
  <c r="C36" i="27" s="1"/>
  <c r="AE35" i="2"/>
  <c r="E35" i="2" s="1"/>
  <c r="G207" i="14" s="1"/>
  <c r="W37" i="19"/>
  <c r="AZ37" i="19" s="1"/>
  <c r="D36" i="19"/>
  <c r="C36" i="19" s="1"/>
  <c r="W36" i="24"/>
  <c r="AZ36" i="24" s="1"/>
  <c r="D35" i="24"/>
  <c r="C35" i="24" s="1"/>
  <c r="E209" i="14"/>
  <c r="C208" i="14"/>
  <c r="B208" i="14"/>
  <c r="H141" i="15"/>
  <c r="I141" i="15" s="1"/>
  <c r="J208" i="14"/>
  <c r="Q208" i="14"/>
  <c r="W38" i="2"/>
  <c r="AZ38" i="2" s="1"/>
  <c r="D37" i="2"/>
  <c r="C37" i="2" s="1"/>
  <c r="L364" i="14"/>
  <c r="W37" i="26"/>
  <c r="AZ37" i="26" s="1"/>
  <c r="D36" i="26"/>
  <c r="C36" i="26" s="1"/>
  <c r="W37" i="28"/>
  <c r="AZ37" i="28" s="1"/>
  <c r="D36" i="28"/>
  <c r="C36" i="28" s="1"/>
  <c r="D36" i="18"/>
  <c r="C36" i="18" s="1"/>
  <c r="L340" i="14"/>
  <c r="L370" i="14"/>
  <c r="L352" i="14"/>
  <c r="W37" i="21"/>
  <c r="AZ37" i="21" s="1"/>
  <c r="D36" i="21"/>
  <c r="C36" i="21" s="1"/>
  <c r="L383" i="14"/>
  <c r="L346" i="14"/>
  <c r="W36" i="25"/>
  <c r="AZ36" i="25" s="1"/>
  <c r="D35" i="25"/>
  <c r="C35" i="25" s="1"/>
  <c r="W36" i="23"/>
  <c r="AZ36" i="23" s="1"/>
  <c r="D35" i="23"/>
  <c r="C35" i="23" s="1"/>
  <c r="BP208" i="14" l="1"/>
  <c r="BA64" i="2"/>
  <c r="BA63" i="2" s="1"/>
  <c r="BF4" i="2"/>
  <c r="BJ289" i="1" s="1"/>
  <c r="BG4" i="2"/>
  <c r="BK289" i="1" s="1"/>
  <c r="BB4" i="2"/>
  <c r="BF289" i="1" s="1"/>
  <c r="BD4" i="2"/>
  <c r="BH289" i="1" s="1"/>
  <c r="BC4" i="2"/>
  <c r="BG289" i="1" s="1"/>
  <c r="BE4" i="2"/>
  <c r="BI289" i="1" s="1"/>
  <c r="BA4" i="2"/>
  <c r="BE289" i="1" s="1"/>
  <c r="BA64" i="27"/>
  <c r="BA63" i="27" s="1"/>
  <c r="BE4" i="27"/>
  <c r="BI299" i="1" s="1"/>
  <c r="BB4" i="27"/>
  <c r="BF299" i="1" s="1"/>
  <c r="BC4" i="27"/>
  <c r="BG299" i="1" s="1"/>
  <c r="BG4" i="27"/>
  <c r="BK299" i="1" s="1"/>
  <c r="BD4" i="27"/>
  <c r="BH299" i="1" s="1"/>
  <c r="BF4" i="27"/>
  <c r="BJ299" i="1" s="1"/>
  <c r="BA4" i="27"/>
  <c r="BE299" i="1" s="1"/>
  <c r="AT209" i="14"/>
  <c r="AD37" i="2"/>
  <c r="BG37" i="2" s="1"/>
  <c r="AU209" i="14"/>
  <c r="CM208" i="14"/>
  <c r="BY208" i="14"/>
  <c r="AO107" i="14"/>
  <c r="AN108" i="14"/>
  <c r="AK36" i="25"/>
  <c r="CX452" i="14" s="1"/>
  <c r="AK37" i="21"/>
  <c r="CX330" i="14" s="1"/>
  <c r="AK38" i="2"/>
  <c r="CX210" i="14" s="1"/>
  <c r="AK37" i="26"/>
  <c r="CX483" i="14" s="1"/>
  <c r="AK36" i="24"/>
  <c r="CX421" i="14" s="1"/>
  <c r="CK208" i="14"/>
  <c r="AK36" i="23"/>
  <c r="CX390" i="14" s="1"/>
  <c r="AK37" i="27"/>
  <c r="CX514" i="14" s="1"/>
  <c r="CL208" i="14"/>
  <c r="AK37" i="28"/>
  <c r="CX544" i="14" s="1"/>
  <c r="AK37" i="19"/>
  <c r="CX269" i="14" s="1"/>
  <c r="AS209" i="14"/>
  <c r="AA37" i="2"/>
  <c r="BD37" i="2" s="1"/>
  <c r="AN37" i="2"/>
  <c r="Y37" i="2"/>
  <c r="BB37" i="2" s="1"/>
  <c r="AR209" i="14"/>
  <c r="Z37" i="2"/>
  <c r="BC37" i="2" s="1"/>
  <c r="AS37" i="2"/>
  <c r="CN209" i="14" s="1"/>
  <c r="AL36" i="2"/>
  <c r="D208" i="14"/>
  <c r="AM35" i="23"/>
  <c r="AP37" i="2"/>
  <c r="AM35" i="25"/>
  <c r="AM36" i="28"/>
  <c r="AM35" i="24"/>
  <c r="AM37" i="2"/>
  <c r="AM36" i="26"/>
  <c r="U38" i="2"/>
  <c r="T38" i="2"/>
  <c r="P38" i="2"/>
  <c r="Q38" i="2"/>
  <c r="V38" i="2"/>
  <c r="AU210" i="14" s="1"/>
  <c r="R38" i="2"/>
  <c r="S38" i="2"/>
  <c r="AR37" i="2"/>
  <c r="AQ37" i="2"/>
  <c r="AO37" i="2"/>
  <c r="W38" i="28"/>
  <c r="AZ38" i="28" s="1"/>
  <c r="D37" i="28"/>
  <c r="C37" i="28" s="1"/>
  <c r="D37" i="27"/>
  <c r="C37" i="27" s="1"/>
  <c r="AE36" i="2"/>
  <c r="E36" i="2" s="1"/>
  <c r="G208" i="14" s="1"/>
  <c r="W38" i="19"/>
  <c r="AZ38" i="19" s="1"/>
  <c r="D37" i="19"/>
  <c r="C37" i="19" s="1"/>
  <c r="W37" i="25"/>
  <c r="AZ37" i="25" s="1"/>
  <c r="D36" i="25"/>
  <c r="C36" i="25" s="1"/>
  <c r="E210" i="14"/>
  <c r="C209" i="14"/>
  <c r="B209" i="14"/>
  <c r="Q209" i="14"/>
  <c r="H142" i="15"/>
  <c r="I142" i="15" s="1"/>
  <c r="J209" i="14"/>
  <c r="W37" i="24"/>
  <c r="AZ37" i="24" s="1"/>
  <c r="D36" i="24"/>
  <c r="C36" i="24" s="1"/>
  <c r="W37" i="23"/>
  <c r="AZ37" i="23" s="1"/>
  <c r="D36" i="23"/>
  <c r="C36" i="23" s="1"/>
  <c r="L359" i="14"/>
  <c r="L377" i="14"/>
  <c r="L347" i="14"/>
  <c r="W38" i="26"/>
  <c r="AZ38" i="26" s="1"/>
  <c r="D37" i="26"/>
  <c r="C37" i="26" s="1"/>
  <c r="D38" i="2"/>
  <c r="C38" i="2" s="1"/>
  <c r="W38" i="21"/>
  <c r="AZ38" i="21" s="1"/>
  <c r="D37" i="21"/>
  <c r="C37" i="21" s="1"/>
  <c r="L371" i="14"/>
  <c r="L353" i="14"/>
  <c r="L390" i="14"/>
  <c r="BA64" i="25" l="1"/>
  <c r="BA63" i="25" s="1"/>
  <c r="BF4" i="25"/>
  <c r="BJ297" i="1" s="1"/>
  <c r="BD4" i="25"/>
  <c r="BH297" i="1" s="1"/>
  <c r="BG4" i="25"/>
  <c r="BK297" i="1" s="1"/>
  <c r="BC4" i="25"/>
  <c r="BG297" i="1" s="1"/>
  <c r="BB4" i="25"/>
  <c r="BF297" i="1" s="1"/>
  <c r="BA4" i="25"/>
  <c r="BE297" i="1" s="1"/>
  <c r="BE4" i="25"/>
  <c r="BI297" i="1" s="1"/>
  <c r="BA64" i="26"/>
  <c r="BA63" i="26" s="1"/>
  <c r="BF4" i="26"/>
  <c r="BJ298" i="1" s="1"/>
  <c r="BC4" i="26"/>
  <c r="BG298" i="1" s="1"/>
  <c r="BG4" i="26"/>
  <c r="BK298" i="1" s="1"/>
  <c r="BE4" i="26"/>
  <c r="BI298" i="1" s="1"/>
  <c r="BB4" i="26"/>
  <c r="BF298" i="1" s="1"/>
  <c r="BA4" i="26"/>
  <c r="BE298" i="1" s="1"/>
  <c r="BD4" i="26"/>
  <c r="BH298" i="1" s="1"/>
  <c r="BA64" i="21"/>
  <c r="BA63" i="21" s="1"/>
  <c r="BG4" i="21"/>
  <c r="BK293" i="1" s="1"/>
  <c r="BD4" i="21"/>
  <c r="BH293" i="1" s="1"/>
  <c r="BF4" i="21"/>
  <c r="BJ293" i="1" s="1"/>
  <c r="BE4" i="21"/>
  <c r="BI293" i="1" s="1"/>
  <c r="BC4" i="21"/>
  <c r="BG293" i="1" s="1"/>
  <c r="BB4" i="21"/>
  <c r="BF293" i="1" s="1"/>
  <c r="BA4" i="21"/>
  <c r="BE293" i="1" s="1"/>
  <c r="BA64" i="19"/>
  <c r="BA63" i="19" s="1"/>
  <c r="BB4" i="19"/>
  <c r="BF291" i="1" s="1"/>
  <c r="BD4" i="19"/>
  <c r="BH291" i="1" s="1"/>
  <c r="BG4" i="19"/>
  <c r="BK291" i="1" s="1"/>
  <c r="BE4" i="19"/>
  <c r="BI291" i="1" s="1"/>
  <c r="BC4" i="19"/>
  <c r="BG291" i="1" s="1"/>
  <c r="BF4" i="19"/>
  <c r="BJ291" i="1" s="1"/>
  <c r="BA4" i="19"/>
  <c r="BE291" i="1" s="1"/>
  <c r="BA64" i="28"/>
  <c r="BA63" i="28" s="1"/>
  <c r="BA4" i="28" s="1"/>
  <c r="BE300" i="1" s="1"/>
  <c r="BB4" i="28"/>
  <c r="BF300" i="1" s="1"/>
  <c r="BC4" i="28"/>
  <c r="BG300" i="1" s="1"/>
  <c r="BD4" i="28"/>
  <c r="BH300" i="1" s="1"/>
  <c r="BG4" i="28"/>
  <c r="BK300" i="1" s="1"/>
  <c r="BF4" i="28"/>
  <c r="BJ300" i="1" s="1"/>
  <c r="BE4" i="28"/>
  <c r="BI300" i="1" s="1"/>
  <c r="BP209" i="14"/>
  <c r="CM209" i="14"/>
  <c r="AT210" i="14"/>
  <c r="BY209" i="14"/>
  <c r="AO108" i="14"/>
  <c r="AN109" i="14"/>
  <c r="AO109" i="14" s="1"/>
  <c r="AK37" i="23"/>
  <c r="CX391" i="14" s="1"/>
  <c r="AK38" i="28"/>
  <c r="CX545" i="14" s="1"/>
  <c r="AK38" i="21"/>
  <c r="CX331" i="14" s="1"/>
  <c r="AK38" i="19"/>
  <c r="CX270" i="14" s="1"/>
  <c r="AK37" i="24"/>
  <c r="CX422" i="14" s="1"/>
  <c r="AK37" i="25"/>
  <c r="CX453" i="14" s="1"/>
  <c r="CK209" i="14"/>
  <c r="CL209" i="14"/>
  <c r="AK38" i="26"/>
  <c r="CX484" i="14" s="1"/>
  <c r="Y38" i="2"/>
  <c r="BB38" i="2" s="1"/>
  <c r="AR210" i="14"/>
  <c r="Z38" i="2"/>
  <c r="BC38" i="2" s="1"/>
  <c r="AB38" i="2"/>
  <c r="BE38" i="2" s="1"/>
  <c r="AD38" i="2"/>
  <c r="BG38" i="2" s="1"/>
  <c r="AC38" i="2"/>
  <c r="BF38" i="2" s="1"/>
  <c r="AM36" i="24"/>
  <c r="AS210" i="14"/>
  <c r="AA38" i="2"/>
  <c r="BD38" i="2" s="1"/>
  <c r="AM38" i="2"/>
  <c r="X38" i="2"/>
  <c r="BA38" i="2" s="1"/>
  <c r="AS38" i="2"/>
  <c r="CN210" i="14" s="1"/>
  <c r="AL37" i="2"/>
  <c r="D209" i="14"/>
  <c r="AM36" i="25"/>
  <c r="AN38" i="2"/>
  <c r="AM36" i="23"/>
  <c r="AM37" i="28"/>
  <c r="AM37" i="26"/>
  <c r="AP38" i="2"/>
  <c r="AR38" i="2"/>
  <c r="AQ38" i="2"/>
  <c r="AO38" i="2"/>
  <c r="AE37" i="2"/>
  <c r="E37" i="2" s="1"/>
  <c r="G209" i="14" s="1"/>
  <c r="D37" i="25"/>
  <c r="C37" i="25" s="1"/>
  <c r="D38" i="19"/>
  <c r="C38" i="19" s="1"/>
  <c r="L360" i="14"/>
  <c r="D38" i="21"/>
  <c r="C38" i="21" s="1"/>
  <c r="L354" i="14"/>
  <c r="L384" i="14"/>
  <c r="L366" i="14"/>
  <c r="W38" i="23"/>
  <c r="AZ38" i="23" s="1"/>
  <c r="BA64" i="23" s="1"/>
  <c r="BA63" i="23" s="1"/>
  <c r="D37" i="23"/>
  <c r="C37" i="23" s="1"/>
  <c r="L397" i="14"/>
  <c r="L378" i="14"/>
  <c r="D38" i="26"/>
  <c r="C38" i="26" s="1"/>
  <c r="C210" i="14"/>
  <c r="E211" i="14"/>
  <c r="B210" i="14"/>
  <c r="Q210" i="14"/>
  <c r="H143" i="15"/>
  <c r="I143" i="15" s="1"/>
  <c r="J210" i="14"/>
  <c r="D38" i="28"/>
  <c r="C38" i="28" s="1"/>
  <c r="W38" i="24"/>
  <c r="AZ38" i="24" s="1"/>
  <c r="D37" i="24"/>
  <c r="C37" i="24" s="1"/>
  <c r="BA64" i="24" l="1"/>
  <c r="BA63" i="24" s="1"/>
  <c r="BF4" i="24"/>
  <c r="BJ296" i="1" s="1"/>
  <c r="BG4" i="24"/>
  <c r="BK296" i="1" s="1"/>
  <c r="BA4" i="24"/>
  <c r="BE296" i="1" s="1"/>
  <c r="BC4" i="24"/>
  <c r="BG296" i="1" s="1"/>
  <c r="BE4" i="24"/>
  <c r="BI296" i="1" s="1"/>
  <c r="BB4" i="24"/>
  <c r="BF296" i="1" s="1"/>
  <c r="BD4" i="24"/>
  <c r="BH296" i="1" s="1"/>
  <c r="CM210" i="14"/>
  <c r="BP210" i="14"/>
  <c r="BY210" i="14"/>
  <c r="AK38" i="24"/>
  <c r="CX423" i="14" s="1"/>
  <c r="AK38" i="23"/>
  <c r="CX392" i="14" s="1"/>
  <c r="CK210" i="14"/>
  <c r="CL210" i="14"/>
  <c r="AM38" i="28"/>
  <c r="AM37" i="23"/>
  <c r="AM38" i="26"/>
  <c r="AM37" i="24"/>
  <c r="AL38" i="2"/>
  <c r="D210" i="14"/>
  <c r="AM37" i="25"/>
  <c r="L385" i="14"/>
  <c r="L391" i="14"/>
  <c r="L361" i="14"/>
  <c r="L367" i="14"/>
  <c r="AE38" i="2"/>
  <c r="E38" i="2" s="1"/>
  <c r="J48" i="2" s="1"/>
  <c r="L404" i="14"/>
  <c r="E212" i="14"/>
  <c r="B211" i="14"/>
  <c r="C211" i="14"/>
  <c r="Q211" i="14"/>
  <c r="H144" i="15"/>
  <c r="I144" i="15" s="1"/>
  <c r="J211" i="14"/>
  <c r="D38" i="23"/>
  <c r="C38" i="23" s="1"/>
  <c r="D38" i="24"/>
  <c r="C38" i="24" s="1"/>
  <c r="L373" i="14"/>
  <c r="G48" i="2" l="1"/>
  <c r="BA4" i="23"/>
  <c r="BE295" i="1" s="1"/>
  <c r="D10" i="14" s="1"/>
  <c r="H48" i="2"/>
  <c r="BF50" i="30" s="1"/>
  <c r="I48" i="2"/>
  <c r="L48" i="2"/>
  <c r="BF38" i="30" s="1"/>
  <c r="K48" i="2"/>
  <c r="BF30" i="30" s="1"/>
  <c r="AM38" i="24"/>
  <c r="M48" i="2"/>
  <c r="BF42" i="30" s="1"/>
  <c r="D211" i="14"/>
  <c r="L46" i="2"/>
  <c r="G46" i="2"/>
  <c r="K46" i="2"/>
  <c r="D371" i="1" s="1"/>
  <c r="J46" i="2"/>
  <c r="I46" i="2"/>
  <c r="H46" i="2"/>
  <c r="BF47" i="30" s="1"/>
  <c r="M46" i="2"/>
  <c r="AM38" i="23"/>
  <c r="G210" i="14"/>
  <c r="H39" i="2"/>
  <c r="L39" i="2"/>
  <c r="J39" i="2"/>
  <c r="M39" i="2"/>
  <c r="K39" i="2"/>
  <c r="I39" i="2"/>
  <c r="G39" i="2"/>
  <c r="E213" i="14"/>
  <c r="B212" i="14"/>
  <c r="C212" i="14"/>
  <c r="Q212" i="14"/>
  <c r="H145" i="15"/>
  <c r="I145" i="15" s="1"/>
  <c r="J212" i="14"/>
  <c r="L374" i="14"/>
  <c r="L380" i="14"/>
  <c r="L411" i="14"/>
  <c r="L368" i="14"/>
  <c r="L398" i="14"/>
  <c r="L392" i="14"/>
  <c r="BF26" i="30" l="1"/>
  <c r="BF15" i="30"/>
  <c r="G47" i="2"/>
  <c r="BF22" i="30"/>
  <c r="BF19" i="30"/>
  <c r="H47" i="2"/>
  <c r="M47" i="2"/>
  <c r="BF23" i="30"/>
  <c r="I47" i="2"/>
  <c r="BF35" i="30"/>
  <c r="L47" i="2"/>
  <c r="BF31" i="30"/>
  <c r="K47" i="2"/>
  <c r="D386" i="1" s="1"/>
  <c r="BF27" i="30"/>
  <c r="J47" i="2"/>
  <c r="D212" i="14"/>
  <c r="E46" i="2"/>
  <c r="K128" i="2"/>
  <c r="K129" i="2" s="1"/>
  <c r="BF34" i="30"/>
  <c r="G128" i="2"/>
  <c r="BF18" i="30"/>
  <c r="D257" i="1"/>
  <c r="D271" i="1" s="1"/>
  <c r="D320" i="1" s="1"/>
  <c r="BF39" i="30"/>
  <c r="M128" i="2"/>
  <c r="D377" i="1"/>
  <c r="C62" i="29" s="1"/>
  <c r="D372" i="1"/>
  <c r="D328" i="1"/>
  <c r="D373" i="1"/>
  <c r="L128" i="2"/>
  <c r="L129" i="2" s="1"/>
  <c r="H128" i="2"/>
  <c r="E48" i="2"/>
  <c r="I52" i="2" s="1"/>
  <c r="I56" i="2" s="1"/>
  <c r="C158" i="29" s="1"/>
  <c r="I128" i="2"/>
  <c r="J128" i="2"/>
  <c r="D254" i="1"/>
  <c r="D270" i="1" s="1"/>
  <c r="C116" i="29"/>
  <c r="D368" i="1"/>
  <c r="H68" i="2"/>
  <c r="D369" i="1"/>
  <c r="D325" i="1"/>
  <c r="D370" i="1"/>
  <c r="D326" i="1"/>
  <c r="G68" i="2"/>
  <c r="D324" i="1"/>
  <c r="D367" i="1"/>
  <c r="D230" i="1"/>
  <c r="D262" i="1" s="1"/>
  <c r="D233" i="1"/>
  <c r="D263" i="1" s="1"/>
  <c r="D312" i="1" s="1"/>
  <c r="D239" i="1"/>
  <c r="D265" i="1" s="1"/>
  <c r="D314" i="1" s="1"/>
  <c r="D245" i="1"/>
  <c r="D267" i="1" s="1"/>
  <c r="D316" i="1" s="1"/>
  <c r="G147" i="2"/>
  <c r="D236" i="1"/>
  <c r="D264" i="1" s="1"/>
  <c r="D313" i="1" s="1"/>
  <c r="D242" i="1"/>
  <c r="D266" i="1" s="1"/>
  <c r="D315" i="1" s="1"/>
  <c r="D248" i="1"/>
  <c r="D268" i="1" s="1"/>
  <c r="D317" i="1" s="1"/>
  <c r="D331" i="1"/>
  <c r="C97" i="29" s="1"/>
  <c r="L147" i="2"/>
  <c r="I147" i="2"/>
  <c r="K147" i="2"/>
  <c r="J147" i="2"/>
  <c r="H147" i="2"/>
  <c r="M147" i="2"/>
  <c r="L399" i="14"/>
  <c r="L405" i="14"/>
  <c r="L375" i="14"/>
  <c r="AF6" i="21"/>
  <c r="L381" i="14"/>
  <c r="L387" i="14"/>
  <c r="E214" i="14"/>
  <c r="B213" i="14"/>
  <c r="C213" i="14"/>
  <c r="Q213" i="14"/>
  <c r="H146" i="15"/>
  <c r="I146" i="15" s="1"/>
  <c r="J213" i="14"/>
  <c r="L418" i="14"/>
  <c r="BF29" i="30" l="1"/>
  <c r="M129" i="2"/>
  <c r="C13" i="29" s="1"/>
  <c r="C124" i="29"/>
  <c r="C119" i="29"/>
  <c r="BF25" i="30"/>
  <c r="BF17" i="30"/>
  <c r="D338" i="1"/>
  <c r="BF49" i="30"/>
  <c r="D383" i="1"/>
  <c r="BF21" i="30"/>
  <c r="G129" i="2"/>
  <c r="C123" i="29"/>
  <c r="D213" i="14"/>
  <c r="D430" i="1"/>
  <c r="BF41" i="30"/>
  <c r="D342" i="1"/>
  <c r="BF37" i="30"/>
  <c r="K49" i="2"/>
  <c r="BF33" i="30"/>
  <c r="J129" i="2"/>
  <c r="C11" i="29" s="1"/>
  <c r="C122" i="29"/>
  <c r="H129" i="2"/>
  <c r="C9" i="29" s="1"/>
  <c r="C120" i="29"/>
  <c r="C121" i="29"/>
  <c r="D345" i="1"/>
  <c r="C98" i="29" s="1"/>
  <c r="D340" i="1"/>
  <c r="D339" i="1"/>
  <c r="L49" i="2"/>
  <c r="D387" i="1"/>
  <c r="G49" i="2"/>
  <c r="D382" i="1"/>
  <c r="H49" i="2"/>
  <c r="D392" i="1"/>
  <c r="C63" i="29" s="1"/>
  <c r="I49" i="2"/>
  <c r="D384" i="1"/>
  <c r="J49" i="2"/>
  <c r="D385" i="1"/>
  <c r="M49" i="2"/>
  <c r="D388" i="1"/>
  <c r="D378" i="1"/>
  <c r="E47" i="2"/>
  <c r="I129" i="2"/>
  <c r="C10" i="29" s="1"/>
  <c r="D319" i="1"/>
  <c r="G278" i="1"/>
  <c r="K282" i="1"/>
  <c r="L7" i="18" s="1"/>
  <c r="G281" i="1"/>
  <c r="G280" i="1"/>
  <c r="K283" i="1"/>
  <c r="M7" i="18" s="1"/>
  <c r="K280" i="1"/>
  <c r="J7" i="18" s="1"/>
  <c r="K281" i="1"/>
  <c r="K7" i="18" s="1"/>
  <c r="G283" i="1"/>
  <c r="G279" i="1"/>
  <c r="K279" i="1"/>
  <c r="I7" i="18" s="1"/>
  <c r="K278" i="1"/>
  <c r="H7" i="18" s="1"/>
  <c r="G282" i="1"/>
  <c r="D332" i="1"/>
  <c r="D333" i="1" s="1"/>
  <c r="G277" i="1"/>
  <c r="K277" i="1"/>
  <c r="D311" i="1"/>
  <c r="G114" i="2" s="1"/>
  <c r="H114" i="2" s="1"/>
  <c r="I114" i="2" s="1"/>
  <c r="D114" i="2" s="1"/>
  <c r="D272" i="1"/>
  <c r="D273" i="1" s="1"/>
  <c r="L118" i="21"/>
  <c r="C5" i="29"/>
  <c r="K118" i="21"/>
  <c r="H146" i="2"/>
  <c r="L146" i="2"/>
  <c r="J146" i="2"/>
  <c r="I146" i="2"/>
  <c r="AF6" i="2"/>
  <c r="BD206" i="14"/>
  <c r="BD193" i="14"/>
  <c r="BD180" i="14"/>
  <c r="BD195" i="14"/>
  <c r="BD182" i="14"/>
  <c r="BD181" i="14"/>
  <c r="BD197" i="14"/>
  <c r="BD183" i="14"/>
  <c r="BD199" i="14"/>
  <c r="BD190" i="14"/>
  <c r="BD194" i="14"/>
  <c r="BD192" i="14"/>
  <c r="BD209" i="14"/>
  <c r="BD189" i="14"/>
  <c r="BD204" i="14"/>
  <c r="BD210" i="14"/>
  <c r="BD202" i="14"/>
  <c r="BD184" i="14"/>
  <c r="BD198" i="14"/>
  <c r="BD196" i="14"/>
  <c r="BD191" i="14"/>
  <c r="BD200" i="14"/>
  <c r="BD187" i="14"/>
  <c r="BD208" i="14"/>
  <c r="BD207" i="14"/>
  <c r="BD201" i="14"/>
  <c r="BD203" i="14"/>
  <c r="BD186" i="14"/>
  <c r="BD188" i="14"/>
  <c r="BD185" i="14"/>
  <c r="BD205" i="14"/>
  <c r="E147" i="2"/>
  <c r="G146" i="2"/>
  <c r="M146" i="2"/>
  <c r="K146" i="2"/>
  <c r="I118" i="21"/>
  <c r="G118" i="21"/>
  <c r="H118" i="21"/>
  <c r="J118" i="21"/>
  <c r="M118" i="21"/>
  <c r="L394" i="14"/>
  <c r="E215" i="14"/>
  <c r="B214" i="14"/>
  <c r="C214" i="14"/>
  <c r="H147" i="15"/>
  <c r="I147" i="15" s="1"/>
  <c r="J214" i="14"/>
  <c r="Q214" i="14"/>
  <c r="L382" i="14"/>
  <c r="L412" i="14"/>
  <c r="L406" i="14"/>
  <c r="L388" i="14"/>
  <c r="L425" i="14"/>
  <c r="G116" i="2" l="1"/>
  <c r="H116" i="2" s="1"/>
  <c r="I116" i="2" s="1"/>
  <c r="D116" i="2" s="1"/>
  <c r="C8" i="29"/>
  <c r="C12" i="29"/>
  <c r="D214" i="14"/>
  <c r="C6" i="29"/>
  <c r="H52" i="2"/>
  <c r="H56" i="2" s="1"/>
  <c r="C153" i="29" s="1"/>
  <c r="C128" i="29"/>
  <c r="G115" i="2"/>
  <c r="H115" i="2" s="1"/>
  <c r="I115" i="2" s="1"/>
  <c r="D115" i="2" s="1"/>
  <c r="G182" i="2"/>
  <c r="G160" i="2" s="1"/>
  <c r="G113" i="2"/>
  <c r="H113" i="2" s="1"/>
  <c r="I113" i="2" s="1"/>
  <c r="D113" i="2" s="1"/>
  <c r="G110" i="2"/>
  <c r="H110" i="2" s="1"/>
  <c r="I110" i="2" s="1"/>
  <c r="D110" i="2" s="1"/>
  <c r="G109" i="2"/>
  <c r="H109" i="2" s="1"/>
  <c r="I109" i="2" s="1"/>
  <c r="D109" i="2" s="1"/>
  <c r="G112" i="2"/>
  <c r="H112" i="2" s="1"/>
  <c r="I112" i="2" s="1"/>
  <c r="D112" i="2" s="1"/>
  <c r="H182" i="2"/>
  <c r="H160" i="2" s="1"/>
  <c r="M182" i="2"/>
  <c r="M160" i="2" s="1"/>
  <c r="I182" i="2"/>
  <c r="I160" i="2" s="1"/>
  <c r="K182" i="2"/>
  <c r="K160" i="2" s="1"/>
  <c r="J182" i="2"/>
  <c r="J160" i="2" s="1"/>
  <c r="G111" i="2"/>
  <c r="H111" i="2" s="1"/>
  <c r="I111" i="2" s="1"/>
  <c r="D111" i="2" s="1"/>
  <c r="L182" i="2"/>
  <c r="L160" i="2" s="1"/>
  <c r="G108" i="2"/>
  <c r="H108" i="2" s="1"/>
  <c r="I108" i="2" s="1"/>
  <c r="D108" i="2" s="1"/>
  <c r="G284" i="1"/>
  <c r="G7" i="18"/>
  <c r="K284" i="1"/>
  <c r="D379" i="1"/>
  <c r="E7" i="18"/>
  <c r="L77" i="18" s="1"/>
  <c r="E39" i="2"/>
  <c r="G107" i="2"/>
  <c r="H107" i="2" s="1"/>
  <c r="I107" i="2" s="1"/>
  <c r="D107" i="2" s="1"/>
  <c r="D321" i="1"/>
  <c r="L118" i="2"/>
  <c r="M118" i="2"/>
  <c r="K118" i="2"/>
  <c r="I118" i="2"/>
  <c r="H118" i="2"/>
  <c r="O199" i="2"/>
  <c r="C173" i="29" s="1"/>
  <c r="C170" i="29" s="1"/>
  <c r="C2" i="29" s="1"/>
  <c r="C113" i="29" s="1"/>
  <c r="G118" i="2"/>
  <c r="D429" i="1"/>
  <c r="L122" i="2"/>
  <c r="I122" i="2"/>
  <c r="H122" i="2"/>
  <c r="J118" i="2"/>
  <c r="C60" i="21"/>
  <c r="K122" i="2"/>
  <c r="D401" i="1" s="1"/>
  <c r="J122" i="2"/>
  <c r="G122" i="2"/>
  <c r="AH11" i="2"/>
  <c r="AI26" i="2"/>
  <c r="AJ26" i="2"/>
  <c r="AJ36" i="2"/>
  <c r="AH26" i="2"/>
  <c r="AG25" i="2"/>
  <c r="AH14" i="2"/>
  <c r="AH33" i="2"/>
  <c r="AI25" i="2"/>
  <c r="AJ15" i="2"/>
  <c r="AJ34" i="2"/>
  <c r="AG23" i="2"/>
  <c r="AH16" i="2"/>
  <c r="AH35" i="2"/>
  <c r="AI23" i="2"/>
  <c r="AJ17" i="2"/>
  <c r="AG36" i="2"/>
  <c r="AH10" i="2"/>
  <c r="AI17" i="2"/>
  <c r="AJ30" i="2"/>
  <c r="AH15" i="2"/>
  <c r="AI22" i="2"/>
  <c r="AJ35" i="2"/>
  <c r="AI29" i="2"/>
  <c r="AG10" i="2"/>
  <c r="AI19" i="2"/>
  <c r="AG38" i="2"/>
  <c r="AI34" i="2"/>
  <c r="AH38" i="2"/>
  <c r="AH22" i="2"/>
  <c r="AG34" i="2"/>
  <c r="AG20" i="2"/>
  <c r="AI32" i="2"/>
  <c r="AH20" i="2"/>
  <c r="AI11" i="2"/>
  <c r="AG26" i="2"/>
  <c r="AG16" i="2"/>
  <c r="AG35" i="2"/>
  <c r="AH23" i="2"/>
  <c r="AI16" i="2"/>
  <c r="AI35" i="2"/>
  <c r="AJ24" i="2"/>
  <c r="AG14" i="2"/>
  <c r="AG33" i="2"/>
  <c r="AH25" i="2"/>
  <c r="AI14" i="2"/>
  <c r="AI33" i="2"/>
  <c r="AJ27" i="2"/>
  <c r="AG22" i="2"/>
  <c r="AH29" i="2"/>
  <c r="AJ12" i="2"/>
  <c r="AG17" i="2"/>
  <c r="AH34" i="2"/>
  <c r="AJ16" i="2"/>
  <c r="AH17" i="2"/>
  <c r="AI38" i="2"/>
  <c r="AH8" i="2"/>
  <c r="AJ14" i="2"/>
  <c r="AG15" i="2"/>
  <c r="AJ9" i="2"/>
  <c r="AJ18" i="2"/>
  <c r="AJ38" i="2"/>
  <c r="AG11" i="2"/>
  <c r="AH36" i="2"/>
  <c r="AG32" i="2"/>
  <c r="AH9" i="2"/>
  <c r="AI21" i="2"/>
  <c r="AJ29" i="2"/>
  <c r="AH12" i="2"/>
  <c r="AI18" i="2"/>
  <c r="AJ31" i="2"/>
  <c r="AI8" i="2"/>
  <c r="AG27" i="2"/>
  <c r="AJ25" i="2"/>
  <c r="AI37" i="2"/>
  <c r="AJ33" i="2"/>
  <c r="AH13" i="2"/>
  <c r="AJ37" i="2"/>
  <c r="AI20" i="2"/>
  <c r="AH32" i="2"/>
  <c r="AG12" i="2"/>
  <c r="AH18" i="2"/>
  <c r="AI30" i="2"/>
  <c r="AG9" i="2"/>
  <c r="AH21" i="2"/>
  <c r="AI28" i="2"/>
  <c r="AG13" i="2"/>
  <c r="AI27" i="2"/>
  <c r="AH24" i="2"/>
  <c r="AG19" i="2"/>
  <c r="AG29" i="2"/>
  <c r="AG37" i="2"/>
  <c r="AI15" i="2"/>
  <c r="AI24" i="2"/>
  <c r="AI36" i="2"/>
  <c r="AJ32" i="2"/>
  <c r="AG21" i="2"/>
  <c r="AH28" i="2"/>
  <c r="AJ10" i="2"/>
  <c r="AG18" i="2"/>
  <c r="AH30" i="2"/>
  <c r="AJ13" i="2"/>
  <c r="AG31" i="2"/>
  <c r="AJ21" i="2"/>
  <c r="AI13" i="2"/>
  <c r="AI10" i="2"/>
  <c r="AH27" i="2"/>
  <c r="AH31" i="2"/>
  <c r="AH37" i="2"/>
  <c r="AJ11" i="2"/>
  <c r="AJ20" i="2"/>
  <c r="AG30" i="2"/>
  <c r="AI12" i="2"/>
  <c r="AJ19" i="2"/>
  <c r="AG28" i="2"/>
  <c r="AI9" i="2"/>
  <c r="AJ22" i="2"/>
  <c r="AH19" i="2"/>
  <c r="AG8" i="2"/>
  <c r="AI31" i="2"/>
  <c r="AJ23" i="2"/>
  <c r="AJ8" i="2"/>
  <c r="AG24" i="2"/>
  <c r="AJ28" i="2"/>
  <c r="M122" i="2"/>
  <c r="D403" i="1" s="1"/>
  <c r="L419" i="14"/>
  <c r="L413" i="14"/>
  <c r="L389" i="14"/>
  <c r="E216" i="14"/>
  <c r="B215" i="14"/>
  <c r="C215" i="14"/>
  <c r="Q215" i="14"/>
  <c r="H148" i="15"/>
  <c r="I148" i="15" s="1"/>
  <c r="J215" i="14"/>
  <c r="L401" i="14"/>
  <c r="L432" i="14"/>
  <c r="L395" i="14"/>
  <c r="D215" i="14" l="1"/>
  <c r="D393" i="1"/>
  <c r="D398" i="1"/>
  <c r="D407" i="1"/>
  <c r="H117" i="2"/>
  <c r="G117" i="2"/>
  <c r="D402" i="1"/>
  <c r="D356" i="1"/>
  <c r="D400" i="1"/>
  <c r="C117" i="29"/>
  <c r="C112" i="29" s="1"/>
  <c r="M77" i="18"/>
  <c r="D353" i="1"/>
  <c r="D354" i="1"/>
  <c r="D399" i="1"/>
  <c r="M159" i="2"/>
  <c r="L159" i="2"/>
  <c r="I159" i="2"/>
  <c r="J159" i="2"/>
  <c r="H159" i="2"/>
  <c r="E182" i="2"/>
  <c r="K159" i="2"/>
  <c r="D397" i="1"/>
  <c r="D352" i="1"/>
  <c r="G159" i="2"/>
  <c r="E160" i="2"/>
  <c r="K107" i="2"/>
  <c r="K111" i="2" s="1"/>
  <c r="J107" i="2"/>
  <c r="J111" i="2" s="1"/>
  <c r="L107" i="2"/>
  <c r="L111" i="2" s="1"/>
  <c r="D359" i="1"/>
  <c r="C99" i="29" s="1"/>
  <c r="AY8" i="2"/>
  <c r="BC180" i="14"/>
  <c r="AX180" i="14" s="1"/>
  <c r="AW19" i="2"/>
  <c r="BA191" i="14"/>
  <c r="AQ191" i="14" s="1"/>
  <c r="AY19" i="2"/>
  <c r="BC191" i="14"/>
  <c r="AX191" i="14" s="1"/>
  <c r="AY11" i="2"/>
  <c r="BC183" i="14"/>
  <c r="AX183" i="14" s="1"/>
  <c r="BB182" i="14"/>
  <c r="AW182" i="14" s="1"/>
  <c r="AX10" i="2"/>
  <c r="AY13" i="2"/>
  <c r="BC185" i="14"/>
  <c r="AX185" i="14" s="1"/>
  <c r="BA200" i="14"/>
  <c r="AQ200" i="14" s="1"/>
  <c r="AW28" i="2"/>
  <c r="AX24" i="2"/>
  <c r="BB196" i="14"/>
  <c r="AW196" i="14" s="1"/>
  <c r="AZ191" i="14"/>
  <c r="AP191" i="14" s="1"/>
  <c r="AV19" i="2"/>
  <c r="AF19" i="2"/>
  <c r="AX28" i="2"/>
  <c r="BB200" i="14"/>
  <c r="AW200" i="14" s="1"/>
  <c r="BA190" i="14"/>
  <c r="AQ190" i="14" s="1"/>
  <c r="AW18" i="2"/>
  <c r="AY37" i="2"/>
  <c r="BC209" i="14"/>
  <c r="AX209" i="14" s="1"/>
  <c r="AY25" i="2"/>
  <c r="BC197" i="14"/>
  <c r="AX197" i="14" s="1"/>
  <c r="BB190" i="14"/>
  <c r="AW190" i="14" s="1"/>
  <c r="AX18" i="2"/>
  <c r="BA181" i="14"/>
  <c r="AQ181" i="14" s="1"/>
  <c r="AW9" i="2"/>
  <c r="AY38" i="2"/>
  <c r="BC210" i="14"/>
  <c r="AX210" i="14" s="1"/>
  <c r="AY14" i="2"/>
  <c r="BC186" i="14"/>
  <c r="AX186" i="14" s="1"/>
  <c r="AY16" i="2"/>
  <c r="BC188" i="14"/>
  <c r="AX188" i="14" s="1"/>
  <c r="BA201" i="14"/>
  <c r="AQ201" i="14" s="1"/>
  <c r="AW29" i="2"/>
  <c r="AX14" i="2"/>
  <c r="BB186" i="14"/>
  <c r="AW186" i="14" s="1"/>
  <c r="BC196" i="14"/>
  <c r="AX196" i="14" s="1"/>
  <c r="AY24" i="2"/>
  <c r="AV35" i="2"/>
  <c r="AF35" i="2"/>
  <c r="AZ207" i="14"/>
  <c r="AP207" i="14" s="1"/>
  <c r="AW20" i="2"/>
  <c r="BA192" i="14"/>
  <c r="AQ192" i="14" s="1"/>
  <c r="AW22" i="2"/>
  <c r="BA194" i="14"/>
  <c r="AQ194" i="14" s="1"/>
  <c r="AX19" i="2"/>
  <c r="BB191" i="14"/>
  <c r="AW191" i="14" s="1"/>
  <c r="BB194" i="14"/>
  <c r="AW194" i="14" s="1"/>
  <c r="AX22" i="2"/>
  <c r="BA182" i="14"/>
  <c r="AQ182" i="14" s="1"/>
  <c r="AW10" i="2"/>
  <c r="AW35" i="2"/>
  <c r="BA207" i="14"/>
  <c r="AQ207" i="14" s="1"/>
  <c r="BC187" i="14"/>
  <c r="AX187" i="14" s="1"/>
  <c r="AY15" i="2"/>
  <c r="AZ197" i="14"/>
  <c r="AP197" i="14" s="1"/>
  <c r="AV25" i="2"/>
  <c r="AF25" i="2"/>
  <c r="AX26" i="2"/>
  <c r="BB198" i="14"/>
  <c r="AW198" i="14" s="1"/>
  <c r="BC195" i="14"/>
  <c r="AX195" i="14" s="1"/>
  <c r="AY23" i="2"/>
  <c r="AY22" i="2"/>
  <c r="BC194" i="14"/>
  <c r="AX194" i="14" s="1"/>
  <c r="BB184" i="14"/>
  <c r="AW184" i="14" s="1"/>
  <c r="AX12" i="2"/>
  <c r="BA209" i="14"/>
  <c r="AQ209" i="14" s="1"/>
  <c r="AW37" i="2"/>
  <c r="BB185" i="14"/>
  <c r="AW185" i="14" s="1"/>
  <c r="AX13" i="2"/>
  <c r="BA202" i="14"/>
  <c r="AQ202" i="14" s="1"/>
  <c r="AW30" i="2"/>
  <c r="AF21" i="2"/>
  <c r="AZ193" i="14"/>
  <c r="AP193" i="14" s="1"/>
  <c r="AV21" i="2"/>
  <c r="AX15" i="2"/>
  <c r="BB187" i="14"/>
  <c r="AW187" i="14" s="1"/>
  <c r="AW24" i="2"/>
  <c r="BA196" i="14"/>
  <c r="AQ196" i="14" s="1"/>
  <c r="BA193" i="14"/>
  <c r="AQ193" i="14" s="1"/>
  <c r="AW21" i="2"/>
  <c r="AV12" i="2"/>
  <c r="AF12" i="2"/>
  <c r="AZ184" i="14"/>
  <c r="AP184" i="14" s="1"/>
  <c r="AW13" i="2"/>
  <c r="BA185" i="14"/>
  <c r="AQ185" i="14" s="1"/>
  <c r="AV27" i="2"/>
  <c r="AZ199" i="14"/>
  <c r="AP199" i="14" s="1"/>
  <c r="AF27" i="2"/>
  <c r="AW12" i="2"/>
  <c r="BA184" i="14"/>
  <c r="AQ184" i="14" s="1"/>
  <c r="AV32" i="2"/>
  <c r="AZ204" i="14"/>
  <c r="AP204" i="14" s="1"/>
  <c r="AF32" i="2"/>
  <c r="BC190" i="14"/>
  <c r="AX190" i="14" s="1"/>
  <c r="AY18" i="2"/>
  <c r="AW8" i="2"/>
  <c r="BA180" i="14"/>
  <c r="AQ180" i="14" s="1"/>
  <c r="BA206" i="14"/>
  <c r="AQ206" i="14" s="1"/>
  <c r="AW34" i="2"/>
  <c r="AV22" i="2"/>
  <c r="AZ194" i="14"/>
  <c r="AP194" i="14" s="1"/>
  <c r="AF22" i="2"/>
  <c r="BA197" i="14"/>
  <c r="AQ197" i="14" s="1"/>
  <c r="AW25" i="2"/>
  <c r="AX35" i="2"/>
  <c r="BB207" i="14"/>
  <c r="AW207" i="14" s="1"/>
  <c r="AF16" i="2"/>
  <c r="AZ188" i="14"/>
  <c r="AP188" i="14" s="1"/>
  <c r="AV16" i="2"/>
  <c r="AX32" i="2"/>
  <c r="BB204" i="14"/>
  <c r="AW204" i="14" s="1"/>
  <c r="BA210" i="14"/>
  <c r="AQ210" i="14" s="1"/>
  <c r="AW38" i="2"/>
  <c r="AV10" i="2"/>
  <c r="AZ182" i="14"/>
  <c r="AP182" i="14" s="1"/>
  <c r="AF10" i="2"/>
  <c r="AW15" i="2"/>
  <c r="BA187" i="14"/>
  <c r="AQ187" i="14" s="1"/>
  <c r="AV36" i="2"/>
  <c r="AZ208" i="14"/>
  <c r="AP208" i="14" s="1"/>
  <c r="AF36" i="2"/>
  <c r="AW16" i="2"/>
  <c r="BA188" i="14"/>
  <c r="AQ188" i="14" s="1"/>
  <c r="AX25" i="2"/>
  <c r="BB197" i="14"/>
  <c r="AW197" i="14" s="1"/>
  <c r="AW26" i="2"/>
  <c r="BA198" i="14"/>
  <c r="AQ198" i="14" s="1"/>
  <c r="AW11" i="2"/>
  <c r="BA183" i="14"/>
  <c r="AQ183" i="14" s="1"/>
  <c r="AY28" i="2"/>
  <c r="BC200" i="14"/>
  <c r="AX200" i="14" s="1"/>
  <c r="AX31" i="2"/>
  <c r="BB203" i="14"/>
  <c r="AW203" i="14" s="1"/>
  <c r="AX9" i="2"/>
  <c r="BB181" i="14"/>
  <c r="AW181" i="14" s="1"/>
  <c r="AZ202" i="14"/>
  <c r="AP202" i="14" s="1"/>
  <c r="AV30" i="2"/>
  <c r="AF30" i="2"/>
  <c r="BA203" i="14"/>
  <c r="AQ203" i="14" s="1"/>
  <c r="AW31" i="2"/>
  <c r="AY21" i="2"/>
  <c r="BC193" i="14"/>
  <c r="AX193" i="14" s="1"/>
  <c r="AV18" i="2"/>
  <c r="AZ190" i="14"/>
  <c r="AP190" i="14" s="1"/>
  <c r="AF18" i="2"/>
  <c r="AY32" i="2"/>
  <c r="BC204" i="14"/>
  <c r="AX204" i="14" s="1"/>
  <c r="AZ209" i="14"/>
  <c r="AP209" i="14" s="1"/>
  <c r="AF37" i="2"/>
  <c r="AV37" i="2"/>
  <c r="BB199" i="14"/>
  <c r="AW199" i="14" s="1"/>
  <c r="AX27" i="2"/>
  <c r="AV9" i="2"/>
  <c r="AZ181" i="14"/>
  <c r="AP181" i="14" s="1"/>
  <c r="AF9" i="2"/>
  <c r="AW32" i="2"/>
  <c r="BA204" i="14"/>
  <c r="AQ204" i="14" s="1"/>
  <c r="AY33" i="2"/>
  <c r="BC205" i="14"/>
  <c r="AX205" i="14" s="1"/>
  <c r="AX8" i="2"/>
  <c r="BB180" i="14"/>
  <c r="AW180" i="14" s="1"/>
  <c r="AY29" i="2"/>
  <c r="BC201" i="14"/>
  <c r="AX201" i="14" s="1"/>
  <c r="AW36" i="2"/>
  <c r="BA208" i="14"/>
  <c r="AQ208" i="14" s="1"/>
  <c r="AY9" i="2"/>
  <c r="BC181" i="14"/>
  <c r="AX181" i="14" s="1"/>
  <c r="AX38" i="2"/>
  <c r="BB210" i="14"/>
  <c r="AW210" i="14" s="1"/>
  <c r="AV17" i="2"/>
  <c r="AZ189" i="14"/>
  <c r="AP189" i="14" s="1"/>
  <c r="AF17" i="2"/>
  <c r="AY27" i="2"/>
  <c r="BC199" i="14"/>
  <c r="AX199" i="14" s="1"/>
  <c r="AZ205" i="14"/>
  <c r="AP205" i="14" s="1"/>
  <c r="AF33" i="2"/>
  <c r="AV33" i="2"/>
  <c r="BB188" i="14"/>
  <c r="AW188" i="14" s="1"/>
  <c r="AX16" i="2"/>
  <c r="AV26" i="2"/>
  <c r="AZ198" i="14"/>
  <c r="AP198" i="14" s="1"/>
  <c r="AF26" i="2"/>
  <c r="AF20" i="2"/>
  <c r="AV20" i="2"/>
  <c r="AZ192" i="14"/>
  <c r="AP192" i="14" s="1"/>
  <c r="AX34" i="2"/>
  <c r="BB206" i="14"/>
  <c r="AW206" i="14" s="1"/>
  <c r="BB201" i="14"/>
  <c r="AW201" i="14" s="1"/>
  <c r="AX29" i="2"/>
  <c r="BC202" i="14"/>
  <c r="AX202" i="14" s="1"/>
  <c r="AY30" i="2"/>
  <c r="AY17" i="2"/>
  <c r="BC189" i="14"/>
  <c r="AX189" i="14" s="1"/>
  <c r="AV23" i="2"/>
  <c r="AZ195" i="14"/>
  <c r="AP195" i="14" s="1"/>
  <c r="AF23" i="2"/>
  <c r="BA205" i="14"/>
  <c r="AQ205" i="14" s="1"/>
  <c r="AW33" i="2"/>
  <c r="AY36" i="2"/>
  <c r="BC208" i="14"/>
  <c r="AX208" i="14" s="1"/>
  <c r="D421" i="1"/>
  <c r="D426" i="1"/>
  <c r="D422" i="1"/>
  <c r="D425" i="1"/>
  <c r="D424" i="1"/>
  <c r="D423" i="1"/>
  <c r="D427" i="1"/>
  <c r="AF24" i="2"/>
  <c r="AV24" i="2"/>
  <c r="AZ196" i="14"/>
  <c r="AP196" i="14" s="1"/>
  <c r="AV8" i="2"/>
  <c r="AZ180" i="14"/>
  <c r="AP180" i="14" s="1"/>
  <c r="AF8" i="2"/>
  <c r="AF28" i="2"/>
  <c r="AV28" i="2"/>
  <c r="AZ200" i="14"/>
  <c r="AP200" i="14" s="1"/>
  <c r="AY20" i="2"/>
  <c r="BC192" i="14"/>
  <c r="AX192" i="14" s="1"/>
  <c r="BA199" i="14"/>
  <c r="AQ199" i="14" s="1"/>
  <c r="AW27" i="2"/>
  <c r="AV31" i="2"/>
  <c r="AZ203" i="14"/>
  <c r="AP203" i="14" s="1"/>
  <c r="AF31" i="2"/>
  <c r="AY10" i="2"/>
  <c r="BC182" i="14"/>
  <c r="AX182" i="14" s="1"/>
  <c r="AX36" i="2"/>
  <c r="BB208" i="14"/>
  <c r="AW208" i="14" s="1"/>
  <c r="AF29" i="2"/>
  <c r="AV29" i="2"/>
  <c r="AZ201" i="14"/>
  <c r="AP201" i="14" s="1"/>
  <c r="AZ185" i="14"/>
  <c r="AP185" i="14" s="1"/>
  <c r="AV13" i="2"/>
  <c r="AF13" i="2"/>
  <c r="BB202" i="14"/>
  <c r="AW202" i="14" s="1"/>
  <c r="AX30" i="2"/>
  <c r="AX20" i="2"/>
  <c r="BB192" i="14"/>
  <c r="AW192" i="14" s="1"/>
  <c r="BB209" i="14"/>
  <c r="AW209" i="14" s="1"/>
  <c r="AX37" i="2"/>
  <c r="BC203" i="14"/>
  <c r="AX203" i="14" s="1"/>
  <c r="AY31" i="2"/>
  <c r="BB193" i="14"/>
  <c r="AW193" i="14" s="1"/>
  <c r="AX21" i="2"/>
  <c r="AF11" i="2"/>
  <c r="AV11" i="2"/>
  <c r="AZ183" i="14"/>
  <c r="AP183" i="14" s="1"/>
  <c r="AF15" i="2"/>
  <c r="AV15" i="2"/>
  <c r="AZ187" i="14"/>
  <c r="AP187" i="14" s="1"/>
  <c r="BA189" i="14"/>
  <c r="AQ189" i="14" s="1"/>
  <c r="AW17" i="2"/>
  <c r="AY12" i="2"/>
  <c r="BC184" i="14"/>
  <c r="AX184" i="14" s="1"/>
  <c r="BB205" i="14"/>
  <c r="AW205" i="14" s="1"/>
  <c r="AX33" i="2"/>
  <c r="AF14" i="2"/>
  <c r="AV14" i="2"/>
  <c r="AZ186" i="14"/>
  <c r="AP186" i="14" s="1"/>
  <c r="BA195" i="14"/>
  <c r="AQ195" i="14" s="1"/>
  <c r="AW23" i="2"/>
  <c r="AX11" i="2"/>
  <c r="BB183" i="14"/>
  <c r="AW183" i="14" s="1"/>
  <c r="AF34" i="2"/>
  <c r="AV34" i="2"/>
  <c r="AZ206" i="14"/>
  <c r="AP206" i="14" s="1"/>
  <c r="AZ210" i="14"/>
  <c r="AP210" i="14" s="1"/>
  <c r="AF38" i="2"/>
  <c r="AV38" i="2"/>
  <c r="AY35" i="2"/>
  <c r="BC207" i="14"/>
  <c r="AX207" i="14" s="1"/>
  <c r="AX17" i="2"/>
  <c r="BB189" i="14"/>
  <c r="AW189" i="14" s="1"/>
  <c r="AX23" i="2"/>
  <c r="BB195" i="14"/>
  <c r="AW195" i="14" s="1"/>
  <c r="AY34" i="2"/>
  <c r="BC206" i="14"/>
  <c r="AX206" i="14" s="1"/>
  <c r="AW14" i="2"/>
  <c r="BA186" i="14"/>
  <c r="AQ186" i="14" s="1"/>
  <c r="AY26" i="2"/>
  <c r="BC198" i="14"/>
  <c r="AX198" i="14" s="1"/>
  <c r="C60" i="2"/>
  <c r="L402" i="14"/>
  <c r="L426" i="14"/>
  <c r="L439" i="14"/>
  <c r="L408" i="14"/>
  <c r="E217" i="14"/>
  <c r="B216" i="14"/>
  <c r="C216" i="14"/>
  <c r="Q216" i="14"/>
  <c r="H149" i="15"/>
  <c r="I149" i="15" s="1"/>
  <c r="J216" i="14"/>
  <c r="L396" i="14"/>
  <c r="L420" i="14"/>
  <c r="CU195" i="14" l="1"/>
  <c r="CP195" i="14" s="1"/>
  <c r="CV207" i="14"/>
  <c r="CQ207" i="14" s="1"/>
  <c r="CS201" i="14"/>
  <c r="CI201" i="14" s="1"/>
  <c r="CS181" i="14"/>
  <c r="CI181" i="14" s="1"/>
  <c r="CV193" i="14"/>
  <c r="CQ193" i="14" s="1"/>
  <c r="CS202" i="14"/>
  <c r="CI202" i="14" s="1"/>
  <c r="CT187" i="14"/>
  <c r="CJ187" i="14" s="1"/>
  <c r="CT210" i="14"/>
  <c r="CJ210" i="14" s="1"/>
  <c r="CS188" i="14"/>
  <c r="CI188" i="14" s="1"/>
  <c r="CU207" i="14"/>
  <c r="CP207" i="14" s="1"/>
  <c r="CT184" i="14"/>
  <c r="CJ184" i="14" s="1"/>
  <c r="CS184" i="14"/>
  <c r="CI184" i="14" s="1"/>
  <c r="CT196" i="14"/>
  <c r="CJ196" i="14" s="1"/>
  <c r="CU185" i="14"/>
  <c r="CP185" i="14" s="1"/>
  <c r="CU184" i="14"/>
  <c r="CP184" i="14" s="1"/>
  <c r="CV195" i="14"/>
  <c r="CQ195" i="14" s="1"/>
  <c r="CU191" i="14"/>
  <c r="CP191" i="14" s="1"/>
  <c r="CT192" i="14"/>
  <c r="CJ192" i="14" s="1"/>
  <c r="CV196" i="14"/>
  <c r="CQ196" i="14" s="1"/>
  <c r="CT201" i="14"/>
  <c r="CJ201" i="14" s="1"/>
  <c r="CT181" i="14"/>
  <c r="CJ181" i="14" s="1"/>
  <c r="CT190" i="14"/>
  <c r="CJ190" i="14" s="1"/>
  <c r="CU196" i="14"/>
  <c r="CP196" i="14" s="1"/>
  <c r="CV185" i="14"/>
  <c r="CQ185" i="14" s="1"/>
  <c r="CV183" i="14"/>
  <c r="CQ183" i="14" s="1"/>
  <c r="CT191" i="14"/>
  <c r="CJ191" i="14" s="1"/>
  <c r="CS210" i="14"/>
  <c r="CI210" i="14" s="1"/>
  <c r="CS206" i="14"/>
  <c r="CI206" i="14" s="1"/>
  <c r="CT195" i="14"/>
  <c r="CJ195" i="14" s="1"/>
  <c r="CV184" i="14"/>
  <c r="CQ184" i="14" s="1"/>
  <c r="CS187" i="14"/>
  <c r="CI187" i="14" s="1"/>
  <c r="CU192" i="14"/>
  <c r="CP192" i="14" s="1"/>
  <c r="CS185" i="14"/>
  <c r="CI185" i="14" s="1"/>
  <c r="CV182" i="14"/>
  <c r="CQ182" i="14" s="1"/>
  <c r="CT199" i="14"/>
  <c r="CJ199" i="14" s="1"/>
  <c r="CV189" i="14"/>
  <c r="CQ189" i="14" s="1"/>
  <c r="CS192" i="14"/>
  <c r="CI192" i="14" s="1"/>
  <c r="CS198" i="14"/>
  <c r="CI198" i="14" s="1"/>
  <c r="CU210" i="14"/>
  <c r="CP210" i="14" s="1"/>
  <c r="CT208" i="14"/>
  <c r="CJ208" i="14" s="1"/>
  <c r="CU180" i="14"/>
  <c r="CP180" i="14" s="1"/>
  <c r="CT204" i="14"/>
  <c r="CJ204" i="14" s="1"/>
  <c r="CU199" i="14"/>
  <c r="CP199" i="14" s="1"/>
  <c r="CT203" i="14"/>
  <c r="CJ203" i="14" s="1"/>
  <c r="CU203" i="14"/>
  <c r="CP203" i="14" s="1"/>
  <c r="CT183" i="14"/>
  <c r="CJ183" i="14" s="1"/>
  <c r="CU197" i="14"/>
  <c r="CP197" i="14" s="1"/>
  <c r="CT197" i="14"/>
  <c r="CJ197" i="14" s="1"/>
  <c r="CS194" i="14"/>
  <c r="CI194" i="14" s="1"/>
  <c r="CT180" i="14"/>
  <c r="CJ180" i="14" s="1"/>
  <c r="CT185" i="14"/>
  <c r="CJ185" i="14" s="1"/>
  <c r="CT193" i="14"/>
  <c r="CJ193" i="14" s="1"/>
  <c r="CS197" i="14"/>
  <c r="CI197" i="14" s="1"/>
  <c r="CU194" i="14"/>
  <c r="CP194" i="14" s="1"/>
  <c r="CV186" i="14"/>
  <c r="CQ186" i="14" s="1"/>
  <c r="CV197" i="14"/>
  <c r="CQ197" i="14" s="1"/>
  <c r="CS191" i="14"/>
  <c r="CI191" i="14" s="1"/>
  <c r="CT200" i="14"/>
  <c r="CJ200" i="14" s="1"/>
  <c r="CU182" i="14"/>
  <c r="CP182" i="14" s="1"/>
  <c r="CT186" i="14"/>
  <c r="CJ186" i="14" s="1"/>
  <c r="CU183" i="14"/>
  <c r="CP183" i="14" s="1"/>
  <c r="CS186" i="14"/>
  <c r="CI186" i="14" s="1"/>
  <c r="CS183" i="14"/>
  <c r="CI183" i="14" s="1"/>
  <c r="CV203" i="14"/>
  <c r="CQ203" i="14" s="1"/>
  <c r="CS203" i="14"/>
  <c r="CI203" i="14" s="1"/>
  <c r="CV192" i="14"/>
  <c r="CQ192" i="14" s="1"/>
  <c r="CS196" i="14"/>
  <c r="CI196" i="14" s="1"/>
  <c r="CU201" i="14"/>
  <c r="CP201" i="14" s="1"/>
  <c r="CS205" i="14"/>
  <c r="CI205" i="14" s="1"/>
  <c r="CV199" i="14"/>
  <c r="CQ199" i="14" s="1"/>
  <c r="CV198" i="14"/>
  <c r="CQ198" i="14" s="1"/>
  <c r="CV206" i="14"/>
  <c r="CQ206" i="14" s="1"/>
  <c r="CU189" i="14"/>
  <c r="CP189" i="14" s="1"/>
  <c r="CU205" i="14"/>
  <c r="CP205" i="14" s="1"/>
  <c r="CT189" i="14"/>
  <c r="CJ189" i="14" s="1"/>
  <c r="CU193" i="14"/>
  <c r="CP193" i="14" s="1"/>
  <c r="CU209" i="14"/>
  <c r="CP209" i="14" s="1"/>
  <c r="CU202" i="14"/>
  <c r="CP202" i="14" s="1"/>
  <c r="CS200" i="14"/>
  <c r="CI200" i="14" s="1"/>
  <c r="CS180" i="14"/>
  <c r="CI180" i="14" s="1"/>
  <c r="CV208" i="14"/>
  <c r="CQ208" i="14" s="1"/>
  <c r="CV202" i="14"/>
  <c r="CQ202" i="14" s="1"/>
  <c r="CU188" i="14"/>
  <c r="CP188" i="14" s="1"/>
  <c r="CS190" i="14"/>
  <c r="CI190" i="14" s="1"/>
  <c r="CS208" i="14"/>
  <c r="CI208" i="14" s="1"/>
  <c r="CT206" i="14"/>
  <c r="CJ206" i="14" s="1"/>
  <c r="CV190" i="14"/>
  <c r="CQ190" i="14" s="1"/>
  <c r="CS204" i="14"/>
  <c r="CI204" i="14" s="1"/>
  <c r="CU187" i="14"/>
  <c r="CP187" i="14" s="1"/>
  <c r="CT202" i="14"/>
  <c r="CJ202" i="14" s="1"/>
  <c r="CT209" i="14"/>
  <c r="CJ209" i="14" s="1"/>
  <c r="CT207" i="14"/>
  <c r="CJ207" i="14" s="1"/>
  <c r="CT194" i="14"/>
  <c r="CJ194" i="14" s="1"/>
  <c r="CU190" i="14"/>
  <c r="CP190" i="14" s="1"/>
  <c r="CV191" i="14"/>
  <c r="CQ191" i="14" s="1"/>
  <c r="CV180" i="14"/>
  <c r="CQ180" i="14" s="1"/>
  <c r="CU208" i="14"/>
  <c r="CP208" i="14" s="1"/>
  <c r="CT205" i="14"/>
  <c r="CJ205" i="14" s="1"/>
  <c r="CS195" i="14"/>
  <c r="CI195" i="14" s="1"/>
  <c r="CU206" i="14"/>
  <c r="CP206" i="14" s="1"/>
  <c r="CS189" i="14"/>
  <c r="CI189" i="14" s="1"/>
  <c r="CV181" i="14"/>
  <c r="CQ181" i="14" s="1"/>
  <c r="CV201" i="14"/>
  <c r="CQ201" i="14" s="1"/>
  <c r="CV205" i="14"/>
  <c r="CQ205" i="14" s="1"/>
  <c r="CS209" i="14"/>
  <c r="CI209" i="14" s="1"/>
  <c r="CV204" i="14"/>
  <c r="CQ204" i="14" s="1"/>
  <c r="CU181" i="14"/>
  <c r="CP181" i="14" s="1"/>
  <c r="CV200" i="14"/>
  <c r="CQ200" i="14" s="1"/>
  <c r="CT198" i="14"/>
  <c r="CJ198" i="14" s="1"/>
  <c r="CT188" i="14"/>
  <c r="CJ188" i="14" s="1"/>
  <c r="CS182" i="14"/>
  <c r="CI182" i="14" s="1"/>
  <c r="CU204" i="14"/>
  <c r="CP204" i="14" s="1"/>
  <c r="CS199" i="14"/>
  <c r="CI199" i="14" s="1"/>
  <c r="CS193" i="14"/>
  <c r="CI193" i="14" s="1"/>
  <c r="CV194" i="14"/>
  <c r="CQ194" i="14" s="1"/>
  <c r="CU198" i="14"/>
  <c r="CP198" i="14" s="1"/>
  <c r="CV187" i="14"/>
  <c r="CQ187" i="14" s="1"/>
  <c r="CT182" i="14"/>
  <c r="CJ182" i="14" s="1"/>
  <c r="CS207" i="14"/>
  <c r="CI207" i="14" s="1"/>
  <c r="CU186" i="14"/>
  <c r="CP186" i="14" s="1"/>
  <c r="CV188" i="14"/>
  <c r="CQ188" i="14" s="1"/>
  <c r="CV210" i="14"/>
  <c r="CQ210" i="14" s="1"/>
  <c r="CV209" i="14"/>
  <c r="CQ209" i="14" s="1"/>
  <c r="CU200" i="14"/>
  <c r="CP200" i="14" s="1"/>
  <c r="D216" i="14"/>
  <c r="D346" i="1"/>
  <c r="D347" i="1" s="1"/>
  <c r="D394" i="1"/>
  <c r="D408" i="1"/>
  <c r="D409" i="1" s="1"/>
  <c r="C64" i="29"/>
  <c r="J112" i="2"/>
  <c r="C17" i="29"/>
  <c r="D360" i="1"/>
  <c r="D361" i="1" s="1"/>
  <c r="L109" i="2"/>
  <c r="L108" i="2"/>
  <c r="L110" i="2"/>
  <c r="J110" i="2"/>
  <c r="J109" i="2"/>
  <c r="J108" i="2"/>
  <c r="K110" i="2"/>
  <c r="K108" i="2"/>
  <c r="K109" i="2"/>
  <c r="AU28" i="2"/>
  <c r="AY200" i="14"/>
  <c r="AO200" i="14" s="1"/>
  <c r="AY198" i="14"/>
  <c r="AO198" i="14" s="1"/>
  <c r="AU26" i="2"/>
  <c r="AU30" i="2"/>
  <c r="AY202" i="14"/>
  <c r="AO202" i="14" s="1"/>
  <c r="AU22" i="2"/>
  <c r="AY194" i="14"/>
  <c r="AO194" i="14" s="1"/>
  <c r="AU12" i="2"/>
  <c r="AY184" i="14"/>
  <c r="AO184" i="14" s="1"/>
  <c r="AY185" i="14"/>
  <c r="AO185" i="14" s="1"/>
  <c r="AU13" i="2"/>
  <c r="AY180" i="14"/>
  <c r="AO180" i="14" s="1"/>
  <c r="AU8" i="2"/>
  <c r="L183" i="2"/>
  <c r="L184" i="2" s="1"/>
  <c r="M183" i="2"/>
  <c r="M184" i="2" s="1"/>
  <c r="J183" i="2"/>
  <c r="J184" i="2" s="1"/>
  <c r="K183" i="2"/>
  <c r="K184" i="2" s="1"/>
  <c r="H183" i="2"/>
  <c r="H184" i="2" s="1"/>
  <c r="G183" i="2"/>
  <c r="D431" i="1"/>
  <c r="I183" i="2"/>
  <c r="I184" i="2" s="1"/>
  <c r="AY209" i="14"/>
  <c r="AO209" i="14" s="1"/>
  <c r="AU37" i="2"/>
  <c r="AY190" i="14"/>
  <c r="AO190" i="14" s="1"/>
  <c r="AU18" i="2"/>
  <c r="AU36" i="2"/>
  <c r="AY208" i="14"/>
  <c r="AO208" i="14" s="1"/>
  <c r="AU32" i="2"/>
  <c r="AY204" i="14"/>
  <c r="AO204" i="14" s="1"/>
  <c r="AY197" i="14"/>
  <c r="AO197" i="14" s="1"/>
  <c r="AU25" i="2"/>
  <c r="AY191" i="14"/>
  <c r="AO191" i="14" s="1"/>
  <c r="AU19" i="2"/>
  <c r="AU10" i="2"/>
  <c r="AY182" i="14"/>
  <c r="AO182" i="14" s="1"/>
  <c r="AY199" i="14"/>
  <c r="AO199" i="14" s="1"/>
  <c r="AU27" i="2"/>
  <c r="AY193" i="14"/>
  <c r="AO193" i="14" s="1"/>
  <c r="AU21" i="2"/>
  <c r="AU14" i="2"/>
  <c r="AY186" i="14"/>
  <c r="AO186" i="14" s="1"/>
  <c r="AU11" i="2"/>
  <c r="AY183" i="14"/>
  <c r="AO183" i="14" s="1"/>
  <c r="AY201" i="14"/>
  <c r="AO201" i="14" s="1"/>
  <c r="AU29" i="2"/>
  <c r="AU24" i="2"/>
  <c r="AY196" i="14"/>
  <c r="AO196" i="14" s="1"/>
  <c r="AU23" i="2"/>
  <c r="AY195" i="14"/>
  <c r="AO195" i="14" s="1"/>
  <c r="AY205" i="14"/>
  <c r="AO205" i="14" s="1"/>
  <c r="AU33" i="2"/>
  <c r="AY189" i="14"/>
  <c r="AO189" i="14" s="1"/>
  <c r="AU17" i="2"/>
  <c r="AU38" i="2"/>
  <c r="AY210" i="14"/>
  <c r="AO210" i="14" s="1"/>
  <c r="AU34" i="2"/>
  <c r="AY206" i="14"/>
  <c r="AO206" i="14" s="1"/>
  <c r="AU15" i="2"/>
  <c r="AY187" i="14"/>
  <c r="AO187" i="14" s="1"/>
  <c r="AY203" i="14"/>
  <c r="AO203" i="14" s="1"/>
  <c r="AU31" i="2"/>
  <c r="AU20" i="2"/>
  <c r="AY192" i="14"/>
  <c r="AO192" i="14" s="1"/>
  <c r="AY181" i="14"/>
  <c r="AO181" i="14" s="1"/>
  <c r="AU9" i="2"/>
  <c r="AY188" i="14"/>
  <c r="AO188" i="14" s="1"/>
  <c r="AU16" i="2"/>
  <c r="AY207" i="14"/>
  <c r="AO207" i="14" s="1"/>
  <c r="AU35" i="2"/>
  <c r="E218" i="14"/>
  <c r="B217" i="14"/>
  <c r="C217" i="14"/>
  <c r="Q217" i="14"/>
  <c r="H150" i="15"/>
  <c r="I150" i="15" s="1"/>
  <c r="J217" i="14"/>
  <c r="L446" i="14"/>
  <c r="L409" i="14"/>
  <c r="L403" i="14"/>
  <c r="L415" i="14"/>
  <c r="L427" i="14"/>
  <c r="L433" i="14"/>
  <c r="CR182" i="14" l="1"/>
  <c r="CW182" i="14"/>
  <c r="CR188" i="14"/>
  <c r="CW188" i="14"/>
  <c r="CR205" i="14"/>
  <c r="CW205" i="14"/>
  <c r="CR193" i="14"/>
  <c r="CW193" i="14"/>
  <c r="CR197" i="14"/>
  <c r="CW197" i="14"/>
  <c r="CR209" i="14"/>
  <c r="CW209" i="14"/>
  <c r="CR185" i="14"/>
  <c r="CW185" i="14"/>
  <c r="CR198" i="14"/>
  <c r="CW198" i="14"/>
  <c r="CR192" i="14"/>
  <c r="CW192" i="14"/>
  <c r="CR187" i="14"/>
  <c r="CW187" i="14"/>
  <c r="CR210" i="14"/>
  <c r="CW210" i="14"/>
  <c r="CR196" i="14"/>
  <c r="CW196" i="14"/>
  <c r="CR183" i="14"/>
  <c r="CW183" i="14"/>
  <c r="CR208" i="14"/>
  <c r="CW208" i="14"/>
  <c r="CR194" i="14"/>
  <c r="CW194" i="14"/>
  <c r="CR207" i="14"/>
  <c r="CW207" i="14"/>
  <c r="CR181" i="14"/>
  <c r="CW181" i="14"/>
  <c r="CR203" i="14"/>
  <c r="CW203" i="14"/>
  <c r="CR189" i="14"/>
  <c r="CW189" i="14"/>
  <c r="CR201" i="14"/>
  <c r="CW201" i="14"/>
  <c r="CR199" i="14"/>
  <c r="CW199" i="14"/>
  <c r="CR191" i="14"/>
  <c r="CW191" i="14"/>
  <c r="CR190" i="14"/>
  <c r="CW190" i="14"/>
  <c r="CR180" i="14"/>
  <c r="CW180" i="14"/>
  <c r="CR206" i="14"/>
  <c r="CW206" i="14"/>
  <c r="CR195" i="14"/>
  <c r="CW195" i="14"/>
  <c r="CR186" i="14"/>
  <c r="CW186" i="14"/>
  <c r="CR204" i="14"/>
  <c r="CW204" i="14"/>
  <c r="CR184" i="14"/>
  <c r="CW184" i="14"/>
  <c r="CR202" i="14"/>
  <c r="CW202" i="14"/>
  <c r="CR200" i="14"/>
  <c r="CW200" i="14"/>
  <c r="D217" i="14"/>
  <c r="G184" i="2"/>
  <c r="E184" i="2" s="1"/>
  <c r="E183" i="2"/>
  <c r="L410" i="14"/>
  <c r="L434" i="14"/>
  <c r="L416" i="14"/>
  <c r="L453" i="14"/>
  <c r="E219" i="14"/>
  <c r="B218" i="14"/>
  <c r="C218" i="14"/>
  <c r="Q218" i="14"/>
  <c r="H151" i="15"/>
  <c r="I151" i="15" s="1"/>
  <c r="J218" i="14"/>
  <c r="L440" i="14"/>
  <c r="L422" i="14"/>
  <c r="CH200" i="14" l="1"/>
  <c r="T200" i="14" s="1"/>
  <c r="CH184" i="14"/>
  <c r="T184" i="14" s="1"/>
  <c r="CH186" i="14"/>
  <c r="T186" i="14" s="1"/>
  <c r="CH206" i="14"/>
  <c r="T206" i="14" s="1"/>
  <c r="CH190" i="14"/>
  <c r="T190" i="14" s="1"/>
  <c r="CH199" i="14"/>
  <c r="T199" i="14" s="1"/>
  <c r="CH189" i="14"/>
  <c r="T189" i="14" s="1"/>
  <c r="CH181" i="14"/>
  <c r="T181" i="14" s="1"/>
  <c r="CH194" i="14"/>
  <c r="T194" i="14" s="1"/>
  <c r="CH183" i="14"/>
  <c r="T183" i="14" s="1"/>
  <c r="CH210" i="14"/>
  <c r="T210" i="14" s="1"/>
  <c r="CH202" i="14"/>
  <c r="T202" i="14" s="1"/>
  <c r="CH204" i="14"/>
  <c r="T204" i="14" s="1"/>
  <c r="CH195" i="14"/>
  <c r="T195" i="14" s="1"/>
  <c r="CH180" i="14"/>
  <c r="AK180" i="14" s="1"/>
  <c r="AH180" i="14" s="1"/>
  <c r="CH191" i="14"/>
  <c r="T191" i="14" s="1"/>
  <c r="CH201" i="14"/>
  <c r="T201" i="14" s="1"/>
  <c r="CH203" i="14"/>
  <c r="T203" i="14" s="1"/>
  <c r="CH207" i="14"/>
  <c r="T207" i="14" s="1"/>
  <c r="CH208" i="14"/>
  <c r="T208" i="14" s="1"/>
  <c r="CH196" i="14"/>
  <c r="T196" i="14" s="1"/>
  <c r="CH187" i="14"/>
  <c r="T187" i="14" s="1"/>
  <c r="CH198" i="14"/>
  <c r="T198" i="14" s="1"/>
  <c r="CH209" i="14"/>
  <c r="T209" i="14" s="1"/>
  <c r="CH193" i="14"/>
  <c r="T193" i="14" s="1"/>
  <c r="CH188" i="14"/>
  <c r="T188" i="14" s="1"/>
  <c r="CH192" i="14"/>
  <c r="T192" i="14" s="1"/>
  <c r="CH185" i="14"/>
  <c r="T185" i="14" s="1"/>
  <c r="CH197" i="14"/>
  <c r="T197" i="14" s="1"/>
  <c r="CH205" i="14"/>
  <c r="T205" i="14" s="1"/>
  <c r="CH182" i="14"/>
  <c r="T182" i="14" s="1"/>
  <c r="D218" i="14"/>
  <c r="L441" i="14"/>
  <c r="L429" i="14"/>
  <c r="L447" i="14"/>
  <c r="L460" i="14"/>
  <c r="L423" i="14"/>
  <c r="E220" i="14"/>
  <c r="C219" i="14"/>
  <c r="B219" i="14"/>
  <c r="Q219" i="14"/>
  <c r="H152" i="15"/>
  <c r="I152" i="15" s="1"/>
  <c r="J219" i="14"/>
  <c r="L417" i="14"/>
  <c r="T180" i="14" l="1"/>
  <c r="AK181" i="14"/>
  <c r="D219" i="14"/>
  <c r="E221" i="14"/>
  <c r="B220" i="14"/>
  <c r="C220" i="14"/>
  <c r="D220" i="14" s="1"/>
  <c r="Q220" i="14"/>
  <c r="H153" i="15"/>
  <c r="I153" i="15" s="1"/>
  <c r="J220" i="14"/>
  <c r="L430" i="14"/>
  <c r="L467" i="14"/>
  <c r="L448" i="14"/>
  <c r="L424" i="14"/>
  <c r="L454" i="14"/>
  <c r="L436" i="14"/>
  <c r="AJ180" i="14" l="1"/>
  <c r="AK182" i="14"/>
  <c r="AK183" i="14" s="1"/>
  <c r="AH181" i="14"/>
  <c r="L431" i="14"/>
  <c r="L455" i="14"/>
  <c r="E222" i="14"/>
  <c r="B221" i="14"/>
  <c r="C221" i="14"/>
  <c r="D221" i="14" s="1"/>
  <c r="Q221" i="14"/>
  <c r="H154" i="15"/>
  <c r="I154" i="15" s="1"/>
  <c r="J221" i="14"/>
  <c r="L437" i="14"/>
  <c r="L443" i="14"/>
  <c r="L461" i="14"/>
  <c r="L474" i="14"/>
  <c r="AH182" i="14" l="1"/>
  <c r="AH183" i="14"/>
  <c r="AK184" i="14"/>
  <c r="E223" i="14"/>
  <c r="B222" i="14"/>
  <c r="C222" i="14"/>
  <c r="D222" i="14" s="1"/>
  <c r="Q222" i="14"/>
  <c r="H155" i="15"/>
  <c r="I155" i="15" s="1"/>
  <c r="J222" i="14"/>
  <c r="L462" i="14"/>
  <c r="L438" i="14"/>
  <c r="L468" i="14"/>
  <c r="L450" i="14"/>
  <c r="L444" i="14"/>
  <c r="L481" i="14"/>
  <c r="AK185" i="14" l="1"/>
  <c r="AH184" i="14"/>
  <c r="L445" i="14"/>
  <c r="L469" i="14"/>
  <c r="L488" i="14"/>
  <c r="E224" i="14"/>
  <c r="B223" i="14"/>
  <c r="C223" i="14"/>
  <c r="D223" i="14" s="1"/>
  <c r="Q223" i="14"/>
  <c r="H156" i="15"/>
  <c r="I156" i="15" s="1"/>
  <c r="J223" i="14"/>
  <c r="L451" i="14"/>
  <c r="L457" i="14"/>
  <c r="L475" i="14"/>
  <c r="AH185" i="14" l="1"/>
  <c r="AK186" i="14"/>
  <c r="L458" i="14"/>
  <c r="L482" i="14"/>
  <c r="L464" i="14"/>
  <c r="E225" i="14"/>
  <c r="B224" i="14"/>
  <c r="C224" i="14"/>
  <c r="D224" i="14" s="1"/>
  <c r="Q224" i="14"/>
  <c r="H157" i="15"/>
  <c r="I157" i="15" s="1"/>
  <c r="J224" i="14"/>
  <c r="L495" i="14"/>
  <c r="L476" i="14"/>
  <c r="L452" i="14"/>
  <c r="AK187" i="14" l="1"/>
  <c r="AH186" i="14"/>
  <c r="E226" i="14"/>
  <c r="B225" i="14"/>
  <c r="C225" i="14"/>
  <c r="D225" i="14" s="1"/>
  <c r="Q225" i="14"/>
  <c r="H158" i="15"/>
  <c r="I158" i="15" s="1"/>
  <c r="J225" i="14"/>
  <c r="L471" i="14"/>
  <c r="L489" i="14"/>
  <c r="L465" i="14"/>
  <c r="L459" i="14"/>
  <c r="L483" i="14"/>
  <c r="L502" i="14"/>
  <c r="AH187" i="14" l="1"/>
  <c r="AK188" i="14"/>
  <c r="L490" i="14"/>
  <c r="L466" i="14"/>
  <c r="L472" i="14"/>
  <c r="L496" i="14"/>
  <c r="L478" i="14"/>
  <c r="L509" i="14"/>
  <c r="E227" i="14"/>
  <c r="B226" i="14"/>
  <c r="C226" i="14"/>
  <c r="D226" i="14" s="1"/>
  <c r="H159" i="15"/>
  <c r="I159" i="15" s="1"/>
  <c r="J226" i="14"/>
  <c r="Q226" i="14"/>
  <c r="AK189" i="14" l="1"/>
  <c r="AH188" i="14"/>
  <c r="E228" i="14"/>
  <c r="B227" i="14"/>
  <c r="C227" i="14"/>
  <c r="D227" i="14" s="1"/>
  <c r="Q227" i="14"/>
  <c r="H160" i="15"/>
  <c r="I160" i="15" s="1"/>
  <c r="J227" i="14"/>
  <c r="L485" i="14"/>
  <c r="L479" i="14"/>
  <c r="L503" i="14"/>
  <c r="L473" i="14"/>
  <c r="L497" i="14"/>
  <c r="L516" i="14"/>
  <c r="AH189" i="14" l="1"/>
  <c r="AK190" i="14"/>
  <c r="L486" i="14"/>
  <c r="L492" i="14"/>
  <c r="L523" i="14"/>
  <c r="L504" i="14"/>
  <c r="L480" i="14"/>
  <c r="L510" i="14"/>
  <c r="E229" i="14"/>
  <c r="B228" i="14"/>
  <c r="C228" i="14"/>
  <c r="D228" i="14" s="1"/>
  <c r="Q228" i="14"/>
  <c r="H161" i="15"/>
  <c r="I161" i="15" s="1"/>
  <c r="J228" i="14"/>
  <c r="AH190" i="14" l="1"/>
  <c r="AK191" i="14"/>
  <c r="E230" i="14"/>
  <c r="B229" i="14"/>
  <c r="C229" i="14"/>
  <c r="D229" i="14" s="1"/>
  <c r="Q229" i="14"/>
  <c r="H162" i="15"/>
  <c r="I162" i="15" s="1"/>
  <c r="J229" i="14"/>
  <c r="L517" i="14"/>
  <c r="L487" i="14"/>
  <c r="L511" i="14"/>
  <c r="L499" i="14"/>
  <c r="L530" i="14"/>
  <c r="L493" i="14"/>
  <c r="AH191" i="14" l="1"/>
  <c r="AK192" i="14"/>
  <c r="L537" i="14"/>
  <c r="L506" i="14"/>
  <c r="L518" i="14"/>
  <c r="L494" i="14"/>
  <c r="L524" i="14"/>
  <c r="L500" i="14"/>
  <c r="E231" i="14"/>
  <c r="B230" i="14"/>
  <c r="C230" i="14"/>
  <c r="D230" i="14" s="1"/>
  <c r="Q230" i="14"/>
  <c r="H163" i="15"/>
  <c r="I163" i="15" s="1"/>
  <c r="J230" i="14"/>
  <c r="AH192" i="14" l="1"/>
  <c r="AK193" i="14"/>
  <c r="E232" i="14"/>
  <c r="B231" i="14"/>
  <c r="C231" i="14"/>
  <c r="D231" i="14" s="1"/>
  <c r="Q231" i="14"/>
  <c r="H164" i="15"/>
  <c r="I164" i="15" s="1"/>
  <c r="J231" i="14"/>
  <c r="L507" i="14"/>
  <c r="L501" i="14"/>
  <c r="L525" i="14"/>
  <c r="L531" i="14"/>
  <c r="L513" i="14"/>
  <c r="L544" i="14"/>
  <c r="AH193" i="14" l="1"/>
  <c r="AK194" i="14"/>
  <c r="L520" i="14"/>
  <c r="L538" i="14"/>
  <c r="L532" i="14"/>
  <c r="L508" i="14"/>
  <c r="L514" i="14"/>
  <c r="E233" i="14"/>
  <c r="B232" i="14"/>
  <c r="C232" i="14"/>
  <c r="D232" i="14" s="1"/>
  <c r="Q232" i="14"/>
  <c r="H165" i="15"/>
  <c r="I165" i="15" s="1"/>
  <c r="J232" i="14"/>
  <c r="AH194" i="14" l="1"/>
  <c r="AK195" i="14"/>
  <c r="L521" i="14"/>
  <c r="L515" i="14"/>
  <c r="L539" i="14"/>
  <c r="L545" i="14"/>
  <c r="L527" i="14"/>
  <c r="E234" i="14"/>
  <c r="B233" i="14"/>
  <c r="C233" i="14"/>
  <c r="D233" i="14" s="1"/>
  <c r="Q233" i="14"/>
  <c r="H166" i="15"/>
  <c r="I166" i="15" s="1"/>
  <c r="J233" i="14"/>
  <c r="AH195" i="14" l="1"/>
  <c r="AK196" i="14"/>
  <c r="E235" i="14"/>
  <c r="B234" i="14"/>
  <c r="C234" i="14"/>
  <c r="D234" i="14" s="1"/>
  <c r="Q234" i="14"/>
  <c r="H167" i="15"/>
  <c r="I167" i="15" s="1"/>
  <c r="J234" i="14"/>
  <c r="L534" i="14"/>
  <c r="L522" i="14"/>
  <c r="L528" i="14"/>
  <c r="AH196" i="14" l="1"/>
  <c r="AK197" i="14"/>
  <c r="E236" i="14"/>
  <c r="C235" i="14"/>
  <c r="D235" i="14" s="1"/>
  <c r="B235" i="14"/>
  <c r="Q235" i="14"/>
  <c r="H168" i="15"/>
  <c r="I168" i="15" s="1"/>
  <c r="J235" i="14"/>
  <c r="L529" i="14"/>
  <c r="L535" i="14"/>
  <c r="L541" i="14"/>
  <c r="AH197" i="14" l="1"/>
  <c r="AK198" i="14"/>
  <c r="E237" i="14"/>
  <c r="B236" i="14"/>
  <c r="C236" i="14"/>
  <c r="D236" i="14" s="1"/>
  <c r="Q236" i="14"/>
  <c r="H169" i="15"/>
  <c r="I169" i="15" s="1"/>
  <c r="J236" i="14"/>
  <c r="L542" i="14"/>
  <c r="L536" i="14"/>
  <c r="AH198" i="14" l="1"/>
  <c r="AK199" i="14"/>
  <c r="L543" i="14"/>
  <c r="E238" i="14"/>
  <c r="B237" i="14"/>
  <c r="C237" i="14"/>
  <c r="D237" i="14" s="1"/>
  <c r="Q237" i="14"/>
  <c r="H170" i="15"/>
  <c r="I170" i="15" s="1"/>
  <c r="J237" i="14"/>
  <c r="AH199" i="14" l="1"/>
  <c r="AK200" i="14"/>
  <c r="A239" i="14"/>
  <c r="A238" i="14"/>
  <c r="B238" i="14"/>
  <c r="C238" i="14"/>
  <c r="D238" i="14" s="1"/>
  <c r="Q238" i="14"/>
  <c r="H171" i="15"/>
  <c r="I171" i="15" s="1"/>
  <c r="J238" i="14"/>
  <c r="AH200" i="14" l="1"/>
  <c r="AK201" i="14"/>
  <c r="E239" i="14"/>
  <c r="H172" i="15" s="1"/>
  <c r="I172" i="15" s="1"/>
  <c r="L239" i="14"/>
  <c r="AH201" i="14" l="1"/>
  <c r="AK202" i="14"/>
  <c r="L246" i="14"/>
  <c r="E240" i="14"/>
  <c r="Q239" i="14"/>
  <c r="C239" i="14"/>
  <c r="D239" i="14" s="1"/>
  <c r="J239" i="14"/>
  <c r="B239" i="14"/>
  <c r="AJ155" i="1"/>
  <c r="AJ168" i="1" s="1"/>
  <c r="AH202" i="14" l="1"/>
  <c r="AK203" i="14"/>
  <c r="L253" i="14"/>
  <c r="J240" i="14"/>
  <c r="E241" i="14"/>
  <c r="B240" i="14"/>
  <c r="C240" i="14"/>
  <c r="D240" i="14" s="1"/>
  <c r="Q240" i="14"/>
  <c r="H173" i="15"/>
  <c r="I173" i="15" s="1"/>
  <c r="AK204" i="14" l="1"/>
  <c r="AH203" i="14"/>
  <c r="B241" i="14"/>
  <c r="J241" i="14"/>
  <c r="H174" i="15"/>
  <c r="I174" i="15" s="1"/>
  <c r="E242" i="14"/>
  <c r="Q241" i="14"/>
  <c r="C241" i="14"/>
  <c r="D241" i="14" s="1"/>
  <c r="L260" i="14"/>
  <c r="AH204" i="14" l="1"/>
  <c r="AK205" i="14"/>
  <c r="L267" i="14"/>
  <c r="J242" i="14"/>
  <c r="H175" i="15"/>
  <c r="I175" i="15" s="1"/>
  <c r="E243" i="14"/>
  <c r="C242" i="14"/>
  <c r="D242" i="14" s="1"/>
  <c r="Q242" i="14"/>
  <c r="B242" i="14"/>
  <c r="AH205" i="14" l="1"/>
  <c r="AK206" i="14"/>
  <c r="B243" i="14"/>
  <c r="H176" i="15"/>
  <c r="I176" i="15" s="1"/>
  <c r="E244" i="14"/>
  <c r="Q243" i="14"/>
  <c r="J243" i="14"/>
  <c r="C243" i="14"/>
  <c r="D243" i="14" s="1"/>
  <c r="L274" i="14"/>
  <c r="AH206" i="14" l="1"/>
  <c r="AK207" i="14"/>
  <c r="Q244" i="14"/>
  <c r="C244" i="14"/>
  <c r="D244" i="14" s="1"/>
  <c r="B244" i="14"/>
  <c r="H177" i="15"/>
  <c r="I177" i="15" s="1"/>
  <c r="J244" i="14"/>
  <c r="E245" i="14"/>
  <c r="L281" i="14"/>
  <c r="AH207" i="14" l="1"/>
  <c r="AK208" i="14"/>
  <c r="C245" i="14"/>
  <c r="D245" i="14" s="1"/>
  <c r="B245" i="14"/>
  <c r="Q245" i="14"/>
  <c r="J245" i="14"/>
  <c r="E246" i="14"/>
  <c r="H178" i="15"/>
  <c r="I178" i="15" s="1"/>
  <c r="L288" i="14"/>
  <c r="AH208" i="14" l="1"/>
  <c r="AK209" i="14"/>
  <c r="Q246" i="14"/>
  <c r="C246" i="14"/>
  <c r="D246" i="14" s="1"/>
  <c r="E247" i="14"/>
  <c r="B246" i="14"/>
  <c r="J246" i="14"/>
  <c r="H179" i="15"/>
  <c r="I179" i="15" s="1"/>
  <c r="L295" i="14"/>
  <c r="AH209" i="14" l="1"/>
  <c r="AK210" i="14"/>
  <c r="L302" i="14"/>
  <c r="Q247" i="14"/>
  <c r="C247" i="14"/>
  <c r="D247" i="14" s="1"/>
  <c r="H180" i="15"/>
  <c r="I180" i="15" s="1"/>
  <c r="E248" i="14"/>
  <c r="B247" i="14"/>
  <c r="J247" i="14"/>
  <c r="AH210" i="14" l="1"/>
  <c r="E249" i="14"/>
  <c r="Q248" i="14"/>
  <c r="H181" i="15"/>
  <c r="I181" i="15" s="1"/>
  <c r="J248" i="14"/>
  <c r="B248" i="14"/>
  <c r="C248" i="14"/>
  <c r="D248" i="14" s="1"/>
  <c r="L309" i="14"/>
  <c r="L316" i="14" l="1"/>
  <c r="E250" i="14"/>
  <c r="J249" i="14"/>
  <c r="C249" i="14"/>
  <c r="D249" i="14" s="1"/>
  <c r="B249" i="14"/>
  <c r="H182" i="15"/>
  <c r="I182" i="15" s="1"/>
  <c r="Q249" i="14"/>
  <c r="L323" i="14" l="1"/>
  <c r="Q250" i="14"/>
  <c r="C250" i="14"/>
  <c r="D250" i="14" s="1"/>
  <c r="E251" i="14"/>
  <c r="B250" i="14"/>
  <c r="H183" i="15"/>
  <c r="I183" i="15" s="1"/>
  <c r="J250" i="14"/>
  <c r="C251" i="14" l="1"/>
  <c r="D251" i="14" s="1"/>
  <c r="B251" i="14"/>
  <c r="J251" i="14"/>
  <c r="H184" i="15"/>
  <c r="I184" i="15" s="1"/>
  <c r="E252" i="14"/>
  <c r="Q251" i="14"/>
  <c r="L330" i="14"/>
  <c r="L337" i="14" l="1"/>
  <c r="C252" i="14"/>
  <c r="D252" i="14" s="1"/>
  <c r="Q252" i="14"/>
  <c r="B252" i="14"/>
  <c r="J252" i="14"/>
  <c r="E253" i="14"/>
  <c r="H185" i="15"/>
  <c r="I185" i="15" s="1"/>
  <c r="Q253" i="14" l="1"/>
  <c r="H186" i="15"/>
  <c r="I186" i="15" s="1"/>
  <c r="E254" i="14"/>
  <c r="J253" i="14"/>
  <c r="C253" i="14"/>
  <c r="D253" i="14" s="1"/>
  <c r="B253" i="14"/>
  <c r="L344" i="14"/>
  <c r="E255" i="14" l="1"/>
  <c r="B254" i="14"/>
  <c r="Q254" i="14"/>
  <c r="C254" i="14"/>
  <c r="D254" i="14" s="1"/>
  <c r="J254" i="14"/>
  <c r="H187" i="15"/>
  <c r="I187" i="15" s="1"/>
  <c r="L351" i="14"/>
  <c r="L358" i="14" l="1"/>
  <c r="Q255" i="14"/>
  <c r="C255" i="14"/>
  <c r="D255" i="14" s="1"/>
  <c r="J255" i="14"/>
  <c r="B255" i="14"/>
  <c r="H188" i="15"/>
  <c r="I188" i="15" s="1"/>
  <c r="E256" i="14"/>
  <c r="B256" i="14" l="1"/>
  <c r="C256" i="14"/>
  <c r="D256" i="14" s="1"/>
  <c r="J256" i="14"/>
  <c r="E257" i="14"/>
  <c r="Q256" i="14"/>
  <c r="H189" i="15"/>
  <c r="I189" i="15" s="1"/>
  <c r="L365" i="14"/>
  <c r="Q257" i="14" l="1"/>
  <c r="J257" i="14"/>
  <c r="E258" i="14"/>
  <c r="H190" i="15"/>
  <c r="I190" i="15" s="1"/>
  <c r="B257" i="14"/>
  <c r="C257" i="14"/>
  <c r="D257" i="14" s="1"/>
  <c r="L372" i="14"/>
  <c r="H191" i="15" l="1"/>
  <c r="I191" i="15" s="1"/>
  <c r="B258" i="14"/>
  <c r="E259" i="14"/>
  <c r="Q258" i="14"/>
  <c r="J258" i="14"/>
  <c r="C258" i="14"/>
  <c r="D258" i="14" s="1"/>
  <c r="L379" i="14"/>
  <c r="L386" i="14" l="1"/>
  <c r="Q259" i="14"/>
  <c r="E260" i="14"/>
  <c r="H192" i="15"/>
  <c r="I192" i="15" s="1"/>
  <c r="J259" i="14"/>
  <c r="B259" i="14"/>
  <c r="C259" i="14"/>
  <c r="D259" i="14" s="1"/>
  <c r="C260" i="14" l="1"/>
  <c r="D260" i="14" s="1"/>
  <c r="E261" i="14"/>
  <c r="Q260" i="14"/>
  <c r="H193" i="15"/>
  <c r="I193" i="15" s="1"/>
  <c r="B260" i="14"/>
  <c r="J260" i="14"/>
  <c r="L393" i="14"/>
  <c r="C261" i="14" l="1"/>
  <c r="D261" i="14" s="1"/>
  <c r="J261" i="14"/>
  <c r="H194" i="15"/>
  <c r="I194" i="15" s="1"/>
  <c r="E262" i="14"/>
  <c r="Q261" i="14"/>
  <c r="B261" i="14"/>
  <c r="L400" i="14"/>
  <c r="H195" i="15" l="1"/>
  <c r="I195" i="15" s="1"/>
  <c r="E263" i="14"/>
  <c r="B262" i="14"/>
  <c r="C262" i="14"/>
  <c r="D262" i="14" s="1"/>
  <c r="Q262" i="14"/>
  <c r="J262" i="14"/>
  <c r="L407" i="14"/>
  <c r="L414" i="14" l="1"/>
  <c r="B263" i="14"/>
  <c r="Q263" i="14"/>
  <c r="C263" i="14"/>
  <c r="D263" i="14" s="1"/>
  <c r="H196" i="15"/>
  <c r="I196" i="15" s="1"/>
  <c r="J263" i="14"/>
  <c r="E264" i="14"/>
  <c r="L421" i="14" l="1"/>
  <c r="B264" i="14"/>
  <c r="E265" i="14"/>
  <c r="H197" i="15"/>
  <c r="I197" i="15" s="1"/>
  <c r="C264" i="14"/>
  <c r="D264" i="14" s="1"/>
  <c r="Q264" i="14"/>
  <c r="J264" i="14"/>
  <c r="C265" i="14" l="1"/>
  <c r="D265" i="14" s="1"/>
  <c r="B265" i="14"/>
  <c r="Q265" i="14"/>
  <c r="J265" i="14"/>
  <c r="H198" i="15"/>
  <c r="I198" i="15" s="1"/>
  <c r="E266" i="14"/>
  <c r="L428" i="14"/>
  <c r="L435" i="14" l="1"/>
  <c r="C266" i="14"/>
  <c r="D266" i="14" s="1"/>
  <c r="Q266" i="14"/>
  <c r="J266" i="14"/>
  <c r="H199" i="15"/>
  <c r="I199" i="15" s="1"/>
  <c r="E267" i="14"/>
  <c r="B266" i="14"/>
  <c r="H200" i="15" l="1"/>
  <c r="I200" i="15" s="1"/>
  <c r="E268" i="14"/>
  <c r="Q267" i="14"/>
  <c r="C267" i="14"/>
  <c r="D267" i="14" s="1"/>
  <c r="B267" i="14"/>
  <c r="J267" i="14"/>
  <c r="L442" i="14"/>
  <c r="L449" i="14" l="1"/>
  <c r="H201" i="15"/>
  <c r="I201" i="15" s="1"/>
  <c r="B268" i="14"/>
  <c r="Q268" i="14"/>
  <c r="C268" i="14"/>
  <c r="D268" i="14" s="1"/>
  <c r="E269" i="14"/>
  <c r="J268" i="14"/>
  <c r="J269" i="14" l="1"/>
  <c r="C269" i="14"/>
  <c r="D269" i="14" s="1"/>
  <c r="E270" i="14"/>
  <c r="B269" i="14"/>
  <c r="H202" i="15"/>
  <c r="I202" i="15" s="1"/>
  <c r="Q269" i="14"/>
  <c r="L456" i="14"/>
  <c r="L463" i="14" l="1"/>
  <c r="Q270" i="14"/>
  <c r="H203" i="15"/>
  <c r="I203" i="15" s="1"/>
  <c r="B270" i="14"/>
  <c r="C270" i="14"/>
  <c r="D270" i="14" s="1"/>
  <c r="J270" i="14"/>
  <c r="E271" i="14"/>
  <c r="Q271" i="14" l="1"/>
  <c r="E272" i="14"/>
  <c r="J271" i="14"/>
  <c r="H204" i="15"/>
  <c r="I204" i="15" s="1"/>
  <c r="B271" i="14"/>
  <c r="C271" i="14"/>
  <c r="D271" i="14" s="1"/>
  <c r="L470" i="14"/>
  <c r="C272" i="14" l="1"/>
  <c r="D272" i="14" s="1"/>
  <c r="J272" i="14"/>
  <c r="E273" i="14"/>
  <c r="B272" i="14"/>
  <c r="Q272" i="14"/>
  <c r="H205" i="15"/>
  <c r="I205" i="15" s="1"/>
  <c r="L477" i="14"/>
  <c r="Q273" i="14" l="1"/>
  <c r="J273" i="14"/>
  <c r="H206" i="15"/>
  <c r="I206" i="15" s="1"/>
  <c r="B273" i="14"/>
  <c r="E274" i="14"/>
  <c r="C273" i="14"/>
  <c r="D273" i="14" s="1"/>
  <c r="L484" i="14"/>
  <c r="L491" i="14" l="1"/>
  <c r="E275" i="14"/>
  <c r="J274" i="14"/>
  <c r="H207" i="15"/>
  <c r="I207" i="15" s="1"/>
  <c r="B274" i="14"/>
  <c r="Q274" i="14"/>
  <c r="C274" i="14"/>
  <c r="D274" i="14" s="1"/>
  <c r="B275" i="14" l="1"/>
  <c r="E276" i="14"/>
  <c r="H208" i="15"/>
  <c r="I208" i="15" s="1"/>
  <c r="Q275" i="14"/>
  <c r="J275" i="14"/>
  <c r="C275" i="14"/>
  <c r="D275" i="14" s="1"/>
  <c r="L498" i="14"/>
  <c r="L505" i="14" l="1"/>
  <c r="J276" i="14"/>
  <c r="H209" i="15"/>
  <c r="I209" i="15" s="1"/>
  <c r="Q276" i="14"/>
  <c r="C276" i="14"/>
  <c r="D276" i="14" s="1"/>
  <c r="E277" i="14"/>
  <c r="B276" i="14"/>
  <c r="Q277" i="14" l="1"/>
  <c r="C277" i="14"/>
  <c r="D277" i="14" s="1"/>
  <c r="H210" i="15"/>
  <c r="I210" i="15" s="1"/>
  <c r="B277" i="14"/>
  <c r="E278" i="14"/>
  <c r="J277" i="14"/>
  <c r="L512" i="14"/>
  <c r="L519" i="14" l="1"/>
  <c r="C278" i="14"/>
  <c r="D278" i="14" s="1"/>
  <c r="J278" i="14"/>
  <c r="B278" i="14"/>
  <c r="E279" i="14"/>
  <c r="H211" i="15"/>
  <c r="I211" i="15" s="1"/>
  <c r="Q278" i="14"/>
  <c r="B279" i="14" l="1"/>
  <c r="H212" i="15"/>
  <c r="I212" i="15" s="1"/>
  <c r="C279" i="14"/>
  <c r="D279" i="14" s="1"/>
  <c r="E280" i="14"/>
  <c r="J279" i="14"/>
  <c r="Q279" i="14"/>
  <c r="L526" i="14"/>
  <c r="Q280" i="14" l="1"/>
  <c r="E281" i="14"/>
  <c r="H213" i="15"/>
  <c r="I213" i="15" s="1"/>
  <c r="B280" i="14"/>
  <c r="J280" i="14"/>
  <c r="C280" i="14"/>
  <c r="D280" i="14" s="1"/>
  <c r="L533" i="14"/>
  <c r="L540" i="14" l="1"/>
  <c r="H214" i="15"/>
  <c r="I214" i="15" s="1"/>
  <c r="E282" i="14"/>
  <c r="Q281" i="14"/>
  <c r="J281" i="14"/>
  <c r="C281" i="14"/>
  <c r="D281" i="14" s="1"/>
  <c r="B281" i="14"/>
  <c r="N545" i="14" l="1"/>
  <c r="H215" i="15"/>
  <c r="I215" i="15" s="1"/>
  <c r="Q282" i="14"/>
  <c r="C282" i="14"/>
  <c r="D282" i="14" s="1"/>
  <c r="E283" i="14"/>
  <c r="J282" i="14"/>
  <c r="B282" i="14"/>
  <c r="E168" i="15" l="1"/>
  <c r="E167" i="15" s="1"/>
  <c r="J283" i="14"/>
  <c r="H216" i="15"/>
  <c r="I216" i="15" s="1"/>
  <c r="E284" i="14"/>
  <c r="Q283" i="14"/>
  <c r="C283" i="14"/>
  <c r="D283" i="14" s="1"/>
  <c r="B283" i="14"/>
  <c r="Q284" i="14" l="1"/>
  <c r="J284" i="14"/>
  <c r="C284" i="14"/>
  <c r="D284" i="14" s="1"/>
  <c r="E285" i="14"/>
  <c r="H217" i="15"/>
  <c r="B284" i="14"/>
  <c r="I217" i="15" l="1"/>
  <c r="J285" i="14"/>
  <c r="H218" i="15"/>
  <c r="I218" i="15" s="1"/>
  <c r="Q285" i="14"/>
  <c r="B285" i="14"/>
  <c r="C285" i="14"/>
  <c r="D285" i="14" s="1"/>
  <c r="E286" i="14"/>
  <c r="H219" i="15" l="1"/>
  <c r="I219" i="15" s="1"/>
  <c r="Q286" i="14"/>
  <c r="C286" i="14"/>
  <c r="D286" i="14" s="1"/>
  <c r="B286" i="14"/>
  <c r="J286" i="14"/>
  <c r="E287" i="14"/>
  <c r="Q287" i="14" l="1"/>
  <c r="B287" i="14"/>
  <c r="E288" i="14"/>
  <c r="H220" i="15"/>
  <c r="I220" i="15" s="1"/>
  <c r="C287" i="14"/>
  <c r="D287" i="14" s="1"/>
  <c r="J287" i="14"/>
  <c r="H221" i="15" l="1"/>
  <c r="I221" i="15" s="1"/>
  <c r="C288" i="14"/>
  <c r="D288" i="14" s="1"/>
  <c r="B288" i="14"/>
  <c r="Q288" i="14"/>
  <c r="E289" i="14"/>
  <c r="J288" i="14"/>
  <c r="J289" i="14" l="1"/>
  <c r="B289" i="14"/>
  <c r="Q289" i="14"/>
  <c r="C289" i="14"/>
  <c r="D289" i="14" s="1"/>
  <c r="H222" i="15"/>
  <c r="I222" i="15" s="1"/>
  <c r="E290" i="14"/>
  <c r="B290" i="14" l="1"/>
  <c r="J290" i="14"/>
  <c r="H223" i="15"/>
  <c r="I223" i="15" s="1"/>
  <c r="E291" i="14"/>
  <c r="Q290" i="14"/>
  <c r="C290" i="14"/>
  <c r="D290" i="14" s="1"/>
  <c r="J291" i="14" l="1"/>
  <c r="H224" i="15"/>
  <c r="I224" i="15" s="1"/>
  <c r="Q291" i="14"/>
  <c r="C291" i="14"/>
  <c r="D291" i="14" s="1"/>
  <c r="B291" i="14"/>
  <c r="E292" i="14"/>
  <c r="Q292" i="14" l="1"/>
  <c r="J292" i="14"/>
  <c r="E293" i="14"/>
  <c r="B292" i="14"/>
  <c r="H225" i="15"/>
  <c r="C292" i="14"/>
  <c r="D292" i="14" s="1"/>
  <c r="I225" i="15" l="1"/>
  <c r="H226" i="15"/>
  <c r="I226" i="15" s="1"/>
  <c r="E294" i="14"/>
  <c r="Q293" i="14"/>
  <c r="J293" i="14"/>
  <c r="C293" i="14"/>
  <c r="D293" i="14" s="1"/>
  <c r="B293" i="14"/>
  <c r="Q294" i="14" l="1"/>
  <c r="C294" i="14"/>
  <c r="D294" i="14" s="1"/>
  <c r="J294" i="14"/>
  <c r="B294" i="14"/>
  <c r="E295" i="14"/>
  <c r="H227" i="15"/>
  <c r="I227" i="15" s="1"/>
  <c r="H228" i="15" l="1"/>
  <c r="E296" i="14"/>
  <c r="B295" i="14"/>
  <c r="Q295" i="14"/>
  <c r="C295" i="14"/>
  <c r="D295" i="14" s="1"/>
  <c r="J295" i="14"/>
  <c r="I228" i="15" l="1"/>
  <c r="J296" i="14"/>
  <c r="E297" i="14"/>
  <c r="H229" i="15"/>
  <c r="I229" i="15" s="1"/>
  <c r="Q296" i="14"/>
  <c r="B296" i="14"/>
  <c r="C296" i="14"/>
  <c r="D296" i="14" s="1"/>
  <c r="C297" i="14" l="1"/>
  <c r="D297" i="14" s="1"/>
  <c r="B297" i="14"/>
  <c r="E298" i="14"/>
  <c r="H230" i="15"/>
  <c r="I230" i="15" s="1"/>
  <c r="Q297" i="14"/>
  <c r="J297" i="14"/>
  <c r="Q298" i="14" l="1"/>
  <c r="C298" i="14"/>
  <c r="D298" i="14" s="1"/>
  <c r="B298" i="14"/>
  <c r="J298" i="14"/>
  <c r="H231" i="15"/>
  <c r="I231" i="15" s="1"/>
  <c r="E299" i="14"/>
  <c r="E300" i="14" l="1"/>
  <c r="J299" i="14"/>
  <c r="C299" i="14"/>
  <c r="D299" i="14" s="1"/>
  <c r="H232" i="15"/>
  <c r="I232" i="15" s="1"/>
  <c r="Q299" i="14"/>
  <c r="B299" i="14"/>
  <c r="C300" i="14" l="1"/>
  <c r="D300" i="14" s="1"/>
  <c r="E301" i="14"/>
  <c r="J300" i="14"/>
  <c r="B300" i="14"/>
  <c r="Q300" i="14"/>
  <c r="H233" i="15"/>
  <c r="I233" i="15" s="1"/>
  <c r="H234" i="15" l="1"/>
  <c r="I234" i="15" s="1"/>
  <c r="B301" i="14"/>
  <c r="Q301" i="14"/>
  <c r="C301" i="14"/>
  <c r="D301" i="14" s="1"/>
  <c r="J301" i="14"/>
  <c r="E302" i="14"/>
  <c r="Q302" i="14" l="1"/>
  <c r="C302" i="14"/>
  <c r="D302" i="14" s="1"/>
  <c r="B302" i="14"/>
  <c r="E303" i="14"/>
  <c r="H235" i="15"/>
  <c r="I235" i="15" s="1"/>
  <c r="J302" i="14"/>
  <c r="Q303" i="14" l="1"/>
  <c r="C303" i="14"/>
  <c r="D303" i="14" s="1"/>
  <c r="B303" i="14"/>
  <c r="H236" i="15"/>
  <c r="I236" i="15" s="1"/>
  <c r="E304" i="14"/>
  <c r="J303" i="14"/>
  <c r="Q304" i="14" l="1"/>
  <c r="C304" i="14"/>
  <c r="D304" i="14" s="1"/>
  <c r="B304" i="14"/>
  <c r="H237" i="15"/>
  <c r="I237" i="15" s="1"/>
  <c r="J304" i="14"/>
  <c r="E305" i="14"/>
  <c r="Q305" i="14" l="1"/>
  <c r="J305" i="14"/>
  <c r="B305" i="14"/>
  <c r="H238" i="15"/>
  <c r="I238" i="15" s="1"/>
  <c r="C305" i="14"/>
  <c r="D305" i="14" s="1"/>
  <c r="E306" i="14"/>
  <c r="B306" i="14" l="1"/>
  <c r="Q306" i="14"/>
  <c r="C306" i="14"/>
  <c r="D306" i="14" s="1"/>
  <c r="J306" i="14"/>
  <c r="H239" i="15"/>
  <c r="I239" i="15" s="1"/>
  <c r="E307" i="14"/>
  <c r="J307" i="14" l="1"/>
  <c r="H240" i="15"/>
  <c r="I240" i="15" s="1"/>
  <c r="C307" i="14"/>
  <c r="D307" i="14" s="1"/>
  <c r="Q307" i="14"/>
  <c r="B307" i="14"/>
  <c r="E308" i="14"/>
  <c r="Q308" i="14" l="1"/>
  <c r="C308" i="14"/>
  <c r="D308" i="14" s="1"/>
  <c r="B308" i="14"/>
  <c r="H241" i="15"/>
  <c r="I241" i="15" s="1"/>
  <c r="J308" i="14"/>
  <c r="E309" i="14"/>
  <c r="Q309" i="14" l="1"/>
  <c r="H242" i="15"/>
  <c r="I242" i="15" s="1"/>
  <c r="C309" i="14"/>
  <c r="D309" i="14" s="1"/>
  <c r="E310" i="14"/>
  <c r="B309" i="14"/>
  <c r="J309" i="14"/>
  <c r="C310" i="14" l="1"/>
  <c r="D310" i="14" s="1"/>
  <c r="J310" i="14"/>
  <c r="B310" i="14"/>
  <c r="E311" i="14"/>
  <c r="H243" i="15"/>
  <c r="I243" i="15" s="1"/>
  <c r="Q310" i="14"/>
  <c r="H244" i="15" l="1"/>
  <c r="I244" i="15" s="1"/>
  <c r="E312" i="14"/>
  <c r="C311" i="14"/>
  <c r="D311" i="14" s="1"/>
  <c r="Q311" i="14"/>
  <c r="B311" i="14"/>
  <c r="J311" i="14"/>
  <c r="H245" i="15" l="1"/>
  <c r="I245" i="15" s="1"/>
  <c r="C312" i="14"/>
  <c r="D312" i="14" s="1"/>
  <c r="J312" i="14"/>
  <c r="Q312" i="14"/>
  <c r="E313" i="14"/>
  <c r="B312" i="14"/>
  <c r="J313" i="14" l="1"/>
  <c r="Q313" i="14"/>
  <c r="C313" i="14"/>
  <c r="D313" i="14" s="1"/>
  <c r="H246" i="15"/>
  <c r="I246" i="15" s="1"/>
  <c r="B313" i="14"/>
  <c r="E314" i="14"/>
  <c r="Q314" i="14" l="1"/>
  <c r="H247" i="15"/>
  <c r="I247" i="15" s="1"/>
  <c r="C314" i="14"/>
  <c r="D314" i="14" s="1"/>
  <c r="B314" i="14"/>
  <c r="J314" i="14"/>
  <c r="E315" i="14"/>
  <c r="J315" i="14" l="1"/>
  <c r="C315" i="14"/>
  <c r="D315" i="14" s="1"/>
  <c r="B315" i="14"/>
  <c r="E316" i="14"/>
  <c r="H248" i="15"/>
  <c r="I248" i="15" s="1"/>
  <c r="Q315" i="14"/>
  <c r="B316" i="14" l="1"/>
  <c r="H249" i="15"/>
  <c r="I249" i="15" s="1"/>
  <c r="C316" i="14"/>
  <c r="D316" i="14" s="1"/>
  <c r="Q316" i="14"/>
  <c r="J316" i="14"/>
  <c r="E317" i="14"/>
  <c r="Q317" i="14" l="1"/>
  <c r="J317" i="14"/>
  <c r="B317" i="14"/>
  <c r="H250" i="15"/>
  <c r="I250" i="15" s="1"/>
  <c r="C317" i="14"/>
  <c r="D317" i="14" s="1"/>
  <c r="E318" i="14"/>
  <c r="Q318" i="14" l="1"/>
  <c r="H251" i="15"/>
  <c r="I251" i="15" s="1"/>
  <c r="E319" i="14"/>
  <c r="B318" i="14"/>
  <c r="J318" i="14"/>
  <c r="C318" i="14"/>
  <c r="D318" i="14" s="1"/>
  <c r="Q319" i="14" l="1"/>
  <c r="B319" i="14"/>
  <c r="E320" i="14"/>
  <c r="H252" i="15"/>
  <c r="I252" i="15" s="1"/>
  <c r="J319" i="14"/>
  <c r="C319" i="14"/>
  <c r="D319" i="14" s="1"/>
  <c r="H253" i="15" l="1"/>
  <c r="I253" i="15" s="1"/>
  <c r="C320" i="14"/>
  <c r="D320" i="14" s="1"/>
  <c r="B320" i="14"/>
  <c r="Q320" i="14"/>
  <c r="J320" i="14"/>
  <c r="E321" i="14"/>
  <c r="Q321" i="14" l="1"/>
  <c r="C321" i="14"/>
  <c r="D321" i="14" s="1"/>
  <c r="E322" i="14"/>
  <c r="J321" i="14"/>
  <c r="H254" i="15"/>
  <c r="I254" i="15" s="1"/>
  <c r="B321" i="14"/>
  <c r="J322" i="14" l="1"/>
  <c r="Q322" i="14"/>
  <c r="C322" i="14"/>
  <c r="D322" i="14" s="1"/>
  <c r="B322" i="14"/>
  <c r="E323" i="14"/>
  <c r="H255" i="15"/>
  <c r="I255" i="15" s="1"/>
  <c r="Q323" i="14" l="1"/>
  <c r="H256" i="15"/>
  <c r="I256" i="15" s="1"/>
  <c r="E324" i="14"/>
  <c r="C323" i="14"/>
  <c r="D323" i="14" s="1"/>
  <c r="B323" i="14"/>
  <c r="J323" i="14"/>
  <c r="J324" i="14" l="1"/>
  <c r="C324" i="14"/>
  <c r="D324" i="14" s="1"/>
  <c r="E325" i="14"/>
  <c r="B324" i="14"/>
  <c r="Q324" i="14"/>
  <c r="H257" i="15"/>
  <c r="I257" i="15" s="1"/>
  <c r="C325" i="14" l="1"/>
  <c r="D325" i="14" s="1"/>
  <c r="H258" i="15"/>
  <c r="I258" i="15" s="1"/>
  <c r="J325" i="14"/>
  <c r="Q325" i="14"/>
  <c r="B325" i="14"/>
  <c r="E326" i="14"/>
  <c r="J326" i="14" l="1"/>
  <c r="E327" i="14"/>
  <c r="B326" i="14"/>
  <c r="C326" i="14"/>
  <c r="D326" i="14" s="1"/>
  <c r="Q326" i="14"/>
  <c r="H259" i="15"/>
  <c r="I259" i="15" s="1"/>
  <c r="H260" i="15" l="1"/>
  <c r="I260" i="15" s="1"/>
  <c r="E328" i="14"/>
  <c r="J327" i="14"/>
  <c r="B327" i="14"/>
  <c r="Q327" i="14"/>
  <c r="C327" i="14"/>
  <c r="D327" i="14" s="1"/>
  <c r="B328" i="14" l="1"/>
  <c r="H261" i="15"/>
  <c r="I261" i="15" s="1"/>
  <c r="C328" i="14"/>
  <c r="D328" i="14" s="1"/>
  <c r="Q328" i="14"/>
  <c r="J328" i="14"/>
  <c r="E329" i="14"/>
  <c r="J329" i="14" l="1"/>
  <c r="C329" i="14"/>
  <c r="D329" i="14" s="1"/>
  <c r="H262" i="15"/>
  <c r="I262" i="15" s="1"/>
  <c r="E330" i="14"/>
  <c r="B329" i="14"/>
  <c r="Q329" i="14"/>
  <c r="C330" i="14" l="1"/>
  <c r="D330" i="14" s="1"/>
  <c r="J330" i="14"/>
  <c r="Q330" i="14"/>
  <c r="B330" i="14"/>
  <c r="E331" i="14"/>
  <c r="H263" i="15"/>
  <c r="I263" i="15" s="1"/>
  <c r="C331" i="14" l="1"/>
  <c r="D331" i="14" s="1"/>
  <c r="B331" i="14"/>
  <c r="J331" i="14"/>
  <c r="H264" i="15"/>
  <c r="I264" i="15" s="1"/>
  <c r="E332" i="14"/>
  <c r="Q331" i="14"/>
  <c r="E333" i="14" l="1"/>
  <c r="C332" i="14"/>
  <c r="D332" i="14" s="1"/>
  <c r="B332" i="14"/>
  <c r="Q332" i="14"/>
  <c r="J332" i="14"/>
  <c r="H265" i="15"/>
  <c r="I265" i="15" s="1"/>
  <c r="H266" i="15" l="1"/>
  <c r="I266" i="15" s="1"/>
  <c r="E334" i="14"/>
  <c r="B333" i="14"/>
  <c r="Q333" i="14"/>
  <c r="C333" i="14"/>
  <c r="D333" i="14" s="1"/>
  <c r="J333" i="14"/>
  <c r="Q334" i="14" l="1"/>
  <c r="E335" i="14"/>
  <c r="B334" i="14"/>
  <c r="J334" i="14"/>
  <c r="H267" i="15"/>
  <c r="I267" i="15" s="1"/>
  <c r="C334" i="14"/>
  <c r="D334" i="14" s="1"/>
  <c r="J335" i="14" l="1"/>
  <c r="Q335" i="14"/>
  <c r="B335" i="14"/>
  <c r="H268" i="15"/>
  <c r="I268" i="15" s="1"/>
  <c r="C335" i="14"/>
  <c r="D335" i="14" s="1"/>
  <c r="E336" i="14"/>
  <c r="E337" i="14" l="1"/>
  <c r="C336" i="14"/>
  <c r="D336" i="14" s="1"/>
  <c r="Q336" i="14"/>
  <c r="B336" i="14"/>
  <c r="H269" i="15"/>
  <c r="I269" i="15" s="1"/>
  <c r="J336" i="14"/>
  <c r="Q337" i="14" l="1"/>
  <c r="E338" i="14"/>
  <c r="C337" i="14"/>
  <c r="D337" i="14" s="1"/>
  <c r="B337" i="14"/>
  <c r="H270" i="15"/>
  <c r="I270" i="15" s="1"/>
  <c r="J337" i="14"/>
  <c r="C338" i="14" l="1"/>
  <c r="D338" i="14" s="1"/>
  <c r="Q338" i="14"/>
  <c r="H271" i="15"/>
  <c r="I271" i="15" s="1"/>
  <c r="E339" i="14"/>
  <c r="J338" i="14"/>
  <c r="B338" i="14"/>
  <c r="C339" i="14" l="1"/>
  <c r="D339" i="14" s="1"/>
  <c r="J339" i="14"/>
  <c r="E340" i="14"/>
  <c r="B339" i="14"/>
  <c r="Q339" i="14"/>
  <c r="H272" i="15"/>
  <c r="I272" i="15" s="1"/>
  <c r="H273" i="15" l="1"/>
  <c r="I273" i="15" s="1"/>
  <c r="B340" i="14"/>
  <c r="Q340" i="14"/>
  <c r="C340" i="14"/>
  <c r="D340" i="14" s="1"/>
  <c r="J340" i="14"/>
  <c r="E341" i="14"/>
  <c r="Q341" i="14" l="1"/>
  <c r="E342" i="14"/>
  <c r="C341" i="14"/>
  <c r="D341" i="14" s="1"/>
  <c r="J341" i="14"/>
  <c r="B341" i="14"/>
  <c r="H274" i="15"/>
  <c r="I274" i="15" s="1"/>
  <c r="J342" i="14" l="1"/>
  <c r="C342" i="14"/>
  <c r="D342" i="14" s="1"/>
  <c r="H275" i="15"/>
  <c r="I275" i="15" s="1"/>
  <c r="E343" i="14"/>
  <c r="B342" i="14"/>
  <c r="Q342" i="14"/>
  <c r="B343" i="14" l="1"/>
  <c r="E344" i="14"/>
  <c r="C343" i="14"/>
  <c r="D343" i="14" s="1"/>
  <c r="J343" i="14"/>
  <c r="H276" i="15"/>
  <c r="I276" i="15" s="1"/>
  <c r="Q343" i="14"/>
  <c r="Q344" i="14" l="1"/>
  <c r="J344" i="14"/>
  <c r="B344" i="14"/>
  <c r="H277" i="15"/>
  <c r="I277" i="15" s="1"/>
  <c r="E345" i="14"/>
  <c r="C344" i="14"/>
  <c r="D344" i="14" s="1"/>
  <c r="E346" i="14" l="1"/>
  <c r="Q345" i="14"/>
  <c r="H278" i="15"/>
  <c r="I278" i="15" s="1"/>
  <c r="J345" i="14"/>
  <c r="C345" i="14"/>
  <c r="D345" i="14" s="1"/>
  <c r="B345" i="14"/>
  <c r="E347" i="14" l="1"/>
  <c r="Q346" i="14"/>
  <c r="B346" i="14"/>
  <c r="J346" i="14"/>
  <c r="H279" i="15"/>
  <c r="I279" i="15" s="1"/>
  <c r="C346" i="14"/>
  <c r="D346" i="14" s="1"/>
  <c r="J347" i="14" l="1"/>
  <c r="B347" i="14"/>
  <c r="H280" i="15"/>
  <c r="I280" i="15" s="1"/>
  <c r="Q347" i="14"/>
  <c r="C347" i="14"/>
  <c r="D347" i="14" s="1"/>
  <c r="E348" i="14"/>
  <c r="H281" i="15" l="1"/>
  <c r="I281" i="15" s="1"/>
  <c r="B348" i="14"/>
  <c r="E349" i="14"/>
  <c r="Q348" i="14"/>
  <c r="J348" i="14"/>
  <c r="C348" i="14"/>
  <c r="D348" i="14" s="1"/>
  <c r="C349" i="14" l="1"/>
  <c r="D349" i="14" s="1"/>
  <c r="Q349" i="14"/>
  <c r="B349" i="14"/>
  <c r="E350" i="14"/>
  <c r="H282" i="15"/>
  <c r="I282" i="15" s="1"/>
  <c r="J349" i="14"/>
  <c r="J350" i="14" l="1"/>
  <c r="B350" i="14"/>
  <c r="C350" i="14"/>
  <c r="D350" i="14" s="1"/>
  <c r="E351" i="14"/>
  <c r="H283" i="15"/>
  <c r="I283" i="15" s="1"/>
  <c r="Q350" i="14"/>
  <c r="E352" i="14" l="1"/>
  <c r="J351" i="14"/>
  <c r="H284" i="15"/>
  <c r="I284" i="15" s="1"/>
  <c r="C351" i="14"/>
  <c r="D351" i="14" s="1"/>
  <c r="Q351" i="14"/>
  <c r="B351" i="14"/>
  <c r="E353" i="14" l="1"/>
  <c r="Q352" i="14"/>
  <c r="H285" i="15"/>
  <c r="I285" i="15" s="1"/>
  <c r="B352" i="14"/>
  <c r="J352" i="14"/>
  <c r="C352" i="14"/>
  <c r="D352" i="14" s="1"/>
  <c r="J353" i="14" l="1"/>
  <c r="E354" i="14"/>
  <c r="B353" i="14"/>
  <c r="Q353" i="14"/>
  <c r="C353" i="14"/>
  <c r="D353" i="14" s="1"/>
  <c r="H286" i="15"/>
  <c r="I286" i="15" s="1"/>
  <c r="E355" i="14" l="1"/>
  <c r="Q354" i="14"/>
  <c r="C354" i="14"/>
  <c r="D354" i="14" s="1"/>
  <c r="B354" i="14"/>
  <c r="J354" i="14"/>
  <c r="H287" i="15"/>
  <c r="I287" i="15" s="1"/>
  <c r="J355" i="14" l="1"/>
  <c r="H288" i="15"/>
  <c r="I288" i="15" s="1"/>
  <c r="B355" i="14"/>
  <c r="Q355" i="14"/>
  <c r="C355" i="14"/>
  <c r="D355" i="14" s="1"/>
  <c r="E356" i="14"/>
  <c r="H289" i="15" l="1"/>
  <c r="I289" i="15" s="1"/>
  <c r="B356" i="14"/>
  <c r="E357" i="14"/>
  <c r="Q356" i="14"/>
  <c r="J356" i="14"/>
  <c r="C356" i="14"/>
  <c r="D356" i="14" s="1"/>
  <c r="Q357" i="14" l="1"/>
  <c r="H290" i="15"/>
  <c r="I290" i="15" s="1"/>
  <c r="C357" i="14"/>
  <c r="D357" i="14" s="1"/>
  <c r="E358" i="14"/>
  <c r="B357" i="14"/>
  <c r="J357" i="14"/>
  <c r="E359" i="14" l="1"/>
  <c r="Q358" i="14"/>
  <c r="B358" i="14"/>
  <c r="J358" i="14"/>
  <c r="H291" i="15"/>
  <c r="I291" i="15" s="1"/>
  <c r="C358" i="14"/>
  <c r="D358" i="14" s="1"/>
  <c r="B359" i="14" l="1"/>
  <c r="Q359" i="14"/>
  <c r="C359" i="14"/>
  <c r="D359" i="14" s="1"/>
  <c r="J359" i="14"/>
  <c r="H292" i="15"/>
  <c r="I292" i="15" s="1"/>
  <c r="E360" i="14"/>
  <c r="B360" i="14" l="1"/>
  <c r="C360" i="14"/>
  <c r="D360" i="14" s="1"/>
  <c r="H293" i="15"/>
  <c r="I293" i="15" s="1"/>
  <c r="E361" i="14"/>
  <c r="Q360" i="14"/>
  <c r="J360" i="14"/>
  <c r="Q361" i="14" l="1"/>
  <c r="C361" i="14"/>
  <c r="D361" i="14" s="1"/>
  <c r="E362" i="14"/>
  <c r="J361" i="14"/>
  <c r="B361" i="14"/>
  <c r="H294" i="15"/>
  <c r="I294" i="15" s="1"/>
  <c r="Q362" i="14" l="1"/>
  <c r="B362" i="14"/>
  <c r="J362" i="14"/>
  <c r="C362" i="14"/>
  <c r="D362" i="14" s="1"/>
  <c r="H295" i="15"/>
  <c r="I295" i="15" s="1"/>
  <c r="E363" i="14"/>
  <c r="B363" i="14" l="1"/>
  <c r="H296" i="15"/>
  <c r="I296" i="15" s="1"/>
  <c r="C363" i="14"/>
  <c r="D363" i="14" s="1"/>
  <c r="E364" i="14"/>
  <c r="J363" i="14"/>
  <c r="Q363" i="14"/>
  <c r="E365" i="14" l="1"/>
  <c r="H297" i="15"/>
  <c r="I297" i="15" s="1"/>
  <c r="J364" i="14"/>
  <c r="Q364" i="14"/>
  <c r="B364" i="14"/>
  <c r="C364" i="14"/>
  <c r="D364" i="14" s="1"/>
  <c r="AE8" i="19"/>
  <c r="E8" i="19" s="1"/>
  <c r="AE8" i="18"/>
  <c r="E8" i="18" s="1"/>
  <c r="AE8" i="21"/>
  <c r="E8" i="21" s="1"/>
  <c r="AE30" i="20"/>
  <c r="E30" i="20" s="1"/>
  <c r="G293" i="14" s="1"/>
  <c r="AE22" i="22"/>
  <c r="E22" i="22" s="1"/>
  <c r="G346" i="14" s="1"/>
  <c r="AE8" i="20"/>
  <c r="E8" i="20" s="1"/>
  <c r="AE21" i="20"/>
  <c r="E21" i="20" s="1"/>
  <c r="G284" i="14" s="1"/>
  <c r="AE37" i="22"/>
  <c r="E37" i="22" s="1"/>
  <c r="G361" i="14" s="1"/>
  <c r="AE27" i="20"/>
  <c r="E27" i="20" s="1"/>
  <c r="G290" i="14" s="1"/>
  <c r="AE10" i="19"/>
  <c r="E10" i="19" s="1"/>
  <c r="G242" i="14" s="1"/>
  <c r="AE26" i="22"/>
  <c r="E26" i="22" s="1"/>
  <c r="G350" i="14" s="1"/>
  <c r="AE35" i="20"/>
  <c r="E35" i="20" s="1"/>
  <c r="G298" i="14" s="1"/>
  <c r="AE14" i="22"/>
  <c r="E14" i="22" s="1"/>
  <c r="G338" i="14" s="1"/>
  <c r="AE9" i="20"/>
  <c r="E9" i="20" s="1"/>
  <c r="G272" i="14" s="1"/>
  <c r="AE12" i="20"/>
  <c r="E12" i="20" s="1"/>
  <c r="G275" i="14" s="1"/>
  <c r="AE10" i="21"/>
  <c r="E10" i="21" s="1"/>
  <c r="G303" i="14" s="1"/>
  <c r="AE13" i="22"/>
  <c r="E13" i="22" s="1"/>
  <c r="G337" i="14" s="1"/>
  <c r="AE29" i="22"/>
  <c r="E29" i="22" s="1"/>
  <c r="G353" i="14" s="1"/>
  <c r="AE17" i="20"/>
  <c r="E17" i="20" s="1"/>
  <c r="G280" i="14" s="1"/>
  <c r="AE26" i="20"/>
  <c r="E26" i="20" s="1"/>
  <c r="G289" i="14" s="1"/>
  <c r="AE13" i="20"/>
  <c r="E13" i="20" s="1"/>
  <c r="G276" i="14" s="1"/>
  <c r="AE32" i="22"/>
  <c r="E32" i="22" s="1"/>
  <c r="G356" i="14" s="1"/>
  <c r="AE11" i="22"/>
  <c r="E11" i="22" s="1"/>
  <c r="G335" i="14" s="1"/>
  <c r="AE25" i="20"/>
  <c r="E25" i="20" s="1"/>
  <c r="G288" i="14" s="1"/>
  <c r="AE30" i="22"/>
  <c r="E30" i="22" s="1"/>
  <c r="G354" i="14" s="1"/>
  <c r="AE16" i="22"/>
  <c r="E16" i="22" s="1"/>
  <c r="G340" i="14" s="1"/>
  <c r="AE9" i="23"/>
  <c r="E9" i="23" s="1"/>
  <c r="G363" i="14" s="1"/>
  <c r="AE35" i="22"/>
  <c r="E35" i="22" s="1"/>
  <c r="G359" i="14" s="1"/>
  <c r="AE14" i="20"/>
  <c r="E14" i="20" s="1"/>
  <c r="G277" i="14" s="1"/>
  <c r="AE23" i="20"/>
  <c r="E23" i="20" s="1"/>
  <c r="G286" i="14" s="1"/>
  <c r="AE22" i="20"/>
  <c r="E22" i="20" s="1"/>
  <c r="G285" i="14" s="1"/>
  <c r="AE37" i="20"/>
  <c r="E37" i="20" s="1"/>
  <c r="G300" i="14" s="1"/>
  <c r="AE10" i="20"/>
  <c r="E10" i="20" s="1"/>
  <c r="G273" i="14" s="1"/>
  <c r="AE29" i="20"/>
  <c r="E29" i="20" s="1"/>
  <c r="G292" i="14" s="1"/>
  <c r="AE19" i="22"/>
  <c r="E19" i="22" s="1"/>
  <c r="G343" i="14" s="1"/>
  <c r="AE9" i="19"/>
  <c r="E9" i="19" s="1"/>
  <c r="G241" i="14" s="1"/>
  <c r="AE20" i="20"/>
  <c r="E20" i="20" s="1"/>
  <c r="G283" i="14" s="1"/>
  <c r="AE20" i="22"/>
  <c r="E20" i="22" s="1"/>
  <c r="G344" i="14" s="1"/>
  <c r="AE18" i="20"/>
  <c r="E18" i="20" s="1"/>
  <c r="G281" i="14" s="1"/>
  <c r="AE31" i="20"/>
  <c r="E31" i="20" s="1"/>
  <c r="G294" i="14" s="1"/>
  <c r="AE8" i="23"/>
  <c r="E8" i="23" s="1"/>
  <c r="AE19" i="20"/>
  <c r="E19" i="20" s="1"/>
  <c r="G282" i="14" s="1"/>
  <c r="AE15" i="22"/>
  <c r="E15" i="22" s="1"/>
  <c r="G339" i="14" s="1"/>
  <c r="AE9" i="18"/>
  <c r="E9" i="18" s="1"/>
  <c r="G212" i="14" s="1"/>
  <c r="AE34" i="22"/>
  <c r="E34" i="22" s="1"/>
  <c r="G358" i="14" s="1"/>
  <c r="AE33" i="22"/>
  <c r="E33" i="22" s="1"/>
  <c r="G357" i="14" s="1"/>
  <c r="AE32" i="20"/>
  <c r="E32" i="20" s="1"/>
  <c r="G295" i="14" s="1"/>
  <c r="AE12" i="22"/>
  <c r="E12" i="22" s="1"/>
  <c r="G336" i="14" s="1"/>
  <c r="AE28" i="22"/>
  <c r="E28" i="22" s="1"/>
  <c r="G352" i="14" s="1"/>
  <c r="AE28" i="20"/>
  <c r="E28" i="20" s="1"/>
  <c r="G291" i="14" s="1"/>
  <c r="AE9" i="22"/>
  <c r="E9" i="22" s="1"/>
  <c r="G333" i="14" s="1"/>
  <c r="AE10" i="18"/>
  <c r="E10" i="18" s="1"/>
  <c r="G213" i="14" s="1"/>
  <c r="AE27" i="22"/>
  <c r="E27" i="22" s="1"/>
  <c r="G351" i="14" s="1"/>
  <c r="AE24" i="22"/>
  <c r="E24" i="22" s="1"/>
  <c r="G348" i="14" s="1"/>
  <c r="AE11" i="20"/>
  <c r="E11" i="20" s="1"/>
  <c r="G274" i="14" s="1"/>
  <c r="AE23" i="22"/>
  <c r="E23" i="22" s="1"/>
  <c r="G347" i="14" s="1"/>
  <c r="AE24" i="20"/>
  <c r="E24" i="20" s="1"/>
  <c r="G287" i="14" s="1"/>
  <c r="AE8" i="22"/>
  <c r="E8" i="22" s="1"/>
  <c r="AE10" i="22"/>
  <c r="E10" i="22" s="1"/>
  <c r="G334" i="14" s="1"/>
  <c r="AE15" i="20"/>
  <c r="E15" i="20" s="1"/>
  <c r="G278" i="14" s="1"/>
  <c r="AE18" i="22"/>
  <c r="E18" i="22" s="1"/>
  <c r="G342" i="14" s="1"/>
  <c r="AE21" i="22"/>
  <c r="E21" i="22" s="1"/>
  <c r="G345" i="14" s="1"/>
  <c r="AE33" i="20"/>
  <c r="E33" i="20" s="1"/>
  <c r="G296" i="14" s="1"/>
  <c r="AE34" i="20"/>
  <c r="E34" i="20" s="1"/>
  <c r="G297" i="14" s="1"/>
  <c r="AE17" i="22"/>
  <c r="E17" i="22" s="1"/>
  <c r="G341" i="14" s="1"/>
  <c r="AE36" i="22"/>
  <c r="E36" i="22" s="1"/>
  <c r="G360" i="14" s="1"/>
  <c r="AE25" i="22"/>
  <c r="E25" i="22" s="1"/>
  <c r="G349" i="14" s="1"/>
  <c r="AE36" i="20"/>
  <c r="E36" i="20" s="1"/>
  <c r="G299" i="14" s="1"/>
  <c r="AE31" i="22"/>
  <c r="E31" i="22" s="1"/>
  <c r="G355" i="14" s="1"/>
  <c r="AE16" i="20"/>
  <c r="E16" i="20" s="1"/>
  <c r="G279" i="14" s="1"/>
  <c r="AE9" i="21"/>
  <c r="E9" i="21" s="1"/>
  <c r="G302" i="14" s="1"/>
  <c r="AE11" i="19"/>
  <c r="E11" i="19" s="1"/>
  <c r="G243" i="14" s="1"/>
  <c r="AE12" i="21"/>
  <c r="E12" i="21" s="1"/>
  <c r="G305" i="14" s="1"/>
  <c r="AE12" i="19"/>
  <c r="E12" i="19" s="1"/>
  <c r="G244" i="14" s="1"/>
  <c r="AE11" i="18"/>
  <c r="E11" i="18" s="1"/>
  <c r="G214" i="14" s="1"/>
  <c r="AE11" i="21"/>
  <c r="E11" i="21" s="1"/>
  <c r="G304" i="14" s="1"/>
  <c r="AE13" i="18"/>
  <c r="E13" i="18" s="1"/>
  <c r="G216" i="14" s="1"/>
  <c r="AE13" i="19"/>
  <c r="E13" i="19" s="1"/>
  <c r="G245" i="14" s="1"/>
  <c r="AE12" i="18"/>
  <c r="E12" i="18" s="1"/>
  <c r="G215" i="14" s="1"/>
  <c r="AE13" i="21"/>
  <c r="E13" i="21" s="1"/>
  <c r="G306" i="14" s="1"/>
  <c r="AE14" i="21"/>
  <c r="E14" i="21" s="1"/>
  <c r="G307" i="14" s="1"/>
  <c r="AE14" i="19"/>
  <c r="E14" i="19" s="1"/>
  <c r="G246" i="14" s="1"/>
  <c r="AE15" i="19"/>
  <c r="E15" i="19" s="1"/>
  <c r="G247" i="14" s="1"/>
  <c r="AE14" i="18"/>
  <c r="E14" i="18" s="1"/>
  <c r="G217" i="14" s="1"/>
  <c r="AE16" i="18"/>
  <c r="E16" i="18" s="1"/>
  <c r="G219" i="14" s="1"/>
  <c r="AE16" i="21"/>
  <c r="E16" i="21" s="1"/>
  <c r="G309" i="14" s="1"/>
  <c r="AE15" i="21"/>
  <c r="E15" i="21" s="1"/>
  <c r="G308" i="14" s="1"/>
  <c r="AE16" i="19"/>
  <c r="E16" i="19" s="1"/>
  <c r="G248" i="14" s="1"/>
  <c r="AE18" i="19"/>
  <c r="E18" i="19" s="1"/>
  <c r="G250" i="14" s="1"/>
  <c r="AE17" i="18"/>
  <c r="E17" i="18" s="1"/>
  <c r="G220" i="14" s="1"/>
  <c r="AE15" i="18"/>
  <c r="E15" i="18" s="1"/>
  <c r="G218" i="14" s="1"/>
  <c r="AE18" i="21"/>
  <c r="E18" i="21" s="1"/>
  <c r="G311" i="14" s="1"/>
  <c r="AE17" i="21"/>
  <c r="E17" i="21" s="1"/>
  <c r="G310" i="14" s="1"/>
  <c r="AE19" i="18"/>
  <c r="E19" i="18" s="1"/>
  <c r="G222" i="14" s="1"/>
  <c r="AE18" i="18"/>
  <c r="E18" i="18" s="1"/>
  <c r="G221" i="14" s="1"/>
  <c r="AE17" i="19"/>
  <c r="E17" i="19" s="1"/>
  <c r="G249" i="14" s="1"/>
  <c r="AE19" i="19"/>
  <c r="E19" i="19" s="1"/>
  <c r="G251" i="14" s="1"/>
  <c r="AE19" i="21"/>
  <c r="E19" i="21" s="1"/>
  <c r="G312" i="14" s="1"/>
  <c r="AE20" i="18"/>
  <c r="E20" i="18" s="1"/>
  <c r="G223" i="14" s="1"/>
  <c r="AE20" i="21"/>
  <c r="E20" i="21" s="1"/>
  <c r="G313" i="14" s="1"/>
  <c r="AE21" i="19"/>
  <c r="E21" i="19" s="1"/>
  <c r="G253" i="14" s="1"/>
  <c r="AE20" i="19"/>
  <c r="E20" i="19" s="1"/>
  <c r="G252" i="14" s="1"/>
  <c r="AE21" i="21"/>
  <c r="E21" i="21" s="1"/>
  <c r="G314" i="14" s="1"/>
  <c r="AE23" i="19"/>
  <c r="E23" i="19" s="1"/>
  <c r="G255" i="14" s="1"/>
  <c r="AE22" i="21"/>
  <c r="E22" i="21" s="1"/>
  <c r="G315" i="14" s="1"/>
  <c r="AE22" i="19"/>
  <c r="E22" i="19" s="1"/>
  <c r="G254" i="14" s="1"/>
  <c r="AE21" i="18"/>
  <c r="E21" i="18" s="1"/>
  <c r="G224" i="14" s="1"/>
  <c r="AE24" i="19"/>
  <c r="E24" i="19" s="1"/>
  <c r="G256" i="14" s="1"/>
  <c r="AE23" i="18"/>
  <c r="E23" i="18" s="1"/>
  <c r="G226" i="14" s="1"/>
  <c r="AE22" i="18"/>
  <c r="E22" i="18" s="1"/>
  <c r="G225" i="14" s="1"/>
  <c r="AE23" i="21"/>
  <c r="E23" i="21" s="1"/>
  <c r="G316" i="14" s="1"/>
  <c r="AE25" i="18"/>
  <c r="E25" i="18" s="1"/>
  <c r="G228" i="14" s="1"/>
  <c r="AE24" i="21"/>
  <c r="E24" i="21" s="1"/>
  <c r="G317" i="14" s="1"/>
  <c r="AE26" i="21"/>
  <c r="E26" i="21" s="1"/>
  <c r="G319" i="14" s="1"/>
  <c r="AE24" i="18"/>
  <c r="E24" i="18" s="1"/>
  <c r="G227" i="14" s="1"/>
  <c r="AE25" i="19"/>
  <c r="E25" i="19" s="1"/>
  <c r="G257" i="14" s="1"/>
  <c r="AE26" i="18"/>
  <c r="E26" i="18" s="1"/>
  <c r="G229" i="14" s="1"/>
  <c r="AE26" i="19"/>
  <c r="E26" i="19" s="1"/>
  <c r="G258" i="14" s="1"/>
  <c r="AE25" i="21"/>
  <c r="E25" i="21" s="1"/>
  <c r="G318" i="14" s="1"/>
  <c r="AE28" i="19"/>
  <c r="E28" i="19" s="1"/>
  <c r="G260" i="14" s="1"/>
  <c r="AE27" i="19"/>
  <c r="E27" i="19" s="1"/>
  <c r="G259" i="14" s="1"/>
  <c r="AE28" i="18"/>
  <c r="E28" i="18" s="1"/>
  <c r="G231" i="14" s="1"/>
  <c r="AE30" i="19"/>
  <c r="E30" i="19" s="1"/>
  <c r="G262" i="14" s="1"/>
  <c r="AE27" i="21"/>
  <c r="E27" i="21" s="1"/>
  <c r="G320" i="14" s="1"/>
  <c r="AE28" i="21"/>
  <c r="E28" i="21" s="1"/>
  <c r="G321" i="14" s="1"/>
  <c r="AE27" i="18"/>
  <c r="E27" i="18" s="1"/>
  <c r="G230" i="14" s="1"/>
  <c r="AE31" i="18"/>
  <c r="E31" i="18" s="1"/>
  <c r="G234" i="14" s="1"/>
  <c r="AE30" i="21"/>
  <c r="E30" i="21" s="1"/>
  <c r="G323" i="14" s="1"/>
  <c r="AE31" i="21"/>
  <c r="E31" i="21" s="1"/>
  <c r="G324" i="14" s="1"/>
  <c r="AE29" i="19"/>
  <c r="E29" i="19" s="1"/>
  <c r="G261" i="14" s="1"/>
  <c r="AE29" i="18"/>
  <c r="E29" i="18" s="1"/>
  <c r="G232" i="14" s="1"/>
  <c r="AE29" i="21"/>
  <c r="E29" i="21" s="1"/>
  <c r="G322" i="14" s="1"/>
  <c r="AE30" i="18"/>
  <c r="E30" i="18" s="1"/>
  <c r="G233" i="14" s="1"/>
  <c r="AE32" i="21"/>
  <c r="E32" i="21" s="1"/>
  <c r="G325" i="14" s="1"/>
  <c r="AE31" i="19"/>
  <c r="E31" i="19" s="1"/>
  <c r="G263" i="14" s="1"/>
  <c r="AE32" i="19"/>
  <c r="E32" i="19" s="1"/>
  <c r="G264" i="14" s="1"/>
  <c r="AE32" i="18"/>
  <c r="E32" i="18" s="1"/>
  <c r="G235" i="14" s="1"/>
  <c r="AE33" i="18"/>
  <c r="E33" i="18" s="1"/>
  <c r="G236" i="14" s="1"/>
  <c r="AE33" i="19"/>
  <c r="E33" i="19" s="1"/>
  <c r="G265" i="14" s="1"/>
  <c r="AE33" i="21"/>
  <c r="E33" i="21" s="1"/>
  <c r="G326" i="14" s="1"/>
  <c r="AE34" i="19"/>
  <c r="E34" i="19" s="1"/>
  <c r="G266" i="14" s="1"/>
  <c r="AE35" i="21"/>
  <c r="E35" i="21" s="1"/>
  <c r="G328" i="14" s="1"/>
  <c r="AE34" i="21"/>
  <c r="E34" i="21" s="1"/>
  <c r="G327" i="14" s="1"/>
  <c r="AE34" i="18"/>
  <c r="E34" i="18" s="1"/>
  <c r="G237" i="14" s="1"/>
  <c r="AE35" i="18"/>
  <c r="E35" i="18" s="1"/>
  <c r="G238" i="14" s="1"/>
  <c r="AE35" i="19"/>
  <c r="E35" i="19" s="1"/>
  <c r="G267" i="14" s="1"/>
  <c r="AE37" i="19"/>
  <c r="E37" i="19" s="1"/>
  <c r="G269" i="14" s="1"/>
  <c r="AE38" i="19"/>
  <c r="E38" i="19" s="1"/>
  <c r="G270" i="14" s="1"/>
  <c r="AE36" i="21"/>
  <c r="E36" i="21" s="1"/>
  <c r="G329" i="14" s="1"/>
  <c r="AE36" i="19"/>
  <c r="E36" i="19" s="1"/>
  <c r="G268" i="14" s="1"/>
  <c r="AE37" i="21"/>
  <c r="E37" i="21" s="1"/>
  <c r="G330" i="14" s="1"/>
  <c r="AE38" i="21"/>
  <c r="E38" i="21" s="1"/>
  <c r="G331" i="14" s="1"/>
  <c r="P73" i="23" l="1"/>
  <c r="P72" i="23"/>
  <c r="P71" i="23"/>
  <c r="P70" i="23"/>
  <c r="Q70" i="23"/>
  <c r="Q73" i="23"/>
  <c r="K127" i="29" s="1"/>
  <c r="Q72" i="23"/>
  <c r="K126" i="29" s="1"/>
  <c r="Q71" i="23"/>
  <c r="V6" i="23"/>
  <c r="R6" i="23"/>
  <c r="U6" i="23"/>
  <c r="Q6" i="23"/>
  <c r="T6" i="23"/>
  <c r="S6" i="23"/>
  <c r="P6" i="23"/>
  <c r="P73" i="19"/>
  <c r="P72" i="19"/>
  <c r="P71" i="19"/>
  <c r="R71" i="19" s="1"/>
  <c r="P70" i="19"/>
  <c r="R70" i="19" s="1"/>
  <c r="Q70" i="19"/>
  <c r="Q73" i="19"/>
  <c r="E127" i="29" s="1"/>
  <c r="Q72" i="19"/>
  <c r="E126" i="29" s="1"/>
  <c r="Q71" i="19"/>
  <c r="V6" i="19"/>
  <c r="R6" i="19"/>
  <c r="U6" i="19"/>
  <c r="Q6" i="19"/>
  <c r="T6" i="19"/>
  <c r="S6" i="19"/>
  <c r="P6" i="19"/>
  <c r="P72" i="21"/>
  <c r="P71" i="21"/>
  <c r="P70" i="21"/>
  <c r="Q70" i="21"/>
  <c r="P73" i="21"/>
  <c r="Q72" i="21"/>
  <c r="H126" i="29" s="1"/>
  <c r="Q71" i="21"/>
  <c r="Q73" i="21"/>
  <c r="H127" i="29" s="1"/>
  <c r="V6" i="21"/>
  <c r="R6" i="21"/>
  <c r="U6" i="21"/>
  <c r="Q6" i="21"/>
  <c r="P6" i="21"/>
  <c r="T6" i="21"/>
  <c r="S6" i="21"/>
  <c r="P71" i="22"/>
  <c r="P73" i="22"/>
  <c r="P70" i="22"/>
  <c r="Q70" i="22"/>
  <c r="P72" i="22"/>
  <c r="Q71" i="22"/>
  <c r="Q73" i="22"/>
  <c r="I127" i="29" s="1"/>
  <c r="Q72" i="22"/>
  <c r="I126" i="29" s="1"/>
  <c r="T6" i="22"/>
  <c r="S6" i="22"/>
  <c r="V6" i="22"/>
  <c r="R6" i="22"/>
  <c r="P6" i="22"/>
  <c r="U6" i="22"/>
  <c r="Q6" i="22"/>
  <c r="P73" i="20"/>
  <c r="P70" i="20"/>
  <c r="Q70" i="20"/>
  <c r="P72" i="20"/>
  <c r="P71" i="20"/>
  <c r="Q73" i="20"/>
  <c r="G127" i="29" s="1"/>
  <c r="Q72" i="20"/>
  <c r="G126" i="29" s="1"/>
  <c r="Q71" i="20"/>
  <c r="T6" i="20"/>
  <c r="P6" i="20"/>
  <c r="S6" i="20"/>
  <c r="V6" i="20"/>
  <c r="R6" i="20"/>
  <c r="U6" i="20"/>
  <c r="Q6" i="20"/>
  <c r="P71" i="18"/>
  <c r="R71" i="18" s="1"/>
  <c r="P73" i="18"/>
  <c r="P70" i="18"/>
  <c r="R70" i="18" s="1"/>
  <c r="Q70" i="18"/>
  <c r="P72" i="18"/>
  <c r="Q71" i="18"/>
  <c r="Q73" i="18"/>
  <c r="D127" i="29" s="1"/>
  <c r="Q72" i="18"/>
  <c r="D126" i="29" s="1"/>
  <c r="T6" i="18"/>
  <c r="S6" i="18"/>
  <c r="V6" i="18"/>
  <c r="R6" i="18"/>
  <c r="P6" i="18"/>
  <c r="U6" i="18"/>
  <c r="Q6" i="18"/>
  <c r="AE10" i="23"/>
  <c r="E10" i="23" s="1"/>
  <c r="G364" i="14" s="1"/>
  <c r="Q365" i="14"/>
  <c r="E366" i="14"/>
  <c r="J365" i="14"/>
  <c r="H298" i="15"/>
  <c r="I298" i="15" s="1"/>
  <c r="B365" i="14"/>
  <c r="C365" i="14"/>
  <c r="D365" i="14" s="1"/>
  <c r="M46" i="19"/>
  <c r="BH39" i="30" s="1"/>
  <c r="L46" i="19"/>
  <c r="BH35" i="30" s="1"/>
  <c r="K46" i="19"/>
  <c r="J46" i="19"/>
  <c r="I46" i="19"/>
  <c r="H46" i="19"/>
  <c r="G46" i="19"/>
  <c r="M46" i="22"/>
  <c r="M147" i="22" s="1"/>
  <c r="L46" i="22"/>
  <c r="L147" i="22" s="1"/>
  <c r="K46" i="22"/>
  <c r="J46" i="22"/>
  <c r="I46" i="22"/>
  <c r="G46" i="22"/>
  <c r="G147" i="22" s="1"/>
  <c r="H46" i="22"/>
  <c r="L46" i="21"/>
  <c r="K46" i="21"/>
  <c r="P371" i="1" s="1"/>
  <c r="J46" i="21"/>
  <c r="BJ27" i="30" s="1"/>
  <c r="I46" i="21"/>
  <c r="BJ23" i="30" s="1"/>
  <c r="G46" i="21"/>
  <c r="M46" i="21"/>
  <c r="BJ39" i="30" s="1"/>
  <c r="H46" i="21"/>
  <c r="I46" i="20"/>
  <c r="H46" i="20"/>
  <c r="M46" i="20"/>
  <c r="BI39" i="30" s="1"/>
  <c r="L46" i="20"/>
  <c r="K46" i="20"/>
  <c r="M371" i="1" s="1"/>
  <c r="J46" i="20"/>
  <c r="G46" i="20"/>
  <c r="G332" i="14"/>
  <c r="G301" i="14"/>
  <c r="O199" i="21"/>
  <c r="H173" i="29" s="1"/>
  <c r="G271" i="14"/>
  <c r="O199" i="20"/>
  <c r="G173" i="29" s="1"/>
  <c r="G240" i="14"/>
  <c r="G211" i="14"/>
  <c r="G362" i="14"/>
  <c r="BH27" i="30" l="1"/>
  <c r="K147" i="22"/>
  <c r="K146" i="22" s="1"/>
  <c r="S371" i="1"/>
  <c r="BH31" i="30"/>
  <c r="J371" i="1"/>
  <c r="BH23" i="30"/>
  <c r="P12" i="23"/>
  <c r="X12" i="23" s="1"/>
  <c r="BA12" i="23" s="1"/>
  <c r="P18" i="23"/>
  <c r="X18" i="23" s="1"/>
  <c r="BA18" i="23" s="1"/>
  <c r="P15" i="23"/>
  <c r="X15" i="23" s="1"/>
  <c r="BA15" i="23" s="1"/>
  <c r="P19" i="23"/>
  <c r="X19" i="23" s="1"/>
  <c r="BA19" i="23" s="1"/>
  <c r="P16" i="23"/>
  <c r="X16" i="23" s="1"/>
  <c r="BA16" i="23" s="1"/>
  <c r="P11" i="23"/>
  <c r="X11" i="23" s="1"/>
  <c r="BA11" i="23" s="1"/>
  <c r="P21" i="23"/>
  <c r="X21" i="23" s="1"/>
  <c r="BA21" i="23" s="1"/>
  <c r="P10" i="23"/>
  <c r="X10" i="23" s="1"/>
  <c r="BA10" i="23" s="1"/>
  <c r="P14" i="23"/>
  <c r="X14" i="23" s="1"/>
  <c r="BA14" i="23" s="1"/>
  <c r="P20" i="23"/>
  <c r="P17" i="23"/>
  <c r="X17" i="23" s="1"/>
  <c r="BA17" i="23" s="1"/>
  <c r="P8" i="23"/>
  <c r="P9" i="23"/>
  <c r="X9" i="23" s="1"/>
  <c r="BA9" i="23" s="1"/>
  <c r="P13" i="23"/>
  <c r="X13" i="23" s="1"/>
  <c r="BA13" i="23" s="1"/>
  <c r="P22" i="23"/>
  <c r="X22" i="23" s="1"/>
  <c r="BA22" i="23" s="1"/>
  <c r="P23" i="23"/>
  <c r="X23" i="23" s="1"/>
  <c r="BA23" i="23" s="1"/>
  <c r="P24" i="23"/>
  <c r="X24" i="23" s="1"/>
  <c r="BA24" i="23" s="1"/>
  <c r="P25" i="23"/>
  <c r="X25" i="23" s="1"/>
  <c r="BA25" i="23" s="1"/>
  <c r="P26" i="23"/>
  <c r="X26" i="23" s="1"/>
  <c r="BA26" i="23" s="1"/>
  <c r="P27" i="23"/>
  <c r="X27" i="23" s="1"/>
  <c r="BA27" i="23" s="1"/>
  <c r="P28" i="23"/>
  <c r="X28" i="23" s="1"/>
  <c r="BA28" i="23" s="1"/>
  <c r="P29" i="23"/>
  <c r="X29" i="23" s="1"/>
  <c r="BA29" i="23" s="1"/>
  <c r="P30" i="23"/>
  <c r="X30" i="23" s="1"/>
  <c r="BA30" i="23" s="1"/>
  <c r="P31" i="23"/>
  <c r="X31" i="23" s="1"/>
  <c r="BA31" i="23" s="1"/>
  <c r="P32" i="23"/>
  <c r="X32" i="23" s="1"/>
  <c r="BA32" i="23" s="1"/>
  <c r="P33" i="23"/>
  <c r="X33" i="23" s="1"/>
  <c r="BA33" i="23" s="1"/>
  <c r="P34" i="23"/>
  <c r="X34" i="23" s="1"/>
  <c r="BA34" i="23" s="1"/>
  <c r="P35" i="23"/>
  <c r="X35" i="23" s="1"/>
  <c r="BA35" i="23" s="1"/>
  <c r="P36" i="23"/>
  <c r="X36" i="23" s="1"/>
  <c r="BA36" i="23" s="1"/>
  <c r="P37" i="23"/>
  <c r="X37" i="23" s="1"/>
  <c r="BA37" i="23" s="1"/>
  <c r="P38" i="23"/>
  <c r="X38" i="23" s="1"/>
  <c r="BA38" i="23" s="1"/>
  <c r="P33" i="22"/>
  <c r="X33" i="22" s="1"/>
  <c r="BA33" i="22" s="1"/>
  <c r="P23" i="22"/>
  <c r="X23" i="22" s="1"/>
  <c r="BA23" i="22" s="1"/>
  <c r="P8" i="22"/>
  <c r="P11" i="22"/>
  <c r="X11" i="22" s="1"/>
  <c r="BA11" i="22" s="1"/>
  <c r="P13" i="22"/>
  <c r="X13" i="22" s="1"/>
  <c r="BA13" i="22" s="1"/>
  <c r="P19" i="22"/>
  <c r="X19" i="22" s="1"/>
  <c r="BA19" i="22" s="1"/>
  <c r="P22" i="22"/>
  <c r="X22" i="22" s="1"/>
  <c r="BA22" i="22" s="1"/>
  <c r="P9" i="22"/>
  <c r="X9" i="22" s="1"/>
  <c r="BA9" i="22" s="1"/>
  <c r="P31" i="22"/>
  <c r="X31" i="22" s="1"/>
  <c r="BA31" i="22" s="1"/>
  <c r="P32" i="22"/>
  <c r="X32" i="22" s="1"/>
  <c r="BA32" i="22" s="1"/>
  <c r="P24" i="22"/>
  <c r="X24" i="22" s="1"/>
  <c r="BA24" i="22" s="1"/>
  <c r="P35" i="22"/>
  <c r="X35" i="22" s="1"/>
  <c r="BA35" i="22" s="1"/>
  <c r="P25" i="22"/>
  <c r="X25" i="22" s="1"/>
  <c r="BA25" i="22" s="1"/>
  <c r="P14" i="22"/>
  <c r="X14" i="22" s="1"/>
  <c r="BA14" i="22" s="1"/>
  <c r="P37" i="22"/>
  <c r="X37" i="22" s="1"/>
  <c r="BA37" i="22" s="1"/>
  <c r="P12" i="22"/>
  <c r="X12" i="22" s="1"/>
  <c r="BA12" i="22" s="1"/>
  <c r="P16" i="22"/>
  <c r="X16" i="22" s="1"/>
  <c r="BA16" i="22" s="1"/>
  <c r="P30" i="22"/>
  <c r="X30" i="22" s="1"/>
  <c r="BA30" i="22" s="1"/>
  <c r="P21" i="22"/>
  <c r="X21" i="22" s="1"/>
  <c r="BA21" i="22" s="1"/>
  <c r="P10" i="22"/>
  <c r="X10" i="22" s="1"/>
  <c r="BA10" i="22" s="1"/>
  <c r="P18" i="22"/>
  <c r="X18" i="22" s="1"/>
  <c r="BA18" i="22" s="1"/>
  <c r="P29" i="22"/>
  <c r="X29" i="22" s="1"/>
  <c r="BA29" i="22" s="1"/>
  <c r="P36" i="22"/>
  <c r="X36" i="22" s="1"/>
  <c r="BA36" i="22" s="1"/>
  <c r="P20" i="22"/>
  <c r="X20" i="22" s="1"/>
  <c r="BA20" i="22" s="1"/>
  <c r="P27" i="22"/>
  <c r="X27" i="22" s="1"/>
  <c r="BA27" i="22" s="1"/>
  <c r="P34" i="22"/>
  <c r="X34" i="22" s="1"/>
  <c r="BA34" i="22" s="1"/>
  <c r="P17" i="22"/>
  <c r="X17" i="22" s="1"/>
  <c r="BA17" i="22" s="1"/>
  <c r="P28" i="22"/>
  <c r="X28" i="22" s="1"/>
  <c r="BA28" i="22" s="1"/>
  <c r="P15" i="22"/>
  <c r="X15" i="22" s="1"/>
  <c r="BA15" i="22" s="1"/>
  <c r="P26" i="22"/>
  <c r="X26" i="22" s="1"/>
  <c r="BA26" i="22" s="1"/>
  <c r="G146" i="22"/>
  <c r="BK27" i="30"/>
  <c r="J147" i="22"/>
  <c r="L146" i="22"/>
  <c r="BK47" i="30"/>
  <c r="H147" i="22"/>
  <c r="BK23" i="30"/>
  <c r="I147" i="22"/>
  <c r="M146" i="22"/>
  <c r="R70" i="23"/>
  <c r="R71" i="23"/>
  <c r="BJ47" i="30"/>
  <c r="P254" i="1"/>
  <c r="BJ31" i="30"/>
  <c r="Q36" i="22"/>
  <c r="Q14" i="22"/>
  <c r="Q32" i="22"/>
  <c r="Q23" i="22"/>
  <c r="Q31" i="22"/>
  <c r="Q9" i="22"/>
  <c r="Q19" i="22"/>
  <c r="Q30" i="22"/>
  <c r="Q35" i="22"/>
  <c r="Q34" i="22"/>
  <c r="Q15" i="22"/>
  <c r="Q28" i="22"/>
  <c r="Q18" i="22"/>
  <c r="Q24" i="22"/>
  <c r="Q25" i="22"/>
  <c r="Q29" i="22"/>
  <c r="Q11" i="22"/>
  <c r="Q26" i="22"/>
  <c r="Q12" i="22"/>
  <c r="Q20" i="22"/>
  <c r="Q8" i="22"/>
  <c r="AN8" i="22" s="1"/>
  <c r="Q33" i="22"/>
  <c r="Q16" i="22"/>
  <c r="Q37" i="22"/>
  <c r="Q17" i="22"/>
  <c r="Q21" i="22"/>
  <c r="Q10" i="22"/>
  <c r="Q22" i="22"/>
  <c r="Q27" i="22"/>
  <c r="Q13" i="22"/>
  <c r="BK31" i="30"/>
  <c r="Q13" i="21"/>
  <c r="Q17" i="21"/>
  <c r="Q12" i="21"/>
  <c r="Q16" i="21"/>
  <c r="Q15" i="21"/>
  <c r="Q10" i="21"/>
  <c r="Q19" i="21"/>
  <c r="Q14" i="21"/>
  <c r="Q21" i="21"/>
  <c r="Q9" i="21"/>
  <c r="Q18" i="21"/>
  <c r="Q20" i="21"/>
  <c r="Q8" i="21"/>
  <c r="AN8" i="21" s="1"/>
  <c r="Q11" i="21"/>
  <c r="Q22" i="21"/>
  <c r="Q23" i="21"/>
  <c r="Q24" i="21"/>
  <c r="Q25" i="21"/>
  <c r="Q26" i="21"/>
  <c r="Q27" i="21"/>
  <c r="Q28" i="21"/>
  <c r="Q29" i="21"/>
  <c r="Q30" i="21"/>
  <c r="Q31" i="21"/>
  <c r="Q32" i="21"/>
  <c r="Q33" i="21"/>
  <c r="Q34" i="21"/>
  <c r="Q35" i="21"/>
  <c r="Q36" i="21"/>
  <c r="Q37" i="21"/>
  <c r="Q38" i="21"/>
  <c r="Q17" i="18"/>
  <c r="Q21" i="18"/>
  <c r="Q8" i="18"/>
  <c r="AN8" i="18" s="1"/>
  <c r="Q9" i="18"/>
  <c r="Q11" i="18"/>
  <c r="Q12" i="18"/>
  <c r="Q20" i="18"/>
  <c r="Q18" i="18"/>
  <c r="Q19" i="18"/>
  <c r="Q14" i="18"/>
  <c r="Q15" i="18"/>
  <c r="Q16" i="18"/>
  <c r="Q13" i="18"/>
  <c r="Q10" i="18"/>
  <c r="Q22" i="18"/>
  <c r="Q23" i="18"/>
  <c r="Q24" i="18"/>
  <c r="Q25" i="18"/>
  <c r="Q26" i="18"/>
  <c r="Q27" i="18"/>
  <c r="Q28" i="18"/>
  <c r="Q29" i="18"/>
  <c r="Q30" i="18"/>
  <c r="Q31" i="18"/>
  <c r="Q32" i="18"/>
  <c r="Q33" i="18"/>
  <c r="Q34" i="18"/>
  <c r="Q35" i="18"/>
  <c r="Q36" i="18"/>
  <c r="Q11" i="23"/>
  <c r="Q20" i="23"/>
  <c r="Q16" i="23"/>
  <c r="Q8" i="23"/>
  <c r="AN8" i="23" s="1"/>
  <c r="Q18" i="23"/>
  <c r="Q19" i="23"/>
  <c r="Q17" i="23"/>
  <c r="Q15" i="23"/>
  <c r="Q13" i="23"/>
  <c r="Q14" i="23"/>
  <c r="Q9" i="23"/>
  <c r="Q10" i="23"/>
  <c r="Q12" i="23"/>
  <c r="Q21" i="23"/>
  <c r="Q22" i="23"/>
  <c r="Q23" i="23"/>
  <c r="Q24" i="23"/>
  <c r="Q25" i="23"/>
  <c r="Q26" i="23"/>
  <c r="Q27" i="23"/>
  <c r="Q28" i="23"/>
  <c r="Q29" i="23"/>
  <c r="Q30" i="23"/>
  <c r="Q31" i="23"/>
  <c r="Q32" i="23"/>
  <c r="Q33" i="23"/>
  <c r="Q34" i="23"/>
  <c r="Q35" i="23"/>
  <c r="Q36" i="23"/>
  <c r="Q37" i="23"/>
  <c r="Q38" i="23"/>
  <c r="U16" i="23"/>
  <c r="U8" i="23"/>
  <c r="AR8" i="23" s="1"/>
  <c r="U14" i="23"/>
  <c r="U13" i="23"/>
  <c r="U17" i="23"/>
  <c r="U18" i="23"/>
  <c r="U11" i="23"/>
  <c r="U12" i="23"/>
  <c r="U10" i="23"/>
  <c r="U15" i="23"/>
  <c r="U9" i="23"/>
  <c r="U20" i="23"/>
  <c r="U19" i="23"/>
  <c r="U21" i="23"/>
  <c r="U22" i="23"/>
  <c r="U23" i="23"/>
  <c r="U24" i="23"/>
  <c r="U25" i="23"/>
  <c r="U26" i="23"/>
  <c r="U27" i="23"/>
  <c r="U28" i="23"/>
  <c r="U29" i="23"/>
  <c r="U30" i="23"/>
  <c r="U31" i="23"/>
  <c r="U32" i="23"/>
  <c r="U33" i="23"/>
  <c r="U34" i="23"/>
  <c r="U35" i="23"/>
  <c r="U36" i="23"/>
  <c r="U37" i="23"/>
  <c r="U38" i="23"/>
  <c r="S15" i="23"/>
  <c r="AP15" i="23" s="1"/>
  <c r="CL369" i="14" s="1"/>
  <c r="S10" i="23"/>
  <c r="AP10" i="23" s="1"/>
  <c r="CL364" i="14" s="1"/>
  <c r="S16" i="23"/>
  <c r="AP16" i="23" s="1"/>
  <c r="CL370" i="14" s="1"/>
  <c r="S11" i="23"/>
  <c r="AP11" i="23" s="1"/>
  <c r="CL365" i="14" s="1"/>
  <c r="S9" i="23"/>
  <c r="AP9" i="23" s="1"/>
  <c r="CL363" i="14" s="1"/>
  <c r="S13" i="23"/>
  <c r="AP13" i="23" s="1"/>
  <c r="CL367" i="14" s="1"/>
  <c r="S14" i="23"/>
  <c r="AP14" i="23" s="1"/>
  <c r="CL368" i="14" s="1"/>
  <c r="S19" i="23"/>
  <c r="AP19" i="23" s="1"/>
  <c r="CL373" i="14" s="1"/>
  <c r="S17" i="23"/>
  <c r="AP17" i="23" s="1"/>
  <c r="CL371" i="14" s="1"/>
  <c r="S20" i="23"/>
  <c r="AP20" i="23" s="1"/>
  <c r="CL374" i="14" s="1"/>
  <c r="S8" i="23"/>
  <c r="AP8" i="23" s="1"/>
  <c r="CL362" i="14" s="1"/>
  <c r="S18" i="23"/>
  <c r="AP18" i="23" s="1"/>
  <c r="CL372" i="14" s="1"/>
  <c r="S12" i="23"/>
  <c r="AP12" i="23" s="1"/>
  <c r="CL366" i="14" s="1"/>
  <c r="S21" i="23"/>
  <c r="AP21" i="23" s="1"/>
  <c r="CL375" i="14" s="1"/>
  <c r="S22" i="23"/>
  <c r="AP22" i="23" s="1"/>
  <c r="CL376" i="14" s="1"/>
  <c r="S23" i="23"/>
  <c r="AP23" i="23" s="1"/>
  <c r="CL377" i="14" s="1"/>
  <c r="S24" i="23"/>
  <c r="AP24" i="23" s="1"/>
  <c r="CL378" i="14" s="1"/>
  <c r="S25" i="23"/>
  <c r="AP25" i="23" s="1"/>
  <c r="CL379" i="14" s="1"/>
  <c r="S26" i="23"/>
  <c r="AP26" i="23" s="1"/>
  <c r="CL380" i="14" s="1"/>
  <c r="S27" i="23"/>
  <c r="AP27" i="23" s="1"/>
  <c r="CL381" i="14" s="1"/>
  <c r="S28" i="23"/>
  <c r="AP28" i="23" s="1"/>
  <c r="CL382" i="14" s="1"/>
  <c r="S29" i="23"/>
  <c r="AP29" i="23" s="1"/>
  <c r="CL383" i="14" s="1"/>
  <c r="S30" i="23"/>
  <c r="AP30" i="23" s="1"/>
  <c r="CL384" i="14" s="1"/>
  <c r="S31" i="23"/>
  <c r="AP31" i="23" s="1"/>
  <c r="CL385" i="14" s="1"/>
  <c r="S32" i="23"/>
  <c r="AP32" i="23" s="1"/>
  <c r="CL386" i="14" s="1"/>
  <c r="S33" i="23"/>
  <c r="AP33" i="23" s="1"/>
  <c r="CL387" i="14" s="1"/>
  <c r="S34" i="23"/>
  <c r="AP34" i="23" s="1"/>
  <c r="CL388" i="14" s="1"/>
  <c r="S35" i="23"/>
  <c r="AP35" i="23" s="1"/>
  <c r="CL389" i="14" s="1"/>
  <c r="S36" i="23"/>
  <c r="AP36" i="23" s="1"/>
  <c r="CL390" i="14" s="1"/>
  <c r="S37" i="23"/>
  <c r="AP37" i="23" s="1"/>
  <c r="CL391" i="14" s="1"/>
  <c r="S38" i="23"/>
  <c r="AP38" i="23" s="1"/>
  <c r="CL392" i="14" s="1"/>
  <c r="R10" i="23"/>
  <c r="R8" i="23"/>
  <c r="R14" i="23"/>
  <c r="R17" i="23"/>
  <c r="R18" i="23"/>
  <c r="R12" i="23"/>
  <c r="R9" i="23"/>
  <c r="R13" i="23"/>
  <c r="R16" i="23"/>
  <c r="R11" i="23"/>
  <c r="R19" i="23"/>
  <c r="R20" i="23"/>
  <c r="R15" i="23"/>
  <c r="R21" i="23"/>
  <c r="R22" i="23"/>
  <c r="R23" i="23"/>
  <c r="R24" i="23"/>
  <c r="R25" i="23"/>
  <c r="R26" i="23"/>
  <c r="R27" i="23"/>
  <c r="R28" i="23"/>
  <c r="R29" i="23"/>
  <c r="R30" i="23"/>
  <c r="R31" i="23"/>
  <c r="R32" i="23"/>
  <c r="R33" i="23"/>
  <c r="R34" i="23"/>
  <c r="R35" i="23"/>
  <c r="R36" i="23"/>
  <c r="R37" i="23"/>
  <c r="R38" i="23"/>
  <c r="T10" i="23"/>
  <c r="AQ10" i="23" s="1"/>
  <c r="T9" i="23"/>
  <c r="AQ9" i="23" s="1"/>
  <c r="T11" i="23"/>
  <c r="AQ11" i="23" s="1"/>
  <c r="T12" i="23"/>
  <c r="AQ12" i="23" s="1"/>
  <c r="T20" i="23"/>
  <c r="AQ20" i="23" s="1"/>
  <c r="T19" i="23"/>
  <c r="AQ19" i="23" s="1"/>
  <c r="T15" i="23"/>
  <c r="AQ15" i="23" s="1"/>
  <c r="T16" i="23"/>
  <c r="AQ16" i="23" s="1"/>
  <c r="T18" i="23"/>
  <c r="AQ18" i="23" s="1"/>
  <c r="T8" i="23"/>
  <c r="AQ8" i="23" s="1"/>
  <c r="T13" i="23"/>
  <c r="AQ13" i="23" s="1"/>
  <c r="T14" i="23"/>
  <c r="AQ14" i="23" s="1"/>
  <c r="T17" i="23"/>
  <c r="AQ17" i="23" s="1"/>
  <c r="T21" i="23"/>
  <c r="AQ21" i="23" s="1"/>
  <c r="T22" i="23"/>
  <c r="AQ22" i="23" s="1"/>
  <c r="T23" i="23"/>
  <c r="AQ23" i="23" s="1"/>
  <c r="T24" i="23"/>
  <c r="AQ24" i="23" s="1"/>
  <c r="T25" i="23"/>
  <c r="AQ25" i="23" s="1"/>
  <c r="T26" i="23"/>
  <c r="AQ26" i="23" s="1"/>
  <c r="T27" i="23"/>
  <c r="AQ27" i="23" s="1"/>
  <c r="T28" i="23"/>
  <c r="AQ28" i="23" s="1"/>
  <c r="T29" i="23"/>
  <c r="AQ29" i="23" s="1"/>
  <c r="T30" i="23"/>
  <c r="AQ30" i="23" s="1"/>
  <c r="T31" i="23"/>
  <c r="AQ31" i="23" s="1"/>
  <c r="T32" i="23"/>
  <c r="AQ32" i="23" s="1"/>
  <c r="T33" i="23"/>
  <c r="AQ33" i="23" s="1"/>
  <c r="T34" i="23"/>
  <c r="AQ34" i="23" s="1"/>
  <c r="T35" i="23"/>
  <c r="AQ35" i="23" s="1"/>
  <c r="T36" i="23"/>
  <c r="AQ36" i="23" s="1"/>
  <c r="T37" i="23"/>
  <c r="AQ37" i="23" s="1"/>
  <c r="T38" i="23"/>
  <c r="AQ38" i="23" s="1"/>
  <c r="V17" i="23"/>
  <c r="AU371" i="14" s="1"/>
  <c r="V12" i="23"/>
  <c r="AU366" i="14" s="1"/>
  <c r="V14" i="23"/>
  <c r="AU368" i="14" s="1"/>
  <c r="V10" i="23"/>
  <c r="AU364" i="14" s="1"/>
  <c r="V11" i="23"/>
  <c r="AU365" i="14" s="1"/>
  <c r="V18" i="23"/>
  <c r="AU372" i="14" s="1"/>
  <c r="V19" i="23"/>
  <c r="AU373" i="14" s="1"/>
  <c r="V9" i="23"/>
  <c r="AU363" i="14" s="1"/>
  <c r="V16" i="23"/>
  <c r="AU370" i="14" s="1"/>
  <c r="V15" i="23"/>
  <c r="AU369" i="14" s="1"/>
  <c r="V13" i="23"/>
  <c r="AU367" i="14" s="1"/>
  <c r="V8" i="23"/>
  <c r="V20" i="23"/>
  <c r="AU374" i="14" s="1"/>
  <c r="V21" i="23"/>
  <c r="AU375" i="14" s="1"/>
  <c r="V22" i="23"/>
  <c r="AU376" i="14" s="1"/>
  <c r="V23" i="23"/>
  <c r="AU377" i="14" s="1"/>
  <c r="V24" i="23"/>
  <c r="AU378" i="14" s="1"/>
  <c r="V25" i="23"/>
  <c r="AU379" i="14" s="1"/>
  <c r="V26" i="23"/>
  <c r="AU380" i="14" s="1"/>
  <c r="V27" i="23"/>
  <c r="AU381" i="14" s="1"/>
  <c r="V28" i="23"/>
  <c r="AU382" i="14" s="1"/>
  <c r="V29" i="23"/>
  <c r="AU383" i="14" s="1"/>
  <c r="V30" i="23"/>
  <c r="AU384" i="14" s="1"/>
  <c r="V31" i="23"/>
  <c r="AU385" i="14" s="1"/>
  <c r="V32" i="23"/>
  <c r="AU386" i="14" s="1"/>
  <c r="V33" i="23"/>
  <c r="AU387" i="14" s="1"/>
  <c r="V34" i="23"/>
  <c r="AU388" i="14" s="1"/>
  <c r="V35" i="23"/>
  <c r="AU389" i="14" s="1"/>
  <c r="V36" i="23"/>
  <c r="AU390" i="14" s="1"/>
  <c r="V37" i="23"/>
  <c r="AU391" i="14" s="1"/>
  <c r="V38" i="23"/>
  <c r="AU392" i="14" s="1"/>
  <c r="V13" i="18"/>
  <c r="AU216" i="14" s="1"/>
  <c r="V15" i="18"/>
  <c r="AU218" i="14" s="1"/>
  <c r="V9" i="18"/>
  <c r="AU212" i="14" s="1"/>
  <c r="V18" i="18"/>
  <c r="AU221" i="14" s="1"/>
  <c r="V16" i="18"/>
  <c r="AU219" i="14" s="1"/>
  <c r="V20" i="18"/>
  <c r="AU223" i="14" s="1"/>
  <c r="V10" i="18"/>
  <c r="AU213" i="14" s="1"/>
  <c r="V19" i="18"/>
  <c r="AU222" i="14" s="1"/>
  <c r="V12" i="18"/>
  <c r="AU215" i="14" s="1"/>
  <c r="V8" i="18"/>
  <c r="V14" i="18"/>
  <c r="AU217" i="14" s="1"/>
  <c r="V17" i="18"/>
  <c r="AU220" i="14" s="1"/>
  <c r="V21" i="18"/>
  <c r="AU224" i="14" s="1"/>
  <c r="V11" i="18"/>
  <c r="AU214" i="14" s="1"/>
  <c r="V22" i="18"/>
  <c r="AU225" i="14" s="1"/>
  <c r="V23" i="18"/>
  <c r="AU226" i="14" s="1"/>
  <c r="V24" i="18"/>
  <c r="AU227" i="14" s="1"/>
  <c r="V25" i="18"/>
  <c r="AU228" i="14" s="1"/>
  <c r="V26" i="18"/>
  <c r="AU229" i="14" s="1"/>
  <c r="V27" i="18"/>
  <c r="AU230" i="14" s="1"/>
  <c r="V28" i="18"/>
  <c r="AU231" i="14" s="1"/>
  <c r="V29" i="18"/>
  <c r="AU232" i="14" s="1"/>
  <c r="V30" i="18"/>
  <c r="AU233" i="14" s="1"/>
  <c r="V31" i="18"/>
  <c r="AU234" i="14" s="1"/>
  <c r="V32" i="18"/>
  <c r="AU235" i="14" s="1"/>
  <c r="V33" i="18"/>
  <c r="AU236" i="14" s="1"/>
  <c r="V34" i="18"/>
  <c r="AU237" i="14" s="1"/>
  <c r="V35" i="18"/>
  <c r="AU238" i="14" s="1"/>
  <c r="V36" i="18"/>
  <c r="AU239" i="14" s="1"/>
  <c r="S26" i="20"/>
  <c r="AP26" i="20" s="1"/>
  <c r="CL289" i="14" s="1"/>
  <c r="S33" i="20"/>
  <c r="AP33" i="20" s="1"/>
  <c r="CL296" i="14" s="1"/>
  <c r="S31" i="20"/>
  <c r="AP31" i="20" s="1"/>
  <c r="CL294" i="14" s="1"/>
  <c r="S12" i="20"/>
  <c r="AP12" i="20" s="1"/>
  <c r="CL275" i="14" s="1"/>
  <c r="S19" i="20"/>
  <c r="AP19" i="20" s="1"/>
  <c r="CL282" i="14" s="1"/>
  <c r="S14" i="20"/>
  <c r="AP14" i="20" s="1"/>
  <c r="CL277" i="14" s="1"/>
  <c r="S35" i="20"/>
  <c r="AP35" i="20" s="1"/>
  <c r="CL298" i="14" s="1"/>
  <c r="S36" i="20"/>
  <c r="AP36" i="20" s="1"/>
  <c r="CL299" i="14" s="1"/>
  <c r="S20" i="20"/>
  <c r="AP20" i="20" s="1"/>
  <c r="CL283" i="14" s="1"/>
  <c r="S32" i="20"/>
  <c r="AP32" i="20" s="1"/>
  <c r="CL295" i="14" s="1"/>
  <c r="S8" i="20"/>
  <c r="AP8" i="20" s="1"/>
  <c r="CL271" i="14" s="1"/>
  <c r="S11" i="20"/>
  <c r="AP11" i="20" s="1"/>
  <c r="CL274" i="14" s="1"/>
  <c r="S22" i="20"/>
  <c r="AP22" i="20" s="1"/>
  <c r="CL285" i="14" s="1"/>
  <c r="S23" i="20"/>
  <c r="AP23" i="20" s="1"/>
  <c r="CL286" i="14" s="1"/>
  <c r="S28" i="20"/>
  <c r="AP28" i="20" s="1"/>
  <c r="CL291" i="14" s="1"/>
  <c r="S27" i="20"/>
  <c r="AP27" i="20" s="1"/>
  <c r="CL290" i="14" s="1"/>
  <c r="S24" i="20"/>
  <c r="AP24" i="20" s="1"/>
  <c r="CL287" i="14" s="1"/>
  <c r="S25" i="20"/>
  <c r="AP25" i="20" s="1"/>
  <c r="CL288" i="14" s="1"/>
  <c r="S30" i="20"/>
  <c r="AP30" i="20" s="1"/>
  <c r="CL293" i="14" s="1"/>
  <c r="S37" i="20"/>
  <c r="AP37" i="20" s="1"/>
  <c r="CL300" i="14" s="1"/>
  <c r="S29" i="20"/>
  <c r="AP29" i="20" s="1"/>
  <c r="CL292" i="14" s="1"/>
  <c r="S16" i="20"/>
  <c r="AP16" i="20" s="1"/>
  <c r="CL279" i="14" s="1"/>
  <c r="S9" i="20"/>
  <c r="AP9" i="20" s="1"/>
  <c r="CL272" i="14" s="1"/>
  <c r="S18" i="20"/>
  <c r="AP18" i="20" s="1"/>
  <c r="CL281" i="14" s="1"/>
  <c r="S13" i="20"/>
  <c r="AP13" i="20" s="1"/>
  <c r="CL276" i="14" s="1"/>
  <c r="S17" i="20"/>
  <c r="AP17" i="20" s="1"/>
  <c r="CL280" i="14" s="1"/>
  <c r="S10" i="20"/>
  <c r="AP10" i="20" s="1"/>
  <c r="CL273" i="14" s="1"/>
  <c r="S15" i="20"/>
  <c r="AP15" i="20" s="1"/>
  <c r="CL278" i="14" s="1"/>
  <c r="S34" i="20"/>
  <c r="AP34" i="20" s="1"/>
  <c r="CL297" i="14" s="1"/>
  <c r="S21" i="20"/>
  <c r="AP21" i="20" s="1"/>
  <c r="CL284" i="14" s="1"/>
  <c r="T20" i="21"/>
  <c r="AQ20" i="21" s="1"/>
  <c r="T9" i="21"/>
  <c r="AQ9" i="21" s="1"/>
  <c r="T8" i="21"/>
  <c r="AQ8" i="21" s="1"/>
  <c r="T13" i="21"/>
  <c r="AQ13" i="21" s="1"/>
  <c r="T21" i="21"/>
  <c r="AQ21" i="21" s="1"/>
  <c r="T15" i="21"/>
  <c r="AQ15" i="21" s="1"/>
  <c r="T18" i="21"/>
  <c r="AQ18" i="21" s="1"/>
  <c r="T19" i="21"/>
  <c r="AQ19" i="21" s="1"/>
  <c r="T16" i="21"/>
  <c r="AQ16" i="21" s="1"/>
  <c r="T12" i="21"/>
  <c r="AQ12" i="21" s="1"/>
  <c r="T11" i="21"/>
  <c r="AQ11" i="21" s="1"/>
  <c r="T14" i="21"/>
  <c r="AQ14" i="21" s="1"/>
  <c r="T10" i="21"/>
  <c r="AQ10" i="21" s="1"/>
  <c r="T17" i="21"/>
  <c r="AQ17" i="21" s="1"/>
  <c r="T22" i="21"/>
  <c r="AQ22" i="21" s="1"/>
  <c r="T23" i="21"/>
  <c r="AQ23" i="21" s="1"/>
  <c r="T24" i="21"/>
  <c r="AQ24" i="21" s="1"/>
  <c r="T25" i="21"/>
  <c r="AQ25" i="21" s="1"/>
  <c r="T26" i="21"/>
  <c r="AQ26" i="21" s="1"/>
  <c r="T27" i="21"/>
  <c r="AQ27" i="21" s="1"/>
  <c r="T28" i="21"/>
  <c r="AQ28" i="21" s="1"/>
  <c r="T29" i="21"/>
  <c r="AQ29" i="21" s="1"/>
  <c r="T30" i="21"/>
  <c r="AQ30" i="21" s="1"/>
  <c r="T31" i="21"/>
  <c r="AQ31" i="21" s="1"/>
  <c r="T32" i="21"/>
  <c r="AQ32" i="21" s="1"/>
  <c r="T33" i="21"/>
  <c r="AQ33" i="21" s="1"/>
  <c r="T34" i="21"/>
  <c r="AQ34" i="21" s="1"/>
  <c r="T35" i="21"/>
  <c r="AQ35" i="21" s="1"/>
  <c r="T36" i="21"/>
  <c r="AQ36" i="21" s="1"/>
  <c r="T37" i="21"/>
  <c r="AQ37" i="21" s="1"/>
  <c r="T38" i="21"/>
  <c r="AQ38" i="21" s="1"/>
  <c r="R72" i="23"/>
  <c r="K15" i="29"/>
  <c r="P20" i="18"/>
  <c r="P13" i="18"/>
  <c r="P12" i="18"/>
  <c r="P11" i="18"/>
  <c r="P8" i="18"/>
  <c r="AM8" i="18" s="1"/>
  <c r="P10" i="18"/>
  <c r="P9" i="18"/>
  <c r="P16" i="18"/>
  <c r="P19" i="18"/>
  <c r="P14" i="18"/>
  <c r="P15" i="18"/>
  <c r="P18" i="18"/>
  <c r="P17" i="18"/>
  <c r="P21" i="18"/>
  <c r="P22" i="18"/>
  <c r="P23" i="18"/>
  <c r="P24" i="18"/>
  <c r="P25" i="18"/>
  <c r="P26" i="18"/>
  <c r="P27" i="18"/>
  <c r="P28" i="18"/>
  <c r="P29" i="18"/>
  <c r="P30" i="18"/>
  <c r="P31" i="18"/>
  <c r="P32" i="18"/>
  <c r="P33" i="18"/>
  <c r="P34" i="18"/>
  <c r="P35" i="18"/>
  <c r="P36" i="18"/>
  <c r="T14" i="18"/>
  <c r="AQ14" i="18" s="1"/>
  <c r="T11" i="18"/>
  <c r="AQ11" i="18" s="1"/>
  <c r="T15" i="18"/>
  <c r="AQ15" i="18" s="1"/>
  <c r="T12" i="18"/>
  <c r="AQ12" i="18" s="1"/>
  <c r="T19" i="18"/>
  <c r="AQ19" i="18" s="1"/>
  <c r="T18" i="18"/>
  <c r="AQ18" i="18" s="1"/>
  <c r="T8" i="18"/>
  <c r="AQ8" i="18" s="1"/>
  <c r="T13" i="18"/>
  <c r="AQ13" i="18" s="1"/>
  <c r="T20" i="18"/>
  <c r="AQ20" i="18" s="1"/>
  <c r="T17" i="18"/>
  <c r="AQ17" i="18" s="1"/>
  <c r="T9" i="18"/>
  <c r="AQ9" i="18" s="1"/>
  <c r="T16" i="18"/>
  <c r="AQ16" i="18" s="1"/>
  <c r="T21" i="18"/>
  <c r="AQ21" i="18" s="1"/>
  <c r="T10" i="18"/>
  <c r="AQ10" i="18" s="1"/>
  <c r="T22" i="18"/>
  <c r="AQ22" i="18" s="1"/>
  <c r="T23" i="18"/>
  <c r="AQ23" i="18" s="1"/>
  <c r="T24" i="18"/>
  <c r="AQ24" i="18" s="1"/>
  <c r="T25" i="18"/>
  <c r="AQ25" i="18" s="1"/>
  <c r="T26" i="18"/>
  <c r="AQ26" i="18" s="1"/>
  <c r="T27" i="18"/>
  <c r="AQ27" i="18" s="1"/>
  <c r="T28" i="18"/>
  <c r="AQ28" i="18" s="1"/>
  <c r="T29" i="18"/>
  <c r="AQ29" i="18" s="1"/>
  <c r="T30" i="18"/>
  <c r="AQ30" i="18" s="1"/>
  <c r="T31" i="18"/>
  <c r="AQ31" i="18" s="1"/>
  <c r="T32" i="18"/>
  <c r="AQ32" i="18" s="1"/>
  <c r="T33" i="18"/>
  <c r="AQ33" i="18" s="1"/>
  <c r="T34" i="18"/>
  <c r="AQ34" i="18" s="1"/>
  <c r="T35" i="18"/>
  <c r="AQ35" i="18" s="1"/>
  <c r="T36" i="18"/>
  <c r="AQ36" i="18" s="1"/>
  <c r="R73" i="18"/>
  <c r="D16" i="29"/>
  <c r="R23" i="20"/>
  <c r="R35" i="20"/>
  <c r="R14" i="20"/>
  <c r="R24" i="20"/>
  <c r="R17" i="20"/>
  <c r="R27" i="20"/>
  <c r="R37" i="20"/>
  <c r="R32" i="20"/>
  <c r="R12" i="20"/>
  <c r="R33" i="20"/>
  <c r="R31" i="20"/>
  <c r="R22" i="20"/>
  <c r="R10" i="20"/>
  <c r="R28" i="20"/>
  <c r="R8" i="20"/>
  <c r="R30" i="20"/>
  <c r="R18" i="20"/>
  <c r="R19" i="20"/>
  <c r="R20" i="20"/>
  <c r="R21" i="20"/>
  <c r="R16" i="20"/>
  <c r="R9" i="20"/>
  <c r="R11" i="20"/>
  <c r="R15" i="20"/>
  <c r="R29" i="20"/>
  <c r="R25" i="20"/>
  <c r="R13" i="20"/>
  <c r="R34" i="20"/>
  <c r="R26" i="20"/>
  <c r="R36" i="20"/>
  <c r="T24" i="20"/>
  <c r="T10" i="20"/>
  <c r="T17" i="20"/>
  <c r="T18" i="20"/>
  <c r="T8" i="20"/>
  <c r="AQ8" i="20" s="1"/>
  <c r="T20" i="20"/>
  <c r="T36" i="20"/>
  <c r="T30" i="20"/>
  <c r="T15" i="20"/>
  <c r="T35" i="20"/>
  <c r="T25" i="20"/>
  <c r="T34" i="20"/>
  <c r="T16" i="20"/>
  <c r="T11" i="20"/>
  <c r="T32" i="20"/>
  <c r="T37" i="20"/>
  <c r="T19" i="20"/>
  <c r="T26" i="20"/>
  <c r="T14" i="20"/>
  <c r="T33" i="20"/>
  <c r="T31" i="20"/>
  <c r="T23" i="20"/>
  <c r="T9" i="20"/>
  <c r="T12" i="20"/>
  <c r="T29" i="20"/>
  <c r="T28" i="20"/>
  <c r="T22" i="20"/>
  <c r="T13" i="20"/>
  <c r="T21" i="20"/>
  <c r="T27" i="20"/>
  <c r="R70" i="20"/>
  <c r="R31" i="22"/>
  <c r="R20" i="22"/>
  <c r="R33" i="22"/>
  <c r="R21" i="22"/>
  <c r="R28" i="22"/>
  <c r="R35" i="22"/>
  <c r="R8" i="22"/>
  <c r="R16" i="22"/>
  <c r="R22" i="22"/>
  <c r="R37" i="22"/>
  <c r="R10" i="22"/>
  <c r="R34" i="22"/>
  <c r="R29" i="22"/>
  <c r="R15" i="22"/>
  <c r="R18" i="22"/>
  <c r="R19" i="22"/>
  <c r="R30" i="22"/>
  <c r="R36" i="22"/>
  <c r="R9" i="22"/>
  <c r="R23" i="22"/>
  <c r="R11" i="22"/>
  <c r="R32" i="22"/>
  <c r="R14" i="22"/>
  <c r="R26" i="22"/>
  <c r="R24" i="22"/>
  <c r="R17" i="22"/>
  <c r="R13" i="22"/>
  <c r="R25" i="22"/>
  <c r="R27" i="22"/>
  <c r="R12" i="22"/>
  <c r="R72" i="22"/>
  <c r="I15" i="29"/>
  <c r="AI15" i="22"/>
  <c r="AI36" i="22"/>
  <c r="AI22" i="22"/>
  <c r="AI8" i="22"/>
  <c r="AI17" i="22"/>
  <c r="AI23" i="22"/>
  <c r="AI10" i="22"/>
  <c r="AI30" i="22"/>
  <c r="AI34" i="22"/>
  <c r="AI27" i="22"/>
  <c r="AI12" i="22"/>
  <c r="AI33" i="22"/>
  <c r="AI11" i="22"/>
  <c r="AI20" i="22"/>
  <c r="AI28" i="22"/>
  <c r="AI13" i="22"/>
  <c r="AI18" i="22"/>
  <c r="AI26" i="22"/>
  <c r="AI9" i="22"/>
  <c r="AI16" i="22"/>
  <c r="AI35" i="22"/>
  <c r="AI29" i="22"/>
  <c r="AI21" i="22"/>
  <c r="AI37" i="22"/>
  <c r="AI14" i="22"/>
  <c r="AI19" i="22"/>
  <c r="AI24" i="22"/>
  <c r="AI31" i="22"/>
  <c r="AI32" i="22"/>
  <c r="AI25" i="22"/>
  <c r="R71" i="22"/>
  <c r="AH19" i="22"/>
  <c r="AH26" i="22"/>
  <c r="AH22" i="22"/>
  <c r="AH21" i="22"/>
  <c r="AH16" i="22"/>
  <c r="AH15" i="22"/>
  <c r="AH18" i="22"/>
  <c r="AH36" i="22"/>
  <c r="AH23" i="22"/>
  <c r="AH13" i="22"/>
  <c r="AH31" i="22"/>
  <c r="AH29" i="22"/>
  <c r="AH28" i="22"/>
  <c r="AH32" i="22"/>
  <c r="AH14" i="22"/>
  <c r="AH33" i="22"/>
  <c r="AH20" i="22"/>
  <c r="AH8" i="22"/>
  <c r="AH10" i="22"/>
  <c r="AH37" i="22"/>
  <c r="AH9" i="22"/>
  <c r="AH24" i="22"/>
  <c r="AH35" i="22"/>
  <c r="AH34" i="22"/>
  <c r="AH27" i="22"/>
  <c r="AH11" i="22"/>
  <c r="AH30" i="22"/>
  <c r="AH17" i="22"/>
  <c r="AH12" i="22"/>
  <c r="AH25" i="22"/>
  <c r="R73" i="21"/>
  <c r="H16" i="29"/>
  <c r="R72" i="21"/>
  <c r="H15" i="29"/>
  <c r="T13" i="19"/>
  <c r="T11" i="19"/>
  <c r="T8" i="19"/>
  <c r="AQ8" i="19" s="1"/>
  <c r="T10" i="19"/>
  <c r="T12" i="19"/>
  <c r="T18" i="19"/>
  <c r="T21" i="19"/>
  <c r="T20" i="19"/>
  <c r="T15" i="19"/>
  <c r="T9" i="19"/>
  <c r="T19" i="19"/>
  <c r="T14" i="19"/>
  <c r="T17" i="19"/>
  <c r="T16" i="19"/>
  <c r="T22" i="19"/>
  <c r="T23" i="19"/>
  <c r="T24" i="19"/>
  <c r="T25" i="19"/>
  <c r="T26" i="19"/>
  <c r="T27" i="19"/>
  <c r="T28" i="19"/>
  <c r="T29" i="19"/>
  <c r="T30" i="19"/>
  <c r="T31" i="19"/>
  <c r="T32" i="19"/>
  <c r="T33" i="19"/>
  <c r="T34" i="19"/>
  <c r="T35" i="19"/>
  <c r="T36" i="19"/>
  <c r="T37" i="19"/>
  <c r="T38" i="19"/>
  <c r="V15" i="19"/>
  <c r="AU247" i="14" s="1"/>
  <c r="V16" i="19"/>
  <c r="AU248" i="14" s="1"/>
  <c r="V20" i="19"/>
  <c r="AU252" i="14" s="1"/>
  <c r="V21" i="19"/>
  <c r="AU253" i="14" s="1"/>
  <c r="V9" i="19"/>
  <c r="AU241" i="14" s="1"/>
  <c r="V8" i="19"/>
  <c r="V18" i="19"/>
  <c r="AU250" i="14" s="1"/>
  <c r="V11" i="19"/>
  <c r="AU243" i="14" s="1"/>
  <c r="V19" i="19"/>
  <c r="AU251" i="14" s="1"/>
  <c r="V12" i="19"/>
  <c r="AU244" i="14" s="1"/>
  <c r="V14" i="19"/>
  <c r="AU246" i="14" s="1"/>
  <c r="V13" i="19"/>
  <c r="AU245" i="14" s="1"/>
  <c r="V17" i="19"/>
  <c r="AU249" i="14" s="1"/>
  <c r="V10" i="19"/>
  <c r="AU242" i="14" s="1"/>
  <c r="V22" i="19"/>
  <c r="AU254" i="14" s="1"/>
  <c r="V23" i="19"/>
  <c r="AU255" i="14" s="1"/>
  <c r="V24" i="19"/>
  <c r="AU256" i="14" s="1"/>
  <c r="V25" i="19"/>
  <c r="AU257" i="14" s="1"/>
  <c r="V26" i="19"/>
  <c r="AU258" i="14" s="1"/>
  <c r="V27" i="19"/>
  <c r="AU259" i="14" s="1"/>
  <c r="V28" i="19"/>
  <c r="AU260" i="14" s="1"/>
  <c r="V29" i="19"/>
  <c r="AU261" i="14" s="1"/>
  <c r="V30" i="19"/>
  <c r="AU262" i="14" s="1"/>
  <c r="V31" i="19"/>
  <c r="AU263" i="14" s="1"/>
  <c r="V32" i="19"/>
  <c r="AU264" i="14" s="1"/>
  <c r="V33" i="19"/>
  <c r="AU265" i="14" s="1"/>
  <c r="V34" i="19"/>
  <c r="AU266" i="14" s="1"/>
  <c r="V35" i="19"/>
  <c r="AU267" i="14" s="1"/>
  <c r="V36" i="19"/>
  <c r="AU268" i="14" s="1"/>
  <c r="V37" i="19"/>
  <c r="AU269" i="14" s="1"/>
  <c r="V38" i="19"/>
  <c r="AU270" i="14" s="1"/>
  <c r="R72" i="19"/>
  <c r="E15" i="29"/>
  <c r="R8" i="18"/>
  <c r="R17" i="18"/>
  <c r="R18" i="18"/>
  <c r="R9" i="18"/>
  <c r="R10" i="18"/>
  <c r="R15" i="18"/>
  <c r="R16" i="18"/>
  <c r="R20" i="18"/>
  <c r="R14" i="18"/>
  <c r="R13" i="18"/>
  <c r="R11" i="18"/>
  <c r="R12" i="18"/>
  <c r="R19" i="18"/>
  <c r="R21" i="18"/>
  <c r="R22" i="18"/>
  <c r="R23" i="18"/>
  <c r="R24" i="18"/>
  <c r="R25" i="18"/>
  <c r="R26" i="18"/>
  <c r="R27" i="18"/>
  <c r="R28" i="18"/>
  <c r="R29" i="18"/>
  <c r="R30" i="18"/>
  <c r="R31" i="18"/>
  <c r="R32" i="18"/>
  <c r="R33" i="18"/>
  <c r="R34" i="18"/>
  <c r="R35" i="18"/>
  <c r="R36" i="18"/>
  <c r="R72" i="18"/>
  <c r="D15" i="29"/>
  <c r="V20" i="20"/>
  <c r="AU283" i="14" s="1"/>
  <c r="V10" i="20"/>
  <c r="AU273" i="14" s="1"/>
  <c r="V11" i="20"/>
  <c r="AU274" i="14" s="1"/>
  <c r="V37" i="20"/>
  <c r="AU300" i="14" s="1"/>
  <c r="V23" i="20"/>
  <c r="AU286" i="14" s="1"/>
  <c r="V19" i="20"/>
  <c r="AU282" i="14" s="1"/>
  <c r="V18" i="20"/>
  <c r="AU281" i="14" s="1"/>
  <c r="V33" i="20"/>
  <c r="AU296" i="14" s="1"/>
  <c r="V30" i="20"/>
  <c r="AU293" i="14" s="1"/>
  <c r="V14" i="20"/>
  <c r="AU277" i="14" s="1"/>
  <c r="V12" i="20"/>
  <c r="AU275" i="14" s="1"/>
  <c r="V36" i="20"/>
  <c r="AU299" i="14" s="1"/>
  <c r="V24" i="20"/>
  <c r="AU287" i="14" s="1"/>
  <c r="V27" i="20"/>
  <c r="AU290" i="14" s="1"/>
  <c r="V21" i="20"/>
  <c r="AU284" i="14" s="1"/>
  <c r="V17" i="20"/>
  <c r="AU280" i="14" s="1"/>
  <c r="V32" i="20"/>
  <c r="AU295" i="14" s="1"/>
  <c r="V25" i="20"/>
  <c r="AU288" i="14" s="1"/>
  <c r="V9" i="20"/>
  <c r="AU272" i="14" s="1"/>
  <c r="V31" i="20"/>
  <c r="AU294" i="14" s="1"/>
  <c r="V8" i="20"/>
  <c r="V16" i="20"/>
  <c r="AU279" i="14" s="1"/>
  <c r="V29" i="20"/>
  <c r="AU292" i="14" s="1"/>
  <c r="V22" i="20"/>
  <c r="AU285" i="14" s="1"/>
  <c r="V28" i="20"/>
  <c r="AU291" i="14" s="1"/>
  <c r="V34" i="20"/>
  <c r="AU297" i="14" s="1"/>
  <c r="V26" i="20"/>
  <c r="AU289" i="14" s="1"/>
  <c r="V13" i="20"/>
  <c r="AU276" i="14" s="1"/>
  <c r="V15" i="20"/>
  <c r="AU278" i="14" s="1"/>
  <c r="V35" i="20"/>
  <c r="AU298" i="14" s="1"/>
  <c r="R71" i="20"/>
  <c r="R73" i="20"/>
  <c r="G16" i="29"/>
  <c r="V15" i="22"/>
  <c r="AU339" i="14" s="1"/>
  <c r="V8" i="22"/>
  <c r="V14" i="22"/>
  <c r="AU338" i="14" s="1"/>
  <c r="V27" i="22"/>
  <c r="AU351" i="14" s="1"/>
  <c r="V9" i="22"/>
  <c r="AU333" i="14" s="1"/>
  <c r="V11" i="22"/>
  <c r="AU335" i="14" s="1"/>
  <c r="V36" i="22"/>
  <c r="AU360" i="14" s="1"/>
  <c r="V16" i="22"/>
  <c r="AU340" i="14" s="1"/>
  <c r="V35" i="22"/>
  <c r="AU359" i="14" s="1"/>
  <c r="V29" i="22"/>
  <c r="AU353" i="14" s="1"/>
  <c r="V37" i="22"/>
  <c r="AU361" i="14" s="1"/>
  <c r="V20" i="22"/>
  <c r="AU344" i="14" s="1"/>
  <c r="V33" i="22"/>
  <c r="AU357" i="14" s="1"/>
  <c r="V26" i="22"/>
  <c r="AU350" i="14" s="1"/>
  <c r="V12" i="22"/>
  <c r="AU336" i="14" s="1"/>
  <c r="V10" i="22"/>
  <c r="AU334" i="14" s="1"/>
  <c r="V21" i="22"/>
  <c r="AU345" i="14" s="1"/>
  <c r="V18" i="22"/>
  <c r="AU342" i="14" s="1"/>
  <c r="V17" i="22"/>
  <c r="AU341" i="14" s="1"/>
  <c r="V31" i="22"/>
  <c r="AU355" i="14" s="1"/>
  <c r="V24" i="22"/>
  <c r="AU348" i="14" s="1"/>
  <c r="V23" i="22"/>
  <c r="AU347" i="14" s="1"/>
  <c r="V25" i="22"/>
  <c r="AU349" i="14" s="1"/>
  <c r="V22" i="22"/>
  <c r="AU346" i="14" s="1"/>
  <c r="V19" i="22"/>
  <c r="AU343" i="14" s="1"/>
  <c r="V13" i="22"/>
  <c r="AU337" i="14" s="1"/>
  <c r="V34" i="22"/>
  <c r="AU358" i="14" s="1"/>
  <c r="V30" i="22"/>
  <c r="AU354" i="14" s="1"/>
  <c r="V32" i="22"/>
  <c r="AU356" i="14" s="1"/>
  <c r="V28" i="22"/>
  <c r="AU352" i="14" s="1"/>
  <c r="S15" i="21"/>
  <c r="AP15" i="21" s="1"/>
  <c r="CL308" i="14" s="1"/>
  <c r="S8" i="21"/>
  <c r="AP8" i="21" s="1"/>
  <c r="CL301" i="14" s="1"/>
  <c r="S11" i="21"/>
  <c r="AP11" i="21" s="1"/>
  <c r="CL304" i="14" s="1"/>
  <c r="S10" i="21"/>
  <c r="AP10" i="21" s="1"/>
  <c r="CL303" i="14" s="1"/>
  <c r="S17" i="21"/>
  <c r="AP17" i="21" s="1"/>
  <c r="CL310" i="14" s="1"/>
  <c r="S18" i="21"/>
  <c r="AP18" i="21" s="1"/>
  <c r="CL311" i="14" s="1"/>
  <c r="S16" i="21"/>
  <c r="AP16" i="21" s="1"/>
  <c r="CL309" i="14" s="1"/>
  <c r="S9" i="21"/>
  <c r="AP9" i="21" s="1"/>
  <c r="CL302" i="14" s="1"/>
  <c r="S13" i="21"/>
  <c r="AP13" i="21" s="1"/>
  <c r="CL306" i="14" s="1"/>
  <c r="S19" i="21"/>
  <c r="AP19" i="21" s="1"/>
  <c r="CL312" i="14" s="1"/>
  <c r="S12" i="21"/>
  <c r="AP12" i="21" s="1"/>
  <c r="CL305" i="14" s="1"/>
  <c r="S21" i="21"/>
  <c r="AP21" i="21" s="1"/>
  <c r="CL314" i="14" s="1"/>
  <c r="S14" i="21"/>
  <c r="AP14" i="21" s="1"/>
  <c r="CL307" i="14" s="1"/>
  <c r="S20" i="21"/>
  <c r="AP20" i="21" s="1"/>
  <c r="CL313" i="14" s="1"/>
  <c r="S22" i="21"/>
  <c r="AP22" i="21" s="1"/>
  <c r="CL315" i="14" s="1"/>
  <c r="S23" i="21"/>
  <c r="AP23" i="21" s="1"/>
  <c r="CL316" i="14" s="1"/>
  <c r="S24" i="21"/>
  <c r="AP24" i="21" s="1"/>
  <c r="CL317" i="14" s="1"/>
  <c r="S25" i="21"/>
  <c r="AP25" i="21" s="1"/>
  <c r="CL318" i="14" s="1"/>
  <c r="S26" i="21"/>
  <c r="AP26" i="21" s="1"/>
  <c r="CL319" i="14" s="1"/>
  <c r="S27" i="21"/>
  <c r="AP27" i="21" s="1"/>
  <c r="CL320" i="14" s="1"/>
  <c r="S28" i="21"/>
  <c r="AP28" i="21" s="1"/>
  <c r="CL321" i="14" s="1"/>
  <c r="S29" i="21"/>
  <c r="AP29" i="21" s="1"/>
  <c r="CL322" i="14" s="1"/>
  <c r="S30" i="21"/>
  <c r="AP30" i="21" s="1"/>
  <c r="CL323" i="14" s="1"/>
  <c r="S31" i="21"/>
  <c r="AP31" i="21" s="1"/>
  <c r="CL324" i="14" s="1"/>
  <c r="S32" i="21"/>
  <c r="AP32" i="21" s="1"/>
  <c r="CL325" i="14" s="1"/>
  <c r="S33" i="21"/>
  <c r="AP33" i="21" s="1"/>
  <c r="CL326" i="14" s="1"/>
  <c r="S34" i="21"/>
  <c r="AP34" i="21" s="1"/>
  <c r="CL327" i="14" s="1"/>
  <c r="S35" i="21"/>
  <c r="AP35" i="21" s="1"/>
  <c r="CL328" i="14" s="1"/>
  <c r="S36" i="21"/>
  <c r="AP36" i="21" s="1"/>
  <c r="CL329" i="14" s="1"/>
  <c r="S37" i="21"/>
  <c r="AP37" i="21" s="1"/>
  <c r="CL330" i="14" s="1"/>
  <c r="S38" i="21"/>
  <c r="AP38" i="21" s="1"/>
  <c r="CL331" i="14" s="1"/>
  <c r="U20" i="21"/>
  <c r="U11" i="21"/>
  <c r="U14" i="21"/>
  <c r="U12" i="21"/>
  <c r="U19" i="21"/>
  <c r="U13" i="21"/>
  <c r="U10" i="21"/>
  <c r="U17" i="21"/>
  <c r="U18" i="21"/>
  <c r="U21" i="21"/>
  <c r="U16" i="21"/>
  <c r="U15" i="21"/>
  <c r="U9" i="21"/>
  <c r="U8" i="21"/>
  <c r="AR8" i="21" s="1"/>
  <c r="U22" i="21"/>
  <c r="U23" i="21"/>
  <c r="U24" i="21"/>
  <c r="U25" i="21"/>
  <c r="U26" i="21"/>
  <c r="U27" i="21"/>
  <c r="U28" i="21"/>
  <c r="U29" i="21"/>
  <c r="U30" i="21"/>
  <c r="U31" i="21"/>
  <c r="U32" i="21"/>
  <c r="U33" i="21"/>
  <c r="U34" i="21"/>
  <c r="U35" i="21"/>
  <c r="U36" i="21"/>
  <c r="U37" i="21"/>
  <c r="U38" i="21"/>
  <c r="Q19" i="19"/>
  <c r="Q20" i="19"/>
  <c r="AN20" i="19" s="1"/>
  <c r="Q21" i="19"/>
  <c r="AN21" i="19" s="1"/>
  <c r="Q12" i="19"/>
  <c r="Q11" i="19"/>
  <c r="Q14" i="19"/>
  <c r="AN14" i="19" s="1"/>
  <c r="Q13" i="19"/>
  <c r="Q15" i="19"/>
  <c r="Q16" i="19"/>
  <c r="Q9" i="19"/>
  <c r="AN9" i="19" s="1"/>
  <c r="Q10" i="19"/>
  <c r="Q17" i="19"/>
  <c r="Q8" i="19"/>
  <c r="AN8" i="19" s="1"/>
  <c r="Q18" i="19"/>
  <c r="AN18" i="19" s="1"/>
  <c r="Q22" i="19"/>
  <c r="AN22" i="19" s="1"/>
  <c r="Q23" i="19"/>
  <c r="AN23" i="19" s="1"/>
  <c r="Q24" i="19"/>
  <c r="AN24" i="19" s="1"/>
  <c r="Q25" i="19"/>
  <c r="AN25" i="19" s="1"/>
  <c r="Q26" i="19"/>
  <c r="AN26" i="19" s="1"/>
  <c r="Q27" i="19"/>
  <c r="AN27" i="19" s="1"/>
  <c r="Q28" i="19"/>
  <c r="AN28" i="19" s="1"/>
  <c r="Q29" i="19"/>
  <c r="Y29" i="19" s="1"/>
  <c r="BB29" i="19" s="1"/>
  <c r="Q30" i="19"/>
  <c r="AN30" i="19" s="1"/>
  <c r="Q31" i="19"/>
  <c r="Y31" i="19" s="1"/>
  <c r="BB31" i="19" s="1"/>
  <c r="Q32" i="19"/>
  <c r="AN32" i="19" s="1"/>
  <c r="Q33" i="19"/>
  <c r="Y33" i="19" s="1"/>
  <c r="BB33" i="19" s="1"/>
  <c r="Q34" i="19"/>
  <c r="AN34" i="19" s="1"/>
  <c r="Q35" i="19"/>
  <c r="AN35" i="19" s="1"/>
  <c r="Q36" i="19"/>
  <c r="AN36" i="19" s="1"/>
  <c r="Q37" i="19"/>
  <c r="Y37" i="19" s="1"/>
  <c r="BB37" i="19" s="1"/>
  <c r="Q38" i="19"/>
  <c r="Y38" i="19" s="1"/>
  <c r="BB38" i="19" s="1"/>
  <c r="R73" i="19"/>
  <c r="E16" i="29"/>
  <c r="Q24" i="20"/>
  <c r="AN24" i="20" s="1"/>
  <c r="Q27" i="20"/>
  <c r="AN27" i="20" s="1"/>
  <c r="Q17" i="20"/>
  <c r="AN17" i="20" s="1"/>
  <c r="Q30" i="20"/>
  <c r="AN30" i="20" s="1"/>
  <c r="Q29" i="20"/>
  <c r="AN29" i="20" s="1"/>
  <c r="Q20" i="20"/>
  <c r="AN20" i="20" s="1"/>
  <c r="Q16" i="20"/>
  <c r="AN16" i="20" s="1"/>
  <c r="Q19" i="20"/>
  <c r="AN19" i="20" s="1"/>
  <c r="Q32" i="20"/>
  <c r="AN32" i="20" s="1"/>
  <c r="Q35" i="20"/>
  <c r="AN35" i="20" s="1"/>
  <c r="Q22" i="20"/>
  <c r="AN22" i="20" s="1"/>
  <c r="Q28" i="20"/>
  <c r="AN28" i="20" s="1"/>
  <c r="Q12" i="20"/>
  <c r="AN12" i="20" s="1"/>
  <c r="Q23" i="20"/>
  <c r="AN23" i="20" s="1"/>
  <c r="Q13" i="20"/>
  <c r="AN13" i="20" s="1"/>
  <c r="Q36" i="20"/>
  <c r="AN36" i="20" s="1"/>
  <c r="Q37" i="20"/>
  <c r="AN37" i="20" s="1"/>
  <c r="Q18" i="20"/>
  <c r="AN18" i="20" s="1"/>
  <c r="Q14" i="20"/>
  <c r="AN14" i="20" s="1"/>
  <c r="Q8" i="20"/>
  <c r="AN8" i="20" s="1"/>
  <c r="Q25" i="20"/>
  <c r="AN25" i="20" s="1"/>
  <c r="Q26" i="20"/>
  <c r="AN26" i="20" s="1"/>
  <c r="Q15" i="20"/>
  <c r="AN15" i="20" s="1"/>
  <c r="Q10" i="20"/>
  <c r="AN10" i="20" s="1"/>
  <c r="Q33" i="20"/>
  <c r="AN33" i="20" s="1"/>
  <c r="Q11" i="20"/>
  <c r="AN11" i="20" s="1"/>
  <c r="Q21" i="20"/>
  <c r="AN21" i="20" s="1"/>
  <c r="Q31" i="20"/>
  <c r="AN31" i="20" s="1"/>
  <c r="Q9" i="20"/>
  <c r="AN9" i="20" s="1"/>
  <c r="Q34" i="20"/>
  <c r="AN34" i="20" s="1"/>
  <c r="R72" i="20"/>
  <c r="G15" i="29"/>
  <c r="AI13" i="20"/>
  <c r="AI8" i="20"/>
  <c r="AI27" i="20"/>
  <c r="AI34" i="20"/>
  <c r="AI31" i="20"/>
  <c r="AI32" i="20"/>
  <c r="AI36" i="20"/>
  <c r="AI15" i="20"/>
  <c r="AI30" i="20"/>
  <c r="AI20" i="20"/>
  <c r="AI16" i="20"/>
  <c r="AI28" i="20"/>
  <c r="AI21" i="20"/>
  <c r="AI19" i="20"/>
  <c r="AI12" i="20"/>
  <c r="AI11" i="20"/>
  <c r="AI10" i="20"/>
  <c r="AI18" i="20"/>
  <c r="AI33" i="20"/>
  <c r="AI17" i="20"/>
  <c r="AI9" i="20"/>
  <c r="AI24" i="20"/>
  <c r="AI25" i="20"/>
  <c r="AI35" i="20"/>
  <c r="AI22" i="20"/>
  <c r="AI23" i="20"/>
  <c r="AI37" i="20"/>
  <c r="AI26" i="20"/>
  <c r="AI14" i="20"/>
  <c r="AI29" i="20"/>
  <c r="U9" i="22"/>
  <c r="U25" i="22"/>
  <c r="U26" i="22"/>
  <c r="U14" i="22"/>
  <c r="U13" i="22"/>
  <c r="U16" i="22"/>
  <c r="U35" i="22"/>
  <c r="U34" i="22"/>
  <c r="U22" i="22"/>
  <c r="U20" i="22"/>
  <c r="U17" i="22"/>
  <c r="U32" i="22"/>
  <c r="U23" i="22"/>
  <c r="U31" i="22"/>
  <c r="U21" i="22"/>
  <c r="U19" i="22"/>
  <c r="U24" i="22"/>
  <c r="U15" i="22"/>
  <c r="U33" i="22"/>
  <c r="U36" i="22"/>
  <c r="U12" i="22"/>
  <c r="U37" i="22"/>
  <c r="U29" i="22"/>
  <c r="U30" i="22"/>
  <c r="U11" i="22"/>
  <c r="U28" i="22"/>
  <c r="U27" i="22"/>
  <c r="U10" i="22"/>
  <c r="U18" i="22"/>
  <c r="U8" i="22"/>
  <c r="AR8" i="22" s="1"/>
  <c r="S33" i="22"/>
  <c r="AP33" i="22" s="1"/>
  <c r="CL357" i="14" s="1"/>
  <c r="S21" i="22"/>
  <c r="AP21" i="22" s="1"/>
  <c r="CL345" i="14" s="1"/>
  <c r="S31" i="22"/>
  <c r="AP31" i="22" s="1"/>
  <c r="CL355" i="14" s="1"/>
  <c r="S23" i="22"/>
  <c r="AP23" i="22" s="1"/>
  <c r="CL347" i="14" s="1"/>
  <c r="S29" i="22"/>
  <c r="AP29" i="22" s="1"/>
  <c r="CL353" i="14" s="1"/>
  <c r="S15" i="22"/>
  <c r="AP15" i="22" s="1"/>
  <c r="CL339" i="14" s="1"/>
  <c r="S19" i="22"/>
  <c r="AP19" i="22" s="1"/>
  <c r="CL343" i="14" s="1"/>
  <c r="S35" i="22"/>
  <c r="AP35" i="22" s="1"/>
  <c r="CL359" i="14" s="1"/>
  <c r="S16" i="22"/>
  <c r="AP16" i="22" s="1"/>
  <c r="CL340" i="14" s="1"/>
  <c r="S24" i="22"/>
  <c r="AP24" i="22" s="1"/>
  <c r="CL348" i="14" s="1"/>
  <c r="S10" i="22"/>
  <c r="AP10" i="22" s="1"/>
  <c r="CL334" i="14" s="1"/>
  <c r="S32" i="22"/>
  <c r="AP32" i="22" s="1"/>
  <c r="CL356" i="14" s="1"/>
  <c r="S34" i="22"/>
  <c r="AP34" i="22" s="1"/>
  <c r="CL358" i="14" s="1"/>
  <c r="S36" i="22"/>
  <c r="AP36" i="22" s="1"/>
  <c r="CL360" i="14" s="1"/>
  <c r="S11" i="22"/>
  <c r="AP11" i="22" s="1"/>
  <c r="CL335" i="14" s="1"/>
  <c r="S27" i="22"/>
  <c r="AP27" i="22" s="1"/>
  <c r="CL351" i="14" s="1"/>
  <c r="S14" i="22"/>
  <c r="AP14" i="22" s="1"/>
  <c r="CL338" i="14" s="1"/>
  <c r="S26" i="22"/>
  <c r="AP26" i="22" s="1"/>
  <c r="CL350" i="14" s="1"/>
  <c r="S22" i="22"/>
  <c r="AP22" i="22" s="1"/>
  <c r="CL346" i="14" s="1"/>
  <c r="S30" i="22"/>
  <c r="AP30" i="22" s="1"/>
  <c r="CL354" i="14" s="1"/>
  <c r="S20" i="22"/>
  <c r="AP20" i="22" s="1"/>
  <c r="CL344" i="14" s="1"/>
  <c r="S18" i="22"/>
  <c r="AP18" i="22" s="1"/>
  <c r="CL342" i="14" s="1"/>
  <c r="S8" i="22"/>
  <c r="AP8" i="22" s="1"/>
  <c r="CL332" i="14" s="1"/>
  <c r="S9" i="22"/>
  <c r="AP9" i="22" s="1"/>
  <c r="CL333" i="14" s="1"/>
  <c r="S28" i="22"/>
  <c r="AP28" i="22" s="1"/>
  <c r="CL352" i="14" s="1"/>
  <c r="S37" i="22"/>
  <c r="AP37" i="22" s="1"/>
  <c r="CL361" i="14" s="1"/>
  <c r="S12" i="22"/>
  <c r="AP12" i="22" s="1"/>
  <c r="CL336" i="14" s="1"/>
  <c r="S17" i="22"/>
  <c r="AP17" i="22" s="1"/>
  <c r="CL341" i="14" s="1"/>
  <c r="S13" i="22"/>
  <c r="AP13" i="22" s="1"/>
  <c r="CL337" i="14" s="1"/>
  <c r="S25" i="22"/>
  <c r="AP25" i="22" s="1"/>
  <c r="CL349" i="14" s="1"/>
  <c r="R70" i="22"/>
  <c r="AG10" i="22"/>
  <c r="AG15" i="22"/>
  <c r="AG25" i="22"/>
  <c r="AG23" i="22"/>
  <c r="AG17" i="22"/>
  <c r="AG22" i="22"/>
  <c r="AG9" i="22"/>
  <c r="AG33" i="22"/>
  <c r="AG12" i="22"/>
  <c r="AG29" i="22"/>
  <c r="AG24" i="22"/>
  <c r="AG19" i="22"/>
  <c r="AG13" i="22"/>
  <c r="AG11" i="22"/>
  <c r="AG36" i="22"/>
  <c r="AG32" i="22"/>
  <c r="AG21" i="22"/>
  <c r="AG26" i="22"/>
  <c r="AG20" i="22"/>
  <c r="AG34" i="22"/>
  <c r="AG16" i="22"/>
  <c r="AG35" i="22"/>
  <c r="AG37" i="22"/>
  <c r="AG8" i="22"/>
  <c r="AG27" i="22"/>
  <c r="AG28" i="22"/>
  <c r="AG31" i="22"/>
  <c r="AG14" i="22"/>
  <c r="AG30" i="22"/>
  <c r="AG18" i="22"/>
  <c r="R13" i="21"/>
  <c r="R21" i="21"/>
  <c r="R12" i="21"/>
  <c r="R18" i="21"/>
  <c r="R16" i="21"/>
  <c r="R8" i="21"/>
  <c r="R14" i="21"/>
  <c r="R9" i="21"/>
  <c r="R10" i="21"/>
  <c r="R20" i="21"/>
  <c r="R11" i="21"/>
  <c r="R19" i="21"/>
  <c r="R17" i="21"/>
  <c r="R15" i="21"/>
  <c r="R22" i="21"/>
  <c r="R23" i="21"/>
  <c r="R24" i="21"/>
  <c r="R25" i="21"/>
  <c r="R26" i="21"/>
  <c r="R27" i="21"/>
  <c r="R28" i="21"/>
  <c r="R29" i="21"/>
  <c r="R30" i="21"/>
  <c r="R31" i="21"/>
  <c r="R32" i="21"/>
  <c r="R33" i="21"/>
  <c r="R34" i="21"/>
  <c r="R35" i="21"/>
  <c r="R36" i="21"/>
  <c r="R37" i="21"/>
  <c r="R38" i="21"/>
  <c r="R70" i="21"/>
  <c r="P10" i="19"/>
  <c r="P18" i="19"/>
  <c r="P17" i="19"/>
  <c r="P16" i="19"/>
  <c r="P11" i="19"/>
  <c r="P9" i="19"/>
  <c r="P14" i="19"/>
  <c r="P12" i="19"/>
  <c r="P19" i="19"/>
  <c r="P15" i="19"/>
  <c r="P21" i="19"/>
  <c r="P20" i="19"/>
  <c r="P13" i="19"/>
  <c r="P8" i="19"/>
  <c r="AM8" i="19" s="1"/>
  <c r="P22" i="19"/>
  <c r="P23" i="19"/>
  <c r="P24" i="19"/>
  <c r="P25" i="19"/>
  <c r="P26" i="19"/>
  <c r="P27" i="19"/>
  <c r="P28" i="19"/>
  <c r="P29" i="19"/>
  <c r="P30" i="19"/>
  <c r="P31" i="19"/>
  <c r="P32" i="19"/>
  <c r="P33" i="19"/>
  <c r="P34" i="19"/>
  <c r="P35" i="19"/>
  <c r="P36" i="19"/>
  <c r="P37" i="19"/>
  <c r="P38" i="19"/>
  <c r="U16" i="19"/>
  <c r="U14" i="19"/>
  <c r="U11" i="19"/>
  <c r="U20" i="19"/>
  <c r="U21" i="19"/>
  <c r="U8" i="19"/>
  <c r="AR8" i="19" s="1"/>
  <c r="U17" i="19"/>
  <c r="U18" i="19"/>
  <c r="U19" i="19"/>
  <c r="U15" i="19"/>
  <c r="U10" i="19"/>
  <c r="U9" i="19"/>
  <c r="U13" i="19"/>
  <c r="U12" i="19"/>
  <c r="U22" i="19"/>
  <c r="U23" i="19"/>
  <c r="U24" i="19"/>
  <c r="U25" i="19"/>
  <c r="U26" i="19"/>
  <c r="U27" i="19"/>
  <c r="U28" i="19"/>
  <c r="U29" i="19"/>
  <c r="U30" i="19"/>
  <c r="U31" i="19"/>
  <c r="U32" i="19"/>
  <c r="U33" i="19"/>
  <c r="U34" i="19"/>
  <c r="U35" i="19"/>
  <c r="U36" i="19"/>
  <c r="U37" i="19"/>
  <c r="U38" i="19"/>
  <c r="U15" i="18"/>
  <c r="U19" i="18"/>
  <c r="U17" i="18"/>
  <c r="U11" i="18"/>
  <c r="U20" i="18"/>
  <c r="U18" i="18"/>
  <c r="U8" i="18"/>
  <c r="AR8" i="18" s="1"/>
  <c r="U21" i="18"/>
  <c r="U16" i="18"/>
  <c r="U12" i="18"/>
  <c r="U9" i="18"/>
  <c r="U14" i="18"/>
  <c r="U13" i="18"/>
  <c r="U10" i="18"/>
  <c r="U22" i="18"/>
  <c r="U23" i="18"/>
  <c r="U24" i="18"/>
  <c r="U25" i="18"/>
  <c r="U26" i="18"/>
  <c r="U27" i="18"/>
  <c r="U28" i="18"/>
  <c r="U29" i="18"/>
  <c r="U30" i="18"/>
  <c r="U31" i="18"/>
  <c r="U32" i="18"/>
  <c r="U33" i="18"/>
  <c r="U34" i="18"/>
  <c r="U35" i="18"/>
  <c r="U36" i="18"/>
  <c r="S16" i="18"/>
  <c r="AP16" i="18" s="1"/>
  <c r="CL219" i="14" s="1"/>
  <c r="S10" i="18"/>
  <c r="AP10" i="18" s="1"/>
  <c r="CL213" i="14" s="1"/>
  <c r="S9" i="18"/>
  <c r="AP9" i="18" s="1"/>
  <c r="CL212" i="14" s="1"/>
  <c r="S12" i="18"/>
  <c r="AP12" i="18" s="1"/>
  <c r="CL215" i="14" s="1"/>
  <c r="S8" i="18"/>
  <c r="AP8" i="18" s="1"/>
  <c r="CL211" i="14" s="1"/>
  <c r="S15" i="18"/>
  <c r="AP15" i="18" s="1"/>
  <c r="CL218" i="14" s="1"/>
  <c r="S11" i="18"/>
  <c r="AP11" i="18" s="1"/>
  <c r="CL214" i="14" s="1"/>
  <c r="S20" i="18"/>
  <c r="AP20" i="18" s="1"/>
  <c r="CL223" i="14" s="1"/>
  <c r="S19" i="18"/>
  <c r="AP19" i="18" s="1"/>
  <c r="CL222" i="14" s="1"/>
  <c r="S17" i="18"/>
  <c r="AP17" i="18" s="1"/>
  <c r="CL220" i="14" s="1"/>
  <c r="S18" i="18"/>
  <c r="AP18" i="18" s="1"/>
  <c r="CL221" i="14" s="1"/>
  <c r="S21" i="18"/>
  <c r="AP21" i="18" s="1"/>
  <c r="CL224" i="14" s="1"/>
  <c r="S13" i="18"/>
  <c r="AP13" i="18" s="1"/>
  <c r="CL216" i="14" s="1"/>
  <c r="S14" i="18"/>
  <c r="AP14" i="18" s="1"/>
  <c r="CL217" i="14" s="1"/>
  <c r="S22" i="18"/>
  <c r="AP22" i="18" s="1"/>
  <c r="CL225" i="14" s="1"/>
  <c r="S23" i="18"/>
  <c r="AP23" i="18" s="1"/>
  <c r="CL226" i="14" s="1"/>
  <c r="S24" i="18"/>
  <c r="AP24" i="18" s="1"/>
  <c r="CL227" i="14" s="1"/>
  <c r="S25" i="18"/>
  <c r="AP25" i="18" s="1"/>
  <c r="CL228" i="14" s="1"/>
  <c r="S26" i="18"/>
  <c r="AP26" i="18" s="1"/>
  <c r="CL229" i="14" s="1"/>
  <c r="S27" i="18"/>
  <c r="AP27" i="18" s="1"/>
  <c r="CL230" i="14" s="1"/>
  <c r="S28" i="18"/>
  <c r="AP28" i="18" s="1"/>
  <c r="CL231" i="14" s="1"/>
  <c r="S29" i="18"/>
  <c r="AP29" i="18" s="1"/>
  <c r="CL232" i="14" s="1"/>
  <c r="S30" i="18"/>
  <c r="AP30" i="18" s="1"/>
  <c r="CL233" i="14" s="1"/>
  <c r="S31" i="18"/>
  <c r="AP31" i="18" s="1"/>
  <c r="CL234" i="14" s="1"/>
  <c r="S32" i="18"/>
  <c r="AP32" i="18" s="1"/>
  <c r="CL235" i="14" s="1"/>
  <c r="S33" i="18"/>
  <c r="AP33" i="18" s="1"/>
  <c r="CL236" i="14" s="1"/>
  <c r="S34" i="18"/>
  <c r="AP34" i="18" s="1"/>
  <c r="CL237" i="14" s="1"/>
  <c r="S35" i="18"/>
  <c r="AP35" i="18" s="1"/>
  <c r="CL238" i="14" s="1"/>
  <c r="S36" i="18"/>
  <c r="AP36" i="18" s="1"/>
  <c r="CL239" i="14" s="1"/>
  <c r="U35" i="20"/>
  <c r="U9" i="20"/>
  <c r="U28" i="20"/>
  <c r="U33" i="20"/>
  <c r="U11" i="20"/>
  <c r="U10" i="20"/>
  <c r="U19" i="20"/>
  <c r="U22" i="20"/>
  <c r="U34" i="20"/>
  <c r="U27" i="20"/>
  <c r="U15" i="20"/>
  <c r="U16" i="20"/>
  <c r="U26" i="20"/>
  <c r="U37" i="20"/>
  <c r="U23" i="20"/>
  <c r="U25" i="20"/>
  <c r="U17" i="20"/>
  <c r="U32" i="20"/>
  <c r="U12" i="20"/>
  <c r="U21" i="20"/>
  <c r="U14" i="20"/>
  <c r="U8" i="20"/>
  <c r="AR8" i="20" s="1"/>
  <c r="U18" i="20"/>
  <c r="U13" i="20"/>
  <c r="U31" i="20"/>
  <c r="U30" i="20"/>
  <c r="U29" i="20"/>
  <c r="U24" i="20"/>
  <c r="U36" i="20"/>
  <c r="U20" i="20"/>
  <c r="P34" i="20"/>
  <c r="P19" i="20"/>
  <c r="P33" i="20"/>
  <c r="P14" i="20"/>
  <c r="P21" i="20"/>
  <c r="P32" i="20"/>
  <c r="P23" i="20"/>
  <c r="P36" i="20"/>
  <c r="P24" i="20"/>
  <c r="P12" i="20"/>
  <c r="P31" i="20"/>
  <c r="P20" i="20"/>
  <c r="P35" i="20"/>
  <c r="P10" i="20"/>
  <c r="P9" i="20"/>
  <c r="P37" i="20"/>
  <c r="P18" i="20"/>
  <c r="P15" i="20"/>
  <c r="P27" i="20"/>
  <c r="P28" i="20"/>
  <c r="P13" i="20"/>
  <c r="P17" i="20"/>
  <c r="P26" i="20"/>
  <c r="P8" i="20"/>
  <c r="AM8" i="20" s="1"/>
  <c r="P11" i="20"/>
  <c r="P25" i="20"/>
  <c r="P30" i="20"/>
  <c r="P29" i="20"/>
  <c r="P22" i="20"/>
  <c r="P16" i="20"/>
  <c r="T23" i="22"/>
  <c r="AQ23" i="22" s="1"/>
  <c r="T35" i="22"/>
  <c r="AQ35" i="22" s="1"/>
  <c r="T37" i="22"/>
  <c r="AQ37" i="22" s="1"/>
  <c r="T29" i="22"/>
  <c r="AQ29" i="22" s="1"/>
  <c r="T12" i="22"/>
  <c r="AQ12" i="22" s="1"/>
  <c r="T33" i="22"/>
  <c r="AQ33" i="22" s="1"/>
  <c r="T22" i="22"/>
  <c r="AQ22" i="22" s="1"/>
  <c r="T26" i="22"/>
  <c r="AQ26" i="22" s="1"/>
  <c r="T32" i="22"/>
  <c r="AQ32" i="22" s="1"/>
  <c r="T34" i="22"/>
  <c r="AQ34" i="22" s="1"/>
  <c r="T30" i="22"/>
  <c r="AQ30" i="22" s="1"/>
  <c r="T36" i="22"/>
  <c r="AQ36" i="22" s="1"/>
  <c r="T13" i="22"/>
  <c r="AQ13" i="22" s="1"/>
  <c r="T16" i="22"/>
  <c r="AQ16" i="22" s="1"/>
  <c r="T9" i="22"/>
  <c r="AQ9" i="22" s="1"/>
  <c r="T15" i="22"/>
  <c r="AQ15" i="22" s="1"/>
  <c r="T20" i="22"/>
  <c r="AQ20" i="22" s="1"/>
  <c r="T14" i="22"/>
  <c r="AQ14" i="22" s="1"/>
  <c r="T8" i="22"/>
  <c r="AQ8" i="22" s="1"/>
  <c r="T18" i="22"/>
  <c r="AQ18" i="22" s="1"/>
  <c r="T19" i="22"/>
  <c r="AQ19" i="22" s="1"/>
  <c r="T21" i="22"/>
  <c r="AQ21" i="22" s="1"/>
  <c r="T10" i="22"/>
  <c r="AQ10" i="22" s="1"/>
  <c r="T17" i="22"/>
  <c r="AQ17" i="22" s="1"/>
  <c r="T28" i="22"/>
  <c r="AQ28" i="22" s="1"/>
  <c r="T27" i="22"/>
  <c r="AQ27" i="22" s="1"/>
  <c r="T24" i="22"/>
  <c r="AQ24" i="22" s="1"/>
  <c r="T25" i="22"/>
  <c r="AQ25" i="22" s="1"/>
  <c r="T11" i="22"/>
  <c r="AQ11" i="22" s="1"/>
  <c r="T31" i="22"/>
  <c r="AQ31" i="22" s="1"/>
  <c r="R73" i="22"/>
  <c r="I16" i="29"/>
  <c r="AJ14" i="22"/>
  <c r="AJ17" i="22"/>
  <c r="AJ33" i="22"/>
  <c r="AJ23" i="22"/>
  <c r="AJ13" i="22"/>
  <c r="AJ30" i="22"/>
  <c r="AJ20" i="22"/>
  <c r="AJ11" i="22"/>
  <c r="AJ36" i="22"/>
  <c r="AJ26" i="22"/>
  <c r="AJ31" i="22"/>
  <c r="AJ37" i="22"/>
  <c r="AJ32" i="22"/>
  <c r="AJ8" i="22"/>
  <c r="AJ29" i="22"/>
  <c r="AJ19" i="22"/>
  <c r="AJ9" i="22"/>
  <c r="AJ18" i="22"/>
  <c r="AJ10" i="22"/>
  <c r="AJ27" i="22"/>
  <c r="AJ22" i="22"/>
  <c r="AJ28" i="22"/>
  <c r="AJ25" i="22"/>
  <c r="AJ15" i="22"/>
  <c r="AJ34" i="22"/>
  <c r="AJ21" i="22"/>
  <c r="AJ24" i="22"/>
  <c r="AJ35" i="22"/>
  <c r="AJ12" i="22"/>
  <c r="AJ16" i="22"/>
  <c r="P20" i="21"/>
  <c r="P10" i="21"/>
  <c r="P16" i="21"/>
  <c r="P9" i="21"/>
  <c r="P19" i="21"/>
  <c r="P21" i="21"/>
  <c r="P8" i="21"/>
  <c r="AM8" i="21" s="1"/>
  <c r="P13" i="21"/>
  <c r="P15" i="21"/>
  <c r="P14" i="21"/>
  <c r="P11" i="21"/>
  <c r="P12" i="21"/>
  <c r="P18" i="21"/>
  <c r="P17" i="21"/>
  <c r="P22" i="21"/>
  <c r="P23" i="21"/>
  <c r="P24" i="21"/>
  <c r="P25" i="21"/>
  <c r="P26" i="21"/>
  <c r="P27" i="21"/>
  <c r="P28" i="21"/>
  <c r="P29" i="21"/>
  <c r="P30" i="21"/>
  <c r="P31" i="21"/>
  <c r="P32" i="21"/>
  <c r="P33" i="21"/>
  <c r="P34" i="21"/>
  <c r="P35" i="21"/>
  <c r="P36" i="21"/>
  <c r="P37" i="21"/>
  <c r="P38" i="21"/>
  <c r="V9" i="21"/>
  <c r="AU302" i="14" s="1"/>
  <c r="V10" i="21"/>
  <c r="AU303" i="14" s="1"/>
  <c r="V18" i="21"/>
  <c r="AU311" i="14" s="1"/>
  <c r="V14" i="21"/>
  <c r="AU307" i="14" s="1"/>
  <c r="V16" i="21"/>
  <c r="AU309" i="14" s="1"/>
  <c r="V20" i="21"/>
  <c r="AU313" i="14" s="1"/>
  <c r="V21" i="21"/>
  <c r="AU314" i="14" s="1"/>
  <c r="V11" i="21"/>
  <c r="AU304" i="14" s="1"/>
  <c r="V19" i="21"/>
  <c r="AU312" i="14" s="1"/>
  <c r="V12" i="21"/>
  <c r="AU305" i="14" s="1"/>
  <c r="V15" i="21"/>
  <c r="AU308" i="14" s="1"/>
  <c r="V13" i="21"/>
  <c r="AU306" i="14" s="1"/>
  <c r="V8" i="21"/>
  <c r="V17" i="21"/>
  <c r="AU310" i="14" s="1"/>
  <c r="V22" i="21"/>
  <c r="AU315" i="14" s="1"/>
  <c r="V23" i="21"/>
  <c r="AU316" i="14" s="1"/>
  <c r="V24" i="21"/>
  <c r="AU317" i="14" s="1"/>
  <c r="V25" i="21"/>
  <c r="AU318" i="14" s="1"/>
  <c r="V26" i="21"/>
  <c r="AU319" i="14" s="1"/>
  <c r="V27" i="21"/>
  <c r="AU320" i="14" s="1"/>
  <c r="V28" i="21"/>
  <c r="AU321" i="14" s="1"/>
  <c r="V29" i="21"/>
  <c r="AU322" i="14" s="1"/>
  <c r="V30" i="21"/>
  <c r="AU323" i="14" s="1"/>
  <c r="V31" i="21"/>
  <c r="AU324" i="14" s="1"/>
  <c r="V32" i="21"/>
  <c r="AU325" i="14" s="1"/>
  <c r="V33" i="21"/>
  <c r="AU326" i="14" s="1"/>
  <c r="V34" i="21"/>
  <c r="AU327" i="14" s="1"/>
  <c r="V35" i="21"/>
  <c r="AU328" i="14" s="1"/>
  <c r="V36" i="21"/>
  <c r="AU329" i="14" s="1"/>
  <c r="V37" i="21"/>
  <c r="AU330" i="14" s="1"/>
  <c r="V38" i="21"/>
  <c r="AU331" i="14" s="1"/>
  <c r="R71" i="21"/>
  <c r="S15" i="19"/>
  <c r="AP15" i="19" s="1"/>
  <c r="CL247" i="14" s="1"/>
  <c r="S16" i="19"/>
  <c r="AP16" i="19" s="1"/>
  <c r="CL248" i="14" s="1"/>
  <c r="S11" i="19"/>
  <c r="AP11" i="19" s="1"/>
  <c r="CL243" i="14" s="1"/>
  <c r="S18" i="19"/>
  <c r="AP18" i="19" s="1"/>
  <c r="CL250" i="14" s="1"/>
  <c r="S12" i="19"/>
  <c r="AP12" i="19" s="1"/>
  <c r="CL244" i="14" s="1"/>
  <c r="S13" i="19"/>
  <c r="AP13" i="19" s="1"/>
  <c r="CL245" i="14" s="1"/>
  <c r="S17" i="19"/>
  <c r="AP17" i="19" s="1"/>
  <c r="CL249" i="14" s="1"/>
  <c r="S14" i="19"/>
  <c r="AP14" i="19" s="1"/>
  <c r="CL246" i="14" s="1"/>
  <c r="S8" i="19"/>
  <c r="AP8" i="19" s="1"/>
  <c r="CL240" i="14" s="1"/>
  <c r="S10" i="19"/>
  <c r="AP10" i="19" s="1"/>
  <c r="CL242" i="14" s="1"/>
  <c r="S9" i="19"/>
  <c r="AP9" i="19" s="1"/>
  <c r="CL241" i="14" s="1"/>
  <c r="S21" i="19"/>
  <c r="AP21" i="19" s="1"/>
  <c r="CL253" i="14" s="1"/>
  <c r="S20" i="19"/>
  <c r="AP20" i="19" s="1"/>
  <c r="CL252" i="14" s="1"/>
  <c r="S19" i="19"/>
  <c r="AP19" i="19" s="1"/>
  <c r="CL251" i="14" s="1"/>
  <c r="S22" i="19"/>
  <c r="AP22" i="19" s="1"/>
  <c r="CL254" i="14" s="1"/>
  <c r="S23" i="19"/>
  <c r="AP23" i="19" s="1"/>
  <c r="CL255" i="14" s="1"/>
  <c r="S24" i="19"/>
  <c r="AP24" i="19" s="1"/>
  <c r="CL256" i="14" s="1"/>
  <c r="S25" i="19"/>
  <c r="AP25" i="19" s="1"/>
  <c r="CL257" i="14" s="1"/>
  <c r="S26" i="19"/>
  <c r="AP26" i="19" s="1"/>
  <c r="CL258" i="14" s="1"/>
  <c r="S27" i="19"/>
  <c r="AP27" i="19" s="1"/>
  <c r="CL259" i="14" s="1"/>
  <c r="S28" i="19"/>
  <c r="AP28" i="19" s="1"/>
  <c r="CL260" i="14" s="1"/>
  <c r="S29" i="19"/>
  <c r="AP29" i="19" s="1"/>
  <c r="CL261" i="14" s="1"/>
  <c r="S30" i="19"/>
  <c r="AP30" i="19" s="1"/>
  <c r="CL262" i="14" s="1"/>
  <c r="S31" i="19"/>
  <c r="AP31" i="19" s="1"/>
  <c r="CL263" i="14" s="1"/>
  <c r="S32" i="19"/>
  <c r="AP32" i="19" s="1"/>
  <c r="CL264" i="14" s="1"/>
  <c r="S33" i="19"/>
  <c r="AP33" i="19" s="1"/>
  <c r="CL265" i="14" s="1"/>
  <c r="S34" i="19"/>
  <c r="AP34" i="19" s="1"/>
  <c r="CL266" i="14" s="1"/>
  <c r="S35" i="19"/>
  <c r="AP35" i="19" s="1"/>
  <c r="CL267" i="14" s="1"/>
  <c r="S36" i="19"/>
  <c r="AP36" i="19" s="1"/>
  <c r="CL268" i="14" s="1"/>
  <c r="S37" i="19"/>
  <c r="AP37" i="19" s="1"/>
  <c r="CL269" i="14" s="1"/>
  <c r="S38" i="19"/>
  <c r="AP38" i="19" s="1"/>
  <c r="CL270" i="14" s="1"/>
  <c r="R8" i="19"/>
  <c r="R19" i="19"/>
  <c r="R11" i="19"/>
  <c r="R12" i="19"/>
  <c r="R10" i="19"/>
  <c r="R16" i="19"/>
  <c r="R18" i="19"/>
  <c r="R20" i="19"/>
  <c r="R14" i="19"/>
  <c r="R9" i="19"/>
  <c r="R17" i="19"/>
  <c r="R15" i="19"/>
  <c r="R13" i="19"/>
  <c r="R21" i="19"/>
  <c r="R22" i="19"/>
  <c r="R23" i="19"/>
  <c r="R24" i="19"/>
  <c r="R25" i="19"/>
  <c r="R26" i="19"/>
  <c r="R27" i="19"/>
  <c r="R28" i="19"/>
  <c r="R29" i="19"/>
  <c r="R30" i="19"/>
  <c r="R31" i="19"/>
  <c r="R32" i="19"/>
  <c r="R33" i="19"/>
  <c r="R34" i="19"/>
  <c r="R35" i="19"/>
  <c r="R36" i="19"/>
  <c r="R37" i="19"/>
  <c r="R38" i="19"/>
  <c r="R73" i="23"/>
  <c r="K16" i="29"/>
  <c r="BI19" i="30"/>
  <c r="BH47" i="30"/>
  <c r="BH19" i="30"/>
  <c r="BJ15" i="30"/>
  <c r="BH43" i="30"/>
  <c r="BH15" i="30"/>
  <c r="BI15" i="30"/>
  <c r="BK19" i="30"/>
  <c r="BJ19" i="30"/>
  <c r="BK15" i="30"/>
  <c r="AE11" i="23"/>
  <c r="E11" i="23" s="1"/>
  <c r="G365" i="14" s="1"/>
  <c r="B366" i="14"/>
  <c r="E367" i="14"/>
  <c r="J366" i="14"/>
  <c r="C366" i="14"/>
  <c r="D366" i="14" s="1"/>
  <c r="Q366" i="14"/>
  <c r="H299" i="15"/>
  <c r="I299" i="15" s="1"/>
  <c r="BI27" i="30"/>
  <c r="BI47" i="30"/>
  <c r="BI31" i="30"/>
  <c r="BI23" i="30"/>
  <c r="E46" i="22"/>
  <c r="I5" i="29" s="1"/>
  <c r="E46" i="20"/>
  <c r="G5" i="29" s="1"/>
  <c r="E46" i="21"/>
  <c r="H5" i="29" s="1"/>
  <c r="E46" i="19"/>
  <c r="E5" i="29" s="1"/>
  <c r="P328" i="1"/>
  <c r="BJ35" i="30"/>
  <c r="G128" i="22"/>
  <c r="M328" i="1"/>
  <c r="BI35" i="30"/>
  <c r="S328" i="1"/>
  <c r="BK35" i="30"/>
  <c r="BI51" i="30"/>
  <c r="M327" i="1"/>
  <c r="S257" i="1"/>
  <c r="S271" i="1" s="1"/>
  <c r="BK39" i="30"/>
  <c r="BJ51" i="30"/>
  <c r="P327" i="1"/>
  <c r="V257" i="1"/>
  <c r="J373" i="1"/>
  <c r="J257" i="1"/>
  <c r="Y257" i="1"/>
  <c r="I116" i="29"/>
  <c r="H116" i="29"/>
  <c r="G116" i="29"/>
  <c r="S377" i="1"/>
  <c r="I62" i="29" s="1"/>
  <c r="J377" i="1"/>
  <c r="E62" i="29" s="1"/>
  <c r="P377" i="1"/>
  <c r="H62" i="29" s="1"/>
  <c r="M377" i="1"/>
  <c r="G62" i="29" s="1"/>
  <c r="P373" i="1"/>
  <c r="P247" i="1"/>
  <c r="P248" i="1"/>
  <c r="P268" i="1" s="1"/>
  <c r="M373" i="1"/>
  <c r="M247" i="1"/>
  <c r="M248" i="1"/>
  <c r="M268" i="1" s="1"/>
  <c r="J372" i="1"/>
  <c r="J328" i="1"/>
  <c r="S373" i="1"/>
  <c r="S247" i="1"/>
  <c r="S248" i="1"/>
  <c r="S268" i="1" s="1"/>
  <c r="M372" i="1"/>
  <c r="M244" i="1"/>
  <c r="M245" i="1"/>
  <c r="M267" i="1" s="1"/>
  <c r="S372" i="1"/>
  <c r="S244" i="1"/>
  <c r="S245" i="1"/>
  <c r="S267" i="1" s="1"/>
  <c r="P372" i="1"/>
  <c r="P244" i="1"/>
  <c r="P245" i="1"/>
  <c r="P267" i="1" s="1"/>
  <c r="M239" i="1"/>
  <c r="M265" i="1" s="1"/>
  <c r="M238" i="1"/>
  <c r="M370" i="1"/>
  <c r="P326" i="1"/>
  <c r="M326" i="1"/>
  <c r="S326" i="1"/>
  <c r="S324" i="1"/>
  <c r="M324" i="1"/>
  <c r="J251" i="1"/>
  <c r="J269" i="1" s="1"/>
  <c r="P324" i="1"/>
  <c r="P230" i="1"/>
  <c r="P262" i="1" s="1"/>
  <c r="P229" i="1"/>
  <c r="P367" i="1"/>
  <c r="P331" i="1"/>
  <c r="H97" i="29" s="1"/>
  <c r="S369" i="1"/>
  <c r="S235" i="1"/>
  <c r="S325" i="1"/>
  <c r="S236" i="1"/>
  <c r="S264" i="1" s="1"/>
  <c r="S233" i="1"/>
  <c r="S263" i="1" s="1"/>
  <c r="S232" i="1"/>
  <c r="S368" i="1"/>
  <c r="M369" i="1"/>
  <c r="M325" i="1"/>
  <c r="M235" i="1"/>
  <c r="M236" i="1"/>
  <c r="M264" i="1" s="1"/>
  <c r="M242" i="1"/>
  <c r="M266" i="1" s="1"/>
  <c r="M241" i="1"/>
  <c r="P238" i="1"/>
  <c r="P370" i="1"/>
  <c r="P239" i="1"/>
  <c r="P265" i="1" s="1"/>
  <c r="P369" i="1"/>
  <c r="P236" i="1"/>
  <c r="P264" i="1" s="1"/>
  <c r="P325" i="1"/>
  <c r="P235" i="1"/>
  <c r="S238" i="1"/>
  <c r="S239" i="1"/>
  <c r="S265" i="1" s="1"/>
  <c r="S370" i="1"/>
  <c r="M229" i="1"/>
  <c r="M331" i="1"/>
  <c r="G97" i="29" s="1"/>
  <c r="M367" i="1"/>
  <c r="M230" i="1"/>
  <c r="M262" i="1" s="1"/>
  <c r="M257" i="1"/>
  <c r="P233" i="1"/>
  <c r="P263" i="1" s="1"/>
  <c r="P232" i="1"/>
  <c r="P368" i="1"/>
  <c r="S331" i="1"/>
  <c r="I97" i="29" s="1"/>
  <c r="S229" i="1"/>
  <c r="S367" i="1"/>
  <c r="S230" i="1"/>
  <c r="S262" i="1" s="1"/>
  <c r="S242" i="1"/>
  <c r="S266" i="1" s="1"/>
  <c r="S241" i="1"/>
  <c r="M368" i="1"/>
  <c r="M233" i="1"/>
  <c r="M263" i="1" s="1"/>
  <c r="M232" i="1"/>
  <c r="M254" i="1"/>
  <c r="P242" i="1"/>
  <c r="P266" i="1" s="1"/>
  <c r="P241" i="1"/>
  <c r="P257" i="1"/>
  <c r="S254" i="1"/>
  <c r="J254" i="1"/>
  <c r="E116" i="29"/>
  <c r="J368" i="1"/>
  <c r="J369" i="1"/>
  <c r="J325" i="1"/>
  <c r="J370" i="1"/>
  <c r="J326" i="1"/>
  <c r="J324" i="1"/>
  <c r="J367" i="1"/>
  <c r="J238" i="1"/>
  <c r="J236" i="1"/>
  <c r="J264" i="1" s="1"/>
  <c r="J232" i="1"/>
  <c r="J248" i="1"/>
  <c r="J268" i="1" s="1"/>
  <c r="J230" i="1"/>
  <c r="J262" i="1" s="1"/>
  <c r="J241" i="1"/>
  <c r="J233" i="1"/>
  <c r="J263" i="1" s="1"/>
  <c r="J229" i="1"/>
  <c r="J244" i="1"/>
  <c r="J239" i="1"/>
  <c r="J265" i="1" s="1"/>
  <c r="J331" i="1"/>
  <c r="E97" i="29" s="1"/>
  <c r="J247" i="1"/>
  <c r="J235" i="1"/>
  <c r="J242" i="1"/>
  <c r="J266" i="1" s="1"/>
  <c r="J245" i="1"/>
  <c r="J267" i="1" s="1"/>
  <c r="AS8" i="19" l="1"/>
  <c r="CN240" i="14" s="1"/>
  <c r="AU240" i="14"/>
  <c r="AS8" i="21"/>
  <c r="CN301" i="14" s="1"/>
  <c r="AU301" i="14"/>
  <c r="AS8" i="20"/>
  <c r="CN271" i="14" s="1"/>
  <c r="AU271" i="14"/>
  <c r="AS8" i="23"/>
  <c r="CN362" i="14" s="1"/>
  <c r="AU362" i="14"/>
  <c r="AS8" i="18"/>
  <c r="CN211" i="14" s="1"/>
  <c r="AU211" i="14"/>
  <c r="AS8" i="22"/>
  <c r="CN332" i="14" s="1"/>
  <c r="AU332" i="14"/>
  <c r="AO38" i="19"/>
  <c r="AT270" i="14"/>
  <c r="AO34" i="19"/>
  <c r="AT266" i="14"/>
  <c r="AO30" i="19"/>
  <c r="AT262" i="14"/>
  <c r="AO26" i="19"/>
  <c r="AT258" i="14"/>
  <c r="AO22" i="19"/>
  <c r="AT254" i="14"/>
  <c r="AO17" i="19"/>
  <c r="AT249" i="14"/>
  <c r="AO18" i="19"/>
  <c r="AT250" i="14"/>
  <c r="AO11" i="19"/>
  <c r="AT243" i="14"/>
  <c r="AO38" i="21"/>
  <c r="AT331" i="14"/>
  <c r="AO34" i="21"/>
  <c r="AT327" i="14"/>
  <c r="AO30" i="21"/>
  <c r="AT323" i="14"/>
  <c r="AO26" i="21"/>
  <c r="AT319" i="14"/>
  <c r="AO22" i="21"/>
  <c r="AT315" i="14"/>
  <c r="AO11" i="21"/>
  <c r="AT304" i="14"/>
  <c r="AO14" i="21"/>
  <c r="AT307" i="14"/>
  <c r="AO12" i="21"/>
  <c r="AT305" i="14"/>
  <c r="AO36" i="18"/>
  <c r="AT239" i="14"/>
  <c r="AO32" i="18"/>
  <c r="AT235" i="14"/>
  <c r="AO28" i="18"/>
  <c r="AT231" i="14"/>
  <c r="AO24" i="18"/>
  <c r="AT227" i="14"/>
  <c r="AO19" i="18"/>
  <c r="AT222" i="14"/>
  <c r="AO14" i="18"/>
  <c r="AT217" i="14"/>
  <c r="AO10" i="18"/>
  <c r="AT213" i="14"/>
  <c r="AO8" i="18"/>
  <c r="AT211" i="14"/>
  <c r="AO12" i="22"/>
  <c r="AT336" i="14"/>
  <c r="AO17" i="22"/>
  <c r="AT341" i="14"/>
  <c r="AO32" i="22"/>
  <c r="AT356" i="14"/>
  <c r="AO36" i="22"/>
  <c r="AT360" i="14"/>
  <c r="AO15" i="22"/>
  <c r="AT339" i="14"/>
  <c r="AO37" i="22"/>
  <c r="AT361" i="14"/>
  <c r="AO35" i="22"/>
  <c r="AT359" i="14"/>
  <c r="AO20" i="22"/>
  <c r="AT344" i="14"/>
  <c r="AO13" i="20"/>
  <c r="AT276" i="14"/>
  <c r="AO11" i="20"/>
  <c r="CK274" i="14" s="1"/>
  <c r="AT274" i="14"/>
  <c r="AO20" i="20"/>
  <c r="AT283" i="14"/>
  <c r="AO8" i="20"/>
  <c r="CM271" i="14" s="1"/>
  <c r="AT271" i="14"/>
  <c r="AO31" i="20"/>
  <c r="AT294" i="14"/>
  <c r="AO37" i="20"/>
  <c r="AT300" i="14"/>
  <c r="AO14" i="20"/>
  <c r="AT277" i="14"/>
  <c r="AO35" i="23"/>
  <c r="AT389" i="14"/>
  <c r="AO31" i="23"/>
  <c r="AT385" i="14"/>
  <c r="AO27" i="23"/>
  <c r="AT381" i="14"/>
  <c r="AO23" i="23"/>
  <c r="AT377" i="14"/>
  <c r="AO20" i="23"/>
  <c r="AT374" i="14"/>
  <c r="AO13" i="23"/>
  <c r="AT367" i="14"/>
  <c r="AO17" i="23"/>
  <c r="AT371" i="14"/>
  <c r="AO37" i="19"/>
  <c r="AT269" i="14"/>
  <c r="AO33" i="19"/>
  <c r="AT265" i="14"/>
  <c r="AO29" i="19"/>
  <c r="AT261" i="14"/>
  <c r="AO25" i="19"/>
  <c r="AT257" i="14"/>
  <c r="AO21" i="19"/>
  <c r="AT253" i="14"/>
  <c r="AO9" i="19"/>
  <c r="AT241" i="14"/>
  <c r="AO16" i="19"/>
  <c r="AT248" i="14"/>
  <c r="AO19" i="19"/>
  <c r="AT251" i="14"/>
  <c r="AO37" i="21"/>
  <c r="AT330" i="14"/>
  <c r="AO33" i="21"/>
  <c r="AT326" i="14"/>
  <c r="AO29" i="21"/>
  <c r="AT322" i="14"/>
  <c r="AO25" i="21"/>
  <c r="AT318" i="14"/>
  <c r="AO15" i="21"/>
  <c r="AT308" i="14"/>
  <c r="AO20" i="21"/>
  <c r="AT313" i="14"/>
  <c r="AO8" i="21"/>
  <c r="CM301" i="14" s="1"/>
  <c r="AT301" i="14"/>
  <c r="AO21" i="21"/>
  <c r="AT314" i="14"/>
  <c r="AO35" i="18"/>
  <c r="AT238" i="14"/>
  <c r="AO31" i="18"/>
  <c r="AT234" i="14"/>
  <c r="AO27" i="18"/>
  <c r="AT230" i="14"/>
  <c r="AO23" i="18"/>
  <c r="AT226" i="14"/>
  <c r="AO12" i="18"/>
  <c r="AT215" i="14"/>
  <c r="AO20" i="18"/>
  <c r="AT223" i="14"/>
  <c r="AO9" i="18"/>
  <c r="AT212" i="14"/>
  <c r="AO27" i="22"/>
  <c r="AT351" i="14"/>
  <c r="AO24" i="22"/>
  <c r="AT348" i="14"/>
  <c r="AO11" i="22"/>
  <c r="AT335" i="14"/>
  <c r="AO30" i="22"/>
  <c r="AT354" i="14"/>
  <c r="AO29" i="22"/>
  <c r="AT353" i="14"/>
  <c r="AO22" i="22"/>
  <c r="AT346" i="14"/>
  <c r="AO28" i="22"/>
  <c r="AT352" i="14"/>
  <c r="AO31" i="22"/>
  <c r="AT355" i="14"/>
  <c r="AO36" i="20"/>
  <c r="CK299" i="14" s="1"/>
  <c r="AT299" i="14"/>
  <c r="AO25" i="20"/>
  <c r="AT288" i="14"/>
  <c r="AO9" i="20"/>
  <c r="CK272" i="14" s="1"/>
  <c r="AT272" i="14"/>
  <c r="AO19" i="20"/>
  <c r="CK282" i="14" s="1"/>
  <c r="AT282" i="14"/>
  <c r="AO28" i="20"/>
  <c r="CK291" i="14" s="1"/>
  <c r="AT291" i="14"/>
  <c r="AO33" i="20"/>
  <c r="CK296" i="14" s="1"/>
  <c r="AT296" i="14"/>
  <c r="AO27" i="20"/>
  <c r="CK290" i="14" s="1"/>
  <c r="AT290" i="14"/>
  <c r="AO35" i="20"/>
  <c r="CK298" i="14" s="1"/>
  <c r="AT298" i="14"/>
  <c r="AO38" i="23"/>
  <c r="AT392" i="14"/>
  <c r="AO34" i="23"/>
  <c r="AT388" i="14"/>
  <c r="AO30" i="23"/>
  <c r="AT384" i="14"/>
  <c r="AO26" i="23"/>
  <c r="AT380" i="14"/>
  <c r="AO22" i="23"/>
  <c r="AT376" i="14"/>
  <c r="AO19" i="23"/>
  <c r="AT373" i="14"/>
  <c r="AO9" i="23"/>
  <c r="AT363" i="14"/>
  <c r="AO14" i="23"/>
  <c r="AT368" i="14"/>
  <c r="AO36" i="19"/>
  <c r="AT268" i="14"/>
  <c r="AO32" i="19"/>
  <c r="AT264" i="14"/>
  <c r="AO28" i="19"/>
  <c r="AT260" i="14"/>
  <c r="AO24" i="19"/>
  <c r="AT256" i="14"/>
  <c r="AO13" i="19"/>
  <c r="AT245" i="14"/>
  <c r="AO14" i="19"/>
  <c r="AT246" i="14"/>
  <c r="AO10" i="19"/>
  <c r="AT242" i="14"/>
  <c r="AO8" i="19"/>
  <c r="AT240" i="14"/>
  <c r="AO36" i="21"/>
  <c r="AT329" i="14"/>
  <c r="AO32" i="21"/>
  <c r="AT325" i="14"/>
  <c r="AO28" i="21"/>
  <c r="AT321" i="14"/>
  <c r="AO24" i="21"/>
  <c r="AT317" i="14"/>
  <c r="AO17" i="21"/>
  <c r="AT310" i="14"/>
  <c r="AO10" i="21"/>
  <c r="AT303" i="14"/>
  <c r="AO16" i="21"/>
  <c r="AT309" i="14"/>
  <c r="AO13" i="21"/>
  <c r="AT306" i="14"/>
  <c r="AO34" i="18"/>
  <c r="AT237" i="14"/>
  <c r="AO30" i="18"/>
  <c r="AT233" i="14"/>
  <c r="AO26" i="18"/>
  <c r="AT229" i="14"/>
  <c r="AO22" i="18"/>
  <c r="AT225" i="14"/>
  <c r="AO11" i="18"/>
  <c r="AT214" i="14"/>
  <c r="AO16" i="18"/>
  <c r="AT219" i="14"/>
  <c r="AO18" i="18"/>
  <c r="AT221" i="14"/>
  <c r="AO25" i="22"/>
  <c r="AT349" i="14"/>
  <c r="AO26" i="22"/>
  <c r="AT350" i="14"/>
  <c r="AO23" i="22"/>
  <c r="AT347" i="14"/>
  <c r="AO19" i="22"/>
  <c r="AT343" i="14"/>
  <c r="AO34" i="22"/>
  <c r="AT358" i="14"/>
  <c r="AO16" i="22"/>
  <c r="AT340" i="14"/>
  <c r="AO21" i="22"/>
  <c r="AT345" i="14"/>
  <c r="AO26" i="20"/>
  <c r="CK289" i="14" s="1"/>
  <c r="AT289" i="14"/>
  <c r="AO29" i="20"/>
  <c r="AT292" i="14"/>
  <c r="AO16" i="20"/>
  <c r="AT279" i="14"/>
  <c r="AO18" i="20"/>
  <c r="AT281" i="14"/>
  <c r="AO10" i="20"/>
  <c r="CK273" i="14" s="1"/>
  <c r="AT273" i="14"/>
  <c r="AO12" i="20"/>
  <c r="AT275" i="14"/>
  <c r="AO17" i="20"/>
  <c r="AT280" i="14"/>
  <c r="AO23" i="20"/>
  <c r="CK286" i="14" s="1"/>
  <c r="AT286" i="14"/>
  <c r="AO37" i="23"/>
  <c r="AT391" i="14"/>
  <c r="AO33" i="23"/>
  <c r="AT387" i="14"/>
  <c r="AO29" i="23"/>
  <c r="AT383" i="14"/>
  <c r="AO25" i="23"/>
  <c r="AT379" i="14"/>
  <c r="AO21" i="23"/>
  <c r="AT375" i="14"/>
  <c r="AO11" i="23"/>
  <c r="AT365" i="14"/>
  <c r="AO12" i="23"/>
  <c r="AT366" i="14"/>
  <c r="AO8" i="23"/>
  <c r="AT362" i="14"/>
  <c r="AO35" i="19"/>
  <c r="AT267" i="14"/>
  <c r="AO31" i="19"/>
  <c r="AT263" i="14"/>
  <c r="AO27" i="19"/>
  <c r="AT259" i="14"/>
  <c r="AO23" i="19"/>
  <c r="AT255" i="14"/>
  <c r="AO15" i="19"/>
  <c r="AT247" i="14"/>
  <c r="AO20" i="19"/>
  <c r="AT252" i="14"/>
  <c r="AO12" i="19"/>
  <c r="AT244" i="14"/>
  <c r="AO35" i="21"/>
  <c r="AT328" i="14"/>
  <c r="AO31" i="21"/>
  <c r="AT324" i="14"/>
  <c r="AO27" i="21"/>
  <c r="AT320" i="14"/>
  <c r="AO23" i="21"/>
  <c r="AT316" i="14"/>
  <c r="AO19" i="21"/>
  <c r="AT312" i="14"/>
  <c r="AO9" i="21"/>
  <c r="AT302" i="14"/>
  <c r="AO18" i="21"/>
  <c r="AT311" i="14"/>
  <c r="AO33" i="18"/>
  <c r="AT236" i="14"/>
  <c r="AO29" i="18"/>
  <c r="AT232" i="14"/>
  <c r="AO25" i="18"/>
  <c r="AT228" i="14"/>
  <c r="AO21" i="18"/>
  <c r="AT224" i="14"/>
  <c r="AO13" i="18"/>
  <c r="AT216" i="14"/>
  <c r="AO15" i="18"/>
  <c r="AT218" i="14"/>
  <c r="AO17" i="18"/>
  <c r="AT220" i="14"/>
  <c r="AO13" i="22"/>
  <c r="AT337" i="14"/>
  <c r="AO14" i="22"/>
  <c r="AT338" i="14"/>
  <c r="AO9" i="22"/>
  <c r="AT333" i="14"/>
  <c r="AO18" i="22"/>
  <c r="AT342" i="14"/>
  <c r="AO10" i="22"/>
  <c r="AT334" i="14"/>
  <c r="AO8" i="22"/>
  <c r="AT332" i="14"/>
  <c r="AO33" i="22"/>
  <c r="AT357" i="14"/>
  <c r="AO34" i="20"/>
  <c r="AT297" i="14"/>
  <c r="AO15" i="20"/>
  <c r="CK278" i="14" s="1"/>
  <c r="AT278" i="14"/>
  <c r="AO21" i="20"/>
  <c r="CK284" i="14" s="1"/>
  <c r="AT284" i="14"/>
  <c r="AO30" i="20"/>
  <c r="AT293" i="14"/>
  <c r="AO22" i="20"/>
  <c r="CK285" i="14" s="1"/>
  <c r="AT285" i="14"/>
  <c r="AO32" i="20"/>
  <c r="CK295" i="14" s="1"/>
  <c r="AT295" i="14"/>
  <c r="AO24" i="20"/>
  <c r="CK287" i="14" s="1"/>
  <c r="AT287" i="14"/>
  <c r="AO36" i="23"/>
  <c r="AT390" i="14"/>
  <c r="AO32" i="23"/>
  <c r="AT386" i="14"/>
  <c r="AO28" i="23"/>
  <c r="AT382" i="14"/>
  <c r="AO24" i="23"/>
  <c r="AT378" i="14"/>
  <c r="AO15" i="23"/>
  <c r="AT369" i="14"/>
  <c r="AO16" i="23"/>
  <c r="AT370" i="14"/>
  <c r="AO18" i="23"/>
  <c r="AT372" i="14"/>
  <c r="AO10" i="23"/>
  <c r="AT364" i="14"/>
  <c r="CK283" i="14"/>
  <c r="CK294" i="14"/>
  <c r="CK253" i="14"/>
  <c r="CK301" i="14"/>
  <c r="CK288" i="14"/>
  <c r="CK281" i="14"/>
  <c r="CK297" i="14"/>
  <c r="CK293" i="14"/>
  <c r="X8" i="23"/>
  <c r="BA8" i="23" s="1"/>
  <c r="X8" i="22"/>
  <c r="BA8" i="22" s="1"/>
  <c r="G48" i="22"/>
  <c r="G129" i="22" s="1"/>
  <c r="AM20" i="23"/>
  <c r="X20" i="23"/>
  <c r="BA20" i="23" s="1"/>
  <c r="H146" i="22"/>
  <c r="I146" i="22"/>
  <c r="J146" i="22"/>
  <c r="E147" i="22"/>
  <c r="AD31" i="21"/>
  <c r="BG31" i="21" s="1"/>
  <c r="AS31" i="21"/>
  <c r="CN324" i="14" s="1"/>
  <c r="AD23" i="21"/>
  <c r="BG23" i="21" s="1"/>
  <c r="AS23" i="21"/>
  <c r="CN316" i="14" s="1"/>
  <c r="AD11" i="21"/>
  <c r="BG11" i="21" s="1"/>
  <c r="AS11" i="21"/>
  <c r="CN304" i="14" s="1"/>
  <c r="AD25" i="22"/>
  <c r="BG25" i="22" s="1"/>
  <c r="AS25" i="22"/>
  <c r="CN349" i="14" s="1"/>
  <c r="AD12" i="22"/>
  <c r="BG12" i="22" s="1"/>
  <c r="AS12" i="22"/>
  <c r="CN336" i="14" s="1"/>
  <c r="AD36" i="22"/>
  <c r="BG36" i="22" s="1"/>
  <c r="AS36" i="22"/>
  <c r="CN360" i="14" s="1"/>
  <c r="AD13" i="20"/>
  <c r="BG13" i="20" s="1"/>
  <c r="AS13" i="20"/>
  <c r="CN276" i="14" s="1"/>
  <c r="AD31" i="20"/>
  <c r="BG31" i="20" s="1"/>
  <c r="AS31" i="20"/>
  <c r="CN294" i="14" s="1"/>
  <c r="AD17" i="20"/>
  <c r="BG17" i="20" s="1"/>
  <c r="AS17" i="20"/>
  <c r="CN280" i="14" s="1"/>
  <c r="AD33" i="20"/>
  <c r="BG33" i="20" s="1"/>
  <c r="AS33" i="20"/>
  <c r="CN296" i="14" s="1"/>
  <c r="AD37" i="20"/>
  <c r="BG37" i="20" s="1"/>
  <c r="AS37" i="20"/>
  <c r="CN300" i="14" s="1"/>
  <c r="AD31" i="19"/>
  <c r="BG31" i="19" s="1"/>
  <c r="AS31" i="19"/>
  <c r="CN263" i="14" s="1"/>
  <c r="AD23" i="19"/>
  <c r="BG23" i="19" s="1"/>
  <c r="AS23" i="19"/>
  <c r="CN255" i="14" s="1"/>
  <c r="AD11" i="19"/>
  <c r="BG11" i="19" s="1"/>
  <c r="AS11" i="19"/>
  <c r="CN243" i="14" s="1"/>
  <c r="AD32" i="18"/>
  <c r="BG32" i="18" s="1"/>
  <c r="AS32" i="18"/>
  <c r="CN235" i="14" s="1"/>
  <c r="AD28" i="18"/>
  <c r="BG28" i="18" s="1"/>
  <c r="AS28" i="18"/>
  <c r="CN231" i="14" s="1"/>
  <c r="AD21" i="18"/>
  <c r="BG21" i="18" s="1"/>
  <c r="AS21" i="18"/>
  <c r="CN224" i="14" s="1"/>
  <c r="AD16" i="18"/>
  <c r="BG16" i="18" s="1"/>
  <c r="AS16" i="18"/>
  <c r="CN219" i="14" s="1"/>
  <c r="AD35" i="23"/>
  <c r="BG35" i="23" s="1"/>
  <c r="AS35" i="23"/>
  <c r="CN389" i="14" s="1"/>
  <c r="AD27" i="23"/>
  <c r="BG27" i="23" s="1"/>
  <c r="AS27" i="23"/>
  <c r="CN381" i="14" s="1"/>
  <c r="AD23" i="23"/>
  <c r="BG23" i="23" s="1"/>
  <c r="AS23" i="23"/>
  <c r="CN377" i="14" s="1"/>
  <c r="AD9" i="23"/>
  <c r="BG9" i="23" s="1"/>
  <c r="AS9" i="23"/>
  <c r="CN363" i="14" s="1"/>
  <c r="AD34" i="21"/>
  <c r="BG34" i="21" s="1"/>
  <c r="AS34" i="21"/>
  <c r="CN327" i="14" s="1"/>
  <c r="AD26" i="21"/>
  <c r="BG26" i="21" s="1"/>
  <c r="AS26" i="21"/>
  <c r="CN319" i="14" s="1"/>
  <c r="AD15" i="21"/>
  <c r="BG15" i="21" s="1"/>
  <c r="AS15" i="21"/>
  <c r="CN308" i="14" s="1"/>
  <c r="AD18" i="21"/>
  <c r="BG18" i="21" s="1"/>
  <c r="AS18" i="21"/>
  <c r="CN311" i="14" s="1"/>
  <c r="AD28" i="22"/>
  <c r="BG28" i="22" s="1"/>
  <c r="AS28" i="22"/>
  <c r="CN352" i="14" s="1"/>
  <c r="AD23" i="22"/>
  <c r="BG23" i="22" s="1"/>
  <c r="AS23" i="22"/>
  <c r="CN347" i="14" s="1"/>
  <c r="AD26" i="22"/>
  <c r="BG26" i="22" s="1"/>
  <c r="AS26" i="22"/>
  <c r="CN350" i="14" s="1"/>
  <c r="AD11" i="22"/>
  <c r="BG11" i="22" s="1"/>
  <c r="AS11" i="22"/>
  <c r="CN335" i="14" s="1"/>
  <c r="AD38" i="19"/>
  <c r="BG38" i="19" s="1"/>
  <c r="AS38" i="19"/>
  <c r="CN270" i="14" s="1"/>
  <c r="AD30" i="19"/>
  <c r="BG30" i="19" s="1"/>
  <c r="AS30" i="19"/>
  <c r="CN262" i="14" s="1"/>
  <c r="AD26" i="19"/>
  <c r="BG26" i="19" s="1"/>
  <c r="AS26" i="19"/>
  <c r="CN258" i="14" s="1"/>
  <c r="AD22" i="19"/>
  <c r="BG22" i="19" s="1"/>
  <c r="AS22" i="19"/>
  <c r="CN254" i="14" s="1"/>
  <c r="AD18" i="19"/>
  <c r="BG18" i="19" s="1"/>
  <c r="AS18" i="19"/>
  <c r="CN250" i="14" s="1"/>
  <c r="AD20" i="19"/>
  <c r="BG20" i="19" s="1"/>
  <c r="AS20" i="19"/>
  <c r="CN252" i="14" s="1"/>
  <c r="AD35" i="18"/>
  <c r="BG35" i="18" s="1"/>
  <c r="AS35" i="18"/>
  <c r="CN238" i="14" s="1"/>
  <c r="AD27" i="18"/>
  <c r="BG27" i="18" s="1"/>
  <c r="AS27" i="18"/>
  <c r="CN230" i="14" s="1"/>
  <c r="AD17" i="18"/>
  <c r="BG17" i="18" s="1"/>
  <c r="AS17" i="18"/>
  <c r="CN220" i="14" s="1"/>
  <c r="AD18" i="18"/>
  <c r="BG18" i="18" s="1"/>
  <c r="AS18" i="18"/>
  <c r="CN221" i="14" s="1"/>
  <c r="AD34" i="23"/>
  <c r="BG34" i="23" s="1"/>
  <c r="AS34" i="23"/>
  <c r="CN388" i="14" s="1"/>
  <c r="AD30" i="23"/>
  <c r="BG30" i="23" s="1"/>
  <c r="AS30" i="23"/>
  <c r="CN384" i="14" s="1"/>
  <c r="AD22" i="23"/>
  <c r="BG22" i="23" s="1"/>
  <c r="AS22" i="23"/>
  <c r="CN376" i="14" s="1"/>
  <c r="AD19" i="23"/>
  <c r="BG19" i="23" s="1"/>
  <c r="AS19" i="23"/>
  <c r="CN373" i="14" s="1"/>
  <c r="AD36" i="21"/>
  <c r="BG36" i="21" s="1"/>
  <c r="AS36" i="21"/>
  <c r="CN329" i="14" s="1"/>
  <c r="AD32" i="21"/>
  <c r="BG32" i="21" s="1"/>
  <c r="AS32" i="21"/>
  <c r="CN325" i="14" s="1"/>
  <c r="AD28" i="21"/>
  <c r="BG28" i="21" s="1"/>
  <c r="AS28" i="21"/>
  <c r="CN321" i="14" s="1"/>
  <c r="AD24" i="21"/>
  <c r="BG24" i="21" s="1"/>
  <c r="AS24" i="21"/>
  <c r="CN317" i="14" s="1"/>
  <c r="AD19" i="21"/>
  <c r="BG19" i="21" s="1"/>
  <c r="AS19" i="21"/>
  <c r="CN312" i="14" s="1"/>
  <c r="AD16" i="21"/>
  <c r="BG16" i="21" s="1"/>
  <c r="AS16" i="21"/>
  <c r="CN309" i="14" s="1"/>
  <c r="AD9" i="21"/>
  <c r="BG9" i="21" s="1"/>
  <c r="AS9" i="21"/>
  <c r="CN302" i="14" s="1"/>
  <c r="AD30" i="22"/>
  <c r="BG30" i="22" s="1"/>
  <c r="AS30" i="22"/>
  <c r="CN354" i="14" s="1"/>
  <c r="AD22" i="22"/>
  <c r="BG22" i="22" s="1"/>
  <c r="AS22" i="22"/>
  <c r="CN346" i="14" s="1"/>
  <c r="AD31" i="22"/>
  <c r="BG31" i="22" s="1"/>
  <c r="AS31" i="22"/>
  <c r="CN355" i="14" s="1"/>
  <c r="AD10" i="22"/>
  <c r="BG10" i="22" s="1"/>
  <c r="AS10" i="22"/>
  <c r="CN334" i="14" s="1"/>
  <c r="AD20" i="22"/>
  <c r="BG20" i="22" s="1"/>
  <c r="AS20" i="22"/>
  <c r="CN344" i="14" s="1"/>
  <c r="AD16" i="22"/>
  <c r="BG16" i="22" s="1"/>
  <c r="AS16" i="22"/>
  <c r="CN340" i="14" s="1"/>
  <c r="AD27" i="22"/>
  <c r="BG27" i="22" s="1"/>
  <c r="AS27" i="22"/>
  <c r="CN351" i="14" s="1"/>
  <c r="AD15" i="20"/>
  <c r="BG15" i="20" s="1"/>
  <c r="AS15" i="20"/>
  <c r="CN278" i="14" s="1"/>
  <c r="AD28" i="20"/>
  <c r="BG28" i="20" s="1"/>
  <c r="AS28" i="20"/>
  <c r="CN291" i="14" s="1"/>
  <c r="AD32" i="20"/>
  <c r="BG32" i="20" s="1"/>
  <c r="AS32" i="20"/>
  <c r="CN295" i="14" s="1"/>
  <c r="AD24" i="20"/>
  <c r="BG24" i="20" s="1"/>
  <c r="AS24" i="20"/>
  <c r="CN287" i="14" s="1"/>
  <c r="AD30" i="20"/>
  <c r="BG30" i="20" s="1"/>
  <c r="AS30" i="20"/>
  <c r="CN293" i="14" s="1"/>
  <c r="AD23" i="20"/>
  <c r="BG23" i="20" s="1"/>
  <c r="AS23" i="20"/>
  <c r="CN286" i="14" s="1"/>
  <c r="AD20" i="20"/>
  <c r="BG20" i="20" s="1"/>
  <c r="AS20" i="20"/>
  <c r="CN283" i="14" s="1"/>
  <c r="AD36" i="19"/>
  <c r="BG36" i="19" s="1"/>
  <c r="AS36" i="19"/>
  <c r="CN268" i="14" s="1"/>
  <c r="AD32" i="19"/>
  <c r="BG32" i="19" s="1"/>
  <c r="AS32" i="19"/>
  <c r="CN264" i="14" s="1"/>
  <c r="AD28" i="19"/>
  <c r="BG28" i="19" s="1"/>
  <c r="AS28" i="19"/>
  <c r="CN260" i="14" s="1"/>
  <c r="AD24" i="19"/>
  <c r="BG24" i="19" s="1"/>
  <c r="AS24" i="19"/>
  <c r="CN256" i="14" s="1"/>
  <c r="AD17" i="19"/>
  <c r="BG17" i="19" s="1"/>
  <c r="AS17" i="19"/>
  <c r="CN249" i="14" s="1"/>
  <c r="AD19" i="19"/>
  <c r="BG19" i="19" s="1"/>
  <c r="AS19" i="19"/>
  <c r="CN251" i="14" s="1"/>
  <c r="AD9" i="19"/>
  <c r="BG9" i="19" s="1"/>
  <c r="AS9" i="19"/>
  <c r="CN241" i="14" s="1"/>
  <c r="AD15" i="19"/>
  <c r="BG15" i="19" s="1"/>
  <c r="AS15" i="19"/>
  <c r="CN247" i="14" s="1"/>
  <c r="AD33" i="18"/>
  <c r="BG33" i="18" s="1"/>
  <c r="AS33" i="18"/>
  <c r="CN236" i="14" s="1"/>
  <c r="AD29" i="18"/>
  <c r="BG29" i="18" s="1"/>
  <c r="AS29" i="18"/>
  <c r="CN232" i="14" s="1"/>
  <c r="AD25" i="18"/>
  <c r="BG25" i="18" s="1"/>
  <c r="AS25" i="18"/>
  <c r="CN228" i="14" s="1"/>
  <c r="AD11" i="18"/>
  <c r="BG11" i="18" s="1"/>
  <c r="AS11" i="18"/>
  <c r="CN214" i="14" s="1"/>
  <c r="AD20" i="18"/>
  <c r="BG20" i="18" s="1"/>
  <c r="AS20" i="18"/>
  <c r="CN223" i="14" s="1"/>
  <c r="AD15" i="18"/>
  <c r="BG15" i="18" s="1"/>
  <c r="AS15" i="18"/>
  <c r="CN218" i="14" s="1"/>
  <c r="AD36" i="23"/>
  <c r="BG36" i="23" s="1"/>
  <c r="AS36" i="23"/>
  <c r="CN390" i="14" s="1"/>
  <c r="AD32" i="23"/>
  <c r="BG32" i="23" s="1"/>
  <c r="AS32" i="23"/>
  <c r="CN386" i="14" s="1"/>
  <c r="AD28" i="23"/>
  <c r="BG28" i="23" s="1"/>
  <c r="AS28" i="23"/>
  <c r="CN382" i="14" s="1"/>
  <c r="AD24" i="23"/>
  <c r="BG24" i="23" s="1"/>
  <c r="AS24" i="23"/>
  <c r="CN378" i="14" s="1"/>
  <c r="AD20" i="23"/>
  <c r="BG20" i="23" s="1"/>
  <c r="AS20" i="23"/>
  <c r="CN374" i="14" s="1"/>
  <c r="AD16" i="23"/>
  <c r="BG16" i="23" s="1"/>
  <c r="AS16" i="23"/>
  <c r="CN370" i="14" s="1"/>
  <c r="AD11" i="23"/>
  <c r="BG11" i="23" s="1"/>
  <c r="AS11" i="23"/>
  <c r="CN365" i="14" s="1"/>
  <c r="AD17" i="23"/>
  <c r="BG17" i="23" s="1"/>
  <c r="AS17" i="23"/>
  <c r="CN371" i="14" s="1"/>
  <c r="AD35" i="21"/>
  <c r="BG35" i="21" s="1"/>
  <c r="AS35" i="21"/>
  <c r="CN328" i="14" s="1"/>
  <c r="AD27" i="21"/>
  <c r="BG27" i="21" s="1"/>
  <c r="AS27" i="21"/>
  <c r="CN320" i="14" s="1"/>
  <c r="AD13" i="21"/>
  <c r="BG13" i="21" s="1"/>
  <c r="AS13" i="21"/>
  <c r="CN306" i="14" s="1"/>
  <c r="AD14" i="21"/>
  <c r="BG14" i="21" s="1"/>
  <c r="AS14" i="21"/>
  <c r="CN307" i="14" s="1"/>
  <c r="AD34" i="22"/>
  <c r="BG34" i="22" s="1"/>
  <c r="AS34" i="22"/>
  <c r="CN358" i="14" s="1"/>
  <c r="AD17" i="22"/>
  <c r="BG17" i="22" s="1"/>
  <c r="AS17" i="22"/>
  <c r="CN341" i="14" s="1"/>
  <c r="AD37" i="22"/>
  <c r="BG37" i="22" s="1"/>
  <c r="AS37" i="22"/>
  <c r="CN361" i="14" s="1"/>
  <c r="AD14" i="22"/>
  <c r="BG14" i="22" s="1"/>
  <c r="AS14" i="22"/>
  <c r="CN338" i="14" s="1"/>
  <c r="AD22" i="20"/>
  <c r="BG22" i="20" s="1"/>
  <c r="AS22" i="20"/>
  <c r="CN285" i="14" s="1"/>
  <c r="AD36" i="20"/>
  <c r="BG36" i="20" s="1"/>
  <c r="AS36" i="20"/>
  <c r="CN299" i="14" s="1"/>
  <c r="AD35" i="19"/>
  <c r="BG35" i="19" s="1"/>
  <c r="AS35" i="19"/>
  <c r="CN267" i="14" s="1"/>
  <c r="AD27" i="19"/>
  <c r="BG27" i="19" s="1"/>
  <c r="AS27" i="19"/>
  <c r="CN259" i="14" s="1"/>
  <c r="AD13" i="19"/>
  <c r="BG13" i="19" s="1"/>
  <c r="AS13" i="19"/>
  <c r="CN245" i="14" s="1"/>
  <c r="AD21" i="19"/>
  <c r="BG21" i="19" s="1"/>
  <c r="AS21" i="19"/>
  <c r="CN253" i="14" s="1"/>
  <c r="AD36" i="18"/>
  <c r="BG36" i="18" s="1"/>
  <c r="AS36" i="18"/>
  <c r="CN239" i="14" s="1"/>
  <c r="AD24" i="18"/>
  <c r="BG24" i="18" s="1"/>
  <c r="AS24" i="18"/>
  <c r="CN227" i="14" s="1"/>
  <c r="AD12" i="18"/>
  <c r="BG12" i="18" s="1"/>
  <c r="AS12" i="18"/>
  <c r="CN215" i="14" s="1"/>
  <c r="AD13" i="18"/>
  <c r="BG13" i="18" s="1"/>
  <c r="AS13" i="18"/>
  <c r="CN216" i="14" s="1"/>
  <c r="AD31" i="23"/>
  <c r="BG31" i="23" s="1"/>
  <c r="AS31" i="23"/>
  <c r="CN385" i="14" s="1"/>
  <c r="AD10" i="23"/>
  <c r="BG10" i="23" s="1"/>
  <c r="AS10" i="23"/>
  <c r="CN364" i="14" s="1"/>
  <c r="AD38" i="21"/>
  <c r="BG38" i="21" s="1"/>
  <c r="AS38" i="21"/>
  <c r="CN331" i="14" s="1"/>
  <c r="AD30" i="21"/>
  <c r="BG30" i="21" s="1"/>
  <c r="AS30" i="21"/>
  <c r="CN323" i="14" s="1"/>
  <c r="AD22" i="21"/>
  <c r="BG22" i="21" s="1"/>
  <c r="AS22" i="21"/>
  <c r="CN315" i="14" s="1"/>
  <c r="AD21" i="21"/>
  <c r="BG21" i="21" s="1"/>
  <c r="AS21" i="21"/>
  <c r="CN314" i="14" s="1"/>
  <c r="AD13" i="22"/>
  <c r="BG13" i="22" s="1"/>
  <c r="AS13" i="22"/>
  <c r="CN337" i="14" s="1"/>
  <c r="AD18" i="22"/>
  <c r="BG18" i="22" s="1"/>
  <c r="AS18" i="22"/>
  <c r="CN342" i="14" s="1"/>
  <c r="AD29" i="22"/>
  <c r="BG29" i="22" s="1"/>
  <c r="AS29" i="22"/>
  <c r="CN353" i="14" s="1"/>
  <c r="AD26" i="20"/>
  <c r="BG26" i="20" s="1"/>
  <c r="AS26" i="20"/>
  <c r="CN289" i="14" s="1"/>
  <c r="AD29" i="20"/>
  <c r="BG29" i="20" s="1"/>
  <c r="AS29" i="20"/>
  <c r="CN292" i="14" s="1"/>
  <c r="AD9" i="20"/>
  <c r="BG9" i="20" s="1"/>
  <c r="AS9" i="20"/>
  <c r="CN272" i="14" s="1"/>
  <c r="AD21" i="20"/>
  <c r="BG21" i="20" s="1"/>
  <c r="AS21" i="20"/>
  <c r="CN284" i="14" s="1"/>
  <c r="AD12" i="20"/>
  <c r="BG12" i="20" s="1"/>
  <c r="AS12" i="20"/>
  <c r="CN275" i="14" s="1"/>
  <c r="AD18" i="20"/>
  <c r="BG18" i="20" s="1"/>
  <c r="AS18" i="20"/>
  <c r="CN281" i="14" s="1"/>
  <c r="AD11" i="20"/>
  <c r="BG11" i="20" s="1"/>
  <c r="AS11" i="20"/>
  <c r="CN274" i="14" s="1"/>
  <c r="AD34" i="19"/>
  <c r="BG34" i="19" s="1"/>
  <c r="AS34" i="19"/>
  <c r="CN266" i="14" s="1"/>
  <c r="AD14" i="19"/>
  <c r="BG14" i="19" s="1"/>
  <c r="AS14" i="19"/>
  <c r="CN246" i="14" s="1"/>
  <c r="AD31" i="18"/>
  <c r="BG31" i="18" s="1"/>
  <c r="AS31" i="18"/>
  <c r="CN234" i="14" s="1"/>
  <c r="AD23" i="18"/>
  <c r="BG23" i="18" s="1"/>
  <c r="AS23" i="18"/>
  <c r="CN226" i="14" s="1"/>
  <c r="AD19" i="18"/>
  <c r="BG19" i="18" s="1"/>
  <c r="AS19" i="18"/>
  <c r="CN222" i="14" s="1"/>
  <c r="AD38" i="23"/>
  <c r="BG38" i="23" s="1"/>
  <c r="AS38" i="23"/>
  <c r="CN392" i="14" s="1"/>
  <c r="AD26" i="23"/>
  <c r="BG26" i="23" s="1"/>
  <c r="AS26" i="23"/>
  <c r="CN380" i="14" s="1"/>
  <c r="AD13" i="23"/>
  <c r="BG13" i="23" s="1"/>
  <c r="AS13" i="23"/>
  <c r="CN367" i="14" s="1"/>
  <c r="AD14" i="23"/>
  <c r="BG14" i="23" s="1"/>
  <c r="AS14" i="23"/>
  <c r="CN368" i="14" s="1"/>
  <c r="AD37" i="21"/>
  <c r="BG37" i="21" s="1"/>
  <c r="AS37" i="21"/>
  <c r="CN330" i="14" s="1"/>
  <c r="AD33" i="21"/>
  <c r="BG33" i="21" s="1"/>
  <c r="AS33" i="21"/>
  <c r="CN326" i="14" s="1"/>
  <c r="AD29" i="21"/>
  <c r="BG29" i="21" s="1"/>
  <c r="AS29" i="21"/>
  <c r="CN322" i="14" s="1"/>
  <c r="AD25" i="21"/>
  <c r="BG25" i="21" s="1"/>
  <c r="AS25" i="21"/>
  <c r="CN318" i="14" s="1"/>
  <c r="AD17" i="21"/>
  <c r="BG17" i="21" s="1"/>
  <c r="AS17" i="21"/>
  <c r="CN310" i="14" s="1"/>
  <c r="AD12" i="21"/>
  <c r="BG12" i="21" s="1"/>
  <c r="AS12" i="21"/>
  <c r="CN305" i="14" s="1"/>
  <c r="AD20" i="21"/>
  <c r="BG20" i="21" s="1"/>
  <c r="AS20" i="21"/>
  <c r="CN313" i="14" s="1"/>
  <c r="AD10" i="21"/>
  <c r="BG10" i="21" s="1"/>
  <c r="AS10" i="21"/>
  <c r="CN303" i="14" s="1"/>
  <c r="AD32" i="22"/>
  <c r="BG32" i="22" s="1"/>
  <c r="AS32" i="22"/>
  <c r="CN356" i="14" s="1"/>
  <c r="AD19" i="22"/>
  <c r="BG19" i="22" s="1"/>
  <c r="AS19" i="22"/>
  <c r="CN343" i="14" s="1"/>
  <c r="AD24" i="22"/>
  <c r="BG24" i="22" s="1"/>
  <c r="AS24" i="22"/>
  <c r="CN348" i="14" s="1"/>
  <c r="AD21" i="22"/>
  <c r="BG21" i="22" s="1"/>
  <c r="AS21" i="22"/>
  <c r="CN345" i="14" s="1"/>
  <c r="AD33" i="22"/>
  <c r="BG33" i="22" s="1"/>
  <c r="AS33" i="22"/>
  <c r="CN357" i="14" s="1"/>
  <c r="AD35" i="22"/>
  <c r="BG35" i="22" s="1"/>
  <c r="AS35" i="22"/>
  <c r="CN359" i="14" s="1"/>
  <c r="AD9" i="22"/>
  <c r="BG9" i="22" s="1"/>
  <c r="AS9" i="22"/>
  <c r="CN333" i="14" s="1"/>
  <c r="AD15" i="22"/>
  <c r="BG15" i="22" s="1"/>
  <c r="AS15" i="22"/>
  <c r="CN339" i="14" s="1"/>
  <c r="AD35" i="20"/>
  <c r="BG35" i="20" s="1"/>
  <c r="AS35" i="20"/>
  <c r="CN298" i="14" s="1"/>
  <c r="AD34" i="20"/>
  <c r="BG34" i="20" s="1"/>
  <c r="AS34" i="20"/>
  <c r="CN297" i="14" s="1"/>
  <c r="AD16" i="20"/>
  <c r="BG16" i="20" s="1"/>
  <c r="AS16" i="20"/>
  <c r="CN279" i="14" s="1"/>
  <c r="AD25" i="20"/>
  <c r="BG25" i="20" s="1"/>
  <c r="AS25" i="20"/>
  <c r="CN288" i="14" s="1"/>
  <c r="AD27" i="20"/>
  <c r="BG27" i="20" s="1"/>
  <c r="AS27" i="20"/>
  <c r="CN290" i="14" s="1"/>
  <c r="AD14" i="20"/>
  <c r="BG14" i="20" s="1"/>
  <c r="AS14" i="20"/>
  <c r="CN277" i="14" s="1"/>
  <c r="AD19" i="20"/>
  <c r="BG19" i="20" s="1"/>
  <c r="AS19" i="20"/>
  <c r="CN282" i="14" s="1"/>
  <c r="AD10" i="20"/>
  <c r="BG10" i="20" s="1"/>
  <c r="AS10" i="20"/>
  <c r="CN273" i="14" s="1"/>
  <c r="AD37" i="19"/>
  <c r="BG37" i="19" s="1"/>
  <c r="AS37" i="19"/>
  <c r="CN269" i="14" s="1"/>
  <c r="AD33" i="19"/>
  <c r="BG33" i="19" s="1"/>
  <c r="AS33" i="19"/>
  <c r="CN265" i="14" s="1"/>
  <c r="AD29" i="19"/>
  <c r="BG29" i="19" s="1"/>
  <c r="AS29" i="19"/>
  <c r="CN261" i="14" s="1"/>
  <c r="AD25" i="19"/>
  <c r="BG25" i="19" s="1"/>
  <c r="AS25" i="19"/>
  <c r="CN257" i="14" s="1"/>
  <c r="AD10" i="19"/>
  <c r="BG10" i="19" s="1"/>
  <c r="AS10" i="19"/>
  <c r="CN242" i="14" s="1"/>
  <c r="AD12" i="19"/>
  <c r="BG12" i="19" s="1"/>
  <c r="AS12" i="19"/>
  <c r="CN244" i="14" s="1"/>
  <c r="AD16" i="19"/>
  <c r="BG16" i="19" s="1"/>
  <c r="AS16" i="19"/>
  <c r="CN248" i="14" s="1"/>
  <c r="AD34" i="18"/>
  <c r="BG34" i="18" s="1"/>
  <c r="AS34" i="18"/>
  <c r="CN237" i="14" s="1"/>
  <c r="AD30" i="18"/>
  <c r="BG30" i="18" s="1"/>
  <c r="AS30" i="18"/>
  <c r="CN233" i="14" s="1"/>
  <c r="AD26" i="18"/>
  <c r="BG26" i="18" s="1"/>
  <c r="AS26" i="18"/>
  <c r="CN229" i="14" s="1"/>
  <c r="AD22" i="18"/>
  <c r="BG22" i="18" s="1"/>
  <c r="AS22" i="18"/>
  <c r="CN225" i="14" s="1"/>
  <c r="AD14" i="18"/>
  <c r="BG14" i="18" s="1"/>
  <c r="AS14" i="18"/>
  <c r="CN217" i="14" s="1"/>
  <c r="AD10" i="18"/>
  <c r="BG10" i="18" s="1"/>
  <c r="AS10" i="18"/>
  <c r="CN213" i="14" s="1"/>
  <c r="AD9" i="18"/>
  <c r="BG9" i="18" s="1"/>
  <c r="AS9" i="18"/>
  <c r="CN212" i="14" s="1"/>
  <c r="AD37" i="23"/>
  <c r="BG37" i="23" s="1"/>
  <c r="AS37" i="23"/>
  <c r="CN391" i="14" s="1"/>
  <c r="AD33" i="23"/>
  <c r="BG33" i="23" s="1"/>
  <c r="AS33" i="23"/>
  <c r="CN387" i="14" s="1"/>
  <c r="AD29" i="23"/>
  <c r="AS29" i="23"/>
  <c r="CN383" i="14" s="1"/>
  <c r="AD25" i="23"/>
  <c r="BG25" i="23" s="1"/>
  <c r="AS25" i="23"/>
  <c r="CN379" i="14" s="1"/>
  <c r="AD21" i="23"/>
  <c r="BG21" i="23" s="1"/>
  <c r="AS21" i="23"/>
  <c r="CN375" i="14" s="1"/>
  <c r="AD15" i="23"/>
  <c r="BG15" i="23" s="1"/>
  <c r="AS15" i="23"/>
  <c r="CN369" i="14" s="1"/>
  <c r="AD18" i="23"/>
  <c r="BG18" i="23" s="1"/>
  <c r="AS18" i="23"/>
  <c r="CN372" i="14" s="1"/>
  <c r="AD12" i="23"/>
  <c r="BG12" i="23" s="1"/>
  <c r="AS12" i="23"/>
  <c r="CN366" i="14" s="1"/>
  <c r="AC27" i="20"/>
  <c r="BF27" i="20" s="1"/>
  <c r="AR27" i="20"/>
  <c r="AC10" i="20"/>
  <c r="BF10" i="20" s="1"/>
  <c r="AR10" i="20"/>
  <c r="AC9" i="20"/>
  <c r="BF9" i="20" s="1"/>
  <c r="AR9" i="20"/>
  <c r="AC35" i="18"/>
  <c r="BF35" i="18" s="1"/>
  <c r="AR35" i="18"/>
  <c r="AC23" i="18"/>
  <c r="BF23" i="18" s="1"/>
  <c r="AR23" i="18"/>
  <c r="AC21" i="18"/>
  <c r="BF21" i="18" s="1"/>
  <c r="AR21" i="18"/>
  <c r="AC38" i="19"/>
  <c r="BF38" i="19" s="1"/>
  <c r="AR38" i="19"/>
  <c r="AC30" i="19"/>
  <c r="BF30" i="19" s="1"/>
  <c r="AR30" i="19"/>
  <c r="AC22" i="19"/>
  <c r="BF22" i="19" s="1"/>
  <c r="AR22" i="19"/>
  <c r="AC17" i="19"/>
  <c r="BF17" i="19" s="1"/>
  <c r="AR17" i="19"/>
  <c r="AC12" i="22"/>
  <c r="BF12" i="22" s="1"/>
  <c r="AR12" i="22"/>
  <c r="AC22" i="22"/>
  <c r="BF22" i="22" s="1"/>
  <c r="AR22" i="22"/>
  <c r="AC34" i="21"/>
  <c r="BF34" i="21" s="1"/>
  <c r="AR34" i="21"/>
  <c r="AC30" i="21"/>
  <c r="BF30" i="21" s="1"/>
  <c r="AR30" i="21"/>
  <c r="AC22" i="21"/>
  <c r="BF22" i="21" s="1"/>
  <c r="AR22" i="21"/>
  <c r="AC10" i="21"/>
  <c r="BF10" i="21" s="1"/>
  <c r="AR10" i="21"/>
  <c r="AC36" i="23"/>
  <c r="BF36" i="23" s="1"/>
  <c r="AR36" i="23"/>
  <c r="AC32" i="23"/>
  <c r="BF32" i="23" s="1"/>
  <c r="AR32" i="23"/>
  <c r="AC28" i="23"/>
  <c r="BF28" i="23" s="1"/>
  <c r="AR28" i="23"/>
  <c r="AC24" i="23"/>
  <c r="BF24" i="23" s="1"/>
  <c r="AR24" i="23"/>
  <c r="AC19" i="23"/>
  <c r="BF19" i="23" s="1"/>
  <c r="AR19" i="23"/>
  <c r="AC10" i="23"/>
  <c r="BF10" i="23" s="1"/>
  <c r="AR10" i="23"/>
  <c r="AC17" i="23"/>
  <c r="BF17" i="23" s="1"/>
  <c r="AR17" i="23"/>
  <c r="AC16" i="23"/>
  <c r="BF16" i="23" s="1"/>
  <c r="AR16" i="23"/>
  <c r="AC36" i="20"/>
  <c r="BF36" i="20" s="1"/>
  <c r="AR36" i="20"/>
  <c r="AC31" i="20"/>
  <c r="BF31" i="20" s="1"/>
  <c r="AR31" i="20"/>
  <c r="AC14" i="20"/>
  <c r="BF14" i="20" s="1"/>
  <c r="AR14" i="20"/>
  <c r="AC17" i="20"/>
  <c r="BF17" i="20" s="1"/>
  <c r="AR17" i="20"/>
  <c r="AC26" i="20"/>
  <c r="BF26" i="20" s="1"/>
  <c r="AR26" i="20"/>
  <c r="AC34" i="20"/>
  <c r="BF34" i="20" s="1"/>
  <c r="AR34" i="20"/>
  <c r="AC11" i="20"/>
  <c r="BF11" i="20" s="1"/>
  <c r="AR11" i="20"/>
  <c r="AC35" i="20"/>
  <c r="BF35" i="20" s="1"/>
  <c r="AR35" i="20"/>
  <c r="AC34" i="18"/>
  <c r="BF34" i="18" s="1"/>
  <c r="AR34" i="18"/>
  <c r="AC30" i="18"/>
  <c r="BF30" i="18" s="1"/>
  <c r="AR30" i="18"/>
  <c r="AC26" i="18"/>
  <c r="BF26" i="18" s="1"/>
  <c r="AR26" i="18"/>
  <c r="AC22" i="18"/>
  <c r="BF22" i="18" s="1"/>
  <c r="AR22" i="18"/>
  <c r="AC9" i="18"/>
  <c r="BF9" i="18" s="1"/>
  <c r="AR9" i="18"/>
  <c r="AC17" i="18"/>
  <c r="BF17" i="18" s="1"/>
  <c r="AR17" i="18"/>
  <c r="AC37" i="19"/>
  <c r="BF37" i="19" s="1"/>
  <c r="AR37" i="19"/>
  <c r="AC33" i="19"/>
  <c r="BF33" i="19" s="1"/>
  <c r="AR33" i="19"/>
  <c r="AC29" i="19"/>
  <c r="BF29" i="19" s="1"/>
  <c r="AR29" i="19"/>
  <c r="AC25" i="19"/>
  <c r="BF25" i="19" s="1"/>
  <c r="AR25" i="19"/>
  <c r="AC12" i="19"/>
  <c r="BF12" i="19" s="1"/>
  <c r="AR12" i="19"/>
  <c r="AC15" i="19"/>
  <c r="BF15" i="19" s="1"/>
  <c r="AR15" i="19"/>
  <c r="AC14" i="19"/>
  <c r="BF14" i="19" s="1"/>
  <c r="AR14" i="19"/>
  <c r="AC10" i="22"/>
  <c r="BF10" i="22" s="1"/>
  <c r="AR10" i="22"/>
  <c r="AC30" i="22"/>
  <c r="BF30" i="22" s="1"/>
  <c r="AR30" i="22"/>
  <c r="AC36" i="22"/>
  <c r="BF36" i="22" s="1"/>
  <c r="AR36" i="22"/>
  <c r="AC19" i="22"/>
  <c r="BF19" i="22" s="1"/>
  <c r="AR19" i="22"/>
  <c r="AC32" i="22"/>
  <c r="BF32" i="22" s="1"/>
  <c r="AR32" i="22"/>
  <c r="AC34" i="22"/>
  <c r="BF34" i="22" s="1"/>
  <c r="AR34" i="22"/>
  <c r="AC14" i="22"/>
  <c r="BF14" i="22" s="1"/>
  <c r="AR14" i="22"/>
  <c r="AC37" i="21"/>
  <c r="BF37" i="21" s="1"/>
  <c r="AR37" i="21"/>
  <c r="AC33" i="21"/>
  <c r="BF33" i="21" s="1"/>
  <c r="AR33" i="21"/>
  <c r="AC29" i="21"/>
  <c r="BF29" i="21" s="1"/>
  <c r="AR29" i="21"/>
  <c r="AC25" i="21"/>
  <c r="BF25" i="21" s="1"/>
  <c r="AR25" i="21"/>
  <c r="AC21" i="21"/>
  <c r="BF21" i="21" s="1"/>
  <c r="AR21" i="21"/>
  <c r="AC13" i="21"/>
  <c r="BF13" i="21" s="1"/>
  <c r="AR13" i="21"/>
  <c r="AC11" i="21"/>
  <c r="BF11" i="21" s="1"/>
  <c r="AR11" i="21"/>
  <c r="AC35" i="23"/>
  <c r="BF35" i="23" s="1"/>
  <c r="AR35" i="23"/>
  <c r="AC31" i="23"/>
  <c r="BF31" i="23" s="1"/>
  <c r="AR31" i="23"/>
  <c r="AC27" i="23"/>
  <c r="BF27" i="23" s="1"/>
  <c r="AR27" i="23"/>
  <c r="AC23" i="23"/>
  <c r="BF23" i="23" s="1"/>
  <c r="AR23" i="23"/>
  <c r="AC20" i="23"/>
  <c r="BF20" i="23" s="1"/>
  <c r="AR20" i="23"/>
  <c r="AC12" i="23"/>
  <c r="BF12" i="23" s="1"/>
  <c r="AR12" i="23"/>
  <c r="AC13" i="23"/>
  <c r="BF13" i="23" s="1"/>
  <c r="AR13" i="23"/>
  <c r="AC30" i="20"/>
  <c r="BF30" i="20" s="1"/>
  <c r="AR30" i="20"/>
  <c r="AC37" i="20"/>
  <c r="BF37" i="20" s="1"/>
  <c r="AR37" i="20"/>
  <c r="AC31" i="18"/>
  <c r="BF31" i="18" s="1"/>
  <c r="AR31" i="18"/>
  <c r="AC14" i="18"/>
  <c r="BF14" i="18" s="1"/>
  <c r="AR14" i="18"/>
  <c r="AC34" i="19"/>
  <c r="BF34" i="19" s="1"/>
  <c r="AR34" i="19"/>
  <c r="AC10" i="19"/>
  <c r="BF10" i="19" s="1"/>
  <c r="AR10" i="19"/>
  <c r="AC18" i="22"/>
  <c r="BF18" i="22" s="1"/>
  <c r="AR18" i="22"/>
  <c r="AC24" i="22"/>
  <c r="BF24" i="22" s="1"/>
  <c r="AR24" i="22"/>
  <c r="AC9" i="22"/>
  <c r="BF9" i="22" s="1"/>
  <c r="AR9" i="22"/>
  <c r="AC24" i="20"/>
  <c r="BF24" i="20" s="1"/>
  <c r="AR24" i="20"/>
  <c r="AC13" i="20"/>
  <c r="BF13" i="20" s="1"/>
  <c r="AR13" i="20"/>
  <c r="AC21" i="20"/>
  <c r="BF21" i="20" s="1"/>
  <c r="AR21" i="20"/>
  <c r="AC25" i="20"/>
  <c r="BF25" i="20" s="1"/>
  <c r="AR25" i="20"/>
  <c r="AC16" i="20"/>
  <c r="BF16" i="20" s="1"/>
  <c r="AR16" i="20"/>
  <c r="AC22" i="20"/>
  <c r="BF22" i="20" s="1"/>
  <c r="AR22" i="20"/>
  <c r="AC33" i="20"/>
  <c r="BF33" i="20" s="1"/>
  <c r="AR33" i="20"/>
  <c r="AC33" i="18"/>
  <c r="BF33" i="18" s="1"/>
  <c r="AR33" i="18"/>
  <c r="AC29" i="18"/>
  <c r="BF29" i="18" s="1"/>
  <c r="AR29" i="18"/>
  <c r="AC25" i="18"/>
  <c r="BF25" i="18" s="1"/>
  <c r="AR25" i="18"/>
  <c r="AC10" i="18"/>
  <c r="BF10" i="18" s="1"/>
  <c r="AR10" i="18"/>
  <c r="AC12" i="18"/>
  <c r="BF12" i="18" s="1"/>
  <c r="AR12" i="18"/>
  <c r="AC18" i="18"/>
  <c r="BF18" i="18" s="1"/>
  <c r="AR18" i="18"/>
  <c r="AC19" i="18"/>
  <c r="BF19" i="18" s="1"/>
  <c r="AR19" i="18"/>
  <c r="AC36" i="19"/>
  <c r="BF36" i="19" s="1"/>
  <c r="AR36" i="19"/>
  <c r="AC32" i="19"/>
  <c r="BF32" i="19" s="1"/>
  <c r="AR32" i="19"/>
  <c r="AC28" i="19"/>
  <c r="BF28" i="19" s="1"/>
  <c r="AR28" i="19"/>
  <c r="AC24" i="19"/>
  <c r="BF24" i="19" s="1"/>
  <c r="AR24" i="19"/>
  <c r="AC13" i="19"/>
  <c r="BF13" i="19" s="1"/>
  <c r="AR13" i="19"/>
  <c r="AC19" i="19"/>
  <c r="BF19" i="19" s="1"/>
  <c r="AR19" i="19"/>
  <c r="AC21" i="19"/>
  <c r="BF21" i="19" s="1"/>
  <c r="AR21" i="19"/>
  <c r="AC16" i="19"/>
  <c r="BF16" i="19" s="1"/>
  <c r="AR16" i="19"/>
  <c r="AC27" i="22"/>
  <c r="BF27" i="22" s="1"/>
  <c r="AR27" i="22"/>
  <c r="AC29" i="22"/>
  <c r="BF29" i="22" s="1"/>
  <c r="AR29" i="22"/>
  <c r="AC33" i="22"/>
  <c r="BF33" i="22" s="1"/>
  <c r="AR33" i="22"/>
  <c r="AC21" i="22"/>
  <c r="BF21" i="22" s="1"/>
  <c r="AR21" i="22"/>
  <c r="AC17" i="22"/>
  <c r="BF17" i="22" s="1"/>
  <c r="AR17" i="22"/>
  <c r="AC35" i="22"/>
  <c r="BF35" i="22" s="1"/>
  <c r="AR35" i="22"/>
  <c r="AC26" i="22"/>
  <c r="BF26" i="22" s="1"/>
  <c r="AR26" i="22"/>
  <c r="AC36" i="21"/>
  <c r="BF36" i="21" s="1"/>
  <c r="AR36" i="21"/>
  <c r="AC32" i="21"/>
  <c r="BF32" i="21" s="1"/>
  <c r="AR32" i="21"/>
  <c r="AC28" i="21"/>
  <c r="BF28" i="21" s="1"/>
  <c r="AR28" i="21"/>
  <c r="AC24" i="21"/>
  <c r="BF24" i="21" s="1"/>
  <c r="AR24" i="21"/>
  <c r="AC9" i="21"/>
  <c r="BF9" i="21" s="1"/>
  <c r="AR9" i="21"/>
  <c r="AC18" i="21"/>
  <c r="BF18" i="21" s="1"/>
  <c r="AR18" i="21"/>
  <c r="AC19" i="21"/>
  <c r="BF19" i="21" s="1"/>
  <c r="AR19" i="21"/>
  <c r="AC20" i="21"/>
  <c r="BF20" i="21" s="1"/>
  <c r="AR20" i="21"/>
  <c r="AC38" i="23"/>
  <c r="BF38" i="23" s="1"/>
  <c r="AR38" i="23"/>
  <c r="AC34" i="23"/>
  <c r="BF34" i="23" s="1"/>
  <c r="AR34" i="23"/>
  <c r="AC30" i="23"/>
  <c r="BF30" i="23" s="1"/>
  <c r="AR30" i="23"/>
  <c r="AC26" i="23"/>
  <c r="BF26" i="23" s="1"/>
  <c r="AR26" i="23"/>
  <c r="AC22" i="23"/>
  <c r="BF22" i="23" s="1"/>
  <c r="AR22" i="23"/>
  <c r="AC9" i="23"/>
  <c r="BF9" i="23" s="1"/>
  <c r="AR9" i="23"/>
  <c r="AC11" i="23"/>
  <c r="BF11" i="23" s="1"/>
  <c r="AR11" i="23"/>
  <c r="AC14" i="23"/>
  <c r="BF14" i="23" s="1"/>
  <c r="AR14" i="23"/>
  <c r="AC20" i="20"/>
  <c r="BF20" i="20" s="1"/>
  <c r="AR20" i="20"/>
  <c r="AC32" i="20"/>
  <c r="BF32" i="20" s="1"/>
  <c r="AR32" i="20"/>
  <c r="AC27" i="18"/>
  <c r="BF27" i="18" s="1"/>
  <c r="AR27" i="18"/>
  <c r="AC11" i="18"/>
  <c r="BF11" i="18" s="1"/>
  <c r="AR11" i="18"/>
  <c r="AC26" i="19"/>
  <c r="BF26" i="19" s="1"/>
  <c r="AR26" i="19"/>
  <c r="AC11" i="19"/>
  <c r="BF11" i="19" s="1"/>
  <c r="AR11" i="19"/>
  <c r="AC11" i="22"/>
  <c r="BF11" i="22" s="1"/>
  <c r="AR11" i="22"/>
  <c r="AC23" i="22"/>
  <c r="BF23" i="22" s="1"/>
  <c r="AR23" i="22"/>
  <c r="AC13" i="22"/>
  <c r="BF13" i="22" s="1"/>
  <c r="AR13" i="22"/>
  <c r="AC38" i="21"/>
  <c r="BF38" i="21" s="1"/>
  <c r="AR38" i="21"/>
  <c r="AC26" i="21"/>
  <c r="BF26" i="21" s="1"/>
  <c r="AR26" i="21"/>
  <c r="AC16" i="21"/>
  <c r="BF16" i="21" s="1"/>
  <c r="AR16" i="21"/>
  <c r="AC14" i="21"/>
  <c r="BF14" i="21" s="1"/>
  <c r="AR14" i="21"/>
  <c r="AC29" i="20"/>
  <c r="BF29" i="20" s="1"/>
  <c r="AR29" i="20"/>
  <c r="AC18" i="20"/>
  <c r="BF18" i="20" s="1"/>
  <c r="AR18" i="20"/>
  <c r="AC12" i="20"/>
  <c r="BF12" i="20" s="1"/>
  <c r="AR12" i="20"/>
  <c r="AC23" i="20"/>
  <c r="BF23" i="20" s="1"/>
  <c r="AR23" i="20"/>
  <c r="AC15" i="20"/>
  <c r="BF15" i="20" s="1"/>
  <c r="AR15" i="20"/>
  <c r="AC19" i="20"/>
  <c r="BF19" i="20" s="1"/>
  <c r="AR19" i="20"/>
  <c r="AC28" i="20"/>
  <c r="BF28" i="20" s="1"/>
  <c r="AR28" i="20"/>
  <c r="AC36" i="18"/>
  <c r="BF36" i="18" s="1"/>
  <c r="AR36" i="18"/>
  <c r="AC32" i="18"/>
  <c r="BF32" i="18" s="1"/>
  <c r="AR32" i="18"/>
  <c r="AC28" i="18"/>
  <c r="BF28" i="18" s="1"/>
  <c r="AR28" i="18"/>
  <c r="AC24" i="18"/>
  <c r="BF24" i="18" s="1"/>
  <c r="AR24" i="18"/>
  <c r="AC13" i="18"/>
  <c r="BF13" i="18" s="1"/>
  <c r="AR13" i="18"/>
  <c r="AC16" i="18"/>
  <c r="BF16" i="18" s="1"/>
  <c r="AR16" i="18"/>
  <c r="AC20" i="18"/>
  <c r="BF20" i="18" s="1"/>
  <c r="AR20" i="18"/>
  <c r="AC15" i="18"/>
  <c r="BF15" i="18" s="1"/>
  <c r="AR15" i="18"/>
  <c r="AC35" i="19"/>
  <c r="BF35" i="19" s="1"/>
  <c r="AR35" i="19"/>
  <c r="AC31" i="19"/>
  <c r="BF31" i="19" s="1"/>
  <c r="AR31" i="19"/>
  <c r="AC27" i="19"/>
  <c r="BF27" i="19" s="1"/>
  <c r="AR27" i="19"/>
  <c r="AC23" i="19"/>
  <c r="BF23" i="19" s="1"/>
  <c r="AR23" i="19"/>
  <c r="AC9" i="19"/>
  <c r="BF9" i="19" s="1"/>
  <c r="AR9" i="19"/>
  <c r="AC18" i="19"/>
  <c r="BF18" i="19" s="1"/>
  <c r="AR18" i="19"/>
  <c r="AC20" i="19"/>
  <c r="BF20" i="19" s="1"/>
  <c r="AR20" i="19"/>
  <c r="AC28" i="22"/>
  <c r="BF28" i="22" s="1"/>
  <c r="AR28" i="22"/>
  <c r="AC37" i="22"/>
  <c r="BF37" i="22" s="1"/>
  <c r="AR37" i="22"/>
  <c r="AC15" i="22"/>
  <c r="BF15" i="22" s="1"/>
  <c r="AR15" i="22"/>
  <c r="AC31" i="22"/>
  <c r="BF31" i="22" s="1"/>
  <c r="AR31" i="22"/>
  <c r="AC20" i="22"/>
  <c r="BF20" i="22" s="1"/>
  <c r="AR20" i="22"/>
  <c r="AC16" i="22"/>
  <c r="BF16" i="22" s="1"/>
  <c r="AR16" i="22"/>
  <c r="AC25" i="22"/>
  <c r="BF25" i="22" s="1"/>
  <c r="AR25" i="22"/>
  <c r="AC35" i="21"/>
  <c r="BF35" i="21" s="1"/>
  <c r="AR35" i="21"/>
  <c r="AC31" i="21"/>
  <c r="BF31" i="21" s="1"/>
  <c r="AR31" i="21"/>
  <c r="AC27" i="21"/>
  <c r="BF27" i="21" s="1"/>
  <c r="AR27" i="21"/>
  <c r="AC23" i="21"/>
  <c r="BF23" i="21" s="1"/>
  <c r="AR23" i="21"/>
  <c r="AC15" i="21"/>
  <c r="BF15" i="21" s="1"/>
  <c r="AR15" i="21"/>
  <c r="AC17" i="21"/>
  <c r="BF17" i="21" s="1"/>
  <c r="AR17" i="21"/>
  <c r="AC12" i="21"/>
  <c r="BF12" i="21" s="1"/>
  <c r="AR12" i="21"/>
  <c r="AC37" i="23"/>
  <c r="BF37" i="23" s="1"/>
  <c r="AR37" i="23"/>
  <c r="AC33" i="23"/>
  <c r="BF33" i="23" s="1"/>
  <c r="AR33" i="23"/>
  <c r="AC29" i="23"/>
  <c r="AR29" i="23"/>
  <c r="AC25" i="23"/>
  <c r="BF25" i="23" s="1"/>
  <c r="AR25" i="23"/>
  <c r="AC21" i="23"/>
  <c r="BF21" i="23" s="1"/>
  <c r="AR21" i="23"/>
  <c r="AC15" i="23"/>
  <c r="BF15" i="23" s="1"/>
  <c r="AR15" i="23"/>
  <c r="AC18" i="23"/>
  <c r="BF18" i="23" s="1"/>
  <c r="AR18" i="23"/>
  <c r="AB38" i="19"/>
  <c r="BE38" i="19" s="1"/>
  <c r="AQ38" i="19"/>
  <c r="AB30" i="19"/>
  <c r="BE30" i="19" s="1"/>
  <c r="AQ30" i="19"/>
  <c r="AB22" i="19"/>
  <c r="BE22" i="19" s="1"/>
  <c r="AQ22" i="19"/>
  <c r="AB37" i="19"/>
  <c r="BE37" i="19" s="1"/>
  <c r="AQ37" i="19"/>
  <c r="AB33" i="19"/>
  <c r="BE33" i="19" s="1"/>
  <c r="AQ33" i="19"/>
  <c r="AB29" i="19"/>
  <c r="BE29" i="19" s="1"/>
  <c r="AQ29" i="19"/>
  <c r="AB25" i="19"/>
  <c r="BE25" i="19" s="1"/>
  <c r="AQ25" i="19"/>
  <c r="AB16" i="19"/>
  <c r="BE16" i="19" s="1"/>
  <c r="AQ16" i="19"/>
  <c r="AB9" i="19"/>
  <c r="BE9" i="19" s="1"/>
  <c r="AQ9" i="19"/>
  <c r="AB18" i="19"/>
  <c r="BE18" i="19" s="1"/>
  <c r="AQ18" i="19"/>
  <c r="AB11" i="19"/>
  <c r="BE11" i="19" s="1"/>
  <c r="AQ11" i="19"/>
  <c r="AB35" i="19"/>
  <c r="BE35" i="19" s="1"/>
  <c r="AQ35" i="19"/>
  <c r="AB31" i="19"/>
  <c r="BE31" i="19" s="1"/>
  <c r="AQ31" i="19"/>
  <c r="AB27" i="19"/>
  <c r="BE27" i="19" s="1"/>
  <c r="AQ27" i="19"/>
  <c r="AB23" i="19"/>
  <c r="BE23" i="19" s="1"/>
  <c r="AQ23" i="19"/>
  <c r="AB14" i="19"/>
  <c r="BE14" i="19" s="1"/>
  <c r="AQ14" i="19"/>
  <c r="AB20" i="19"/>
  <c r="BE20" i="19" s="1"/>
  <c r="AQ20" i="19"/>
  <c r="AB10" i="19"/>
  <c r="BE10" i="19" s="1"/>
  <c r="AQ10" i="19"/>
  <c r="AB13" i="20"/>
  <c r="BE13" i="20" s="1"/>
  <c r="AQ13" i="20"/>
  <c r="AB12" i="20"/>
  <c r="BE12" i="20" s="1"/>
  <c r="AQ12" i="20"/>
  <c r="AB33" i="20"/>
  <c r="BE33" i="20" s="1"/>
  <c r="AQ33" i="20"/>
  <c r="AB37" i="20"/>
  <c r="BE37" i="20" s="1"/>
  <c r="AQ37" i="20"/>
  <c r="AB34" i="20"/>
  <c r="BE34" i="20" s="1"/>
  <c r="AQ34" i="20"/>
  <c r="AB30" i="20"/>
  <c r="BE30" i="20" s="1"/>
  <c r="AQ30" i="20"/>
  <c r="AB18" i="20"/>
  <c r="BE18" i="20" s="1"/>
  <c r="AQ18" i="20"/>
  <c r="AB34" i="19"/>
  <c r="BE34" i="19" s="1"/>
  <c r="AQ34" i="19"/>
  <c r="AB26" i="19"/>
  <c r="BE26" i="19" s="1"/>
  <c r="AQ26" i="19"/>
  <c r="AB19" i="19"/>
  <c r="BE19" i="19" s="1"/>
  <c r="AQ19" i="19"/>
  <c r="AB21" i="19"/>
  <c r="BE21" i="19" s="1"/>
  <c r="AQ21" i="19"/>
  <c r="AB22" i="20"/>
  <c r="BE22" i="20" s="1"/>
  <c r="AQ22" i="20"/>
  <c r="AB9" i="20"/>
  <c r="BE9" i="20" s="1"/>
  <c r="AQ9" i="20"/>
  <c r="AB14" i="20"/>
  <c r="BE14" i="20" s="1"/>
  <c r="AQ14" i="20"/>
  <c r="AB32" i="20"/>
  <c r="BE32" i="20" s="1"/>
  <c r="AQ32" i="20"/>
  <c r="AB25" i="20"/>
  <c r="BE25" i="20" s="1"/>
  <c r="AQ25" i="20"/>
  <c r="AB36" i="20"/>
  <c r="BE36" i="20" s="1"/>
  <c r="AQ36" i="20"/>
  <c r="AB17" i="20"/>
  <c r="BE17" i="20" s="1"/>
  <c r="AQ17" i="20"/>
  <c r="AB27" i="20"/>
  <c r="BE27" i="20" s="1"/>
  <c r="AQ27" i="20"/>
  <c r="AB28" i="20"/>
  <c r="BE28" i="20" s="1"/>
  <c r="AQ28" i="20"/>
  <c r="AB23" i="20"/>
  <c r="BE23" i="20" s="1"/>
  <c r="AQ23" i="20"/>
  <c r="AB26" i="20"/>
  <c r="BE26" i="20" s="1"/>
  <c r="AQ26" i="20"/>
  <c r="AB11" i="20"/>
  <c r="BE11" i="20" s="1"/>
  <c r="AQ11" i="20"/>
  <c r="AB35" i="20"/>
  <c r="BE35" i="20" s="1"/>
  <c r="AQ35" i="20"/>
  <c r="AB20" i="20"/>
  <c r="BE20" i="20" s="1"/>
  <c r="AQ20" i="20"/>
  <c r="AB10" i="20"/>
  <c r="BE10" i="20" s="1"/>
  <c r="AQ10" i="20"/>
  <c r="AB36" i="19"/>
  <c r="BE36" i="19" s="1"/>
  <c r="AQ36" i="19"/>
  <c r="AB32" i="19"/>
  <c r="BE32" i="19" s="1"/>
  <c r="AQ32" i="19"/>
  <c r="AB28" i="19"/>
  <c r="BE28" i="19" s="1"/>
  <c r="AQ28" i="19"/>
  <c r="AB24" i="19"/>
  <c r="BE24" i="19" s="1"/>
  <c r="AQ24" i="19"/>
  <c r="AB17" i="19"/>
  <c r="BE17" i="19" s="1"/>
  <c r="AQ17" i="19"/>
  <c r="AB15" i="19"/>
  <c r="BE15" i="19" s="1"/>
  <c r="AQ15" i="19"/>
  <c r="AB12" i="19"/>
  <c r="BE12" i="19" s="1"/>
  <c r="AQ12" i="19"/>
  <c r="AB13" i="19"/>
  <c r="BE13" i="19" s="1"/>
  <c r="AQ13" i="19"/>
  <c r="AB21" i="20"/>
  <c r="BE21" i="20" s="1"/>
  <c r="AQ21" i="20"/>
  <c r="AB29" i="20"/>
  <c r="BE29" i="20" s="1"/>
  <c r="AQ29" i="20"/>
  <c r="AB31" i="20"/>
  <c r="BE31" i="20" s="1"/>
  <c r="AQ31" i="20"/>
  <c r="AB19" i="20"/>
  <c r="BE19" i="20" s="1"/>
  <c r="AQ19" i="20"/>
  <c r="AB16" i="20"/>
  <c r="BE16" i="20" s="1"/>
  <c r="AQ16" i="20"/>
  <c r="AB15" i="20"/>
  <c r="BE15" i="20" s="1"/>
  <c r="AQ15" i="20"/>
  <c r="AB24" i="20"/>
  <c r="BE24" i="20" s="1"/>
  <c r="AQ24" i="20"/>
  <c r="Y15" i="19"/>
  <c r="BB15" i="19" s="1"/>
  <c r="AN15" i="19"/>
  <c r="CK247" i="14" s="1"/>
  <c r="Y16" i="19"/>
  <c r="BB16" i="19" s="1"/>
  <c r="AN16" i="19"/>
  <c r="CK248" i="14" s="1"/>
  <c r="Y11" i="19"/>
  <c r="BB11" i="19" s="1"/>
  <c r="AN11" i="19"/>
  <c r="CK243" i="14" s="1"/>
  <c r="Y19" i="19"/>
  <c r="BB19" i="19" s="1"/>
  <c r="AN19" i="19"/>
  <c r="Y36" i="23"/>
  <c r="AN36" i="23"/>
  <c r="Y32" i="23"/>
  <c r="AN32" i="23"/>
  <c r="Y28" i="23"/>
  <c r="AN28" i="23"/>
  <c r="Y24" i="23"/>
  <c r="AN24" i="23"/>
  <c r="Y12" i="23"/>
  <c r="AN12" i="23"/>
  <c r="CK366" i="14" s="1"/>
  <c r="Y13" i="23"/>
  <c r="AN13" i="23"/>
  <c r="CK367" i="14" s="1"/>
  <c r="Y18" i="23"/>
  <c r="AN18" i="23"/>
  <c r="Y11" i="23"/>
  <c r="AN11" i="23"/>
  <c r="CK365" i="14" s="1"/>
  <c r="Y33" i="18"/>
  <c r="BB33" i="18" s="1"/>
  <c r="AN33" i="18"/>
  <c r="CK236" i="14" s="1"/>
  <c r="Y29" i="18"/>
  <c r="BB29" i="18" s="1"/>
  <c r="AN29" i="18"/>
  <c r="CK232" i="14" s="1"/>
  <c r="Y25" i="18"/>
  <c r="BB25" i="18" s="1"/>
  <c r="AN25" i="18"/>
  <c r="CK228" i="14" s="1"/>
  <c r="Y10" i="18"/>
  <c r="BB10" i="18" s="1"/>
  <c r="AN10" i="18"/>
  <c r="CK213" i="14" s="1"/>
  <c r="Y14" i="18"/>
  <c r="BB14" i="18" s="1"/>
  <c r="AN14" i="18"/>
  <c r="CK217" i="14" s="1"/>
  <c r="Y12" i="18"/>
  <c r="BB12" i="18" s="1"/>
  <c r="AN12" i="18"/>
  <c r="CK215" i="14" s="1"/>
  <c r="Y21" i="18"/>
  <c r="BB21" i="18" s="1"/>
  <c r="AN21" i="18"/>
  <c r="Y36" i="21"/>
  <c r="BB36" i="21" s="1"/>
  <c r="AN36" i="21"/>
  <c r="Y32" i="21"/>
  <c r="BB32" i="21" s="1"/>
  <c r="AN32" i="21"/>
  <c r="Y28" i="21"/>
  <c r="BB28" i="21" s="1"/>
  <c r="AN28" i="21"/>
  <c r="Y24" i="21"/>
  <c r="BB24" i="21" s="1"/>
  <c r="AN24" i="21"/>
  <c r="Y21" i="21"/>
  <c r="BB21" i="21" s="1"/>
  <c r="AN21" i="21"/>
  <c r="Y15" i="21"/>
  <c r="BB15" i="21" s="1"/>
  <c r="AN15" i="21"/>
  <c r="CK308" i="14" s="1"/>
  <c r="Y13" i="21"/>
  <c r="BB13" i="21" s="1"/>
  <c r="AN13" i="21"/>
  <c r="CK306" i="14" s="1"/>
  <c r="Y22" i="22"/>
  <c r="AN22" i="22"/>
  <c r="Y37" i="22"/>
  <c r="AN37" i="22"/>
  <c r="Y20" i="22"/>
  <c r="AN20" i="22"/>
  <c r="Y29" i="22"/>
  <c r="AN29" i="22"/>
  <c r="Y28" i="22"/>
  <c r="AN28" i="22"/>
  <c r="Y30" i="22"/>
  <c r="AN30" i="22"/>
  <c r="CK354" i="14" s="1"/>
  <c r="Y23" i="22"/>
  <c r="AN23" i="22"/>
  <c r="Y27" i="23"/>
  <c r="AN27" i="23"/>
  <c r="Y15" i="23"/>
  <c r="AN15" i="23"/>
  <c r="Y36" i="18"/>
  <c r="BB36" i="18" s="1"/>
  <c r="AN36" i="18"/>
  <c r="CK239" i="14" s="1"/>
  <c r="Y24" i="18"/>
  <c r="BB24" i="18" s="1"/>
  <c r="AN24" i="18"/>
  <c r="CK227" i="14" s="1"/>
  <c r="Y11" i="18"/>
  <c r="BB11" i="18" s="1"/>
  <c r="AN11" i="18"/>
  <c r="Y31" i="21"/>
  <c r="BB31" i="21" s="1"/>
  <c r="AN31" i="21"/>
  <c r="CK324" i="14" s="1"/>
  <c r="Y23" i="21"/>
  <c r="BB23" i="21" s="1"/>
  <c r="AN23" i="21"/>
  <c r="Y14" i="21"/>
  <c r="BB14" i="21" s="1"/>
  <c r="AN14" i="21"/>
  <c r="CK307" i="14" s="1"/>
  <c r="Y16" i="21"/>
  <c r="BB16" i="21" s="1"/>
  <c r="AN16" i="21"/>
  <c r="Y10" i="22"/>
  <c r="AN10" i="22"/>
  <c r="Y16" i="22"/>
  <c r="AN16" i="22"/>
  <c r="Y12" i="22"/>
  <c r="AN12" i="22"/>
  <c r="CK336" i="14" s="1"/>
  <c r="Y25" i="22"/>
  <c r="AN25" i="22"/>
  <c r="CK349" i="14" s="1"/>
  <c r="Y15" i="22"/>
  <c r="AN15" i="22"/>
  <c r="CK339" i="14" s="1"/>
  <c r="Y19" i="22"/>
  <c r="AN19" i="22"/>
  <c r="Y32" i="22"/>
  <c r="AN32" i="22"/>
  <c r="CK356" i="14" s="1"/>
  <c r="Y10" i="19"/>
  <c r="BB10" i="19" s="1"/>
  <c r="AN10" i="19"/>
  <c r="Y13" i="19"/>
  <c r="BB13" i="19" s="1"/>
  <c r="AN13" i="19"/>
  <c r="CK245" i="14" s="1"/>
  <c r="Y38" i="23"/>
  <c r="AN38" i="23"/>
  <c r="Y34" i="23"/>
  <c r="AN34" i="23"/>
  <c r="Y30" i="23"/>
  <c r="AN30" i="23"/>
  <c r="Y26" i="23"/>
  <c r="AN26" i="23"/>
  <c r="Y22" i="23"/>
  <c r="AN22" i="23"/>
  <c r="Y9" i="23"/>
  <c r="AN9" i="23"/>
  <c r="CK363" i="14" s="1"/>
  <c r="Y17" i="23"/>
  <c r="AN17" i="23"/>
  <c r="Y16" i="23"/>
  <c r="AN16" i="23"/>
  <c r="CK370" i="14" s="1"/>
  <c r="Y35" i="18"/>
  <c r="BB35" i="18" s="1"/>
  <c r="AN35" i="18"/>
  <c r="CK238" i="14" s="1"/>
  <c r="Y31" i="18"/>
  <c r="BB31" i="18" s="1"/>
  <c r="AN31" i="18"/>
  <c r="CK234" i="14" s="1"/>
  <c r="Y27" i="18"/>
  <c r="BB27" i="18" s="1"/>
  <c r="AN27" i="18"/>
  <c r="CK230" i="14" s="1"/>
  <c r="Y23" i="18"/>
  <c r="BB23" i="18" s="1"/>
  <c r="AN23" i="18"/>
  <c r="CK226" i="14" s="1"/>
  <c r="Y16" i="18"/>
  <c r="BB16" i="18" s="1"/>
  <c r="AN16" i="18"/>
  <c r="CK219" i="14" s="1"/>
  <c r="Y18" i="18"/>
  <c r="BB18" i="18" s="1"/>
  <c r="AN18" i="18"/>
  <c r="CK221" i="14" s="1"/>
  <c r="Y9" i="18"/>
  <c r="BB9" i="18" s="1"/>
  <c r="AN9" i="18"/>
  <c r="CK212" i="14" s="1"/>
  <c r="Y38" i="21"/>
  <c r="BB38" i="21" s="1"/>
  <c r="AN38" i="21"/>
  <c r="CK331" i="14" s="1"/>
  <c r="Y34" i="21"/>
  <c r="BB34" i="21" s="1"/>
  <c r="AN34" i="21"/>
  <c r="Y30" i="21"/>
  <c r="BB30" i="21" s="1"/>
  <c r="AN30" i="21"/>
  <c r="CK323" i="14" s="1"/>
  <c r="Y26" i="21"/>
  <c r="BB26" i="21" s="1"/>
  <c r="AN26" i="21"/>
  <c r="Y22" i="21"/>
  <c r="BB22" i="21" s="1"/>
  <c r="AN22" i="21"/>
  <c r="CK315" i="14" s="1"/>
  <c r="Y18" i="21"/>
  <c r="BB18" i="21" s="1"/>
  <c r="AN18" i="21"/>
  <c r="CK311" i="14" s="1"/>
  <c r="Y19" i="21"/>
  <c r="BB19" i="21" s="1"/>
  <c r="AN19" i="21"/>
  <c r="Y12" i="21"/>
  <c r="BB12" i="21" s="1"/>
  <c r="AN12" i="21"/>
  <c r="Y13" i="22"/>
  <c r="AN13" i="22"/>
  <c r="Y21" i="22"/>
  <c r="AN21" i="22"/>
  <c r="CK345" i="14" s="1"/>
  <c r="Y33" i="22"/>
  <c r="AN33" i="22"/>
  <c r="Y26" i="22"/>
  <c r="AN26" i="22"/>
  <c r="Y24" i="22"/>
  <c r="AN24" i="22"/>
  <c r="Y34" i="22"/>
  <c r="AN34" i="22"/>
  <c r="CK358" i="14" s="1"/>
  <c r="Y9" i="22"/>
  <c r="AN9" i="22"/>
  <c r="Y14" i="22"/>
  <c r="AN14" i="22"/>
  <c r="Y17" i="19"/>
  <c r="BB17" i="19" s="1"/>
  <c r="AN17" i="19"/>
  <c r="CK249" i="14" s="1"/>
  <c r="Y12" i="19"/>
  <c r="BB12" i="19" s="1"/>
  <c r="AN12" i="19"/>
  <c r="Y35" i="23"/>
  <c r="AN35" i="23"/>
  <c r="CK389" i="14" s="1"/>
  <c r="Y31" i="23"/>
  <c r="AN31" i="23"/>
  <c r="CK385" i="14" s="1"/>
  <c r="Y23" i="23"/>
  <c r="AN23" i="23"/>
  <c r="CK377" i="14" s="1"/>
  <c r="Y10" i="23"/>
  <c r="AN10" i="23"/>
  <c r="Y32" i="18"/>
  <c r="BB32" i="18" s="1"/>
  <c r="AN32" i="18"/>
  <c r="CK235" i="14" s="1"/>
  <c r="Y28" i="18"/>
  <c r="BB28" i="18" s="1"/>
  <c r="AN28" i="18"/>
  <c r="CK231" i="14" s="1"/>
  <c r="Y13" i="18"/>
  <c r="BB13" i="18" s="1"/>
  <c r="AN13" i="18"/>
  <c r="CK216" i="14" s="1"/>
  <c r="Y19" i="18"/>
  <c r="BB19" i="18" s="1"/>
  <c r="AN19" i="18"/>
  <c r="CK222" i="14" s="1"/>
  <c r="Y17" i="18"/>
  <c r="BB17" i="18" s="1"/>
  <c r="AN17" i="18"/>
  <c r="CK220" i="14" s="1"/>
  <c r="Y35" i="21"/>
  <c r="BB35" i="21" s="1"/>
  <c r="AN35" i="21"/>
  <c r="CK328" i="14" s="1"/>
  <c r="Y27" i="21"/>
  <c r="BB27" i="21" s="1"/>
  <c r="AN27" i="21"/>
  <c r="Y20" i="21"/>
  <c r="BB20" i="21" s="1"/>
  <c r="AN20" i="21"/>
  <c r="Y37" i="23"/>
  <c r="AN37" i="23"/>
  <c r="CK391" i="14" s="1"/>
  <c r="Y33" i="23"/>
  <c r="AN33" i="23"/>
  <c r="CK387" i="14" s="1"/>
  <c r="Y29" i="23"/>
  <c r="BB4" i="23" s="1"/>
  <c r="BF295" i="1" s="1"/>
  <c r="H10" i="14" s="1"/>
  <c r="AN29" i="23"/>
  <c r="CK383" i="14" s="1"/>
  <c r="Y25" i="23"/>
  <c r="AN25" i="23"/>
  <c r="CK379" i="14" s="1"/>
  <c r="Y21" i="23"/>
  <c r="AN21" i="23"/>
  <c r="CK375" i="14" s="1"/>
  <c r="Y14" i="23"/>
  <c r="AN14" i="23"/>
  <c r="CK368" i="14" s="1"/>
  <c r="Y19" i="23"/>
  <c r="AN19" i="23"/>
  <c r="Y20" i="23"/>
  <c r="AN20" i="23"/>
  <c r="Y34" i="18"/>
  <c r="BB34" i="18" s="1"/>
  <c r="AN34" i="18"/>
  <c r="CK237" i="14" s="1"/>
  <c r="Y30" i="18"/>
  <c r="BB30" i="18" s="1"/>
  <c r="AN30" i="18"/>
  <c r="CK233" i="14" s="1"/>
  <c r="Y26" i="18"/>
  <c r="BB26" i="18" s="1"/>
  <c r="AN26" i="18"/>
  <c r="CK229" i="14" s="1"/>
  <c r="Y22" i="18"/>
  <c r="BB22" i="18" s="1"/>
  <c r="AN22" i="18"/>
  <c r="CK225" i="14" s="1"/>
  <c r="Y15" i="18"/>
  <c r="BB15" i="18" s="1"/>
  <c r="AN15" i="18"/>
  <c r="Y20" i="18"/>
  <c r="BB20" i="18" s="1"/>
  <c r="AN20" i="18"/>
  <c r="Y37" i="21"/>
  <c r="BB37" i="21" s="1"/>
  <c r="AN37" i="21"/>
  <c r="CK330" i="14" s="1"/>
  <c r="Y33" i="21"/>
  <c r="BB33" i="21" s="1"/>
  <c r="AN33" i="21"/>
  <c r="Y29" i="21"/>
  <c r="BB29" i="21" s="1"/>
  <c r="AN29" i="21"/>
  <c r="CK322" i="14" s="1"/>
  <c r="Y25" i="21"/>
  <c r="BB25" i="21" s="1"/>
  <c r="AN25" i="21"/>
  <c r="Y11" i="21"/>
  <c r="BB11" i="21" s="1"/>
  <c r="AN11" i="21"/>
  <c r="CK304" i="14" s="1"/>
  <c r="Y9" i="21"/>
  <c r="BB9" i="21" s="1"/>
  <c r="AN9" i="21"/>
  <c r="Y10" i="21"/>
  <c r="BB10" i="21" s="1"/>
  <c r="AN10" i="21"/>
  <c r="Y17" i="21"/>
  <c r="BB17" i="21" s="1"/>
  <c r="AN17" i="21"/>
  <c r="Y27" i="22"/>
  <c r="AN27" i="22"/>
  <c r="Y17" i="22"/>
  <c r="AN17" i="22"/>
  <c r="Y11" i="22"/>
  <c r="AN11" i="22"/>
  <c r="Y18" i="22"/>
  <c r="AN18" i="22"/>
  <c r="Y35" i="22"/>
  <c r="AN35" i="22"/>
  <c r="CK359" i="14" s="1"/>
  <c r="Y31" i="22"/>
  <c r="AN31" i="22"/>
  <c r="CK355" i="14" s="1"/>
  <c r="Y36" i="22"/>
  <c r="AN36" i="22"/>
  <c r="X28" i="21"/>
  <c r="AJ28" i="21" s="1"/>
  <c r="BC321" i="14" s="1"/>
  <c r="AX321" i="14" s="1"/>
  <c r="AM28" i="21"/>
  <c r="X15" i="21"/>
  <c r="AI15" i="21" s="1"/>
  <c r="BB308" i="14" s="1"/>
  <c r="AW308" i="14" s="1"/>
  <c r="AM15" i="21"/>
  <c r="X13" i="20"/>
  <c r="AH13" i="20" s="1"/>
  <c r="AM13" i="20"/>
  <c r="X21" i="20"/>
  <c r="AJ21" i="20" s="1"/>
  <c r="AM21" i="20"/>
  <c r="X34" i="19"/>
  <c r="BD266" i="14" s="1"/>
  <c r="AM34" i="19"/>
  <c r="X14" i="19"/>
  <c r="BD246" i="14" s="1"/>
  <c r="AM14" i="19"/>
  <c r="X30" i="21"/>
  <c r="AG30" i="21" s="1"/>
  <c r="AM30" i="21"/>
  <c r="X11" i="21"/>
  <c r="AI11" i="21" s="1"/>
  <c r="AM11" i="21"/>
  <c r="X16" i="21"/>
  <c r="AH16" i="21" s="1"/>
  <c r="AM16" i="21"/>
  <c r="X26" i="20"/>
  <c r="AG26" i="20" s="1"/>
  <c r="AM26" i="20"/>
  <c r="X31" i="20"/>
  <c r="AJ31" i="20" s="1"/>
  <c r="AM31" i="20"/>
  <c r="X32" i="19"/>
  <c r="BD264" i="14" s="1"/>
  <c r="AM32" i="19"/>
  <c r="X13" i="19"/>
  <c r="BD245" i="14" s="1"/>
  <c r="AM13" i="19"/>
  <c r="X10" i="19"/>
  <c r="BD242" i="14" s="1"/>
  <c r="AM10" i="19"/>
  <c r="X22" i="18"/>
  <c r="AM22" i="18"/>
  <c r="X9" i="18"/>
  <c r="AM9" i="18"/>
  <c r="X12" i="18"/>
  <c r="AM12" i="18"/>
  <c r="X36" i="21"/>
  <c r="AH36" i="21" s="1"/>
  <c r="AM36" i="21"/>
  <c r="X24" i="21"/>
  <c r="AI24" i="21" s="1"/>
  <c r="AM24" i="21"/>
  <c r="X18" i="21"/>
  <c r="AG18" i="21" s="1"/>
  <c r="AM18" i="21"/>
  <c r="X20" i="21"/>
  <c r="AJ20" i="21" s="1"/>
  <c r="BC313" i="14" s="1"/>
  <c r="AX313" i="14" s="1"/>
  <c r="AM20" i="21"/>
  <c r="X22" i="20"/>
  <c r="AH22" i="20" s="1"/>
  <c r="AM22" i="20"/>
  <c r="X11" i="20"/>
  <c r="AJ11" i="20" s="1"/>
  <c r="AM11" i="20"/>
  <c r="X35" i="20"/>
  <c r="AH35" i="20" s="1"/>
  <c r="AM35" i="20"/>
  <c r="X24" i="20"/>
  <c r="AH24" i="20" s="1"/>
  <c r="AM24" i="20"/>
  <c r="X34" i="20"/>
  <c r="AH34" i="20" s="1"/>
  <c r="AM34" i="20"/>
  <c r="X17" i="19"/>
  <c r="BD249" i="14" s="1"/>
  <c r="AM17" i="19"/>
  <c r="X17" i="18"/>
  <c r="AM17" i="18"/>
  <c r="X38" i="21"/>
  <c r="AH38" i="21" s="1"/>
  <c r="AW38" i="21" s="1"/>
  <c r="AM38" i="21"/>
  <c r="X34" i="21"/>
  <c r="AM34" i="21"/>
  <c r="X26" i="21"/>
  <c r="AI26" i="21" s="1"/>
  <c r="AM26" i="21"/>
  <c r="X22" i="21"/>
  <c r="AM22" i="21"/>
  <c r="X30" i="20"/>
  <c r="AJ30" i="20" s="1"/>
  <c r="AY30" i="20" s="1"/>
  <c r="AM30" i="20"/>
  <c r="X27" i="20"/>
  <c r="AG27" i="20" s="1"/>
  <c r="AM27" i="20"/>
  <c r="X9" i="20"/>
  <c r="AH9" i="20" s="1"/>
  <c r="AM9" i="20"/>
  <c r="X23" i="20"/>
  <c r="AM23" i="20"/>
  <c r="X33" i="20"/>
  <c r="AJ33" i="20" s="1"/>
  <c r="AM33" i="20"/>
  <c r="X28" i="19"/>
  <c r="BD260" i="14" s="1"/>
  <c r="AM28" i="19"/>
  <c r="X24" i="19"/>
  <c r="BD256" i="14" s="1"/>
  <c r="AM24" i="19"/>
  <c r="X19" i="19"/>
  <c r="BD251" i="14" s="1"/>
  <c r="AM19" i="19"/>
  <c r="X37" i="21"/>
  <c r="AG37" i="21" s="1"/>
  <c r="AM37" i="21"/>
  <c r="X33" i="21"/>
  <c r="AG33" i="21" s="1"/>
  <c r="AM33" i="21"/>
  <c r="X29" i="21"/>
  <c r="AG29" i="21" s="1"/>
  <c r="AZ322" i="14" s="1"/>
  <c r="AP322" i="14" s="1"/>
  <c r="AM29" i="21"/>
  <c r="X25" i="21"/>
  <c r="AJ25" i="21" s="1"/>
  <c r="AM25" i="21"/>
  <c r="X17" i="21"/>
  <c r="AI17" i="21" s="1"/>
  <c r="BB310" i="14" s="1"/>
  <c r="AW310" i="14" s="1"/>
  <c r="AM17" i="21"/>
  <c r="X14" i="21"/>
  <c r="AH14" i="21" s="1"/>
  <c r="AM14" i="21"/>
  <c r="X21" i="21"/>
  <c r="AI21" i="21" s="1"/>
  <c r="AM21" i="21"/>
  <c r="X10" i="21"/>
  <c r="AG10" i="21" s="1"/>
  <c r="AM10" i="21"/>
  <c r="X16" i="20"/>
  <c r="AG16" i="20" s="1"/>
  <c r="AV16" i="20" s="1"/>
  <c r="AM16" i="20"/>
  <c r="X25" i="20"/>
  <c r="AJ25" i="20" s="1"/>
  <c r="AM25" i="20"/>
  <c r="X17" i="20"/>
  <c r="AJ17" i="20" s="1"/>
  <c r="AM17" i="20"/>
  <c r="X15" i="20"/>
  <c r="AJ15" i="20" s="1"/>
  <c r="AY15" i="20" s="1"/>
  <c r="AM15" i="20"/>
  <c r="X10" i="20"/>
  <c r="AG10" i="20" s="1"/>
  <c r="AM10" i="20"/>
  <c r="X12" i="20"/>
  <c r="AG12" i="20" s="1"/>
  <c r="AV12" i="20" s="1"/>
  <c r="AM12" i="20"/>
  <c r="X32" i="20"/>
  <c r="AG32" i="20" s="1"/>
  <c r="AM32" i="20"/>
  <c r="X19" i="20"/>
  <c r="AH19" i="20" s="1"/>
  <c r="AW19" i="20" s="1"/>
  <c r="AM19" i="20"/>
  <c r="X31" i="19"/>
  <c r="BD263" i="14" s="1"/>
  <c r="AM31" i="19"/>
  <c r="X27" i="19"/>
  <c r="BD259" i="14" s="1"/>
  <c r="AM27" i="19"/>
  <c r="X12" i="19"/>
  <c r="BD244" i="14" s="1"/>
  <c r="AM12" i="19"/>
  <c r="X16" i="19"/>
  <c r="BD248" i="14" s="1"/>
  <c r="AM16" i="19"/>
  <c r="X33" i="18"/>
  <c r="AM33" i="18"/>
  <c r="X29" i="18"/>
  <c r="AM29" i="18"/>
  <c r="X25" i="18"/>
  <c r="AM25" i="18"/>
  <c r="X21" i="18"/>
  <c r="AM21" i="18"/>
  <c r="X14" i="18"/>
  <c r="AM14" i="18"/>
  <c r="X10" i="18"/>
  <c r="AM10" i="18"/>
  <c r="X13" i="18"/>
  <c r="AM13" i="18"/>
  <c r="X32" i="21"/>
  <c r="AG32" i="21" s="1"/>
  <c r="AM32" i="21"/>
  <c r="X19" i="21"/>
  <c r="AH19" i="21" s="1"/>
  <c r="AM19" i="21"/>
  <c r="X18" i="20"/>
  <c r="AH18" i="20" s="1"/>
  <c r="AM18" i="20"/>
  <c r="X38" i="19"/>
  <c r="BD270" i="14" s="1"/>
  <c r="AM38" i="19"/>
  <c r="X22" i="19"/>
  <c r="BD254" i="14" s="1"/>
  <c r="AM22" i="19"/>
  <c r="X24" i="18"/>
  <c r="AM24" i="18"/>
  <c r="X20" i="18"/>
  <c r="AM20" i="18"/>
  <c r="X35" i="21"/>
  <c r="AG35" i="21" s="1"/>
  <c r="AM35" i="21"/>
  <c r="X31" i="21"/>
  <c r="AG31" i="21" s="1"/>
  <c r="AZ324" i="14" s="1"/>
  <c r="AP324" i="14" s="1"/>
  <c r="AM31" i="21"/>
  <c r="X27" i="21"/>
  <c r="AI27" i="21" s="1"/>
  <c r="BB320" i="14" s="1"/>
  <c r="AW320" i="14" s="1"/>
  <c r="AM27" i="21"/>
  <c r="X23" i="21"/>
  <c r="AJ23" i="21" s="1"/>
  <c r="BC316" i="14" s="1"/>
  <c r="AX316" i="14" s="1"/>
  <c r="AM23" i="21"/>
  <c r="X12" i="21"/>
  <c r="AJ12" i="21" s="1"/>
  <c r="AM12" i="21"/>
  <c r="X13" i="21"/>
  <c r="AJ13" i="21" s="1"/>
  <c r="AY13" i="21" s="1"/>
  <c r="AM13" i="21"/>
  <c r="X9" i="21"/>
  <c r="AG9" i="21" s="1"/>
  <c r="AZ302" i="14" s="1"/>
  <c r="AP302" i="14" s="1"/>
  <c r="AM9" i="21"/>
  <c r="X29" i="20"/>
  <c r="AG29" i="20" s="1"/>
  <c r="AM29" i="20"/>
  <c r="X28" i="20"/>
  <c r="AG28" i="20" s="1"/>
  <c r="AV28" i="20" s="1"/>
  <c r="AM28" i="20"/>
  <c r="X37" i="20"/>
  <c r="AH37" i="20" s="1"/>
  <c r="AW37" i="20" s="1"/>
  <c r="AM37" i="20"/>
  <c r="X20" i="20"/>
  <c r="AG20" i="20" s="1"/>
  <c r="AM20" i="20"/>
  <c r="X36" i="20"/>
  <c r="AH36" i="20" s="1"/>
  <c r="AM36" i="20"/>
  <c r="X14" i="20"/>
  <c r="AG14" i="20" s="1"/>
  <c r="AZ277" i="14" s="1"/>
  <c r="AP277" i="14" s="1"/>
  <c r="AM14" i="20"/>
  <c r="X37" i="19"/>
  <c r="BD269" i="14" s="1"/>
  <c r="AM37" i="19"/>
  <c r="X29" i="19"/>
  <c r="BD261" i="14" s="1"/>
  <c r="AM29" i="19"/>
  <c r="X25" i="19"/>
  <c r="BD257" i="14" s="1"/>
  <c r="AM25" i="19"/>
  <c r="X15" i="19"/>
  <c r="BD247" i="14" s="1"/>
  <c r="AM15" i="19"/>
  <c r="X9" i="19"/>
  <c r="BD241" i="14" s="1"/>
  <c r="AM9" i="19"/>
  <c r="X18" i="19"/>
  <c r="BD250" i="14" s="1"/>
  <c r="AM18" i="19"/>
  <c r="X31" i="18"/>
  <c r="AM31" i="18"/>
  <c r="X23" i="18"/>
  <c r="AM23" i="18"/>
  <c r="X18" i="18"/>
  <c r="AM18" i="18"/>
  <c r="X16" i="18"/>
  <c r="AM16" i="18"/>
  <c r="X11" i="18"/>
  <c r="AM11" i="18"/>
  <c r="J15" i="29"/>
  <c r="P253" i="1"/>
  <c r="P270" i="1"/>
  <c r="Y8" i="23"/>
  <c r="Y8" i="18"/>
  <c r="BB8" i="18" s="1"/>
  <c r="Y8" i="22"/>
  <c r="H48" i="22"/>
  <c r="Y8" i="21"/>
  <c r="BB8" i="21" s="1"/>
  <c r="H48" i="21"/>
  <c r="AR269" i="14"/>
  <c r="Z37" i="19"/>
  <c r="BC37" i="19" s="1"/>
  <c r="AR265" i="14"/>
  <c r="Z33" i="19"/>
  <c r="BC33" i="19" s="1"/>
  <c r="AR261" i="14"/>
  <c r="Z29" i="19"/>
  <c r="BC29" i="19" s="1"/>
  <c r="AR257" i="14"/>
  <c r="Z25" i="19"/>
  <c r="BC25" i="19" s="1"/>
  <c r="AR253" i="14"/>
  <c r="Z21" i="19"/>
  <c r="BC21" i="19" s="1"/>
  <c r="AR241" i="14"/>
  <c r="Z9" i="19"/>
  <c r="BC9" i="19" s="1"/>
  <c r="AR248" i="14"/>
  <c r="Z16" i="19"/>
  <c r="BC16" i="19" s="1"/>
  <c r="AR251" i="14"/>
  <c r="Z19" i="19"/>
  <c r="BC19" i="19" s="1"/>
  <c r="AS268" i="14"/>
  <c r="AA36" i="19"/>
  <c r="BD36" i="19" s="1"/>
  <c r="AS264" i="14"/>
  <c r="AA32" i="19"/>
  <c r="BD32" i="19" s="1"/>
  <c r="AS260" i="14"/>
  <c r="AA28" i="19"/>
  <c r="BD28" i="19" s="1"/>
  <c r="AS256" i="14"/>
  <c r="AA24" i="19"/>
  <c r="BD24" i="19" s="1"/>
  <c r="AS252" i="14"/>
  <c r="AA20" i="19"/>
  <c r="BD20" i="19" s="1"/>
  <c r="AS240" i="14"/>
  <c r="AA8" i="19"/>
  <c r="BD8" i="19" s="1"/>
  <c r="J48" i="19"/>
  <c r="J128" i="19" s="1"/>
  <c r="E122" i="29" s="1"/>
  <c r="AS244" i="14"/>
  <c r="AA12" i="19"/>
  <c r="BD12" i="19" s="1"/>
  <c r="AS247" i="14"/>
  <c r="AA15" i="19"/>
  <c r="BD15" i="19" s="1"/>
  <c r="AS236" i="14"/>
  <c r="AA33" i="18"/>
  <c r="BD33" i="18" s="1"/>
  <c r="AS232" i="14"/>
  <c r="AA29" i="18"/>
  <c r="BD29" i="18" s="1"/>
  <c r="AS228" i="14"/>
  <c r="AA25" i="18"/>
  <c r="BD25" i="18" s="1"/>
  <c r="AS217" i="14"/>
  <c r="AA14" i="18"/>
  <c r="BD14" i="18" s="1"/>
  <c r="AS220" i="14"/>
  <c r="AA17" i="18"/>
  <c r="BD17" i="18" s="1"/>
  <c r="AS218" i="14"/>
  <c r="AA15" i="18"/>
  <c r="BD15" i="18" s="1"/>
  <c r="AS213" i="14"/>
  <c r="AA10" i="18"/>
  <c r="BD10" i="18" s="1"/>
  <c r="AC8" i="18"/>
  <c r="BF8" i="18" s="1"/>
  <c r="AC8" i="19"/>
  <c r="BF8" i="19" s="1"/>
  <c r="L48" i="19"/>
  <c r="AM36" i="19"/>
  <c r="X36" i="19"/>
  <c r="BD268" i="14" s="1"/>
  <c r="AM11" i="19"/>
  <c r="X11" i="19"/>
  <c r="BD243" i="14" s="1"/>
  <c r="Y25" i="19"/>
  <c r="BB25" i="19" s="1"/>
  <c r="Y18" i="19"/>
  <c r="BB18" i="19" s="1"/>
  <c r="Y9" i="19"/>
  <c r="BB9" i="19" s="1"/>
  <c r="Y14" i="19"/>
  <c r="BB14" i="19" s="1"/>
  <c r="Y20" i="19"/>
  <c r="BB20" i="19" s="1"/>
  <c r="AR236" i="14"/>
  <c r="Z33" i="18"/>
  <c r="BC33" i="18" s="1"/>
  <c r="AR232" i="14"/>
  <c r="Z29" i="18"/>
  <c r="BC29" i="18" s="1"/>
  <c r="AR228" i="14"/>
  <c r="Z25" i="18"/>
  <c r="BC25" i="18" s="1"/>
  <c r="AR224" i="14"/>
  <c r="Z21" i="18"/>
  <c r="BC21" i="18" s="1"/>
  <c r="AR216" i="14"/>
  <c r="Z13" i="18"/>
  <c r="BC13" i="18" s="1"/>
  <c r="AR218" i="14"/>
  <c r="Z15" i="18"/>
  <c r="BC15" i="18" s="1"/>
  <c r="AR220" i="14"/>
  <c r="Z17" i="18"/>
  <c r="BC17" i="18" s="1"/>
  <c r="AB34" i="18"/>
  <c r="BE34" i="18" s="1"/>
  <c r="AB30" i="18"/>
  <c r="BE30" i="18" s="1"/>
  <c r="AB26" i="18"/>
  <c r="BE26" i="18" s="1"/>
  <c r="AB22" i="18"/>
  <c r="BE22" i="18" s="1"/>
  <c r="AB9" i="18"/>
  <c r="BE9" i="18" s="1"/>
  <c r="AB8" i="18"/>
  <c r="BE8" i="18" s="1"/>
  <c r="AB15" i="18"/>
  <c r="BE15" i="18" s="1"/>
  <c r="AM35" i="18"/>
  <c r="X35" i="18"/>
  <c r="AM27" i="18"/>
  <c r="X27" i="18"/>
  <c r="AB35" i="23"/>
  <c r="BE35" i="23" s="1"/>
  <c r="AB31" i="23"/>
  <c r="BE31" i="23" s="1"/>
  <c r="AB27" i="23"/>
  <c r="BE27" i="23" s="1"/>
  <c r="AB23" i="23"/>
  <c r="BE23" i="23" s="1"/>
  <c r="AB14" i="23"/>
  <c r="BE14" i="23" s="1"/>
  <c r="AB16" i="23"/>
  <c r="BE16" i="23" s="1"/>
  <c r="AB12" i="23"/>
  <c r="BE12" i="23" s="1"/>
  <c r="AR389" i="14"/>
  <c r="Z35" i="23"/>
  <c r="BC35" i="23" s="1"/>
  <c r="AR385" i="14"/>
  <c r="Z31" i="23"/>
  <c r="BC31" i="23" s="1"/>
  <c r="AR381" i="14"/>
  <c r="Z27" i="23"/>
  <c r="BC27" i="23" s="1"/>
  <c r="AR377" i="14"/>
  <c r="Z23" i="23"/>
  <c r="BC23" i="23" s="1"/>
  <c r="AR374" i="14"/>
  <c r="Z20" i="23"/>
  <c r="BC20" i="23" s="1"/>
  <c r="AR367" i="14"/>
  <c r="Z13" i="23"/>
  <c r="BC13" i="23" s="1"/>
  <c r="AR371" i="14"/>
  <c r="Z17" i="23"/>
  <c r="BC17" i="23" s="1"/>
  <c r="AS392" i="14"/>
  <c r="AA38" i="23"/>
  <c r="BD38" i="23" s="1"/>
  <c r="AS388" i="14"/>
  <c r="AA34" i="23"/>
  <c r="BD34" i="23" s="1"/>
  <c r="AS384" i="14"/>
  <c r="AA30" i="23"/>
  <c r="BD30" i="23" s="1"/>
  <c r="AS380" i="14"/>
  <c r="AA26" i="23"/>
  <c r="BD26" i="23" s="1"/>
  <c r="AS376" i="14"/>
  <c r="AA22" i="23"/>
  <c r="BD22" i="23" s="1"/>
  <c r="AS362" i="14"/>
  <c r="AA8" i="23"/>
  <c r="BD8" i="23" s="1"/>
  <c r="AS368" i="14"/>
  <c r="AA14" i="23"/>
  <c r="BD14" i="23" s="1"/>
  <c r="AS370" i="14"/>
  <c r="AA16" i="23"/>
  <c r="BD16" i="23" s="1"/>
  <c r="AR268" i="14"/>
  <c r="Z36" i="19"/>
  <c r="BC36" i="19" s="1"/>
  <c r="AR264" i="14"/>
  <c r="Z32" i="19"/>
  <c r="BC32" i="19" s="1"/>
  <c r="AR260" i="14"/>
  <c r="Z28" i="19"/>
  <c r="BC28" i="19" s="1"/>
  <c r="AR256" i="14"/>
  <c r="Z24" i="19"/>
  <c r="BC24" i="19" s="1"/>
  <c r="AR245" i="14"/>
  <c r="Z13" i="19"/>
  <c r="BC13" i="19" s="1"/>
  <c r="AR246" i="14"/>
  <c r="Z14" i="19"/>
  <c r="BC14" i="19" s="1"/>
  <c r="AR242" i="14"/>
  <c r="Z10" i="19"/>
  <c r="BC10" i="19" s="1"/>
  <c r="AR240" i="14"/>
  <c r="Z8" i="19"/>
  <c r="BC8" i="19" s="1"/>
  <c r="I48" i="19"/>
  <c r="AS267" i="14"/>
  <c r="AA35" i="19"/>
  <c r="BD35" i="19" s="1"/>
  <c r="AS263" i="14"/>
  <c r="AA31" i="19"/>
  <c r="BD31" i="19" s="1"/>
  <c r="AS259" i="14"/>
  <c r="AA27" i="19"/>
  <c r="BD27" i="19" s="1"/>
  <c r="AS255" i="14"/>
  <c r="AA23" i="19"/>
  <c r="BD23" i="19" s="1"/>
  <c r="AS253" i="14"/>
  <c r="AA21" i="19"/>
  <c r="BD21" i="19" s="1"/>
  <c r="AS246" i="14"/>
  <c r="AA14" i="19"/>
  <c r="BD14" i="19" s="1"/>
  <c r="AS250" i="14"/>
  <c r="AA18" i="19"/>
  <c r="BD18" i="19" s="1"/>
  <c r="AS239" i="14"/>
  <c r="AA36" i="18"/>
  <c r="BD36" i="18" s="1"/>
  <c r="AS235" i="14"/>
  <c r="AA32" i="18"/>
  <c r="BD32" i="18" s="1"/>
  <c r="AS231" i="14"/>
  <c r="AA28" i="18"/>
  <c r="BD28" i="18" s="1"/>
  <c r="AS227" i="14"/>
  <c r="AA24" i="18"/>
  <c r="BD24" i="18" s="1"/>
  <c r="AS216" i="14"/>
  <c r="AA13" i="18"/>
  <c r="BD13" i="18" s="1"/>
  <c r="AS222" i="14"/>
  <c r="AA19" i="18"/>
  <c r="BD19" i="18" s="1"/>
  <c r="AS211" i="14"/>
  <c r="AA8" i="18"/>
  <c r="BD8" i="18" s="1"/>
  <c r="AS219" i="14"/>
  <c r="AA16" i="18"/>
  <c r="BD16" i="18" s="1"/>
  <c r="AM35" i="19"/>
  <c r="X35" i="19"/>
  <c r="BD267" i="14" s="1"/>
  <c r="AM23" i="19"/>
  <c r="X23" i="19"/>
  <c r="BD255" i="14" s="1"/>
  <c r="AM20" i="19"/>
  <c r="X20" i="19"/>
  <c r="BD252" i="14" s="1"/>
  <c r="Y36" i="19"/>
  <c r="BB36" i="19" s="1"/>
  <c r="Y32" i="19"/>
  <c r="BB32" i="19" s="1"/>
  <c r="Y28" i="19"/>
  <c r="BB28" i="19" s="1"/>
  <c r="Y24" i="19"/>
  <c r="BB24" i="19" s="1"/>
  <c r="Y8" i="19"/>
  <c r="BB8" i="19" s="1"/>
  <c r="H48" i="19"/>
  <c r="AR239" i="14"/>
  <c r="Z36" i="18"/>
  <c r="BC36" i="18" s="1"/>
  <c r="AR235" i="14"/>
  <c r="Z32" i="18"/>
  <c r="BC32" i="18" s="1"/>
  <c r="AR231" i="14"/>
  <c r="Z28" i="18"/>
  <c r="BC28" i="18" s="1"/>
  <c r="AR227" i="14"/>
  <c r="Z24" i="18"/>
  <c r="BC24" i="18" s="1"/>
  <c r="AR222" i="14"/>
  <c r="Z19" i="18"/>
  <c r="BC19" i="18" s="1"/>
  <c r="AR217" i="14"/>
  <c r="Z14" i="18"/>
  <c r="BC14" i="18" s="1"/>
  <c r="AR213" i="14"/>
  <c r="Z10" i="18"/>
  <c r="BC10" i="18" s="1"/>
  <c r="AR211" i="14"/>
  <c r="Z8" i="18"/>
  <c r="BC8" i="18" s="1"/>
  <c r="AD8" i="19"/>
  <c r="BG8" i="19" s="1"/>
  <c r="M48" i="19"/>
  <c r="M128" i="19" s="1"/>
  <c r="E124" i="29" s="1"/>
  <c r="AB33" i="18"/>
  <c r="BE33" i="18" s="1"/>
  <c r="AB29" i="18"/>
  <c r="BE29" i="18" s="1"/>
  <c r="AB25" i="18"/>
  <c r="BE25" i="18" s="1"/>
  <c r="AB10" i="18"/>
  <c r="BE10" i="18" s="1"/>
  <c r="AB17" i="18"/>
  <c r="BE17" i="18" s="1"/>
  <c r="AB18" i="18"/>
  <c r="BE18" i="18" s="1"/>
  <c r="AB11" i="18"/>
  <c r="BE11" i="18" s="1"/>
  <c r="AM34" i="18"/>
  <c r="X34" i="18"/>
  <c r="AM30" i="18"/>
  <c r="X30" i="18"/>
  <c r="AM26" i="18"/>
  <c r="X26" i="18"/>
  <c r="AM15" i="18"/>
  <c r="X15" i="18"/>
  <c r="AD8" i="23"/>
  <c r="BG8" i="23" s="1"/>
  <c r="AB38" i="23"/>
  <c r="BE38" i="23" s="1"/>
  <c r="AB34" i="23"/>
  <c r="BE34" i="23" s="1"/>
  <c r="AB30" i="23"/>
  <c r="BE30" i="23" s="1"/>
  <c r="AB26" i="23"/>
  <c r="BE26" i="23" s="1"/>
  <c r="AB22" i="23"/>
  <c r="BE22" i="23" s="1"/>
  <c r="AB13" i="23"/>
  <c r="BE13" i="23" s="1"/>
  <c r="AB15" i="23"/>
  <c r="BE15" i="23" s="1"/>
  <c r="AB11" i="23"/>
  <c r="BE11" i="23" s="1"/>
  <c r="AR392" i="14"/>
  <c r="Z38" i="23"/>
  <c r="BC38" i="23" s="1"/>
  <c r="AR388" i="14"/>
  <c r="Z34" i="23"/>
  <c r="BC34" i="23" s="1"/>
  <c r="AR384" i="14"/>
  <c r="Z30" i="23"/>
  <c r="BC30" i="23" s="1"/>
  <c r="AR380" i="14"/>
  <c r="Z26" i="23"/>
  <c r="BC26" i="23" s="1"/>
  <c r="AR376" i="14"/>
  <c r="Z22" i="23"/>
  <c r="BC22" i="23" s="1"/>
  <c r="AR373" i="14"/>
  <c r="Z19" i="23"/>
  <c r="BC19" i="23" s="1"/>
  <c r="AR363" i="14"/>
  <c r="Z9" i="23"/>
  <c r="BC9" i="23" s="1"/>
  <c r="AR368" i="14"/>
  <c r="Z14" i="23"/>
  <c r="BC14" i="23" s="1"/>
  <c r="AS391" i="14"/>
  <c r="AA37" i="23"/>
  <c r="BD37" i="23" s="1"/>
  <c r="AS387" i="14"/>
  <c r="AA33" i="23"/>
  <c r="BD33" i="23" s="1"/>
  <c r="AS383" i="14"/>
  <c r="AA29" i="23"/>
  <c r="AS379" i="14"/>
  <c r="AA25" i="23"/>
  <c r="BD25" i="23" s="1"/>
  <c r="AS375" i="14"/>
  <c r="AA21" i="23"/>
  <c r="BD21" i="23" s="1"/>
  <c r="AS374" i="14"/>
  <c r="AA20" i="23"/>
  <c r="BD20" i="23" s="1"/>
  <c r="AS367" i="14"/>
  <c r="AA13" i="23"/>
  <c r="BD13" i="23" s="1"/>
  <c r="AS364" i="14"/>
  <c r="AA10" i="23"/>
  <c r="BD10" i="23" s="1"/>
  <c r="AC8" i="23"/>
  <c r="BF8" i="23" s="1"/>
  <c r="AR267" i="14"/>
  <c r="Z35" i="19"/>
  <c r="BC35" i="19" s="1"/>
  <c r="AR263" i="14"/>
  <c r="Z31" i="19"/>
  <c r="BC31" i="19" s="1"/>
  <c r="AR259" i="14"/>
  <c r="Z27" i="19"/>
  <c r="BC27" i="19" s="1"/>
  <c r="AR255" i="14"/>
  <c r="Z23" i="19"/>
  <c r="BC23" i="19" s="1"/>
  <c r="AR247" i="14"/>
  <c r="Z15" i="19"/>
  <c r="BC15" i="19" s="1"/>
  <c r="AR252" i="14"/>
  <c r="Z20" i="19"/>
  <c r="BC20" i="19" s="1"/>
  <c r="AR244" i="14"/>
  <c r="Z12" i="19"/>
  <c r="BC12" i="19" s="1"/>
  <c r="AS270" i="14"/>
  <c r="AA38" i="19"/>
  <c r="BD38" i="19" s="1"/>
  <c r="AS266" i="14"/>
  <c r="AA34" i="19"/>
  <c r="BD34" i="19" s="1"/>
  <c r="AS262" i="14"/>
  <c r="AA30" i="19"/>
  <c r="BD30" i="19" s="1"/>
  <c r="AS258" i="14"/>
  <c r="AA26" i="19"/>
  <c r="BD26" i="19" s="1"/>
  <c r="AS254" i="14"/>
  <c r="AA22" i="19"/>
  <c r="BD22" i="19" s="1"/>
  <c r="AS241" i="14"/>
  <c r="AA9" i="19"/>
  <c r="BD9" i="19" s="1"/>
  <c r="AS249" i="14"/>
  <c r="AA17" i="19"/>
  <c r="BD17" i="19" s="1"/>
  <c r="AS243" i="14"/>
  <c r="AA11" i="19"/>
  <c r="BD11" i="19" s="1"/>
  <c r="AS238" i="14"/>
  <c r="AA35" i="18"/>
  <c r="BD35" i="18" s="1"/>
  <c r="AS234" i="14"/>
  <c r="AA31" i="18"/>
  <c r="BD31" i="18" s="1"/>
  <c r="AS230" i="14"/>
  <c r="AA27" i="18"/>
  <c r="BD27" i="18" s="1"/>
  <c r="AS226" i="14"/>
  <c r="AA23" i="18"/>
  <c r="BD23" i="18" s="1"/>
  <c r="AS224" i="14"/>
  <c r="AA21" i="18"/>
  <c r="BD21" i="18" s="1"/>
  <c r="AS223" i="14"/>
  <c r="AA20" i="18"/>
  <c r="BD20" i="18" s="1"/>
  <c r="AS215" i="14"/>
  <c r="AA12" i="18"/>
  <c r="BD12" i="18" s="1"/>
  <c r="AM30" i="19"/>
  <c r="X30" i="19"/>
  <c r="BD262" i="14" s="1"/>
  <c r="AM26" i="19"/>
  <c r="X26" i="19"/>
  <c r="BD258" i="14" s="1"/>
  <c r="AM21" i="19"/>
  <c r="X21" i="19"/>
  <c r="BD253" i="14" s="1"/>
  <c r="Y35" i="19"/>
  <c r="BB35" i="19" s="1"/>
  <c r="Y27" i="19"/>
  <c r="BB27" i="19" s="1"/>
  <c r="Y23" i="19"/>
  <c r="BB23" i="19" s="1"/>
  <c r="AR238" i="14"/>
  <c r="Z35" i="18"/>
  <c r="BC35" i="18" s="1"/>
  <c r="AR234" i="14"/>
  <c r="Z31" i="18"/>
  <c r="BC31" i="18" s="1"/>
  <c r="AR230" i="14"/>
  <c r="Z27" i="18"/>
  <c r="BC27" i="18" s="1"/>
  <c r="AR226" i="14"/>
  <c r="Z23" i="18"/>
  <c r="BC23" i="18" s="1"/>
  <c r="AR215" i="14"/>
  <c r="Z12" i="18"/>
  <c r="BC12" i="18" s="1"/>
  <c r="AR223" i="14"/>
  <c r="Z20" i="18"/>
  <c r="BC20" i="18" s="1"/>
  <c r="AR212" i="14"/>
  <c r="Z9" i="18"/>
  <c r="BC9" i="18" s="1"/>
  <c r="AB36" i="18"/>
  <c r="BE36" i="18" s="1"/>
  <c r="AB32" i="18"/>
  <c r="BE32" i="18" s="1"/>
  <c r="AB28" i="18"/>
  <c r="BE28" i="18" s="1"/>
  <c r="AB24" i="18"/>
  <c r="BE24" i="18" s="1"/>
  <c r="AB21" i="18"/>
  <c r="BE21" i="18" s="1"/>
  <c r="AB20" i="18"/>
  <c r="BE20" i="18" s="1"/>
  <c r="AB19" i="18"/>
  <c r="BE19" i="18" s="1"/>
  <c r="AB14" i="18"/>
  <c r="BE14" i="18" s="1"/>
  <c r="AD8" i="18"/>
  <c r="BG8" i="18" s="1"/>
  <c r="AB37" i="23"/>
  <c r="BE37" i="23" s="1"/>
  <c r="AB33" i="23"/>
  <c r="BE33" i="23" s="1"/>
  <c r="AB29" i="23"/>
  <c r="AB25" i="23"/>
  <c r="BE25" i="23" s="1"/>
  <c r="AB21" i="23"/>
  <c r="BE21" i="23" s="1"/>
  <c r="AB8" i="23"/>
  <c r="BE8" i="23" s="1"/>
  <c r="AB19" i="23"/>
  <c r="BE19" i="23" s="1"/>
  <c r="AB9" i="23"/>
  <c r="BE9" i="23" s="1"/>
  <c r="AR391" i="14"/>
  <c r="Z37" i="23"/>
  <c r="BC37" i="23" s="1"/>
  <c r="AR387" i="14"/>
  <c r="Z33" i="23"/>
  <c r="BC33" i="23" s="1"/>
  <c r="AR383" i="14"/>
  <c r="Z29" i="23"/>
  <c r="AR379" i="14"/>
  <c r="Z25" i="23"/>
  <c r="BC25" i="23" s="1"/>
  <c r="AR375" i="14"/>
  <c r="Z21" i="23"/>
  <c r="BC21" i="23" s="1"/>
  <c r="AR365" i="14"/>
  <c r="Z11" i="23"/>
  <c r="BC11" i="23" s="1"/>
  <c r="AR366" i="14"/>
  <c r="Z12" i="23"/>
  <c r="BC12" i="23" s="1"/>
  <c r="AR362" i="14"/>
  <c r="Z8" i="23"/>
  <c r="BC8" i="23" s="1"/>
  <c r="AS390" i="14"/>
  <c r="AA36" i="23"/>
  <c r="BD36" i="23" s="1"/>
  <c r="AS386" i="14"/>
  <c r="AA32" i="23"/>
  <c r="BD32" i="23" s="1"/>
  <c r="AS382" i="14"/>
  <c r="AA28" i="23"/>
  <c r="BD28" i="23" s="1"/>
  <c r="AS378" i="14"/>
  <c r="AA24" i="23"/>
  <c r="BD24" i="23" s="1"/>
  <c r="AS366" i="14"/>
  <c r="AA12" i="23"/>
  <c r="BD12" i="23" s="1"/>
  <c r="AS371" i="14"/>
  <c r="AA17" i="23"/>
  <c r="BD17" i="23" s="1"/>
  <c r="AS363" i="14"/>
  <c r="AA9" i="23"/>
  <c r="BD9" i="23" s="1"/>
  <c r="AS369" i="14"/>
  <c r="AA15" i="23"/>
  <c r="BD15" i="23" s="1"/>
  <c r="AR270" i="14"/>
  <c r="Z38" i="19"/>
  <c r="BC38" i="19" s="1"/>
  <c r="AR266" i="14"/>
  <c r="Z34" i="19"/>
  <c r="BC34" i="19" s="1"/>
  <c r="AR262" i="14"/>
  <c r="Z30" i="19"/>
  <c r="BC30" i="19" s="1"/>
  <c r="AR258" i="14"/>
  <c r="Z26" i="19"/>
  <c r="BC26" i="19" s="1"/>
  <c r="AR254" i="14"/>
  <c r="Z22" i="19"/>
  <c r="BC22" i="19" s="1"/>
  <c r="AR249" i="14"/>
  <c r="Z17" i="19"/>
  <c r="BC17" i="19" s="1"/>
  <c r="AR250" i="14"/>
  <c r="Z18" i="19"/>
  <c r="BC18" i="19" s="1"/>
  <c r="AR243" i="14"/>
  <c r="Z11" i="19"/>
  <c r="BC11" i="19" s="1"/>
  <c r="AS269" i="14"/>
  <c r="AA37" i="19"/>
  <c r="BD37" i="19" s="1"/>
  <c r="AS265" i="14"/>
  <c r="AA33" i="19"/>
  <c r="BD33" i="19" s="1"/>
  <c r="AS261" i="14"/>
  <c r="AA29" i="19"/>
  <c r="BD29" i="19" s="1"/>
  <c r="AS257" i="14"/>
  <c r="AA25" i="19"/>
  <c r="BD25" i="19" s="1"/>
  <c r="AS251" i="14"/>
  <c r="AA19" i="19"/>
  <c r="BD19" i="19" s="1"/>
  <c r="AS242" i="14"/>
  <c r="AA10" i="19"/>
  <c r="BD10" i="19" s="1"/>
  <c r="AS245" i="14"/>
  <c r="AA13" i="19"/>
  <c r="BD13" i="19" s="1"/>
  <c r="AS248" i="14"/>
  <c r="AA16" i="19"/>
  <c r="BD16" i="19" s="1"/>
  <c r="AS237" i="14"/>
  <c r="AA34" i="18"/>
  <c r="BD34" i="18" s="1"/>
  <c r="AS233" i="14"/>
  <c r="AA30" i="18"/>
  <c r="BD30" i="18" s="1"/>
  <c r="AS229" i="14"/>
  <c r="AA26" i="18"/>
  <c r="BD26" i="18" s="1"/>
  <c r="AS225" i="14"/>
  <c r="AA22" i="18"/>
  <c r="BD22" i="18" s="1"/>
  <c r="AS221" i="14"/>
  <c r="AA18" i="18"/>
  <c r="BD18" i="18" s="1"/>
  <c r="AS214" i="14"/>
  <c r="AA11" i="18"/>
  <c r="BD11" i="18" s="1"/>
  <c r="AS212" i="14"/>
  <c r="AA9" i="18"/>
  <c r="BD9" i="18" s="1"/>
  <c r="AM33" i="19"/>
  <c r="X33" i="19"/>
  <c r="BD265" i="14" s="1"/>
  <c r="X8" i="19"/>
  <c r="BD240" i="14" s="1"/>
  <c r="G48" i="19"/>
  <c r="Y34" i="19"/>
  <c r="BB34" i="19" s="1"/>
  <c r="Y30" i="19"/>
  <c r="BB30" i="19" s="1"/>
  <c r="Y26" i="19"/>
  <c r="BB26" i="19" s="1"/>
  <c r="Y22" i="19"/>
  <c r="BB22" i="19" s="1"/>
  <c r="Y21" i="19"/>
  <c r="BB21" i="19" s="1"/>
  <c r="AR237" i="14"/>
  <c r="Z34" i="18"/>
  <c r="BC34" i="18" s="1"/>
  <c r="AR233" i="14"/>
  <c r="Z30" i="18"/>
  <c r="BC30" i="18" s="1"/>
  <c r="AR229" i="14"/>
  <c r="Z26" i="18"/>
  <c r="BC26" i="18" s="1"/>
  <c r="AR225" i="14"/>
  <c r="Z22" i="18"/>
  <c r="BC22" i="18" s="1"/>
  <c r="AR214" i="14"/>
  <c r="Z11" i="18"/>
  <c r="BC11" i="18" s="1"/>
  <c r="AR219" i="14"/>
  <c r="Z16" i="18"/>
  <c r="BC16" i="18" s="1"/>
  <c r="AR221" i="14"/>
  <c r="Z18" i="18"/>
  <c r="BC18" i="18" s="1"/>
  <c r="AB8" i="19"/>
  <c r="BE8" i="19" s="1"/>
  <c r="K48" i="19"/>
  <c r="K128" i="19" s="1"/>
  <c r="AB35" i="18"/>
  <c r="BE35" i="18" s="1"/>
  <c r="AB31" i="18"/>
  <c r="BE31" i="18" s="1"/>
  <c r="AB27" i="18"/>
  <c r="BE27" i="18" s="1"/>
  <c r="AB23" i="18"/>
  <c r="BE23" i="18" s="1"/>
  <c r="AB16" i="18"/>
  <c r="BE16" i="18" s="1"/>
  <c r="AB13" i="18"/>
  <c r="BE13" i="18" s="1"/>
  <c r="AB12" i="18"/>
  <c r="BE12" i="18" s="1"/>
  <c r="AM36" i="18"/>
  <c r="X36" i="18"/>
  <c r="AM32" i="18"/>
  <c r="X32" i="18"/>
  <c r="AM28" i="18"/>
  <c r="X28" i="18"/>
  <c r="AM19" i="18"/>
  <c r="X19" i="18"/>
  <c r="X8" i="18"/>
  <c r="AB36" i="23"/>
  <c r="BE36" i="23" s="1"/>
  <c r="AB32" i="23"/>
  <c r="BE32" i="23" s="1"/>
  <c r="AB28" i="23"/>
  <c r="BE28" i="23" s="1"/>
  <c r="AB24" i="23"/>
  <c r="BE24" i="23" s="1"/>
  <c r="AB17" i="23"/>
  <c r="BE17" i="23" s="1"/>
  <c r="AB18" i="23"/>
  <c r="BE18" i="23" s="1"/>
  <c r="AB20" i="23"/>
  <c r="BE20" i="23" s="1"/>
  <c r="AB10" i="23"/>
  <c r="BE10" i="23" s="1"/>
  <c r="AR390" i="14"/>
  <c r="Z36" i="23"/>
  <c r="BC36" i="23" s="1"/>
  <c r="AR386" i="14"/>
  <c r="Z32" i="23"/>
  <c r="BC32" i="23" s="1"/>
  <c r="AR382" i="14"/>
  <c r="Z28" i="23"/>
  <c r="BC28" i="23" s="1"/>
  <c r="AR378" i="14"/>
  <c r="Z24" i="23"/>
  <c r="BC24" i="23" s="1"/>
  <c r="AR369" i="14"/>
  <c r="Z15" i="23"/>
  <c r="BC15" i="23" s="1"/>
  <c r="AR370" i="14"/>
  <c r="Z16" i="23"/>
  <c r="BC16" i="23" s="1"/>
  <c r="AR372" i="14"/>
  <c r="Z18" i="23"/>
  <c r="BC18" i="23" s="1"/>
  <c r="AR364" i="14"/>
  <c r="Z10" i="23"/>
  <c r="BC10" i="23" s="1"/>
  <c r="AS389" i="14"/>
  <c r="AA35" i="23"/>
  <c r="BD35" i="23" s="1"/>
  <c r="AS385" i="14"/>
  <c r="AA31" i="23"/>
  <c r="BD31" i="23" s="1"/>
  <c r="AS381" i="14"/>
  <c r="AA27" i="23"/>
  <c r="BD27" i="23" s="1"/>
  <c r="AS377" i="14"/>
  <c r="AA23" i="23"/>
  <c r="BD23" i="23" s="1"/>
  <c r="AS372" i="14"/>
  <c r="AA18" i="23"/>
  <c r="BD18" i="23" s="1"/>
  <c r="AS373" i="14"/>
  <c r="AA19" i="23"/>
  <c r="BD19" i="23" s="1"/>
  <c r="AS365" i="14"/>
  <c r="AA11" i="23"/>
  <c r="BD11" i="23" s="1"/>
  <c r="F15" i="29"/>
  <c r="AY21" i="22"/>
  <c r="BC345" i="14"/>
  <c r="AX345" i="14" s="1"/>
  <c r="BC342" i="14"/>
  <c r="AX342" i="14" s="1"/>
  <c r="AY18" i="22"/>
  <c r="BC354" i="14"/>
  <c r="AX354" i="14" s="1"/>
  <c r="AY30" i="22"/>
  <c r="AB27" i="22"/>
  <c r="BE27" i="22" s="1"/>
  <c r="AB14" i="22"/>
  <c r="BE14" i="22" s="1"/>
  <c r="AB34" i="22"/>
  <c r="BE34" i="22" s="1"/>
  <c r="AB33" i="22"/>
  <c r="BE33" i="22" s="1"/>
  <c r="X8" i="20"/>
  <c r="G48" i="20"/>
  <c r="AR329" i="14"/>
  <c r="Z36" i="21"/>
  <c r="BC36" i="21" s="1"/>
  <c r="AR303" i="14"/>
  <c r="Z10" i="21"/>
  <c r="BC10" i="21" s="1"/>
  <c r="AV31" i="22"/>
  <c r="AF31" i="22"/>
  <c r="AZ355" i="14"/>
  <c r="AP355" i="14" s="1"/>
  <c r="AZ360" i="14"/>
  <c r="AP360" i="14" s="1"/>
  <c r="AV36" i="22"/>
  <c r="AF36" i="22"/>
  <c r="AS349" i="14"/>
  <c r="AA25" i="22"/>
  <c r="BD25" i="22" s="1"/>
  <c r="AS348" i="14"/>
  <c r="AA24" i="22"/>
  <c r="BD24" i="22" s="1"/>
  <c r="BB281" i="14"/>
  <c r="AW281" i="14" s="1"/>
  <c r="AX18" i="20"/>
  <c r="AX32" i="20"/>
  <c r="BB295" i="14"/>
  <c r="AW295" i="14" s="1"/>
  <c r="Y11" i="20"/>
  <c r="BB11" i="20" s="1"/>
  <c r="AS325" i="14"/>
  <c r="AA32" i="21"/>
  <c r="BD32" i="21" s="1"/>
  <c r="AA14" i="21"/>
  <c r="BD14" i="21" s="1"/>
  <c r="AS307" i="14"/>
  <c r="AW30" i="22"/>
  <c r="BA354" i="14"/>
  <c r="AQ354" i="14" s="1"/>
  <c r="AW14" i="22"/>
  <c r="BA338" i="14"/>
  <c r="AQ338" i="14" s="1"/>
  <c r="AW18" i="22"/>
  <c r="BA342" i="14"/>
  <c r="AQ342" i="14" s="1"/>
  <c r="AX19" i="22"/>
  <c r="BB343" i="14"/>
  <c r="AW343" i="14" s="1"/>
  <c r="AX20" i="22"/>
  <c r="BB344" i="14"/>
  <c r="AW344" i="14" s="1"/>
  <c r="AX36" i="22"/>
  <c r="BB360" i="14"/>
  <c r="AW360" i="14" s="1"/>
  <c r="AR356" i="14"/>
  <c r="Z32" i="22"/>
  <c r="BC32" i="22" s="1"/>
  <c r="Z15" i="22"/>
  <c r="BC15" i="22" s="1"/>
  <c r="AR339" i="14"/>
  <c r="AR344" i="14"/>
  <c r="Z20" i="22"/>
  <c r="BC20" i="22" s="1"/>
  <c r="Z26" i="20"/>
  <c r="BC26" i="20" s="1"/>
  <c r="AR289" i="14"/>
  <c r="AR279" i="14"/>
  <c r="Z16" i="20"/>
  <c r="BC16" i="20" s="1"/>
  <c r="Z10" i="20"/>
  <c r="BC10" i="20" s="1"/>
  <c r="AR273" i="14"/>
  <c r="Z12" i="20"/>
  <c r="BC12" i="20" s="1"/>
  <c r="AR275" i="14"/>
  <c r="Z17" i="20"/>
  <c r="BC17" i="20" s="1"/>
  <c r="AR280" i="14"/>
  <c r="Z23" i="20"/>
  <c r="BC23" i="20" s="1"/>
  <c r="AR286" i="14"/>
  <c r="AB33" i="21"/>
  <c r="BE33" i="21" s="1"/>
  <c r="AB17" i="21"/>
  <c r="BE17" i="21" s="1"/>
  <c r="AB9" i="21"/>
  <c r="BE9" i="21" s="1"/>
  <c r="AA18" i="20"/>
  <c r="BD18" i="20" s="1"/>
  <c r="AS281" i="14"/>
  <c r="AA11" i="20"/>
  <c r="BD11" i="20" s="1"/>
  <c r="AS274" i="14"/>
  <c r="AA12" i="20"/>
  <c r="BD12" i="20" s="1"/>
  <c r="AS275" i="14"/>
  <c r="X8" i="21"/>
  <c r="G48" i="21"/>
  <c r="G128" i="21" s="1"/>
  <c r="AY12" i="22"/>
  <c r="BC336" i="14"/>
  <c r="AX336" i="14" s="1"/>
  <c r="BC358" i="14"/>
  <c r="AX358" i="14" s="1"/>
  <c r="AY34" i="22"/>
  <c r="BC346" i="14"/>
  <c r="AX346" i="14" s="1"/>
  <c r="AY22" i="22"/>
  <c r="BC333" i="14"/>
  <c r="AX333" i="14" s="1"/>
  <c r="AY9" i="22"/>
  <c r="AY32" i="22"/>
  <c r="BC356" i="14"/>
  <c r="AX356" i="14" s="1"/>
  <c r="BC360" i="14"/>
  <c r="AX360" i="14" s="1"/>
  <c r="AY36" i="22"/>
  <c r="BC337" i="14"/>
  <c r="AX337" i="14" s="1"/>
  <c r="AY13" i="22"/>
  <c r="BC338" i="14"/>
  <c r="AX338" i="14" s="1"/>
  <c r="AY14" i="22"/>
  <c r="AB11" i="22"/>
  <c r="BE11" i="22" s="1"/>
  <c r="AB28" i="22"/>
  <c r="BE28" i="22" s="1"/>
  <c r="AB19" i="22"/>
  <c r="BE19" i="22" s="1"/>
  <c r="AB20" i="22"/>
  <c r="BE20" i="22" s="1"/>
  <c r="AB13" i="22"/>
  <c r="BE13" i="22" s="1"/>
  <c r="AB32" i="22"/>
  <c r="BE32" i="22" s="1"/>
  <c r="AB12" i="22"/>
  <c r="BE12" i="22" s="1"/>
  <c r="AB23" i="22"/>
  <c r="BE23" i="22" s="1"/>
  <c r="AR328" i="14"/>
  <c r="Z35" i="21"/>
  <c r="BC35" i="21" s="1"/>
  <c r="AR324" i="14"/>
  <c r="Z31" i="21"/>
  <c r="BC31" i="21" s="1"/>
  <c r="Z27" i="21"/>
  <c r="BC27" i="21" s="1"/>
  <c r="AR320" i="14"/>
  <c r="Z23" i="21"/>
  <c r="BC23" i="21" s="1"/>
  <c r="AR316" i="14"/>
  <c r="Z19" i="21"/>
  <c r="BC19" i="21" s="1"/>
  <c r="AR312" i="14"/>
  <c r="Z9" i="21"/>
  <c r="BC9" i="21" s="1"/>
  <c r="AR302" i="14"/>
  <c r="Z18" i="21"/>
  <c r="BC18" i="21" s="1"/>
  <c r="AR311" i="14"/>
  <c r="AV18" i="22"/>
  <c r="AZ342" i="14"/>
  <c r="AP342" i="14" s="1"/>
  <c r="AF18" i="22"/>
  <c r="AZ352" i="14"/>
  <c r="AP352" i="14" s="1"/>
  <c r="AF28" i="22"/>
  <c r="AV28" i="22"/>
  <c r="AZ359" i="14"/>
  <c r="AP359" i="14" s="1"/>
  <c r="AF35" i="22"/>
  <c r="AV35" i="22"/>
  <c r="AV26" i="22"/>
  <c r="AZ350" i="14"/>
  <c r="AP350" i="14" s="1"/>
  <c r="AF26" i="22"/>
  <c r="AV11" i="22"/>
  <c r="AF11" i="22"/>
  <c r="AZ335" i="14"/>
  <c r="AP335" i="14" s="1"/>
  <c r="AZ353" i="14"/>
  <c r="AP353" i="14" s="1"/>
  <c r="AF29" i="22"/>
  <c r="AV29" i="22"/>
  <c r="AV22" i="22"/>
  <c r="AF22" i="22"/>
  <c r="AZ346" i="14"/>
  <c r="AP346" i="14" s="1"/>
  <c r="AZ339" i="14"/>
  <c r="AP339" i="14" s="1"/>
  <c r="AV15" i="22"/>
  <c r="AF15" i="22"/>
  <c r="AS337" i="14"/>
  <c r="AA13" i="22"/>
  <c r="BD13" i="22" s="1"/>
  <c r="AA28" i="22"/>
  <c r="BD28" i="22" s="1"/>
  <c r="AS352" i="14"/>
  <c r="AA20" i="22"/>
  <c r="BD20" i="22" s="1"/>
  <c r="AS344" i="14"/>
  <c r="AA14" i="22"/>
  <c r="BD14" i="22" s="1"/>
  <c r="AS338" i="14"/>
  <c r="AA34" i="22"/>
  <c r="BD34" i="22" s="1"/>
  <c r="AS358" i="14"/>
  <c r="AS340" i="14"/>
  <c r="AA16" i="22"/>
  <c r="BD16" i="22" s="1"/>
  <c r="AS353" i="14"/>
  <c r="AA29" i="22"/>
  <c r="BD29" i="22" s="1"/>
  <c r="AS357" i="14"/>
  <c r="AA33" i="22"/>
  <c r="BD33" i="22" s="1"/>
  <c r="AX14" i="20"/>
  <c r="BB277" i="14"/>
  <c r="AW277" i="14" s="1"/>
  <c r="BB285" i="14"/>
  <c r="AW285" i="14" s="1"/>
  <c r="AX22" i="20"/>
  <c r="BB272" i="14"/>
  <c r="AW272" i="14" s="1"/>
  <c r="AX9" i="20"/>
  <c r="BB273" i="14"/>
  <c r="AW273" i="14" s="1"/>
  <c r="AX10" i="20"/>
  <c r="BB284" i="14"/>
  <c r="AW284" i="14" s="1"/>
  <c r="AX21" i="20"/>
  <c r="AX30" i="20"/>
  <c r="BB293" i="14"/>
  <c r="AW293" i="14" s="1"/>
  <c r="AX31" i="20"/>
  <c r="BB294" i="14"/>
  <c r="AW294" i="14" s="1"/>
  <c r="BB276" i="14"/>
  <c r="AW276" i="14" s="1"/>
  <c r="AX13" i="20"/>
  <c r="Y9" i="20"/>
  <c r="BB9" i="20" s="1"/>
  <c r="Y33" i="20"/>
  <c r="BB33" i="20" s="1"/>
  <c r="Y25" i="20"/>
  <c r="BB25" i="20" s="1"/>
  <c r="Y37" i="20"/>
  <c r="BB37" i="20" s="1"/>
  <c r="Y12" i="20"/>
  <c r="BB12" i="20" s="1"/>
  <c r="Y32" i="20"/>
  <c r="BB32" i="20" s="1"/>
  <c r="Y29" i="20"/>
  <c r="BB29" i="20" s="1"/>
  <c r="Y24" i="20"/>
  <c r="BB24" i="20" s="1"/>
  <c r="AN37" i="19"/>
  <c r="CK269" i="14" s="1"/>
  <c r="AN33" i="19"/>
  <c r="AN29" i="19"/>
  <c r="CK261" i="14" s="1"/>
  <c r="AS328" i="14"/>
  <c r="AA35" i="21"/>
  <c r="BD35" i="21" s="1"/>
  <c r="AS324" i="14"/>
  <c r="AA31" i="21"/>
  <c r="BD31" i="21" s="1"/>
  <c r="AS320" i="14"/>
  <c r="AA27" i="21"/>
  <c r="BD27" i="21" s="1"/>
  <c r="AS316" i="14"/>
  <c r="AA23" i="21"/>
  <c r="BD23" i="21" s="1"/>
  <c r="AS314" i="14"/>
  <c r="AA21" i="21"/>
  <c r="BD21" i="21" s="1"/>
  <c r="AS302" i="14"/>
  <c r="AA9" i="21"/>
  <c r="BD9" i="21" s="1"/>
  <c r="AS303" i="14"/>
  <c r="AA10" i="21"/>
  <c r="BD10" i="21" s="1"/>
  <c r="AD8" i="22"/>
  <c r="BG8" i="22" s="1"/>
  <c r="M48" i="22"/>
  <c r="AW25" i="22"/>
  <c r="BA349" i="14"/>
  <c r="AQ349" i="14" s="1"/>
  <c r="BA335" i="14"/>
  <c r="AQ335" i="14" s="1"/>
  <c r="AW11" i="22"/>
  <c r="AW24" i="22"/>
  <c r="BA348" i="14"/>
  <c r="AQ348" i="14" s="1"/>
  <c r="BA332" i="14"/>
  <c r="AQ332" i="14" s="1"/>
  <c r="AW8" i="22"/>
  <c r="BA356" i="14"/>
  <c r="AQ356" i="14" s="1"/>
  <c r="AW32" i="22"/>
  <c r="AW13" i="22"/>
  <c r="BA337" i="14"/>
  <c r="AQ337" i="14" s="1"/>
  <c r="BA339" i="14"/>
  <c r="AQ339" i="14" s="1"/>
  <c r="AW15" i="22"/>
  <c r="BA350" i="14"/>
  <c r="AQ350" i="14" s="1"/>
  <c r="AW26" i="22"/>
  <c r="BB356" i="14"/>
  <c r="AW356" i="14" s="1"/>
  <c r="AX32" i="22"/>
  <c r="AX14" i="22"/>
  <c r="BB338" i="14"/>
  <c r="AW338" i="14" s="1"/>
  <c r="AX35" i="22"/>
  <c r="BB359" i="14"/>
  <c r="AW359" i="14" s="1"/>
  <c r="AX18" i="22"/>
  <c r="BB342" i="14"/>
  <c r="AW342" i="14" s="1"/>
  <c r="BB335" i="14"/>
  <c r="AW335" i="14" s="1"/>
  <c r="AX11" i="22"/>
  <c r="BB358" i="14"/>
  <c r="AW358" i="14" s="1"/>
  <c r="AX34" i="22"/>
  <c r="BB341" i="14"/>
  <c r="AW341" i="14" s="1"/>
  <c r="AX17" i="22"/>
  <c r="AX15" i="22"/>
  <c r="BB339" i="14"/>
  <c r="AW339" i="14" s="1"/>
  <c r="AR351" i="14"/>
  <c r="Z27" i="22"/>
  <c r="BC27" i="22" s="1"/>
  <c r="Z24" i="22"/>
  <c r="BC24" i="22" s="1"/>
  <c r="AR348" i="14"/>
  <c r="Z11" i="22"/>
  <c r="BC11" i="22" s="1"/>
  <c r="AR335" i="14"/>
  <c r="Z30" i="22"/>
  <c r="BC30" i="22" s="1"/>
  <c r="AR354" i="14"/>
  <c r="AR353" i="14"/>
  <c r="Z29" i="22"/>
  <c r="BC29" i="22" s="1"/>
  <c r="Z22" i="22"/>
  <c r="BC22" i="22" s="1"/>
  <c r="AR346" i="14"/>
  <c r="Z28" i="22"/>
  <c r="BC28" i="22" s="1"/>
  <c r="AR352" i="14"/>
  <c r="Z31" i="22"/>
  <c r="BC31" i="22" s="1"/>
  <c r="AR355" i="14"/>
  <c r="AR297" i="14"/>
  <c r="Z34" i="20"/>
  <c r="BC34" i="20" s="1"/>
  <c r="AR278" i="14"/>
  <c r="Z15" i="20"/>
  <c r="BC15" i="20" s="1"/>
  <c r="Z21" i="20"/>
  <c r="BC21" i="20" s="1"/>
  <c r="AR284" i="14"/>
  <c r="Z30" i="20"/>
  <c r="BC30" i="20" s="1"/>
  <c r="AR293" i="14"/>
  <c r="Z22" i="20"/>
  <c r="BC22" i="20" s="1"/>
  <c r="AR285" i="14"/>
  <c r="AR295" i="14"/>
  <c r="Z32" i="20"/>
  <c r="BC32" i="20" s="1"/>
  <c r="Z24" i="20"/>
  <c r="BC24" i="20" s="1"/>
  <c r="AR287" i="14"/>
  <c r="AB36" i="21"/>
  <c r="BE36" i="21" s="1"/>
  <c r="AB32" i="21"/>
  <c r="BE32" i="21" s="1"/>
  <c r="AB28" i="21"/>
  <c r="BE28" i="21" s="1"/>
  <c r="AB24" i="21"/>
  <c r="BE24" i="21" s="1"/>
  <c r="AB10" i="21"/>
  <c r="BE10" i="21" s="1"/>
  <c r="AB16" i="21"/>
  <c r="BE16" i="21" s="1"/>
  <c r="AB21" i="21"/>
  <c r="BE21" i="21" s="1"/>
  <c r="AB20" i="21"/>
  <c r="BE20" i="21" s="1"/>
  <c r="AS273" i="14"/>
  <c r="AA10" i="20"/>
  <c r="BD10" i="20" s="1"/>
  <c r="AS272" i="14"/>
  <c r="AA9" i="20"/>
  <c r="BD9" i="20" s="1"/>
  <c r="AS293" i="14"/>
  <c r="AA30" i="20"/>
  <c r="BD30" i="20" s="1"/>
  <c r="AA28" i="20"/>
  <c r="BD28" i="20" s="1"/>
  <c r="AS291" i="14"/>
  <c r="AS271" i="14"/>
  <c r="AA8" i="20"/>
  <c r="BD8" i="20" s="1"/>
  <c r="J48" i="20"/>
  <c r="AA35" i="20"/>
  <c r="BD35" i="20" s="1"/>
  <c r="AS298" i="14"/>
  <c r="AS294" i="14"/>
  <c r="AA31" i="20"/>
  <c r="BD31" i="20" s="1"/>
  <c r="AD8" i="21"/>
  <c r="BG8" i="21" s="1"/>
  <c r="M48" i="21"/>
  <c r="M128" i="21" s="1"/>
  <c r="H124" i="29" s="1"/>
  <c r="AY16" i="22"/>
  <c r="BC340" i="14"/>
  <c r="AX340" i="14" s="1"/>
  <c r="AY28" i="22"/>
  <c r="BC352" i="14"/>
  <c r="AX352" i="14" s="1"/>
  <c r="BC332" i="14"/>
  <c r="AX332" i="14" s="1"/>
  <c r="AY8" i="22"/>
  <c r="BC350" i="14"/>
  <c r="AX350" i="14" s="1"/>
  <c r="AY26" i="22"/>
  <c r="AY17" i="22"/>
  <c r="BC341" i="14"/>
  <c r="AX341" i="14" s="1"/>
  <c r="AB31" i="22"/>
  <c r="BE31" i="22" s="1"/>
  <c r="AB21" i="22"/>
  <c r="BE21" i="22" s="1"/>
  <c r="AB16" i="22"/>
  <c r="BE16" i="22" s="1"/>
  <c r="AB35" i="22"/>
  <c r="BE35" i="22" s="1"/>
  <c r="Z32" i="21"/>
  <c r="BC32" i="21" s="1"/>
  <c r="AR325" i="14"/>
  <c r="AR321" i="14"/>
  <c r="Z28" i="21"/>
  <c r="BC28" i="21" s="1"/>
  <c r="Z17" i="21"/>
  <c r="BC17" i="21" s="1"/>
  <c r="AR310" i="14"/>
  <c r="AR306" i="14"/>
  <c r="Z13" i="21"/>
  <c r="BC13" i="21" s="1"/>
  <c r="AV20" i="22"/>
  <c r="AF20" i="22"/>
  <c r="AZ344" i="14"/>
  <c r="AP344" i="14" s="1"/>
  <c r="AV24" i="22"/>
  <c r="AF24" i="22"/>
  <c r="AZ348" i="14"/>
  <c r="AP348" i="14" s="1"/>
  <c r="AZ349" i="14"/>
  <c r="AP349" i="14" s="1"/>
  <c r="AV25" i="22"/>
  <c r="AF25" i="22"/>
  <c r="AS361" i="14"/>
  <c r="AA37" i="22"/>
  <c r="BD37" i="22" s="1"/>
  <c r="AS350" i="14"/>
  <c r="AA26" i="22"/>
  <c r="BD26" i="22" s="1"/>
  <c r="AA15" i="22"/>
  <c r="BD15" i="22" s="1"/>
  <c r="AS339" i="14"/>
  <c r="AS345" i="14"/>
  <c r="AA21" i="22"/>
  <c r="BD21" i="22" s="1"/>
  <c r="BB292" i="14"/>
  <c r="AW292" i="14" s="1"/>
  <c r="AX29" i="20"/>
  <c r="BB287" i="14"/>
  <c r="AW287" i="14" s="1"/>
  <c r="AX24" i="20"/>
  <c r="BB282" i="14"/>
  <c r="AW282" i="14" s="1"/>
  <c r="AX19" i="20"/>
  <c r="AX8" i="20"/>
  <c r="BB271" i="14"/>
  <c r="AW271" i="14" s="1"/>
  <c r="Y34" i="20"/>
  <c r="BB34" i="20" s="1"/>
  <c r="Y18" i="20"/>
  <c r="BB18" i="20" s="1"/>
  <c r="Y23" i="20"/>
  <c r="BB23" i="20" s="1"/>
  <c r="Y35" i="20"/>
  <c r="BB35" i="20" s="1"/>
  <c r="Y20" i="20"/>
  <c r="BB20" i="20" s="1"/>
  <c r="Y27" i="20"/>
  <c r="BB27" i="20" s="1"/>
  <c r="AN38" i="19"/>
  <c r="CK270" i="14" s="1"/>
  <c r="AC8" i="21"/>
  <c r="BF8" i="21" s="1"/>
  <c r="L48" i="21"/>
  <c r="L128" i="21" s="1"/>
  <c r="AA28" i="21"/>
  <c r="BD28" i="21" s="1"/>
  <c r="AS321" i="14"/>
  <c r="AS317" i="14"/>
  <c r="AA24" i="21"/>
  <c r="BD24" i="21" s="1"/>
  <c r="AS310" i="14"/>
  <c r="AA17" i="21"/>
  <c r="BD17" i="21" s="1"/>
  <c r="AA15" i="21"/>
  <c r="BD15" i="21" s="1"/>
  <c r="AS308" i="14"/>
  <c r="AW35" i="22"/>
  <c r="BA359" i="14"/>
  <c r="AQ359" i="14" s="1"/>
  <c r="BA334" i="14"/>
  <c r="AQ334" i="14" s="1"/>
  <c r="AW10" i="22"/>
  <c r="BA355" i="14"/>
  <c r="AQ355" i="14" s="1"/>
  <c r="AW31" i="22"/>
  <c r="AW22" i="22"/>
  <c r="BA346" i="14"/>
  <c r="AQ346" i="14" s="1"/>
  <c r="BB349" i="14"/>
  <c r="AW349" i="14" s="1"/>
  <c r="AX25" i="22"/>
  <c r="AX29" i="22"/>
  <c r="BB353" i="14"/>
  <c r="AW353" i="14" s="1"/>
  <c r="BB350" i="14"/>
  <c r="AW350" i="14" s="1"/>
  <c r="AX26" i="22"/>
  <c r="AX27" i="22"/>
  <c r="BB351" i="14"/>
  <c r="AW351" i="14" s="1"/>
  <c r="BB347" i="14"/>
  <c r="AW347" i="14" s="1"/>
  <c r="AX23" i="22"/>
  <c r="Z12" i="22"/>
  <c r="BC12" i="22" s="1"/>
  <c r="AR336" i="14"/>
  <c r="Z17" i="22"/>
  <c r="BC17" i="22" s="1"/>
  <c r="AR341" i="14"/>
  <c r="Z36" i="22"/>
  <c r="BC36" i="22" s="1"/>
  <c r="AR360" i="14"/>
  <c r="AR361" i="14"/>
  <c r="Z37" i="22"/>
  <c r="BC37" i="22" s="1"/>
  <c r="AR359" i="14"/>
  <c r="Z35" i="22"/>
  <c r="BC35" i="22" s="1"/>
  <c r="Z29" i="20"/>
  <c r="BC29" i="20" s="1"/>
  <c r="AR292" i="14"/>
  <c r="AR281" i="14"/>
  <c r="Z18" i="20"/>
  <c r="BC18" i="20" s="1"/>
  <c r="AB37" i="21"/>
  <c r="BE37" i="21" s="1"/>
  <c r="AB29" i="21"/>
  <c r="BE29" i="21" s="1"/>
  <c r="AB25" i="21"/>
  <c r="BE25" i="21" s="1"/>
  <c r="AB12" i="21"/>
  <c r="BE12" i="21" s="1"/>
  <c r="AB15" i="21"/>
  <c r="BE15" i="21" s="1"/>
  <c r="AA15" i="20"/>
  <c r="BD15" i="20" s="1"/>
  <c r="AS278" i="14"/>
  <c r="AA37" i="20"/>
  <c r="BD37" i="20" s="1"/>
  <c r="AS300" i="14"/>
  <c r="AA27" i="20"/>
  <c r="BD27" i="20" s="1"/>
  <c r="AS290" i="14"/>
  <c r="AA36" i="20"/>
  <c r="BD36" i="20" s="1"/>
  <c r="AS299" i="14"/>
  <c r="G170" i="29"/>
  <c r="G2" i="29" s="1"/>
  <c r="G113" i="29" s="1"/>
  <c r="BC359" i="14"/>
  <c r="AX359" i="14" s="1"/>
  <c r="AY35" i="22"/>
  <c r="BC339" i="14"/>
  <c r="AX339" i="14" s="1"/>
  <c r="AY15" i="22"/>
  <c r="AY27" i="22"/>
  <c r="BC351" i="14"/>
  <c r="AX351" i="14" s="1"/>
  <c r="AY19" i="22"/>
  <c r="BC343" i="14"/>
  <c r="AX343" i="14" s="1"/>
  <c r="BC361" i="14"/>
  <c r="AX361" i="14" s="1"/>
  <c r="AY37" i="22"/>
  <c r="BC335" i="14"/>
  <c r="AX335" i="14" s="1"/>
  <c r="AY11" i="22"/>
  <c r="AY23" i="22"/>
  <c r="BC347" i="14"/>
  <c r="AX347" i="14" s="1"/>
  <c r="AB25" i="22"/>
  <c r="BE25" i="22" s="1"/>
  <c r="AB17" i="22"/>
  <c r="BE17" i="22" s="1"/>
  <c r="AB18" i="22"/>
  <c r="BE18" i="22" s="1"/>
  <c r="AB15" i="22"/>
  <c r="BE15" i="22" s="1"/>
  <c r="AB36" i="22"/>
  <c r="BE36" i="22" s="1"/>
  <c r="AB26" i="22"/>
  <c r="BE26" i="22" s="1"/>
  <c r="AB29" i="22"/>
  <c r="BE29" i="22" s="1"/>
  <c r="AR331" i="14"/>
  <c r="Z38" i="21"/>
  <c r="BC38" i="21" s="1"/>
  <c r="AR327" i="14"/>
  <c r="Z34" i="21"/>
  <c r="BC34" i="21" s="1"/>
  <c r="Z30" i="21"/>
  <c r="BC30" i="21" s="1"/>
  <c r="AR323" i="14"/>
  <c r="AR319" i="14"/>
  <c r="Z26" i="21"/>
  <c r="BC26" i="21" s="1"/>
  <c r="AR315" i="14"/>
  <c r="Z22" i="21"/>
  <c r="BC22" i="21" s="1"/>
  <c r="AR304" i="14"/>
  <c r="Z11" i="21"/>
  <c r="BC11" i="21" s="1"/>
  <c r="Z14" i="21"/>
  <c r="BC14" i="21" s="1"/>
  <c r="AR307" i="14"/>
  <c r="AR305" i="14"/>
  <c r="Z12" i="21"/>
  <c r="BC12" i="21" s="1"/>
  <c r="AZ354" i="14"/>
  <c r="AP354" i="14" s="1"/>
  <c r="AV30" i="22"/>
  <c r="AF30" i="22"/>
  <c r="AZ351" i="14"/>
  <c r="AP351" i="14" s="1"/>
  <c r="AV27" i="22"/>
  <c r="AF27" i="22"/>
  <c r="AV16" i="22"/>
  <c r="AF16" i="22"/>
  <c r="AZ340" i="14"/>
  <c r="AP340" i="14" s="1"/>
  <c r="AV21" i="22"/>
  <c r="AZ345" i="14"/>
  <c r="AP345" i="14" s="1"/>
  <c r="AF21" i="22"/>
  <c r="AZ337" i="14"/>
  <c r="AP337" i="14" s="1"/>
  <c r="AF13" i="22"/>
  <c r="AV13" i="22"/>
  <c r="AV12" i="22"/>
  <c r="AF12" i="22"/>
  <c r="AZ336" i="14"/>
  <c r="AP336" i="14" s="1"/>
  <c r="AZ341" i="14"/>
  <c r="AP341" i="14" s="1"/>
  <c r="AF17" i="22"/>
  <c r="AV17" i="22"/>
  <c r="AV10" i="22"/>
  <c r="AF10" i="22"/>
  <c r="AZ334" i="14"/>
  <c r="AP334" i="14" s="1"/>
  <c r="AA17" i="22"/>
  <c r="BD17" i="22" s="1"/>
  <c r="AS341" i="14"/>
  <c r="AA9" i="22"/>
  <c r="BD9" i="22" s="1"/>
  <c r="AS333" i="14"/>
  <c r="AS354" i="14"/>
  <c r="AA30" i="22"/>
  <c r="BD30" i="22" s="1"/>
  <c r="AS351" i="14"/>
  <c r="AA27" i="22"/>
  <c r="BD27" i="22" s="1"/>
  <c r="AS356" i="14"/>
  <c r="AA32" i="22"/>
  <c r="BD32" i="22" s="1"/>
  <c r="AS359" i="14"/>
  <c r="AA35" i="22"/>
  <c r="BD35" i="22" s="1"/>
  <c r="AA23" i="22"/>
  <c r="BD23" i="22" s="1"/>
  <c r="AS347" i="14"/>
  <c r="AC8" i="22"/>
  <c r="BF8" i="22" s="1"/>
  <c r="L48" i="22"/>
  <c r="L128" i="22" s="1"/>
  <c r="BB289" i="14"/>
  <c r="AW289" i="14" s="1"/>
  <c r="AX26" i="20"/>
  <c r="AX35" i="20"/>
  <c r="BB298" i="14"/>
  <c r="AW298" i="14" s="1"/>
  <c r="AX17" i="20"/>
  <c r="BB280" i="14"/>
  <c r="AW280" i="14" s="1"/>
  <c r="AX11" i="20"/>
  <c r="BB274" i="14"/>
  <c r="AW274" i="14" s="1"/>
  <c r="AX28" i="20"/>
  <c r="BB291" i="14"/>
  <c r="AW291" i="14" s="1"/>
  <c r="AX15" i="20"/>
  <c r="BB278" i="14"/>
  <c r="AW278" i="14" s="1"/>
  <c r="BB297" i="14"/>
  <c r="AW297" i="14" s="1"/>
  <c r="AX34" i="20"/>
  <c r="Y31" i="20"/>
  <c r="BB31" i="20" s="1"/>
  <c r="Y10" i="20"/>
  <c r="BB10" i="20" s="1"/>
  <c r="Y8" i="20"/>
  <c r="BB8" i="20" s="1"/>
  <c r="H48" i="20"/>
  <c r="Y36" i="20"/>
  <c r="BB36" i="20" s="1"/>
  <c r="Y28" i="20"/>
  <c r="BB28" i="20" s="1"/>
  <c r="Y19" i="20"/>
  <c r="BB19" i="20" s="1"/>
  <c r="Y30" i="20"/>
  <c r="BB30" i="20" s="1"/>
  <c r="AA38" i="21"/>
  <c r="BD38" i="21" s="1"/>
  <c r="AS331" i="14"/>
  <c r="AS327" i="14"/>
  <c r="AA34" i="21"/>
  <c r="BD34" i="21" s="1"/>
  <c r="AA30" i="21"/>
  <c r="BD30" i="21" s="1"/>
  <c r="AS323" i="14"/>
  <c r="AA26" i="21"/>
  <c r="BD26" i="21" s="1"/>
  <c r="AS319" i="14"/>
  <c r="AA22" i="21"/>
  <c r="BD22" i="21" s="1"/>
  <c r="AS315" i="14"/>
  <c r="AS305" i="14"/>
  <c r="AA12" i="21"/>
  <c r="BD12" i="21" s="1"/>
  <c r="AA16" i="21"/>
  <c r="BD16" i="21" s="1"/>
  <c r="AS309" i="14"/>
  <c r="AS304" i="14"/>
  <c r="AA11" i="21"/>
  <c r="BD11" i="21" s="1"/>
  <c r="BA336" i="14"/>
  <c r="AQ336" i="14" s="1"/>
  <c r="AW12" i="22"/>
  <c r="AW27" i="22"/>
  <c r="BA351" i="14"/>
  <c r="AQ351" i="14" s="1"/>
  <c r="AW9" i="22"/>
  <c r="BA333" i="14"/>
  <c r="AQ333" i="14" s="1"/>
  <c r="AW20" i="22"/>
  <c r="BA344" i="14"/>
  <c r="AQ344" i="14" s="1"/>
  <c r="AW28" i="22"/>
  <c r="BA352" i="14"/>
  <c r="AQ352" i="14" s="1"/>
  <c r="AW23" i="22"/>
  <c r="BA347" i="14"/>
  <c r="AQ347" i="14" s="1"/>
  <c r="AW16" i="22"/>
  <c r="BA340" i="14"/>
  <c r="AQ340" i="14" s="1"/>
  <c r="AW19" i="22"/>
  <c r="BA343" i="14"/>
  <c r="AQ343" i="14" s="1"/>
  <c r="BB355" i="14"/>
  <c r="AW355" i="14" s="1"/>
  <c r="AX31" i="22"/>
  <c r="BB361" i="14"/>
  <c r="AW361" i="14" s="1"/>
  <c r="AX37" i="22"/>
  <c r="BB340" i="14"/>
  <c r="AW340" i="14" s="1"/>
  <c r="AX16" i="22"/>
  <c r="AX13" i="22"/>
  <c r="BB337" i="14"/>
  <c r="AW337" i="14" s="1"/>
  <c r="AX33" i="22"/>
  <c r="BB357" i="14"/>
  <c r="AW357" i="14" s="1"/>
  <c r="BB354" i="14"/>
  <c r="AW354" i="14" s="1"/>
  <c r="AX30" i="22"/>
  <c r="AX8" i="22"/>
  <c r="BB332" i="14"/>
  <c r="AW332" i="14" s="1"/>
  <c r="AR349" i="14"/>
  <c r="Z25" i="22"/>
  <c r="BC25" i="22" s="1"/>
  <c r="AR350" i="14"/>
  <c r="Z26" i="22"/>
  <c r="BC26" i="22" s="1"/>
  <c r="AR347" i="14"/>
  <c r="Z23" i="22"/>
  <c r="BC23" i="22" s="1"/>
  <c r="Z19" i="22"/>
  <c r="BC19" i="22" s="1"/>
  <c r="AR343" i="14"/>
  <c r="AR358" i="14"/>
  <c r="Z34" i="22"/>
  <c r="BC34" i="22" s="1"/>
  <c r="AR340" i="14"/>
  <c r="Z16" i="22"/>
  <c r="BC16" i="22" s="1"/>
  <c r="Z21" i="22"/>
  <c r="BC21" i="22" s="1"/>
  <c r="AR345" i="14"/>
  <c r="AB8" i="20"/>
  <c r="BE8" i="20" s="1"/>
  <c r="K48" i="20"/>
  <c r="K128" i="20" s="1"/>
  <c r="Z13" i="20"/>
  <c r="BC13" i="20" s="1"/>
  <c r="AR276" i="14"/>
  <c r="AR274" i="14"/>
  <c r="Z11" i="20"/>
  <c r="BC11" i="20" s="1"/>
  <c r="AR283" i="14"/>
  <c r="Z20" i="20"/>
  <c r="BC20" i="20" s="1"/>
  <c r="Z8" i="20"/>
  <c r="BC8" i="20" s="1"/>
  <c r="AR271" i="14"/>
  <c r="I48" i="20"/>
  <c r="I128" i="20" s="1"/>
  <c r="AR294" i="14"/>
  <c r="Z31" i="20"/>
  <c r="BC31" i="20" s="1"/>
  <c r="AR300" i="14"/>
  <c r="Z37" i="20"/>
  <c r="BC37" i="20" s="1"/>
  <c r="AR277" i="14"/>
  <c r="Z14" i="20"/>
  <c r="BC14" i="20" s="1"/>
  <c r="AB35" i="21"/>
  <c r="BE35" i="21" s="1"/>
  <c r="AB31" i="21"/>
  <c r="BE31" i="21" s="1"/>
  <c r="AB27" i="21"/>
  <c r="BE27" i="21" s="1"/>
  <c r="AB23" i="21"/>
  <c r="BE23" i="21" s="1"/>
  <c r="AB14" i="21"/>
  <c r="BE14" i="21" s="1"/>
  <c r="AB19" i="21"/>
  <c r="BE19" i="21" s="1"/>
  <c r="AB13" i="21"/>
  <c r="BE13" i="21" s="1"/>
  <c r="AS284" i="14"/>
  <c r="AA21" i="20"/>
  <c r="BD21" i="20" s="1"/>
  <c r="AA17" i="20"/>
  <c r="BD17" i="20" s="1"/>
  <c r="AS280" i="14"/>
  <c r="AA16" i="20"/>
  <c r="BD16" i="20" s="1"/>
  <c r="AS279" i="14"/>
  <c r="AA25" i="20"/>
  <c r="BD25" i="20" s="1"/>
  <c r="AS288" i="14"/>
  <c r="AS286" i="14"/>
  <c r="AA23" i="20"/>
  <c r="BD23" i="20" s="1"/>
  <c r="AA32" i="20"/>
  <c r="BD32" i="20" s="1"/>
  <c r="AS295" i="14"/>
  <c r="AS277" i="14"/>
  <c r="AA14" i="20"/>
  <c r="BD14" i="20" s="1"/>
  <c r="AA33" i="20"/>
  <c r="BD33" i="20" s="1"/>
  <c r="AS296" i="14"/>
  <c r="AC8" i="20"/>
  <c r="BF8" i="20" s="1"/>
  <c r="L48" i="20"/>
  <c r="AR317" i="14"/>
  <c r="Z24" i="21"/>
  <c r="BC24" i="21" s="1"/>
  <c r="Z16" i="21"/>
  <c r="BC16" i="21" s="1"/>
  <c r="AR309" i="14"/>
  <c r="AZ361" i="14"/>
  <c r="AP361" i="14" s="1"/>
  <c r="AV37" i="22"/>
  <c r="AF37" i="22"/>
  <c r="AV9" i="22"/>
  <c r="AZ333" i="14"/>
  <c r="AP333" i="14" s="1"/>
  <c r="AF9" i="22"/>
  <c r="AS342" i="14"/>
  <c r="AA18" i="22"/>
  <c r="BD18" i="22" s="1"/>
  <c r="AA36" i="22"/>
  <c r="BD36" i="22" s="1"/>
  <c r="AS360" i="14"/>
  <c r="AX23" i="20"/>
  <c r="BB286" i="14"/>
  <c r="AW286" i="14" s="1"/>
  <c r="AX20" i="20"/>
  <c r="BB283" i="14"/>
  <c r="AW283" i="14" s="1"/>
  <c r="Y26" i="20"/>
  <c r="BB26" i="20" s="1"/>
  <c r="AA36" i="21"/>
  <c r="BD36" i="21" s="1"/>
  <c r="AS329" i="14"/>
  <c r="AA13" i="21"/>
  <c r="BD13" i="21" s="1"/>
  <c r="AS306" i="14"/>
  <c r="H170" i="29"/>
  <c r="H2" i="29" s="1"/>
  <c r="H113" i="29" s="1"/>
  <c r="BC348" i="14"/>
  <c r="AX348" i="14" s="1"/>
  <c r="AY24" i="22"/>
  <c r="AY25" i="22"/>
  <c r="BC349" i="14"/>
  <c r="AX349" i="14" s="1"/>
  <c r="BC334" i="14"/>
  <c r="AX334" i="14" s="1"/>
  <c r="AY10" i="22"/>
  <c r="AY29" i="22"/>
  <c r="BC353" i="14"/>
  <c r="AX353" i="14" s="1"/>
  <c r="BC355" i="14"/>
  <c r="AX355" i="14" s="1"/>
  <c r="AY31" i="22"/>
  <c r="AY20" i="22"/>
  <c r="BC344" i="14"/>
  <c r="AX344" i="14" s="1"/>
  <c r="BC357" i="14"/>
  <c r="AX357" i="14" s="1"/>
  <c r="AY33" i="22"/>
  <c r="AB24" i="22"/>
  <c r="BE24" i="22" s="1"/>
  <c r="AB10" i="22"/>
  <c r="BE10" i="22" s="1"/>
  <c r="AB8" i="22"/>
  <c r="BE8" i="22" s="1"/>
  <c r="K48" i="22"/>
  <c r="AB9" i="22"/>
  <c r="BE9" i="22" s="1"/>
  <c r="AB30" i="22"/>
  <c r="BE30" i="22" s="1"/>
  <c r="AB22" i="22"/>
  <c r="BE22" i="22" s="1"/>
  <c r="AB37" i="22"/>
  <c r="BE37" i="22" s="1"/>
  <c r="Z37" i="21"/>
  <c r="BC37" i="21" s="1"/>
  <c r="AR330" i="14"/>
  <c r="Z33" i="21"/>
  <c r="BC33" i="21" s="1"/>
  <c r="AR326" i="14"/>
  <c r="AR322" i="14"/>
  <c r="Z29" i="21"/>
  <c r="BC29" i="21" s="1"/>
  <c r="Z25" i="21"/>
  <c r="BC25" i="21" s="1"/>
  <c r="AR318" i="14"/>
  <c r="AR308" i="14"/>
  <c r="Z15" i="21"/>
  <c r="BC15" i="21" s="1"/>
  <c r="Z20" i="21"/>
  <c r="BC20" i="21" s="1"/>
  <c r="AR313" i="14"/>
  <c r="AR301" i="14"/>
  <c r="Z8" i="21"/>
  <c r="BC8" i="21" s="1"/>
  <c r="I48" i="21"/>
  <c r="Z21" i="21"/>
  <c r="BC21" i="21" s="1"/>
  <c r="AR314" i="14"/>
  <c r="AZ338" i="14"/>
  <c r="AP338" i="14" s="1"/>
  <c r="AF14" i="22"/>
  <c r="AV14" i="22"/>
  <c r="AZ332" i="14"/>
  <c r="AP332" i="14" s="1"/>
  <c r="AF8" i="22"/>
  <c r="AV8" i="22"/>
  <c r="AZ358" i="14"/>
  <c r="AP358" i="14" s="1"/>
  <c r="AV34" i="22"/>
  <c r="AF34" i="22"/>
  <c r="AV32" i="22"/>
  <c r="AZ356" i="14"/>
  <c r="AP356" i="14" s="1"/>
  <c r="AF32" i="22"/>
  <c r="AV19" i="22"/>
  <c r="AF19" i="22"/>
  <c r="AZ343" i="14"/>
  <c r="AP343" i="14" s="1"/>
  <c r="AF33" i="22"/>
  <c r="AZ357" i="14"/>
  <c r="AP357" i="14" s="1"/>
  <c r="AV33" i="22"/>
  <c r="AV23" i="22"/>
  <c r="AZ347" i="14"/>
  <c r="AP347" i="14" s="1"/>
  <c r="AF23" i="22"/>
  <c r="AA12" i="22"/>
  <c r="BD12" i="22" s="1"/>
  <c r="AS336" i="14"/>
  <c r="AS332" i="14"/>
  <c r="AA8" i="22"/>
  <c r="BD8" i="22" s="1"/>
  <c r="J48" i="22"/>
  <c r="J128" i="22" s="1"/>
  <c r="I122" i="29" s="1"/>
  <c r="AA22" i="22"/>
  <c r="BD22" i="22" s="1"/>
  <c r="AS346" i="14"/>
  <c r="AS335" i="14"/>
  <c r="AA11" i="22"/>
  <c r="BD11" i="22" s="1"/>
  <c r="AA10" i="22"/>
  <c r="BD10" i="22" s="1"/>
  <c r="AS334" i="14"/>
  <c r="AS343" i="14"/>
  <c r="AA19" i="22"/>
  <c r="BD19" i="22" s="1"/>
  <c r="AA31" i="22"/>
  <c r="BD31" i="22" s="1"/>
  <c r="AS355" i="14"/>
  <c r="AX37" i="20"/>
  <c r="BB300" i="14"/>
  <c r="AW300" i="14" s="1"/>
  <c r="AX25" i="20"/>
  <c r="BB288" i="14"/>
  <c r="AW288" i="14" s="1"/>
  <c r="BB296" i="14"/>
  <c r="AW296" i="14" s="1"/>
  <c r="AX33" i="20"/>
  <c r="AX12" i="20"/>
  <c r="BB275" i="14"/>
  <c r="AW275" i="14" s="1"/>
  <c r="BB279" i="14"/>
  <c r="AW279" i="14" s="1"/>
  <c r="AX16" i="20"/>
  <c r="AX36" i="20"/>
  <c r="BB299" i="14"/>
  <c r="AW299" i="14" s="1"/>
  <c r="AX27" i="20"/>
  <c r="BB290" i="14"/>
  <c r="AW290" i="14" s="1"/>
  <c r="Y21" i="20"/>
  <c r="BB21" i="20" s="1"/>
  <c r="Y15" i="20"/>
  <c r="BB15" i="20" s="1"/>
  <c r="Y14" i="20"/>
  <c r="BB14" i="20" s="1"/>
  <c r="Y13" i="20"/>
  <c r="BB13" i="20" s="1"/>
  <c r="Y22" i="20"/>
  <c r="BB22" i="20" s="1"/>
  <c r="Y16" i="20"/>
  <c r="BB16" i="20" s="1"/>
  <c r="Y17" i="20"/>
  <c r="BB17" i="20" s="1"/>
  <c r="AN31" i="19"/>
  <c r="CK263" i="14" s="1"/>
  <c r="AS330" i="14"/>
  <c r="AA37" i="21"/>
  <c r="BD37" i="21" s="1"/>
  <c r="AS326" i="14"/>
  <c r="AA33" i="21"/>
  <c r="BD33" i="21" s="1"/>
  <c r="AS322" i="14"/>
  <c r="AA29" i="21"/>
  <c r="BD29" i="21" s="1"/>
  <c r="AS318" i="14"/>
  <c r="AA25" i="21"/>
  <c r="BD25" i="21" s="1"/>
  <c r="AA20" i="21"/>
  <c r="BD20" i="21" s="1"/>
  <c r="AS313" i="14"/>
  <c r="AS312" i="14"/>
  <c r="AA19" i="21"/>
  <c r="BD19" i="21" s="1"/>
  <c r="AA18" i="21"/>
  <c r="BD18" i="21" s="1"/>
  <c r="AS311" i="14"/>
  <c r="AA8" i="21"/>
  <c r="BD8" i="21" s="1"/>
  <c r="AS301" i="14"/>
  <c r="J48" i="21"/>
  <c r="AD8" i="20"/>
  <c r="BG8" i="20" s="1"/>
  <c r="M48" i="20"/>
  <c r="BA341" i="14"/>
  <c r="AQ341" i="14" s="1"/>
  <c r="AW17" i="22"/>
  <c r="BA358" i="14"/>
  <c r="AQ358" i="14" s="1"/>
  <c r="AW34" i="22"/>
  <c r="BA361" i="14"/>
  <c r="AQ361" i="14" s="1"/>
  <c r="AW37" i="22"/>
  <c r="AW33" i="22"/>
  <c r="BA357" i="14"/>
  <c r="AQ357" i="14" s="1"/>
  <c r="BA353" i="14"/>
  <c r="AQ353" i="14" s="1"/>
  <c r="AW29" i="22"/>
  <c r="AW36" i="22"/>
  <c r="BA360" i="14"/>
  <c r="AQ360" i="14" s="1"/>
  <c r="AW21" i="22"/>
  <c r="BA345" i="14"/>
  <c r="AQ345" i="14" s="1"/>
  <c r="BB348" i="14"/>
  <c r="AW348" i="14" s="1"/>
  <c r="AX24" i="22"/>
  <c r="BB345" i="14"/>
  <c r="AW345" i="14" s="1"/>
  <c r="AX21" i="22"/>
  <c r="AX9" i="22"/>
  <c r="BB333" i="14"/>
  <c r="AW333" i="14" s="1"/>
  <c r="BB352" i="14"/>
  <c r="AW352" i="14" s="1"/>
  <c r="AX28" i="22"/>
  <c r="BB336" i="14"/>
  <c r="AW336" i="14" s="1"/>
  <c r="AX12" i="22"/>
  <c r="AX10" i="22"/>
  <c r="BB334" i="14"/>
  <c r="AW334" i="14" s="1"/>
  <c r="BB346" i="14"/>
  <c r="AW346" i="14" s="1"/>
  <c r="AX22" i="22"/>
  <c r="AR337" i="14"/>
  <c r="Z13" i="22"/>
  <c r="BC13" i="22" s="1"/>
  <c r="Z14" i="22"/>
  <c r="BC14" i="22" s="1"/>
  <c r="AR338" i="14"/>
  <c r="Z9" i="22"/>
  <c r="BC9" i="22" s="1"/>
  <c r="AR333" i="14"/>
  <c r="AR342" i="14"/>
  <c r="Z18" i="22"/>
  <c r="BC18" i="22" s="1"/>
  <c r="Z10" i="22"/>
  <c r="BC10" i="22" s="1"/>
  <c r="AR334" i="14"/>
  <c r="Z8" i="22"/>
  <c r="BC8" i="22" s="1"/>
  <c r="AR332" i="14"/>
  <c r="I48" i="22"/>
  <c r="AR357" i="14"/>
  <c r="Z33" i="22"/>
  <c r="BC33" i="22" s="1"/>
  <c r="Z36" i="20"/>
  <c r="BC36" i="20" s="1"/>
  <c r="AR299" i="14"/>
  <c r="AR288" i="14"/>
  <c r="Z25" i="20"/>
  <c r="BC25" i="20" s="1"/>
  <c r="Z9" i="20"/>
  <c r="BC9" i="20" s="1"/>
  <c r="AR272" i="14"/>
  <c r="Z19" i="20"/>
  <c r="BC19" i="20" s="1"/>
  <c r="AR282" i="14"/>
  <c r="AR291" i="14"/>
  <c r="Z28" i="20"/>
  <c r="BC28" i="20" s="1"/>
  <c r="AR296" i="14"/>
  <c r="Z33" i="20"/>
  <c r="BC33" i="20" s="1"/>
  <c r="Z27" i="20"/>
  <c r="BC27" i="20" s="1"/>
  <c r="AR290" i="14"/>
  <c r="AR298" i="14"/>
  <c r="Z35" i="20"/>
  <c r="BC35" i="20" s="1"/>
  <c r="AB38" i="21"/>
  <c r="BE38" i="21" s="1"/>
  <c r="AB34" i="21"/>
  <c r="BE34" i="21" s="1"/>
  <c r="AB30" i="21"/>
  <c r="BE30" i="21" s="1"/>
  <c r="AB26" i="21"/>
  <c r="BE26" i="21" s="1"/>
  <c r="AB22" i="21"/>
  <c r="BE22" i="21" s="1"/>
  <c r="AB11" i="21"/>
  <c r="BE11" i="21" s="1"/>
  <c r="AB18" i="21"/>
  <c r="BE18" i="21" s="1"/>
  <c r="AB8" i="21"/>
  <c r="BE8" i="21" s="1"/>
  <c r="K48" i="21"/>
  <c r="AS297" i="14"/>
  <c r="AA34" i="20"/>
  <c r="BD34" i="20" s="1"/>
  <c r="AS276" i="14"/>
  <c r="AA13" i="20"/>
  <c r="BD13" i="20" s="1"/>
  <c r="AS292" i="14"/>
  <c r="AA29" i="20"/>
  <c r="BD29" i="20" s="1"/>
  <c r="AS287" i="14"/>
  <c r="AA24" i="20"/>
  <c r="BD24" i="20" s="1"/>
  <c r="AA22" i="20"/>
  <c r="BD22" i="20" s="1"/>
  <c r="AS285" i="14"/>
  <c r="AA20" i="20"/>
  <c r="BD20" i="20" s="1"/>
  <c r="AS283" i="14"/>
  <c r="AS282" i="14"/>
  <c r="AA19" i="20"/>
  <c r="BD19" i="20" s="1"/>
  <c r="AA26" i="20"/>
  <c r="BD26" i="20" s="1"/>
  <c r="AS289" i="14"/>
  <c r="J367" i="14"/>
  <c r="H300" i="15"/>
  <c r="I300" i="15" s="1"/>
  <c r="Q367" i="14"/>
  <c r="E368" i="14"/>
  <c r="B367" i="14"/>
  <c r="C367" i="14"/>
  <c r="D367" i="14" s="1"/>
  <c r="AE12" i="23"/>
  <c r="E12" i="23" s="1"/>
  <c r="G366" i="14" s="1"/>
  <c r="S256" i="1"/>
  <c r="Y256" i="1"/>
  <c r="Y271" i="1"/>
  <c r="J271" i="1"/>
  <c r="J256" i="1"/>
  <c r="V271" i="1"/>
  <c r="V256" i="1"/>
  <c r="J116" i="29"/>
  <c r="J378" i="1"/>
  <c r="J62" i="29"/>
  <c r="S378" i="1"/>
  <c r="M378" i="1"/>
  <c r="P378" i="1"/>
  <c r="P332" i="1"/>
  <c r="J250" i="1"/>
  <c r="M118" i="22"/>
  <c r="C60" i="22" s="1"/>
  <c r="O199" i="22"/>
  <c r="I173" i="29" s="1"/>
  <c r="I170" i="29" s="1"/>
  <c r="I2" i="29" s="1"/>
  <c r="I113" i="29" s="1"/>
  <c r="S253" i="1"/>
  <c r="S270" i="1"/>
  <c r="S272" i="1" s="1"/>
  <c r="M332" i="1"/>
  <c r="S332" i="1"/>
  <c r="P271" i="1"/>
  <c r="P256" i="1"/>
  <c r="M253" i="1"/>
  <c r="M270" i="1"/>
  <c r="M271" i="1"/>
  <c r="M256" i="1"/>
  <c r="J5" i="29"/>
  <c r="J270" i="1"/>
  <c r="J253" i="1"/>
  <c r="J332" i="1"/>
  <c r="AF6" i="19"/>
  <c r="AF6" i="24"/>
  <c r="BD394" i="14"/>
  <c r="BD398" i="14"/>
  <c r="BD402" i="14"/>
  <c r="BD406" i="14"/>
  <c r="BD410" i="14"/>
  <c r="BD414" i="14"/>
  <c r="BD418" i="14"/>
  <c r="BD396" i="14"/>
  <c r="BD400" i="14"/>
  <c r="BD404" i="14"/>
  <c r="BD408" i="14"/>
  <c r="BD412" i="14"/>
  <c r="BD416" i="14"/>
  <c r="BD420" i="14"/>
  <c r="BD395" i="14"/>
  <c r="BD403" i="14"/>
  <c r="BD411" i="14"/>
  <c r="BD419" i="14"/>
  <c r="BD399" i="14"/>
  <c r="BD407" i="14"/>
  <c r="BD415" i="14"/>
  <c r="BD422" i="14"/>
  <c r="BD405" i="14"/>
  <c r="BD401" i="14"/>
  <c r="BD417" i="14"/>
  <c r="BD413" i="14"/>
  <c r="BD421" i="14"/>
  <c r="BD393" i="14"/>
  <c r="BD423" i="14"/>
  <c r="BD397" i="14"/>
  <c r="BD409" i="14"/>
  <c r="BD363" i="14"/>
  <c r="BD367" i="14"/>
  <c r="BD371" i="14"/>
  <c r="BD375" i="14"/>
  <c r="BD379" i="14"/>
  <c r="BD383" i="14"/>
  <c r="BD387" i="14"/>
  <c r="BD365" i="14"/>
  <c r="BD369" i="14"/>
  <c r="BD373" i="14"/>
  <c r="BD377" i="14"/>
  <c r="BD381" i="14"/>
  <c r="BD385" i="14"/>
  <c r="BD389" i="14"/>
  <c r="AF6" i="23"/>
  <c r="BD368" i="14"/>
  <c r="BD376" i="14"/>
  <c r="BD384" i="14"/>
  <c r="BD392" i="14"/>
  <c r="BD364" i="14"/>
  <c r="BD372" i="14"/>
  <c r="BD380" i="14"/>
  <c r="BD388" i="14"/>
  <c r="BD390" i="14"/>
  <c r="BD370" i="14"/>
  <c r="BD386" i="14"/>
  <c r="BD366" i="14"/>
  <c r="BD382" i="14"/>
  <c r="BD378" i="14"/>
  <c r="BD362" i="14"/>
  <c r="BD374" i="14"/>
  <c r="BD391" i="14"/>
  <c r="CK303" i="14" l="1"/>
  <c r="CK218" i="14"/>
  <c r="CK373" i="14"/>
  <c r="CK320" i="14"/>
  <c r="CK333" i="14"/>
  <c r="CK348" i="14"/>
  <c r="CK357" i="14"/>
  <c r="CK337" i="14"/>
  <c r="CK312" i="14"/>
  <c r="CK380" i="14"/>
  <c r="CK388" i="14"/>
  <c r="CK334" i="14"/>
  <c r="CK369" i="14"/>
  <c r="CK347" i="14"/>
  <c r="CK346" i="14"/>
  <c r="CK317" i="14"/>
  <c r="CK325" i="14"/>
  <c r="CK224" i="14"/>
  <c r="CK372" i="14"/>
  <c r="CK382" i="14"/>
  <c r="CK390" i="14"/>
  <c r="CK265" i="14"/>
  <c r="CK310" i="14"/>
  <c r="CK302" i="14"/>
  <c r="CK318" i="14"/>
  <c r="CK326" i="14"/>
  <c r="CK374" i="14"/>
  <c r="CK313" i="14"/>
  <c r="CK364" i="14"/>
  <c r="CK244" i="14"/>
  <c r="CK305" i="14"/>
  <c r="CK319" i="14"/>
  <c r="CK327" i="14"/>
  <c r="CK371" i="14"/>
  <c r="CK376" i="14"/>
  <c r="CK384" i="14"/>
  <c r="CK392" i="14"/>
  <c r="CK242" i="14"/>
  <c r="CK309" i="14"/>
  <c r="CK316" i="14"/>
  <c r="CK381" i="14"/>
  <c r="CK314" i="14"/>
  <c r="CK321" i="14"/>
  <c r="CK329" i="14"/>
  <c r="CK378" i="14"/>
  <c r="CK386" i="14"/>
  <c r="CK251" i="14"/>
  <c r="CK223" i="14"/>
  <c r="CK214" i="14"/>
  <c r="CK360" i="14"/>
  <c r="CK335" i="14"/>
  <c r="CK351" i="14"/>
  <c r="CK352" i="14"/>
  <c r="CK344" i="14"/>
  <c r="CK342" i="14"/>
  <c r="CK341" i="14"/>
  <c r="CK338" i="14"/>
  <c r="CK350" i="14"/>
  <c r="CK343" i="14"/>
  <c r="CK340" i="14"/>
  <c r="CK353" i="14"/>
  <c r="CK361" i="14"/>
  <c r="CK271" i="14"/>
  <c r="CM364" i="14"/>
  <c r="CM370" i="14"/>
  <c r="CM378" i="14"/>
  <c r="CM386" i="14"/>
  <c r="CM287" i="14"/>
  <c r="CM285" i="14"/>
  <c r="CM284" i="14"/>
  <c r="CM297" i="14"/>
  <c r="CM342" i="14"/>
  <c r="CM338" i="14"/>
  <c r="CM220" i="14"/>
  <c r="CM216" i="14"/>
  <c r="CM228" i="14"/>
  <c r="CM236" i="14"/>
  <c r="CM302" i="14"/>
  <c r="CM316" i="14"/>
  <c r="CM324" i="14"/>
  <c r="CM244" i="14"/>
  <c r="CM247" i="14"/>
  <c r="CM366" i="14"/>
  <c r="CM375" i="14"/>
  <c r="CM383" i="14"/>
  <c r="CM391" i="14"/>
  <c r="CM273" i="14"/>
  <c r="CM289" i="14"/>
  <c r="CM340" i="14"/>
  <c r="CM343" i="14"/>
  <c r="CM350" i="14"/>
  <c r="CM221" i="14"/>
  <c r="CM214" i="14"/>
  <c r="CM229" i="14"/>
  <c r="CM237" i="14"/>
  <c r="CM309" i="14"/>
  <c r="CM310" i="14"/>
  <c r="CM321" i="14"/>
  <c r="CM329" i="14"/>
  <c r="CM242" i="14"/>
  <c r="CM245" i="14"/>
  <c r="CM363" i="14"/>
  <c r="CM376" i="14"/>
  <c r="CM384" i="14"/>
  <c r="CM392" i="14"/>
  <c r="CM290" i="14"/>
  <c r="CM291" i="14"/>
  <c r="CM272" i="14"/>
  <c r="CM299" i="14"/>
  <c r="CM352" i="14"/>
  <c r="CM353" i="14"/>
  <c r="CM335" i="14"/>
  <c r="CM351" i="14"/>
  <c r="CM223" i="14"/>
  <c r="CM226" i="14"/>
  <c r="CM234" i="14"/>
  <c r="CM314" i="14"/>
  <c r="CM313" i="14"/>
  <c r="CM318" i="14"/>
  <c r="CM326" i="14"/>
  <c r="CM251" i="14"/>
  <c r="CM265" i="14"/>
  <c r="CM371" i="14"/>
  <c r="CM374" i="14"/>
  <c r="CM381" i="14"/>
  <c r="CM389" i="14"/>
  <c r="CM274" i="14"/>
  <c r="CM344" i="14"/>
  <c r="CM361" i="14"/>
  <c r="CM360" i="14"/>
  <c r="CM341" i="14"/>
  <c r="CM217" i="14"/>
  <c r="CM227" i="14"/>
  <c r="CM235" i="14"/>
  <c r="CM305" i="14"/>
  <c r="CM304" i="14"/>
  <c r="CM319" i="14"/>
  <c r="CM327" i="14"/>
  <c r="CM243" i="14"/>
  <c r="CM249" i="14"/>
  <c r="CM372" i="14"/>
  <c r="CM369" i="14"/>
  <c r="CM382" i="14"/>
  <c r="CM390" i="14"/>
  <c r="CM295" i="14"/>
  <c r="CM293" i="14"/>
  <c r="CM278" i="14"/>
  <c r="CM357" i="14"/>
  <c r="CM334" i="14"/>
  <c r="CM333" i="14"/>
  <c r="CM337" i="14"/>
  <c r="CM218" i="14"/>
  <c r="CM224" i="14"/>
  <c r="CM232" i="14"/>
  <c r="CM311" i="14"/>
  <c r="CM312" i="14"/>
  <c r="CM320" i="14"/>
  <c r="CM328" i="14"/>
  <c r="CM263" i="14"/>
  <c r="CM365" i="14"/>
  <c r="CM379" i="14"/>
  <c r="CM387" i="14"/>
  <c r="CM286" i="14"/>
  <c r="CM281" i="14"/>
  <c r="CM345" i="14"/>
  <c r="CM358" i="14"/>
  <c r="CM347" i="14"/>
  <c r="CM349" i="14"/>
  <c r="CM219" i="14"/>
  <c r="CM225" i="14"/>
  <c r="CM233" i="14"/>
  <c r="CM306" i="14"/>
  <c r="CM303" i="14"/>
  <c r="CM317" i="14"/>
  <c r="CM325" i="14"/>
  <c r="CM368" i="14"/>
  <c r="CM373" i="14"/>
  <c r="CM380" i="14"/>
  <c r="CM388" i="14"/>
  <c r="CM298" i="14"/>
  <c r="CM296" i="14"/>
  <c r="CM282" i="14"/>
  <c r="CM288" i="14"/>
  <c r="CM355" i="14"/>
  <c r="CM346" i="14"/>
  <c r="CM354" i="14"/>
  <c r="CM348" i="14"/>
  <c r="CM212" i="14"/>
  <c r="CM215" i="14"/>
  <c r="CM230" i="14"/>
  <c r="CM238" i="14"/>
  <c r="CM308" i="14"/>
  <c r="CM322" i="14"/>
  <c r="CM330" i="14"/>
  <c r="CM248" i="14"/>
  <c r="CM253" i="14"/>
  <c r="CM261" i="14"/>
  <c r="CM269" i="14"/>
  <c r="CM367" i="14"/>
  <c r="CM377" i="14"/>
  <c r="CM385" i="14"/>
  <c r="CM294" i="14"/>
  <c r="CM283" i="14"/>
  <c r="CM359" i="14"/>
  <c r="CM339" i="14"/>
  <c r="CM356" i="14"/>
  <c r="CM336" i="14"/>
  <c r="CM213" i="14"/>
  <c r="CM222" i="14"/>
  <c r="CM231" i="14"/>
  <c r="CM239" i="14"/>
  <c r="CM307" i="14"/>
  <c r="CM315" i="14"/>
  <c r="CM323" i="14"/>
  <c r="CM331" i="14"/>
  <c r="CM270" i="14"/>
  <c r="CK332" i="14"/>
  <c r="CM332" i="14"/>
  <c r="CK259" i="14"/>
  <c r="CM259" i="14"/>
  <c r="CK267" i="14"/>
  <c r="CM267" i="14"/>
  <c r="CK280" i="14"/>
  <c r="CM280" i="14"/>
  <c r="CK279" i="14"/>
  <c r="CM279" i="14"/>
  <c r="CK260" i="14"/>
  <c r="CM260" i="14"/>
  <c r="CK268" i="14"/>
  <c r="CM268" i="14"/>
  <c r="CK241" i="14"/>
  <c r="CM241" i="14"/>
  <c r="CK257" i="14"/>
  <c r="CM257" i="14"/>
  <c r="CK300" i="14"/>
  <c r="CM300" i="14"/>
  <c r="CK211" i="14"/>
  <c r="CM211" i="14"/>
  <c r="CK258" i="14"/>
  <c r="CM258" i="14"/>
  <c r="CK266" i="14"/>
  <c r="CM266" i="14"/>
  <c r="CK252" i="14"/>
  <c r="CM252" i="14"/>
  <c r="CK255" i="14"/>
  <c r="CM255" i="14"/>
  <c r="CK362" i="14"/>
  <c r="CM362" i="14"/>
  <c r="CK275" i="14"/>
  <c r="CM275" i="14"/>
  <c r="CK292" i="14"/>
  <c r="CM292" i="14"/>
  <c r="CK240" i="14"/>
  <c r="CM240" i="14"/>
  <c r="CK246" i="14"/>
  <c r="CM246" i="14"/>
  <c r="CK256" i="14"/>
  <c r="CM256" i="14"/>
  <c r="CK264" i="14"/>
  <c r="CM264" i="14"/>
  <c r="CK277" i="14"/>
  <c r="CM277" i="14"/>
  <c r="CK276" i="14"/>
  <c r="CM276" i="14"/>
  <c r="CK250" i="14"/>
  <c r="CM250" i="14"/>
  <c r="CK254" i="14"/>
  <c r="CM254" i="14"/>
  <c r="CK262" i="14"/>
  <c r="CM262" i="14"/>
  <c r="G122" i="22"/>
  <c r="BK18" i="30"/>
  <c r="G47" i="22"/>
  <c r="AG11" i="21"/>
  <c r="AV11" i="21" s="1"/>
  <c r="CS304" i="14" s="1"/>
  <c r="CI304" i="14" s="1"/>
  <c r="AG12" i="21"/>
  <c r="AZ305" i="14" s="1"/>
  <c r="AP305" i="14" s="1"/>
  <c r="AJ12" i="20"/>
  <c r="AY12" i="20" s="1"/>
  <c r="AI36" i="21"/>
  <c r="BB329" i="14" s="1"/>
  <c r="AW329" i="14" s="1"/>
  <c r="AJ15" i="21"/>
  <c r="BC308" i="14" s="1"/>
  <c r="AX308" i="14" s="1"/>
  <c r="AG21" i="20"/>
  <c r="AV21" i="20" s="1"/>
  <c r="CS284" i="14" s="1"/>
  <c r="CI284" i="14" s="1"/>
  <c r="AH11" i="21"/>
  <c r="BA304" i="14" s="1"/>
  <c r="AQ304" i="14" s="1"/>
  <c r="AG15" i="21"/>
  <c r="AZ308" i="14" s="1"/>
  <c r="AP308" i="14" s="1"/>
  <c r="BF29" i="23"/>
  <c r="BF4" i="23"/>
  <c r="BJ295" i="1" s="1"/>
  <c r="X10" i="14" s="1"/>
  <c r="BC29" i="23"/>
  <c r="BC4" i="23"/>
  <c r="BG295" i="1" s="1"/>
  <c r="L10" i="14" s="1"/>
  <c r="BE29" i="23"/>
  <c r="BE4" i="23"/>
  <c r="BI295" i="1" s="1"/>
  <c r="T10" i="14" s="1"/>
  <c r="I119" i="14" s="1"/>
  <c r="BD29" i="23"/>
  <c r="BD4" i="23"/>
  <c r="BH295" i="1" s="1"/>
  <c r="P10" i="14" s="1"/>
  <c r="BG29" i="23"/>
  <c r="BG4" i="23"/>
  <c r="BK295" i="1" s="1"/>
  <c r="AB10" i="14" s="1"/>
  <c r="J129" i="19"/>
  <c r="E11" i="29" s="1"/>
  <c r="AI9" i="21"/>
  <c r="BB302" i="14" s="1"/>
  <c r="AW302" i="14" s="1"/>
  <c r="AG19" i="21"/>
  <c r="AZ312" i="14" s="1"/>
  <c r="AP312" i="14" s="1"/>
  <c r="AH20" i="20"/>
  <c r="BA283" i="14" s="1"/>
  <c r="AQ283" i="14" s="1"/>
  <c r="AJ9" i="21"/>
  <c r="AY9" i="21" s="1"/>
  <c r="CV302" i="14" s="1"/>
  <c r="CQ302" i="14" s="1"/>
  <c r="AH35" i="21"/>
  <c r="AG27" i="21"/>
  <c r="AZ320" i="14" s="1"/>
  <c r="AP320" i="14" s="1"/>
  <c r="AJ27" i="21"/>
  <c r="BC320" i="14" s="1"/>
  <c r="AX320" i="14" s="1"/>
  <c r="AI33" i="21"/>
  <c r="AX33" i="21" s="1"/>
  <c r="CU326" i="14" s="1"/>
  <c r="CP326" i="14" s="1"/>
  <c r="AH14" i="20"/>
  <c r="AW14" i="20" s="1"/>
  <c r="CT277" i="14" s="1"/>
  <c r="CJ277" i="14" s="1"/>
  <c r="AH31" i="20"/>
  <c r="AW31" i="20" s="1"/>
  <c r="CT294" i="14" s="1"/>
  <c r="CJ294" i="14" s="1"/>
  <c r="AJ37" i="21"/>
  <c r="AY37" i="21" s="1"/>
  <c r="CV330" i="14" s="1"/>
  <c r="CQ330" i="14" s="1"/>
  <c r="AG22" i="20"/>
  <c r="AZ285" i="14" s="1"/>
  <c r="AP285" i="14" s="1"/>
  <c r="M128" i="20"/>
  <c r="AI28" i="21"/>
  <c r="BB321" i="14" s="1"/>
  <c r="AW321" i="14" s="1"/>
  <c r="M128" i="22"/>
  <c r="AX11" i="21"/>
  <c r="CU304" i="14" s="1"/>
  <c r="CP304" i="14" s="1"/>
  <c r="BB304" i="14"/>
  <c r="AW304" i="14" s="1"/>
  <c r="L128" i="20"/>
  <c r="L129" i="20" s="1"/>
  <c r="G12" i="29" s="1"/>
  <c r="L128" i="19"/>
  <c r="L129" i="19" s="1"/>
  <c r="E12" i="29" s="1"/>
  <c r="AJ16" i="21"/>
  <c r="BC309" i="14" s="1"/>
  <c r="AX309" i="14" s="1"/>
  <c r="AH21" i="20"/>
  <c r="BA284" i="14" s="1"/>
  <c r="AQ284" i="14" s="1"/>
  <c r="AG26" i="21"/>
  <c r="AV26" i="21" s="1"/>
  <c r="CS319" i="14" s="1"/>
  <c r="CI319" i="14" s="1"/>
  <c r="AG11" i="20"/>
  <c r="AJ27" i="20"/>
  <c r="AY27" i="20" s="1"/>
  <c r="CV290" i="14" s="1"/>
  <c r="CQ290" i="14" s="1"/>
  <c r="AJ26" i="20"/>
  <c r="AY26" i="20" s="1"/>
  <c r="CV289" i="14" s="1"/>
  <c r="CQ289" i="14" s="1"/>
  <c r="AJ34" i="20"/>
  <c r="BC297" i="14" s="1"/>
  <c r="AX297" i="14" s="1"/>
  <c r="AH26" i="20"/>
  <c r="BA289" i="14" s="1"/>
  <c r="AQ289" i="14" s="1"/>
  <c r="AG24" i="21"/>
  <c r="AZ317" i="14" s="1"/>
  <c r="AP317" i="14" s="1"/>
  <c r="AI14" i="21"/>
  <c r="BB307" i="14" s="1"/>
  <c r="AW307" i="14" s="1"/>
  <c r="AH28" i="20"/>
  <c r="AW28" i="20" s="1"/>
  <c r="CT291" i="14" s="1"/>
  <c r="CJ291" i="14" s="1"/>
  <c r="AH25" i="21"/>
  <c r="AW25" i="21" s="1"/>
  <c r="CT318" i="14" s="1"/>
  <c r="CJ318" i="14" s="1"/>
  <c r="AJ30" i="21"/>
  <c r="BC323" i="14" s="1"/>
  <c r="AX323" i="14" s="1"/>
  <c r="AI18" i="21"/>
  <c r="BB311" i="14" s="1"/>
  <c r="AW311" i="14" s="1"/>
  <c r="AH30" i="21"/>
  <c r="AW30" i="21" s="1"/>
  <c r="CT323" i="14" s="1"/>
  <c r="CJ323" i="14" s="1"/>
  <c r="AJ14" i="20"/>
  <c r="AY14" i="20" s="1"/>
  <c r="CV277" i="14" s="1"/>
  <c r="CQ277" i="14" s="1"/>
  <c r="AG30" i="20"/>
  <c r="AZ293" i="14" s="1"/>
  <c r="AP293" i="14" s="1"/>
  <c r="AG36" i="21"/>
  <c r="AJ13" i="20"/>
  <c r="AY13" i="20" s="1"/>
  <c r="CV276" i="14" s="1"/>
  <c r="CQ276" i="14" s="1"/>
  <c r="BA309" i="14"/>
  <c r="AQ309" i="14" s="1"/>
  <c r="AW16" i="21"/>
  <c r="CT309" i="14" s="1"/>
  <c r="CJ309" i="14" s="1"/>
  <c r="AZ323" i="14"/>
  <c r="AP323" i="14" s="1"/>
  <c r="AV30" i="21"/>
  <c r="CS323" i="14" s="1"/>
  <c r="CI323" i="14" s="1"/>
  <c r="AW22" i="20"/>
  <c r="CT285" i="14" s="1"/>
  <c r="CJ285" i="14" s="1"/>
  <c r="AV18" i="21"/>
  <c r="CS311" i="14" s="1"/>
  <c r="CI311" i="14" s="1"/>
  <c r="AZ311" i="14"/>
  <c r="AP311" i="14" s="1"/>
  <c r="AV26" i="20"/>
  <c r="CS289" i="14" s="1"/>
  <c r="CI289" i="14" s="1"/>
  <c r="AZ289" i="14"/>
  <c r="AP289" i="14" s="1"/>
  <c r="K128" i="21"/>
  <c r="K129" i="21" s="1"/>
  <c r="K128" i="22"/>
  <c r="K129" i="22" s="1"/>
  <c r="AJ21" i="21"/>
  <c r="BC314" i="14" s="1"/>
  <c r="AX314" i="14" s="1"/>
  <c r="AI16" i="21"/>
  <c r="AH30" i="20"/>
  <c r="AG17" i="20"/>
  <c r="AH17" i="20"/>
  <c r="AW17" i="20" s="1"/>
  <c r="AH20" i="21"/>
  <c r="AW20" i="21" s="1"/>
  <c r="CT313" i="14" s="1"/>
  <c r="CJ313" i="14" s="1"/>
  <c r="AH11" i="20"/>
  <c r="AG19" i="20"/>
  <c r="AI19" i="21"/>
  <c r="AJ22" i="20"/>
  <c r="BC285" i="14" s="1"/>
  <c r="AX285" i="14" s="1"/>
  <c r="AG14" i="21"/>
  <c r="AZ307" i="14" s="1"/>
  <c r="AP307" i="14" s="1"/>
  <c r="AG31" i="20"/>
  <c r="AJ18" i="21"/>
  <c r="AY18" i="21" s="1"/>
  <c r="CV311" i="14" s="1"/>
  <c r="CQ311" i="14" s="1"/>
  <c r="AG16" i="21"/>
  <c r="AV16" i="21" s="1"/>
  <c r="CS309" i="14" s="1"/>
  <c r="CI309" i="14" s="1"/>
  <c r="AI10" i="21"/>
  <c r="BB303" i="14" s="1"/>
  <c r="AW303" i="14" s="1"/>
  <c r="AI30" i="21"/>
  <c r="AJ33" i="21"/>
  <c r="BC326" i="14" s="1"/>
  <c r="AX326" i="14" s="1"/>
  <c r="AZ295" i="14"/>
  <c r="AP295" i="14" s="1"/>
  <c r="AV32" i="20"/>
  <c r="CS295" i="14" s="1"/>
  <c r="CI295" i="14" s="1"/>
  <c r="AZ273" i="14"/>
  <c r="AP273" i="14" s="1"/>
  <c r="AV10" i="20"/>
  <c r="CS273" i="14" s="1"/>
  <c r="CI273" i="14" s="1"/>
  <c r="BC280" i="14"/>
  <c r="AX280" i="14" s="1"/>
  <c r="AY17" i="20"/>
  <c r="CV280" i="14" s="1"/>
  <c r="CQ280" i="14" s="1"/>
  <c r="AX21" i="21"/>
  <c r="CU314" i="14" s="1"/>
  <c r="CP314" i="14" s="1"/>
  <c r="BB314" i="14"/>
  <c r="AW314" i="14" s="1"/>
  <c r="AV37" i="21"/>
  <c r="CS330" i="14" s="1"/>
  <c r="CI330" i="14" s="1"/>
  <c r="AZ330" i="14"/>
  <c r="AP330" i="14" s="1"/>
  <c r="BC296" i="14"/>
  <c r="AX296" i="14" s="1"/>
  <c r="AY33" i="20"/>
  <c r="CV296" i="14" s="1"/>
  <c r="CQ296" i="14" s="1"/>
  <c r="BA272" i="14"/>
  <c r="AQ272" i="14" s="1"/>
  <c r="AW9" i="20"/>
  <c r="CT272" i="14" s="1"/>
  <c r="CJ272" i="14" s="1"/>
  <c r="AX26" i="21"/>
  <c r="CU319" i="14" s="1"/>
  <c r="CP319" i="14" s="1"/>
  <c r="BB319" i="14"/>
  <c r="AW319" i="14" s="1"/>
  <c r="BC318" i="14"/>
  <c r="AX318" i="14" s="1"/>
  <c r="AY25" i="21"/>
  <c r="CV318" i="14" s="1"/>
  <c r="CQ318" i="14" s="1"/>
  <c r="AV33" i="21"/>
  <c r="CS326" i="14" s="1"/>
  <c r="CI326" i="14" s="1"/>
  <c r="AZ326" i="14"/>
  <c r="AP326" i="14" s="1"/>
  <c r="AW34" i="20"/>
  <c r="CT297" i="14" s="1"/>
  <c r="CJ297" i="14" s="1"/>
  <c r="BA297" i="14"/>
  <c r="AQ297" i="14" s="1"/>
  <c r="AW35" i="20"/>
  <c r="CT298" i="14" s="1"/>
  <c r="CJ298" i="14" s="1"/>
  <c r="BA298" i="14"/>
  <c r="AQ298" i="14" s="1"/>
  <c r="AW36" i="21"/>
  <c r="CT329" i="14" s="1"/>
  <c r="CJ329" i="14" s="1"/>
  <c r="BA329" i="14"/>
  <c r="AQ329" i="14" s="1"/>
  <c r="AG25" i="20"/>
  <c r="AZ288" i="14" s="1"/>
  <c r="AP288" i="14" s="1"/>
  <c r="AJ35" i="21"/>
  <c r="BC328" i="14" s="1"/>
  <c r="AX328" i="14" s="1"/>
  <c r="AJ14" i="21"/>
  <c r="AY14" i="21" s="1"/>
  <c r="CV307" i="14" s="1"/>
  <c r="CQ307" i="14" s="1"/>
  <c r="AI38" i="21"/>
  <c r="AH12" i="20"/>
  <c r="AH16" i="20"/>
  <c r="AG38" i="21"/>
  <c r="AI35" i="21"/>
  <c r="AG15" i="20"/>
  <c r="AZ278" i="14" s="1"/>
  <c r="AP278" i="14" s="1"/>
  <c r="AG35" i="20"/>
  <c r="AJ29" i="21"/>
  <c r="AH33" i="20"/>
  <c r="AG20" i="21"/>
  <c r="AH29" i="21"/>
  <c r="BA322" i="14" s="1"/>
  <c r="AQ322" i="14" s="1"/>
  <c r="AH15" i="20"/>
  <c r="AJ20" i="20"/>
  <c r="BC283" i="14" s="1"/>
  <c r="AX283" i="14" s="1"/>
  <c r="AI29" i="21"/>
  <c r="AX29" i="21" s="1"/>
  <c r="AG17" i="21"/>
  <c r="AJ10" i="21"/>
  <c r="AY10" i="21" s="1"/>
  <c r="CV303" i="14" s="1"/>
  <c r="CQ303" i="14" s="1"/>
  <c r="AH25" i="20"/>
  <c r="BA288" i="14" s="1"/>
  <c r="AQ288" i="14" s="1"/>
  <c r="AJ36" i="21"/>
  <c r="BC329" i="14" s="1"/>
  <c r="AX329" i="14" s="1"/>
  <c r="AJ24" i="20"/>
  <c r="AY24" i="20" s="1"/>
  <c r="CV287" i="14" s="1"/>
  <c r="CQ287" i="14" s="1"/>
  <c r="AI20" i="21"/>
  <c r="AX20" i="21" s="1"/>
  <c r="CU313" i="14" s="1"/>
  <c r="CP313" i="14" s="1"/>
  <c r="AG34" i="20"/>
  <c r="AH32" i="20"/>
  <c r="BA295" i="14" s="1"/>
  <c r="AQ295" i="14" s="1"/>
  <c r="J128" i="21"/>
  <c r="H122" i="29" s="1"/>
  <c r="J128" i="20"/>
  <c r="G122" i="29" s="1"/>
  <c r="AG33" i="20"/>
  <c r="AJ10" i="20"/>
  <c r="AY10" i="20" s="1"/>
  <c r="CV273" i="14" s="1"/>
  <c r="CQ273" i="14" s="1"/>
  <c r="AH37" i="21"/>
  <c r="BA330" i="14" s="1"/>
  <c r="AQ330" i="14" s="1"/>
  <c r="AJ9" i="20"/>
  <c r="AJ17" i="21"/>
  <c r="AJ24" i="21"/>
  <c r="BC317" i="14" s="1"/>
  <c r="AX317" i="14" s="1"/>
  <c r="AJ38" i="21"/>
  <c r="BC331" i="14" s="1"/>
  <c r="AX331" i="14" s="1"/>
  <c r="AJ19" i="20"/>
  <c r="AJ28" i="20"/>
  <c r="AH17" i="21"/>
  <c r="AJ26" i="21"/>
  <c r="AI12" i="21"/>
  <c r="AJ35" i="20"/>
  <c r="AH21" i="21"/>
  <c r="BA314" i="14" s="1"/>
  <c r="AQ314" i="14" s="1"/>
  <c r="AH12" i="21"/>
  <c r="BA305" i="14" s="1"/>
  <c r="AQ305" i="14" s="1"/>
  <c r="AG24" i="20"/>
  <c r="AZ325" i="14"/>
  <c r="AP325" i="14" s="1"/>
  <c r="AV32" i="21"/>
  <c r="CS325" i="14" s="1"/>
  <c r="CI325" i="14" s="1"/>
  <c r="AW13" i="20"/>
  <c r="CT276" i="14" s="1"/>
  <c r="CJ276" i="14" s="1"/>
  <c r="BA276" i="14"/>
  <c r="AQ276" i="14" s="1"/>
  <c r="I128" i="21"/>
  <c r="H123" i="29" s="1"/>
  <c r="AV29" i="21"/>
  <c r="CS322" i="14" s="1"/>
  <c r="CI322" i="14" s="1"/>
  <c r="AI32" i="21"/>
  <c r="AJ18" i="20"/>
  <c r="BC281" i="14" s="1"/>
  <c r="AX281" i="14" s="1"/>
  <c r="AH28" i="21"/>
  <c r="AW28" i="21" s="1"/>
  <c r="CT321" i="14" s="1"/>
  <c r="CJ321" i="14" s="1"/>
  <c r="AH32" i="21"/>
  <c r="AW32" i="21" s="1"/>
  <c r="CT325" i="14" s="1"/>
  <c r="CJ325" i="14" s="1"/>
  <c r="BA285" i="14"/>
  <c r="AQ285" i="14" s="1"/>
  <c r="I128" i="19"/>
  <c r="AG13" i="20"/>
  <c r="AJ32" i="21"/>
  <c r="AJ36" i="20"/>
  <c r="AY36" i="20" s="1"/>
  <c r="CV299" i="14" s="1"/>
  <c r="CQ299" i="14" s="1"/>
  <c r="AG28" i="21"/>
  <c r="AZ321" i="14" s="1"/>
  <c r="AP321" i="14" s="1"/>
  <c r="I128" i="22"/>
  <c r="I123" i="29" s="1"/>
  <c r="AX27" i="21"/>
  <c r="CU320" i="14" s="1"/>
  <c r="CP320" i="14" s="1"/>
  <c r="AG18" i="20"/>
  <c r="AG36" i="20"/>
  <c r="AG13" i="21"/>
  <c r="AZ303" i="14"/>
  <c r="AP303" i="14" s="1"/>
  <c r="AV10" i="21"/>
  <c r="CS303" i="14" s="1"/>
  <c r="CI303" i="14" s="1"/>
  <c r="BA307" i="14"/>
  <c r="AQ307" i="14" s="1"/>
  <c r="AW14" i="21"/>
  <c r="CT307" i="14" s="1"/>
  <c r="CJ307" i="14" s="1"/>
  <c r="AZ290" i="14"/>
  <c r="AP290" i="14" s="1"/>
  <c r="AV27" i="20"/>
  <c r="CS290" i="14" s="1"/>
  <c r="CI290" i="14" s="1"/>
  <c r="AW36" i="20"/>
  <c r="CT299" i="14" s="1"/>
  <c r="CJ299" i="14" s="1"/>
  <c r="BA299" i="14"/>
  <c r="AQ299" i="14" s="1"/>
  <c r="AV29" i="20"/>
  <c r="CS292" i="14" s="1"/>
  <c r="CI292" i="14" s="1"/>
  <c r="AZ292" i="14"/>
  <c r="AP292" i="14" s="1"/>
  <c r="BA281" i="14"/>
  <c r="AQ281" i="14" s="1"/>
  <c r="AW18" i="20"/>
  <c r="CT281" i="14" s="1"/>
  <c r="CJ281" i="14" s="1"/>
  <c r="AW24" i="20"/>
  <c r="CT287" i="14" s="1"/>
  <c r="CJ287" i="14" s="1"/>
  <c r="BA287" i="14"/>
  <c r="AQ287" i="14" s="1"/>
  <c r="AY11" i="20"/>
  <c r="CV274" i="14" s="1"/>
  <c r="CQ274" i="14" s="1"/>
  <c r="BC274" i="14"/>
  <c r="AX274" i="14" s="1"/>
  <c r="BB317" i="14"/>
  <c r="AW317" i="14" s="1"/>
  <c r="AX24" i="21"/>
  <c r="CU317" i="14" s="1"/>
  <c r="CP317" i="14" s="1"/>
  <c r="BA312" i="14"/>
  <c r="AQ312" i="14" s="1"/>
  <c r="AW19" i="21"/>
  <c r="CT312" i="14" s="1"/>
  <c r="CJ312" i="14" s="1"/>
  <c r="BB8" i="23"/>
  <c r="BP362" i="14" s="1"/>
  <c r="AL8" i="23"/>
  <c r="BK50" i="30"/>
  <c r="H128" i="22"/>
  <c r="H129" i="22" s="1"/>
  <c r="I9" i="29" s="1"/>
  <c r="AI13" i="21"/>
  <c r="BB306" i="14" s="1"/>
  <c r="AW306" i="14" s="1"/>
  <c r="AI23" i="21"/>
  <c r="AJ29" i="20"/>
  <c r="AH23" i="21"/>
  <c r="AG37" i="20"/>
  <c r="AH24" i="21"/>
  <c r="BB31" i="22"/>
  <c r="BP355" i="14" s="1"/>
  <c r="AL31" i="22"/>
  <c r="BB18" i="22"/>
  <c r="BP342" i="14" s="1"/>
  <c r="AL18" i="22"/>
  <c r="BB17" i="22"/>
  <c r="BY341" i="14" s="1"/>
  <c r="AL17" i="22"/>
  <c r="BB20" i="23"/>
  <c r="BP374" i="14" s="1"/>
  <c r="AL20" i="23"/>
  <c r="BB14" i="23"/>
  <c r="BP368" i="14" s="1"/>
  <c r="AL14" i="23"/>
  <c r="BB25" i="23"/>
  <c r="BP379" i="14" s="1"/>
  <c r="AL25" i="23"/>
  <c r="BB33" i="23"/>
  <c r="BP387" i="14" s="1"/>
  <c r="AL33" i="23"/>
  <c r="BB10" i="23"/>
  <c r="BP364" i="14" s="1"/>
  <c r="AL10" i="23"/>
  <c r="BB31" i="23"/>
  <c r="BP385" i="14" s="1"/>
  <c r="AL31" i="23"/>
  <c r="BB14" i="22"/>
  <c r="BP338" i="14" s="1"/>
  <c r="AL14" i="22"/>
  <c r="BB34" i="22"/>
  <c r="BP358" i="14" s="1"/>
  <c r="AL34" i="22"/>
  <c r="BB26" i="22"/>
  <c r="BP350" i="14" s="1"/>
  <c r="AL26" i="22"/>
  <c r="BB21" i="22"/>
  <c r="BP345" i="14" s="1"/>
  <c r="AL21" i="22"/>
  <c r="BB17" i="23"/>
  <c r="BP371" i="14" s="1"/>
  <c r="AL17" i="23"/>
  <c r="BB22" i="23"/>
  <c r="BP376" i="14" s="1"/>
  <c r="AL22" i="23"/>
  <c r="BB30" i="23"/>
  <c r="BP384" i="14" s="1"/>
  <c r="AL30" i="23"/>
  <c r="BB38" i="23"/>
  <c r="BP392" i="14" s="1"/>
  <c r="AL38" i="23"/>
  <c r="BB19" i="22"/>
  <c r="BP343" i="14" s="1"/>
  <c r="AL19" i="22"/>
  <c r="BB25" i="22"/>
  <c r="BP349" i="14" s="1"/>
  <c r="AL25" i="22"/>
  <c r="BB16" i="22"/>
  <c r="BP340" i="14" s="1"/>
  <c r="AL16" i="22"/>
  <c r="BB27" i="23"/>
  <c r="BP381" i="14" s="1"/>
  <c r="AL27" i="23"/>
  <c r="BB30" i="22"/>
  <c r="BP354" i="14" s="1"/>
  <c r="AL30" i="22"/>
  <c r="BB29" i="22"/>
  <c r="BP353" i="14" s="1"/>
  <c r="AL29" i="22"/>
  <c r="BB37" i="22"/>
  <c r="BP361" i="14" s="1"/>
  <c r="AL37" i="22"/>
  <c r="BB11" i="23"/>
  <c r="BP365" i="14" s="1"/>
  <c r="AL11" i="23"/>
  <c r="BB13" i="23"/>
  <c r="BP367" i="14" s="1"/>
  <c r="AL13" i="23"/>
  <c r="BB24" i="23"/>
  <c r="BP378" i="14" s="1"/>
  <c r="AL24" i="23"/>
  <c r="BB32" i="23"/>
  <c r="BP386" i="14" s="1"/>
  <c r="AL32" i="23"/>
  <c r="BP341" i="14"/>
  <c r="AV14" i="20"/>
  <c r="CS277" i="14" s="1"/>
  <c r="CI277" i="14" s="1"/>
  <c r="BB8" i="22"/>
  <c r="BP332" i="14" s="1"/>
  <c r="AL8" i="22"/>
  <c r="AH31" i="21"/>
  <c r="AJ37" i="20"/>
  <c r="AY37" i="20" s="1"/>
  <c r="AJ31" i="21"/>
  <c r="BC324" i="14" s="1"/>
  <c r="AX324" i="14" s="1"/>
  <c r="AJ19" i="21"/>
  <c r="H128" i="20"/>
  <c r="G121" i="29" s="1"/>
  <c r="H128" i="19"/>
  <c r="H129" i="19" s="1"/>
  <c r="E9" i="29" s="1"/>
  <c r="BJ50" i="30"/>
  <c r="H128" i="21"/>
  <c r="AI31" i="21"/>
  <c r="BB324" i="14" s="1"/>
  <c r="AW324" i="14" s="1"/>
  <c r="AH29" i="20"/>
  <c r="AG23" i="21"/>
  <c r="BB36" i="22"/>
  <c r="BP360" i="14" s="1"/>
  <c r="AL36" i="22"/>
  <c r="BB35" i="22"/>
  <c r="BP359" i="14" s="1"/>
  <c r="AL35" i="22"/>
  <c r="BB11" i="22"/>
  <c r="BP335" i="14" s="1"/>
  <c r="AL11" i="22"/>
  <c r="BB27" i="22"/>
  <c r="BP351" i="14" s="1"/>
  <c r="AL27" i="22"/>
  <c r="BB19" i="23"/>
  <c r="BP373" i="14" s="1"/>
  <c r="AL19" i="23"/>
  <c r="BB21" i="23"/>
  <c r="BP375" i="14" s="1"/>
  <c r="AL21" i="23"/>
  <c r="BB29" i="23"/>
  <c r="AL29" i="23"/>
  <c r="BB37" i="23"/>
  <c r="BP391" i="14" s="1"/>
  <c r="AL37" i="23"/>
  <c r="BB23" i="23"/>
  <c r="BP377" i="14" s="1"/>
  <c r="AL23" i="23"/>
  <c r="BB35" i="23"/>
  <c r="BP389" i="14" s="1"/>
  <c r="AL35" i="23"/>
  <c r="BB9" i="22"/>
  <c r="BP333" i="14" s="1"/>
  <c r="AL9" i="22"/>
  <c r="BB24" i="22"/>
  <c r="BP348" i="14" s="1"/>
  <c r="AL24" i="22"/>
  <c r="BB33" i="22"/>
  <c r="BP357" i="14" s="1"/>
  <c r="AL33" i="22"/>
  <c r="BB13" i="22"/>
  <c r="BP337" i="14" s="1"/>
  <c r="AL13" i="22"/>
  <c r="BB16" i="23"/>
  <c r="BP370" i="14" s="1"/>
  <c r="AL16" i="23"/>
  <c r="BB9" i="23"/>
  <c r="BP363" i="14" s="1"/>
  <c r="AL9" i="23"/>
  <c r="BB26" i="23"/>
  <c r="BP380" i="14" s="1"/>
  <c r="AL26" i="23"/>
  <c r="BB34" i="23"/>
  <c r="BP388" i="14" s="1"/>
  <c r="AL34" i="23"/>
  <c r="BB32" i="22"/>
  <c r="BP356" i="14" s="1"/>
  <c r="AL32" i="22"/>
  <c r="BB15" i="22"/>
  <c r="BP339" i="14" s="1"/>
  <c r="AL15" i="22"/>
  <c r="BB12" i="22"/>
  <c r="BP336" i="14" s="1"/>
  <c r="AL12" i="22"/>
  <c r="BB10" i="22"/>
  <c r="BP334" i="14" s="1"/>
  <c r="AL10" i="22"/>
  <c r="BB15" i="23"/>
  <c r="BP369" i="14" s="1"/>
  <c r="AL15" i="23"/>
  <c r="BB23" i="22"/>
  <c r="BP347" i="14" s="1"/>
  <c r="AL23" i="22"/>
  <c r="BB28" i="22"/>
  <c r="BP352" i="14" s="1"/>
  <c r="AL28" i="22"/>
  <c r="BB20" i="22"/>
  <c r="BP344" i="14" s="1"/>
  <c r="AL20" i="22"/>
  <c r="BB22" i="22"/>
  <c r="BP346" i="14" s="1"/>
  <c r="AL22" i="22"/>
  <c r="BB18" i="23"/>
  <c r="BP372" i="14" s="1"/>
  <c r="AL18" i="23"/>
  <c r="BB12" i="23"/>
  <c r="BP366" i="14" s="1"/>
  <c r="AL12" i="23"/>
  <c r="BB28" i="23"/>
  <c r="BP382" i="14" s="1"/>
  <c r="AL28" i="23"/>
  <c r="BB36" i="23"/>
  <c r="BP390" i="14" s="1"/>
  <c r="AL36" i="23"/>
  <c r="BA19" i="18"/>
  <c r="BY222" i="14" s="1"/>
  <c r="AL19" i="18"/>
  <c r="BA32" i="18"/>
  <c r="BY235" i="14" s="1"/>
  <c r="AL32" i="18"/>
  <c r="BH18" i="30"/>
  <c r="G128" i="19"/>
  <c r="G129" i="19" s="1"/>
  <c r="BA21" i="19"/>
  <c r="BY253" i="14" s="1"/>
  <c r="AL21" i="19"/>
  <c r="BA30" i="19"/>
  <c r="BY262" i="14" s="1"/>
  <c r="AL30" i="19"/>
  <c r="BA15" i="18"/>
  <c r="BY218" i="14" s="1"/>
  <c r="AL15" i="18"/>
  <c r="BA30" i="18"/>
  <c r="BY233" i="14" s="1"/>
  <c r="AL30" i="18"/>
  <c r="BC284" i="14"/>
  <c r="AX284" i="14" s="1"/>
  <c r="AY21" i="20"/>
  <c r="CV284" i="14" s="1"/>
  <c r="CQ284" i="14" s="1"/>
  <c r="AV20" i="20"/>
  <c r="CS283" i="14" s="1"/>
  <c r="CI283" i="14" s="1"/>
  <c r="BA10" i="18"/>
  <c r="BY213" i="14" s="1"/>
  <c r="AL10" i="18"/>
  <c r="BA29" i="18"/>
  <c r="BY232" i="14" s="1"/>
  <c r="AL29" i="18"/>
  <c r="AZ328" i="14"/>
  <c r="AP328" i="14" s="1"/>
  <c r="AV35" i="21"/>
  <c r="CS328" i="14" s="1"/>
  <c r="CI328" i="14" s="1"/>
  <c r="BA19" i="19"/>
  <c r="BY251" i="14" s="1"/>
  <c r="AL19" i="19"/>
  <c r="BA28" i="19"/>
  <c r="BY260" i="14" s="1"/>
  <c r="AL28" i="19"/>
  <c r="BD286" i="14"/>
  <c r="BA23" i="20"/>
  <c r="BY286" i="14" s="1"/>
  <c r="AL23" i="20"/>
  <c r="AJ23" i="20"/>
  <c r="AG23" i="20"/>
  <c r="AV23" i="20" s="1"/>
  <c r="CS286" i="14" s="1"/>
  <c r="CI286" i="14" s="1"/>
  <c r="AH23" i="20"/>
  <c r="AW23" i="20" s="1"/>
  <c r="CT286" i="14" s="1"/>
  <c r="CJ286" i="14" s="1"/>
  <c r="BD290" i="14"/>
  <c r="BA27" i="20"/>
  <c r="BY290" i="14" s="1"/>
  <c r="AL27" i="20"/>
  <c r="AH27" i="20"/>
  <c r="AW27" i="20" s="1"/>
  <c r="BD315" i="14"/>
  <c r="BA22" i="21"/>
  <c r="BY315" i="14" s="1"/>
  <c r="AL22" i="21"/>
  <c r="AG22" i="21"/>
  <c r="AZ315" i="14" s="1"/>
  <c r="AP315" i="14" s="1"/>
  <c r="AH22" i="21"/>
  <c r="AJ22" i="21"/>
  <c r="BC315" i="14" s="1"/>
  <c r="AX315" i="14" s="1"/>
  <c r="AI22" i="21"/>
  <c r="BD327" i="14"/>
  <c r="BA34" i="21"/>
  <c r="BY327" i="14" s="1"/>
  <c r="AL34" i="21"/>
  <c r="AG34" i="21"/>
  <c r="AV34" i="21" s="1"/>
  <c r="AJ34" i="21"/>
  <c r="AY34" i="21" s="1"/>
  <c r="CV327" i="14" s="1"/>
  <c r="CQ327" i="14" s="1"/>
  <c r="AH34" i="21"/>
  <c r="AI34" i="21"/>
  <c r="BA9" i="18"/>
  <c r="BY212" i="14" s="1"/>
  <c r="AL9" i="18"/>
  <c r="BA21" i="18"/>
  <c r="BY224" i="14" s="1"/>
  <c r="AL21" i="18"/>
  <c r="BI18" i="30"/>
  <c r="G128" i="20"/>
  <c r="G129" i="20" s="1"/>
  <c r="BA28" i="18"/>
  <c r="BY231" i="14" s="1"/>
  <c r="AL28" i="18"/>
  <c r="BA36" i="18"/>
  <c r="BY239" i="14" s="1"/>
  <c r="AL36" i="18"/>
  <c r="BA33" i="19"/>
  <c r="BY265" i="14" s="1"/>
  <c r="AL33" i="19"/>
  <c r="BA26" i="19"/>
  <c r="BY258" i="14" s="1"/>
  <c r="AL26" i="19"/>
  <c r="BA26" i="18"/>
  <c r="BY229" i="14" s="1"/>
  <c r="AL26" i="18"/>
  <c r="BA34" i="18"/>
  <c r="BY237" i="14" s="1"/>
  <c r="AL34" i="18"/>
  <c r="BA13" i="18"/>
  <c r="BY216" i="14" s="1"/>
  <c r="AL13" i="18"/>
  <c r="BA14" i="18"/>
  <c r="BY217" i="14" s="1"/>
  <c r="AL14" i="18"/>
  <c r="BA25" i="18"/>
  <c r="BY228" i="14" s="1"/>
  <c r="AL25" i="18"/>
  <c r="BA33" i="18"/>
  <c r="BY236" i="14" s="1"/>
  <c r="AL33" i="18"/>
  <c r="BA24" i="19"/>
  <c r="BY256" i="14" s="1"/>
  <c r="AL24" i="19"/>
  <c r="BD296" i="14"/>
  <c r="BA33" i="20"/>
  <c r="BY296" i="14" s="1"/>
  <c r="AL33" i="20"/>
  <c r="BD272" i="14"/>
  <c r="BA9" i="20"/>
  <c r="BY272" i="14" s="1"/>
  <c r="AL9" i="20"/>
  <c r="AG9" i="20"/>
  <c r="BD293" i="14"/>
  <c r="BA30" i="20"/>
  <c r="BY293" i="14" s="1"/>
  <c r="AL30" i="20"/>
  <c r="BD319" i="14"/>
  <c r="BA26" i="21"/>
  <c r="BY319" i="14" s="1"/>
  <c r="AL26" i="21"/>
  <c r="AH26" i="21"/>
  <c r="BD331" i="14"/>
  <c r="BA38" i="21"/>
  <c r="BY331" i="14" s="1"/>
  <c r="AL38" i="21"/>
  <c r="BA12" i="18"/>
  <c r="BY215" i="14" s="1"/>
  <c r="AL12" i="18"/>
  <c r="BA22" i="18"/>
  <c r="BY225" i="14" s="1"/>
  <c r="AL22" i="18"/>
  <c r="BA8" i="21"/>
  <c r="BY301" i="14" s="1"/>
  <c r="AL8" i="21"/>
  <c r="BA8" i="18"/>
  <c r="BY211" i="14" s="1"/>
  <c r="AL8" i="18"/>
  <c r="BA20" i="19"/>
  <c r="BY252" i="14" s="1"/>
  <c r="AL20" i="19"/>
  <c r="BA35" i="19"/>
  <c r="BY267" i="14" s="1"/>
  <c r="AL35" i="19"/>
  <c r="BA35" i="18"/>
  <c r="BY238" i="14" s="1"/>
  <c r="AL35" i="18"/>
  <c r="BA11" i="19"/>
  <c r="BY243" i="14" s="1"/>
  <c r="AL11" i="19"/>
  <c r="BA11" i="18"/>
  <c r="BY214" i="14" s="1"/>
  <c r="AL11" i="18"/>
  <c r="BA18" i="18"/>
  <c r="BY221" i="14" s="1"/>
  <c r="AL18" i="18"/>
  <c r="BA31" i="18"/>
  <c r="BY234" i="14" s="1"/>
  <c r="AL31" i="18"/>
  <c r="BA9" i="19"/>
  <c r="BY241" i="14" s="1"/>
  <c r="AL9" i="19"/>
  <c r="BA25" i="19"/>
  <c r="BY257" i="14" s="1"/>
  <c r="AL25" i="19"/>
  <c r="BA37" i="19"/>
  <c r="BY269" i="14" s="1"/>
  <c r="AL37" i="19"/>
  <c r="BD299" i="14"/>
  <c r="BA36" i="20"/>
  <c r="BY299" i="14" s="1"/>
  <c r="AL36" i="20"/>
  <c r="BD300" i="14"/>
  <c r="BA37" i="20"/>
  <c r="BY300" i="14" s="1"/>
  <c r="AL37" i="20"/>
  <c r="BD292" i="14"/>
  <c r="BA29" i="20"/>
  <c r="BY292" i="14" s="1"/>
  <c r="AL29" i="20"/>
  <c r="BD306" i="14"/>
  <c r="BA13" i="21"/>
  <c r="BY306" i="14" s="1"/>
  <c r="AL13" i="21"/>
  <c r="AH13" i="21"/>
  <c r="BD316" i="14"/>
  <c r="BA23" i="21"/>
  <c r="BY316" i="14" s="1"/>
  <c r="AL23" i="21"/>
  <c r="BD324" i="14"/>
  <c r="BA31" i="21"/>
  <c r="BY324" i="14" s="1"/>
  <c r="AL31" i="21"/>
  <c r="BA20" i="18"/>
  <c r="BY223" i="14" s="1"/>
  <c r="AL20" i="18"/>
  <c r="BA22" i="19"/>
  <c r="BY254" i="14" s="1"/>
  <c r="AL22" i="19"/>
  <c r="BD281" i="14"/>
  <c r="BA18" i="20"/>
  <c r="BY281" i="14" s="1"/>
  <c r="AL18" i="20"/>
  <c r="BD325" i="14"/>
  <c r="BA32" i="21"/>
  <c r="BY325" i="14" s="1"/>
  <c r="AL32" i="21"/>
  <c r="BA16" i="19"/>
  <c r="BY248" i="14" s="1"/>
  <c r="AL16" i="19"/>
  <c r="BA27" i="19"/>
  <c r="BY259" i="14" s="1"/>
  <c r="AL27" i="19"/>
  <c r="BD282" i="14"/>
  <c r="BA19" i="20"/>
  <c r="BY282" i="14" s="1"/>
  <c r="AL19" i="20"/>
  <c r="BD275" i="14"/>
  <c r="BA12" i="20"/>
  <c r="BY275" i="14" s="1"/>
  <c r="AL12" i="20"/>
  <c r="BD278" i="14"/>
  <c r="BA15" i="20"/>
  <c r="BY278" i="14" s="1"/>
  <c r="AL15" i="20"/>
  <c r="BD288" i="14"/>
  <c r="BA25" i="20"/>
  <c r="BY288" i="14" s="1"/>
  <c r="AL25" i="20"/>
  <c r="BD303" i="14"/>
  <c r="BA10" i="21"/>
  <c r="BY303" i="14" s="1"/>
  <c r="AL10" i="21"/>
  <c r="AH10" i="21"/>
  <c r="BD307" i="14"/>
  <c r="BA14" i="21"/>
  <c r="BY307" i="14" s="1"/>
  <c r="AL14" i="21"/>
  <c r="BD318" i="14"/>
  <c r="BA25" i="21"/>
  <c r="BY318" i="14" s="1"/>
  <c r="AL25" i="21"/>
  <c r="AI25" i="21"/>
  <c r="AG25" i="21"/>
  <c r="BD326" i="14"/>
  <c r="BA33" i="21"/>
  <c r="BY326" i="14" s="1"/>
  <c r="AL33" i="21"/>
  <c r="AH33" i="21"/>
  <c r="BA17" i="18"/>
  <c r="BY220" i="14" s="1"/>
  <c r="AL17" i="18"/>
  <c r="BD297" i="14"/>
  <c r="BA34" i="20"/>
  <c r="BY297" i="14" s="1"/>
  <c r="AL34" i="20"/>
  <c r="BD298" i="14"/>
  <c r="BA35" i="20"/>
  <c r="BY298" i="14" s="1"/>
  <c r="AL35" i="20"/>
  <c r="BD285" i="14"/>
  <c r="BA22" i="20"/>
  <c r="BY285" i="14" s="1"/>
  <c r="AL22" i="20"/>
  <c r="BD311" i="14"/>
  <c r="BA18" i="21"/>
  <c r="BY311" i="14" s="1"/>
  <c r="AL18" i="21"/>
  <c r="AH18" i="21"/>
  <c r="BD329" i="14"/>
  <c r="BA36" i="21"/>
  <c r="BY329" i="14" s="1"/>
  <c r="AL36" i="21"/>
  <c r="BA13" i="19"/>
  <c r="BY245" i="14" s="1"/>
  <c r="AL13" i="19"/>
  <c r="BD294" i="14"/>
  <c r="BA31" i="20"/>
  <c r="BY294" i="14" s="1"/>
  <c r="AL31" i="20"/>
  <c r="BD309" i="14"/>
  <c r="BA16" i="21"/>
  <c r="BY309" i="14" s="1"/>
  <c r="AL16" i="21"/>
  <c r="BD323" i="14"/>
  <c r="BA30" i="21"/>
  <c r="BY323" i="14" s="1"/>
  <c r="AL30" i="21"/>
  <c r="BA14" i="19"/>
  <c r="BY246" i="14" s="1"/>
  <c r="AL14" i="19"/>
  <c r="BD284" i="14"/>
  <c r="BA21" i="20"/>
  <c r="BY284" i="14" s="1"/>
  <c r="AL21" i="20"/>
  <c r="BD308" i="14"/>
  <c r="BA15" i="21"/>
  <c r="BY308" i="14" s="1"/>
  <c r="AL15" i="21"/>
  <c r="AH15" i="21"/>
  <c r="BA8" i="20"/>
  <c r="BY271" i="14" s="1"/>
  <c r="AL8" i="20"/>
  <c r="BA8" i="19"/>
  <c r="BY240" i="14" s="1"/>
  <c r="AL8" i="19"/>
  <c r="BA23" i="19"/>
  <c r="BY255" i="14" s="1"/>
  <c r="AL23" i="19"/>
  <c r="BA27" i="18"/>
  <c r="BY230" i="14" s="1"/>
  <c r="AL27" i="18"/>
  <c r="BA36" i="19"/>
  <c r="BY268" i="14" s="1"/>
  <c r="AL36" i="19"/>
  <c r="BA16" i="18"/>
  <c r="BY219" i="14" s="1"/>
  <c r="AL16" i="18"/>
  <c r="BA23" i="18"/>
  <c r="BY226" i="14" s="1"/>
  <c r="AL23" i="18"/>
  <c r="BA18" i="19"/>
  <c r="BY250" i="14" s="1"/>
  <c r="AL18" i="19"/>
  <c r="BA15" i="19"/>
  <c r="BY247" i="14" s="1"/>
  <c r="AL15" i="19"/>
  <c r="BA29" i="19"/>
  <c r="BY261" i="14" s="1"/>
  <c r="AL29" i="19"/>
  <c r="BD277" i="14"/>
  <c r="BA14" i="20"/>
  <c r="BY277" i="14" s="1"/>
  <c r="AL14" i="20"/>
  <c r="BD283" i="14"/>
  <c r="BA20" i="20"/>
  <c r="BY283" i="14" s="1"/>
  <c r="AL20" i="20"/>
  <c r="BD291" i="14"/>
  <c r="BA28" i="20"/>
  <c r="BY291" i="14" s="1"/>
  <c r="AL28" i="20"/>
  <c r="BD302" i="14"/>
  <c r="BA9" i="21"/>
  <c r="BY302" i="14" s="1"/>
  <c r="AL9" i="21"/>
  <c r="AH9" i="21"/>
  <c r="BD305" i="14"/>
  <c r="BA12" i="21"/>
  <c r="BY305" i="14" s="1"/>
  <c r="AL12" i="21"/>
  <c r="BD320" i="14"/>
  <c r="BA27" i="21"/>
  <c r="BY320" i="14" s="1"/>
  <c r="AL27" i="21"/>
  <c r="AH27" i="21"/>
  <c r="BD328" i="14"/>
  <c r="BA35" i="21"/>
  <c r="BY328" i="14" s="1"/>
  <c r="AL35" i="21"/>
  <c r="BA24" i="18"/>
  <c r="BY227" i="14" s="1"/>
  <c r="AL24" i="18"/>
  <c r="BA38" i="19"/>
  <c r="BY270" i="14" s="1"/>
  <c r="AL38" i="19"/>
  <c r="BD312" i="14"/>
  <c r="BA19" i="21"/>
  <c r="BY312" i="14" s="1"/>
  <c r="AL19" i="21"/>
  <c r="BA12" i="19"/>
  <c r="BY244" i="14" s="1"/>
  <c r="AL12" i="19"/>
  <c r="BA31" i="19"/>
  <c r="BY263" i="14" s="1"/>
  <c r="AL31" i="19"/>
  <c r="BD295" i="14"/>
  <c r="BA32" i="20"/>
  <c r="BY295" i="14" s="1"/>
  <c r="AL32" i="20"/>
  <c r="AJ32" i="20"/>
  <c r="BD273" i="14"/>
  <c r="BA10" i="20"/>
  <c r="BY273" i="14" s="1"/>
  <c r="AL10" i="20"/>
  <c r="AH10" i="20"/>
  <c r="BD280" i="14"/>
  <c r="BA17" i="20"/>
  <c r="BY280" i="14" s="1"/>
  <c r="AL17" i="20"/>
  <c r="BD279" i="14"/>
  <c r="BA16" i="20"/>
  <c r="BY279" i="14" s="1"/>
  <c r="AL16" i="20"/>
  <c r="AJ16" i="20"/>
  <c r="BD314" i="14"/>
  <c r="BA21" i="21"/>
  <c r="BY314" i="14" s="1"/>
  <c r="AL21" i="21"/>
  <c r="AG21" i="21"/>
  <c r="BD310" i="14"/>
  <c r="BA17" i="21"/>
  <c r="BY310" i="14" s="1"/>
  <c r="AL17" i="21"/>
  <c r="BD322" i="14"/>
  <c r="BA29" i="21"/>
  <c r="BY322" i="14" s="1"/>
  <c r="AL29" i="21"/>
  <c r="BD330" i="14"/>
  <c r="BA37" i="21"/>
  <c r="BY330" i="14" s="1"/>
  <c r="AL37" i="21"/>
  <c r="AI37" i="21"/>
  <c r="BA17" i="19"/>
  <c r="BY249" i="14" s="1"/>
  <c r="AL17" i="19"/>
  <c r="BD287" i="14"/>
  <c r="BA24" i="20"/>
  <c r="BY287" i="14" s="1"/>
  <c r="AL24" i="20"/>
  <c r="BD274" i="14"/>
  <c r="BA11" i="20"/>
  <c r="BY274" i="14" s="1"/>
  <c r="AL11" i="20"/>
  <c r="BD313" i="14"/>
  <c r="BA20" i="21"/>
  <c r="BY313" i="14" s="1"/>
  <c r="AL20" i="21"/>
  <c r="BD317" i="14"/>
  <c r="BA24" i="21"/>
  <c r="BY317" i="14" s="1"/>
  <c r="AL24" i="21"/>
  <c r="BA10" i="19"/>
  <c r="BY242" i="14" s="1"/>
  <c r="AL10" i="19"/>
  <c r="BA32" i="19"/>
  <c r="BY264" i="14" s="1"/>
  <c r="AL32" i="19"/>
  <c r="BD289" i="14"/>
  <c r="BA26" i="20"/>
  <c r="BY289" i="14" s="1"/>
  <c r="AL26" i="20"/>
  <c r="BD304" i="14"/>
  <c r="BA11" i="21"/>
  <c r="BY304" i="14" s="1"/>
  <c r="AL11" i="21"/>
  <c r="AJ11" i="21"/>
  <c r="BA34" i="19"/>
  <c r="BY266" i="14" s="1"/>
  <c r="AL34" i="19"/>
  <c r="BD276" i="14"/>
  <c r="BA13" i="20"/>
  <c r="BY276" i="14" s="1"/>
  <c r="AL13" i="20"/>
  <c r="BD321" i="14"/>
  <c r="BA28" i="21"/>
  <c r="BY321" i="14" s="1"/>
  <c r="AL28" i="21"/>
  <c r="CT282" i="14"/>
  <c r="CJ282" i="14" s="1"/>
  <c r="CS279" i="14"/>
  <c r="CI279" i="14" s="1"/>
  <c r="CT331" i="14"/>
  <c r="CJ331" i="14" s="1"/>
  <c r="CT360" i="14"/>
  <c r="CJ360" i="14" s="1"/>
  <c r="CT357" i="14"/>
  <c r="CJ357" i="14" s="1"/>
  <c r="CS358" i="14"/>
  <c r="CI358" i="14" s="1"/>
  <c r="CU286" i="14"/>
  <c r="CP286" i="14" s="1"/>
  <c r="CS275" i="14"/>
  <c r="CI275" i="14" s="1"/>
  <c r="CU340" i="14"/>
  <c r="CP340" i="14" s="1"/>
  <c r="CU355" i="14"/>
  <c r="CP355" i="14" s="1"/>
  <c r="CU291" i="14"/>
  <c r="CP291" i="14" s="1"/>
  <c r="CU280" i="14"/>
  <c r="CP280" i="14" s="1"/>
  <c r="CV341" i="14"/>
  <c r="CQ341" i="14" s="1"/>
  <c r="CV340" i="14"/>
  <c r="CQ340" i="14" s="1"/>
  <c r="CU339" i="14"/>
  <c r="CP339" i="14" s="1"/>
  <c r="CU342" i="14"/>
  <c r="CP342" i="14" s="1"/>
  <c r="CU338" i="14"/>
  <c r="CP338" i="14" s="1"/>
  <c r="CT337" i="14"/>
  <c r="CJ337" i="14" s="1"/>
  <c r="CV336" i="14"/>
  <c r="CQ336" i="14" s="1"/>
  <c r="CS360" i="14"/>
  <c r="CI360" i="14" s="1"/>
  <c r="CS355" i="14"/>
  <c r="CI355" i="14" s="1"/>
  <c r="CT353" i="14"/>
  <c r="CJ353" i="14" s="1"/>
  <c r="CT341" i="14"/>
  <c r="CJ341" i="14" s="1"/>
  <c r="CU299" i="14"/>
  <c r="CP299" i="14" s="1"/>
  <c r="CU275" i="14"/>
  <c r="CP275" i="14" s="1"/>
  <c r="CU288" i="14"/>
  <c r="CP288" i="14" s="1"/>
  <c r="CS347" i="14"/>
  <c r="CI347" i="14" s="1"/>
  <c r="CS338" i="14"/>
  <c r="CI338" i="14" s="1"/>
  <c r="CS361" i="14"/>
  <c r="CI361" i="14" s="1"/>
  <c r="AY28" i="21"/>
  <c r="CS336" i="14"/>
  <c r="CI336" i="14" s="1"/>
  <c r="CV359" i="14"/>
  <c r="CQ359" i="14" s="1"/>
  <c r="BA331" i="14"/>
  <c r="AQ331" i="14" s="1"/>
  <c r="CT334" i="14"/>
  <c r="CJ334" i="14" s="1"/>
  <c r="CU287" i="14"/>
  <c r="CP287" i="14" s="1"/>
  <c r="CS344" i="14"/>
  <c r="CI344" i="14" s="1"/>
  <c r="CV350" i="14"/>
  <c r="CQ350" i="14" s="1"/>
  <c r="CU341" i="14"/>
  <c r="CP341" i="14" s="1"/>
  <c r="CU335" i="14"/>
  <c r="CP335" i="14" s="1"/>
  <c r="CU356" i="14"/>
  <c r="CP356" i="14" s="1"/>
  <c r="CT339" i="14"/>
  <c r="CJ339" i="14" s="1"/>
  <c r="CT356" i="14"/>
  <c r="CJ356" i="14" s="1"/>
  <c r="CU294" i="14"/>
  <c r="CP294" i="14" s="1"/>
  <c r="CU277" i="14"/>
  <c r="CP277" i="14" s="1"/>
  <c r="CS335" i="14"/>
  <c r="CI335" i="14" s="1"/>
  <c r="CS359" i="14"/>
  <c r="CI359" i="14" s="1"/>
  <c r="CS342" i="14"/>
  <c r="CI342" i="14" s="1"/>
  <c r="CV338" i="14"/>
  <c r="CQ338" i="14" s="1"/>
  <c r="CV360" i="14"/>
  <c r="CQ360" i="14" s="1"/>
  <c r="CV333" i="14"/>
  <c r="CQ333" i="14" s="1"/>
  <c r="CV358" i="14"/>
  <c r="CQ358" i="14" s="1"/>
  <c r="CU344" i="14"/>
  <c r="CP344" i="14" s="1"/>
  <c r="CT342" i="14"/>
  <c r="CJ342" i="14" s="1"/>
  <c r="CT354" i="14"/>
  <c r="CJ354" i="14" s="1"/>
  <c r="CU281" i="14"/>
  <c r="CP281" i="14" s="1"/>
  <c r="CU334" i="14"/>
  <c r="CP334" i="14" s="1"/>
  <c r="CT345" i="14"/>
  <c r="CJ345" i="14" s="1"/>
  <c r="BA282" i="14"/>
  <c r="AQ282" i="14" s="1"/>
  <c r="CU279" i="14"/>
  <c r="CP279" i="14" s="1"/>
  <c r="CU296" i="14"/>
  <c r="CP296" i="14" s="1"/>
  <c r="CS357" i="14"/>
  <c r="CI357" i="14" s="1"/>
  <c r="CS356" i="14"/>
  <c r="CI356" i="14" s="1"/>
  <c r="CS332" i="14"/>
  <c r="CI332" i="14" s="1"/>
  <c r="CV344" i="14"/>
  <c r="CQ344" i="14" s="1"/>
  <c r="CV353" i="14"/>
  <c r="CQ353" i="14" s="1"/>
  <c r="CV349" i="14"/>
  <c r="CQ349" i="14" s="1"/>
  <c r="CU283" i="14"/>
  <c r="CP283" i="14" s="1"/>
  <c r="CU354" i="14"/>
  <c r="CP354" i="14" s="1"/>
  <c r="CU361" i="14"/>
  <c r="CP361" i="14" s="1"/>
  <c r="AX17" i="21"/>
  <c r="CU278" i="14"/>
  <c r="CP278" i="14" s="1"/>
  <c r="CU274" i="14"/>
  <c r="CP274" i="14" s="1"/>
  <c r="CU298" i="14"/>
  <c r="CP298" i="14" s="1"/>
  <c r="CS337" i="14"/>
  <c r="CI337" i="14" s="1"/>
  <c r="CS340" i="14"/>
  <c r="CI340" i="14" s="1"/>
  <c r="AV31" i="21"/>
  <c r="CV347" i="14"/>
  <c r="CQ347" i="14" s="1"/>
  <c r="CV351" i="14"/>
  <c r="CQ351" i="14" s="1"/>
  <c r="CU351" i="14"/>
  <c r="CP351" i="14" s="1"/>
  <c r="CU353" i="14"/>
  <c r="CP353" i="14" s="1"/>
  <c r="CT346" i="14"/>
  <c r="CJ346" i="14" s="1"/>
  <c r="CU271" i="14"/>
  <c r="CP271" i="14" s="1"/>
  <c r="CS349" i="14"/>
  <c r="CI349" i="14" s="1"/>
  <c r="CS348" i="14"/>
  <c r="CI348" i="14" s="1"/>
  <c r="CV352" i="14"/>
  <c r="CQ352" i="14" s="1"/>
  <c r="CU359" i="14"/>
  <c r="CP359" i="14" s="1"/>
  <c r="CT348" i="14"/>
  <c r="CJ348" i="14" s="1"/>
  <c r="CT349" i="14"/>
  <c r="CJ349" i="14" s="1"/>
  <c r="CU276" i="14"/>
  <c r="CP276" i="14" s="1"/>
  <c r="CU273" i="14"/>
  <c r="CP273" i="14" s="1"/>
  <c r="CU285" i="14"/>
  <c r="CP285" i="14" s="1"/>
  <c r="CV354" i="14"/>
  <c r="CQ354" i="14" s="1"/>
  <c r="CS291" i="14"/>
  <c r="CI291" i="14" s="1"/>
  <c r="CT300" i="14"/>
  <c r="CJ300" i="14" s="1"/>
  <c r="AY31" i="20"/>
  <c r="BC288" i="14"/>
  <c r="AX288" i="14" s="1"/>
  <c r="BC305" i="14"/>
  <c r="AX305" i="14" s="1"/>
  <c r="CU333" i="14"/>
  <c r="CP333" i="14" s="1"/>
  <c r="CV306" i="14"/>
  <c r="CQ306" i="14" s="1"/>
  <c r="CT336" i="14"/>
  <c r="CJ336" i="14" s="1"/>
  <c r="CS341" i="14"/>
  <c r="CI341" i="14" s="1"/>
  <c r="CS351" i="14"/>
  <c r="CI351" i="14" s="1"/>
  <c r="CV343" i="14"/>
  <c r="CQ343" i="14" s="1"/>
  <c r="CT359" i="14"/>
  <c r="CJ359" i="14" s="1"/>
  <c r="CV278" i="14"/>
  <c r="CQ278" i="14" s="1"/>
  <c r="CV293" i="14"/>
  <c r="CQ293" i="14" s="1"/>
  <c r="CU284" i="14"/>
  <c r="CP284" i="14" s="1"/>
  <c r="CU272" i="14"/>
  <c r="CP272" i="14" s="1"/>
  <c r="CS353" i="14"/>
  <c r="CI353" i="14" s="1"/>
  <c r="CS350" i="14"/>
  <c r="CI350" i="14" s="1"/>
  <c r="CS352" i="14"/>
  <c r="CI352" i="14" s="1"/>
  <c r="CV356" i="14"/>
  <c r="CQ356" i="14" s="1"/>
  <c r="CU295" i="14"/>
  <c r="CP295" i="14" s="1"/>
  <c r="CV342" i="14"/>
  <c r="CQ342" i="14" s="1"/>
  <c r="CU352" i="14"/>
  <c r="CP352" i="14" s="1"/>
  <c r="CU345" i="14"/>
  <c r="CP345" i="14" s="1"/>
  <c r="CT361" i="14"/>
  <c r="CJ361" i="14" s="1"/>
  <c r="BC306" i="14"/>
  <c r="AX306" i="14" s="1"/>
  <c r="AZ275" i="14"/>
  <c r="AP275" i="14" s="1"/>
  <c r="AZ279" i="14"/>
  <c r="AP279" i="14" s="1"/>
  <c r="CU332" i="14"/>
  <c r="CP332" i="14" s="1"/>
  <c r="CU357" i="14"/>
  <c r="CP357" i="14" s="1"/>
  <c r="CT340" i="14"/>
  <c r="CJ340" i="14" s="1"/>
  <c r="CT352" i="14"/>
  <c r="CJ352" i="14" s="1"/>
  <c r="CT333" i="14"/>
  <c r="CJ333" i="14" s="1"/>
  <c r="CV361" i="14"/>
  <c r="CQ361" i="14" s="1"/>
  <c r="CU346" i="14"/>
  <c r="CP346" i="14" s="1"/>
  <c r="CU336" i="14"/>
  <c r="CP336" i="14" s="1"/>
  <c r="CU348" i="14"/>
  <c r="CP348" i="14" s="1"/>
  <c r="CT358" i="14"/>
  <c r="CJ358" i="14" s="1"/>
  <c r="CU290" i="14"/>
  <c r="CP290" i="14" s="1"/>
  <c r="CU300" i="14"/>
  <c r="CP300" i="14" s="1"/>
  <c r="CS343" i="14"/>
  <c r="CI343" i="14" s="1"/>
  <c r="CV357" i="14"/>
  <c r="CQ357" i="14" s="1"/>
  <c r="CV355" i="14"/>
  <c r="CQ355" i="14" s="1"/>
  <c r="CV334" i="14"/>
  <c r="CQ334" i="14" s="1"/>
  <c r="CV348" i="14"/>
  <c r="CQ348" i="14" s="1"/>
  <c r="CS333" i="14"/>
  <c r="CI333" i="14" s="1"/>
  <c r="CU337" i="14"/>
  <c r="CP337" i="14" s="1"/>
  <c r="CT343" i="14"/>
  <c r="CJ343" i="14" s="1"/>
  <c r="CT347" i="14"/>
  <c r="CJ347" i="14" s="1"/>
  <c r="CT344" i="14"/>
  <c r="CJ344" i="14" s="1"/>
  <c r="CT351" i="14"/>
  <c r="CJ351" i="14" s="1"/>
  <c r="CU297" i="14"/>
  <c r="CP297" i="14" s="1"/>
  <c r="CU289" i="14"/>
  <c r="CP289" i="14" s="1"/>
  <c r="CS334" i="14"/>
  <c r="CI334" i="14" s="1"/>
  <c r="CS345" i="14"/>
  <c r="CI345" i="14" s="1"/>
  <c r="CS354" i="14"/>
  <c r="CI354" i="14" s="1"/>
  <c r="CV335" i="14"/>
  <c r="CQ335" i="14" s="1"/>
  <c r="CV339" i="14"/>
  <c r="CQ339" i="14" s="1"/>
  <c r="CU347" i="14"/>
  <c r="CP347" i="14" s="1"/>
  <c r="CU350" i="14"/>
  <c r="CP350" i="14" s="1"/>
  <c r="CU349" i="14"/>
  <c r="CP349" i="14" s="1"/>
  <c r="CT355" i="14"/>
  <c r="CJ355" i="14" s="1"/>
  <c r="AY23" i="21"/>
  <c r="BC278" i="14"/>
  <c r="AX278" i="14" s="1"/>
  <c r="CU282" i="14"/>
  <c r="CP282" i="14" s="1"/>
  <c r="CU292" i="14"/>
  <c r="CP292" i="14" s="1"/>
  <c r="CV332" i="14"/>
  <c r="CQ332" i="14" s="1"/>
  <c r="CU358" i="14"/>
  <c r="CP358" i="14" s="1"/>
  <c r="CT350" i="14"/>
  <c r="CJ350" i="14" s="1"/>
  <c r="CT332" i="14"/>
  <c r="CJ332" i="14" s="1"/>
  <c r="CT335" i="14"/>
  <c r="CJ335" i="14" s="1"/>
  <c r="AY20" i="21"/>
  <c r="BC293" i="14"/>
  <c r="AX293" i="14" s="1"/>
  <c r="CU293" i="14"/>
  <c r="CP293" i="14" s="1"/>
  <c r="CS339" i="14"/>
  <c r="CI339" i="14" s="1"/>
  <c r="CS346" i="14"/>
  <c r="CI346" i="14" s="1"/>
  <c r="CV337" i="14"/>
  <c r="CQ337" i="14" s="1"/>
  <c r="CV346" i="14"/>
  <c r="CQ346" i="14" s="1"/>
  <c r="CU360" i="14"/>
  <c r="CP360" i="14" s="1"/>
  <c r="CU343" i="14"/>
  <c r="CP343" i="14" s="1"/>
  <c r="CT338" i="14"/>
  <c r="CJ338" i="14" s="1"/>
  <c r="CV345" i="14"/>
  <c r="CQ345" i="14" s="1"/>
  <c r="BD271" i="14"/>
  <c r="AG8" i="20"/>
  <c r="AH8" i="20"/>
  <c r="AJ8" i="20"/>
  <c r="AZ291" i="14"/>
  <c r="AP291" i="14" s="1"/>
  <c r="AV9" i="21"/>
  <c r="AY12" i="21"/>
  <c r="AX15" i="21"/>
  <c r="BD301" i="14"/>
  <c r="AI8" i="21"/>
  <c r="AH8" i="21"/>
  <c r="AG8" i="21"/>
  <c r="AJ8" i="21"/>
  <c r="AZ283" i="14"/>
  <c r="AP283" i="14" s="1"/>
  <c r="BA300" i="14"/>
  <c r="AQ300" i="14" s="1"/>
  <c r="BC294" i="14"/>
  <c r="AX294" i="14" s="1"/>
  <c r="AY25" i="20"/>
  <c r="P272" i="1"/>
  <c r="K129" i="19"/>
  <c r="BH22" i="30"/>
  <c r="K129" i="20"/>
  <c r="BI22" i="30"/>
  <c r="BK22" i="30"/>
  <c r="H47" i="22"/>
  <c r="S383" i="1" s="1"/>
  <c r="H122" i="22"/>
  <c r="S398" i="1" s="1"/>
  <c r="BJ22" i="30"/>
  <c r="H47" i="21"/>
  <c r="H122" i="21"/>
  <c r="G129" i="21"/>
  <c r="BJ18" i="30"/>
  <c r="BH38" i="30"/>
  <c r="L47" i="19"/>
  <c r="L147" i="19" s="1"/>
  <c r="BH26" i="30"/>
  <c r="I47" i="19"/>
  <c r="I147" i="19" s="1"/>
  <c r="BH42" i="30"/>
  <c r="M47" i="19"/>
  <c r="M147" i="19" s="1"/>
  <c r="K47" i="19"/>
  <c r="BH34" i="30"/>
  <c r="M129" i="19"/>
  <c r="E13" i="29" s="1"/>
  <c r="G47" i="19"/>
  <c r="BH46" i="30"/>
  <c r="E48" i="19"/>
  <c r="I52" i="19" s="1"/>
  <c r="I56" i="19" s="1"/>
  <c r="E158" i="29" s="1"/>
  <c r="H47" i="19"/>
  <c r="H147" i="19" s="1"/>
  <c r="BH50" i="30"/>
  <c r="BH30" i="30"/>
  <c r="J47" i="19"/>
  <c r="J147" i="19" s="1"/>
  <c r="AY333" i="14"/>
  <c r="AO333" i="14" s="1"/>
  <c r="AU9" i="22"/>
  <c r="I47" i="20"/>
  <c r="I147" i="20" s="1"/>
  <c r="I146" i="20" s="1"/>
  <c r="BI26" i="30"/>
  <c r="I122" i="20"/>
  <c r="AY341" i="14"/>
  <c r="AO341" i="14" s="1"/>
  <c r="AU17" i="22"/>
  <c r="AU16" i="22"/>
  <c r="AY340" i="14"/>
  <c r="AO340" i="14" s="1"/>
  <c r="L47" i="21"/>
  <c r="L147" i="21" s="1"/>
  <c r="BJ38" i="30"/>
  <c r="L122" i="21"/>
  <c r="AY348" i="14"/>
  <c r="AO348" i="14" s="1"/>
  <c r="AU24" i="22"/>
  <c r="BI54" i="30"/>
  <c r="G47" i="20"/>
  <c r="E48" i="20"/>
  <c r="I52" i="20" s="1"/>
  <c r="I56" i="20" s="1"/>
  <c r="G158" i="29" s="1"/>
  <c r="G122" i="20"/>
  <c r="J47" i="22"/>
  <c r="BK30" i="30"/>
  <c r="J122" i="22"/>
  <c r="S400" i="1" s="1"/>
  <c r="AY343" i="14"/>
  <c r="AO343" i="14" s="1"/>
  <c r="AU19" i="22"/>
  <c r="AU14" i="22"/>
  <c r="AY338" i="14"/>
  <c r="AO338" i="14" s="1"/>
  <c r="I47" i="21"/>
  <c r="I147" i="21" s="1"/>
  <c r="BJ26" i="30"/>
  <c r="I122" i="21"/>
  <c r="K47" i="20"/>
  <c r="K122" i="20"/>
  <c r="M401" i="1" s="1"/>
  <c r="BI34" i="30"/>
  <c r="AY334" i="14"/>
  <c r="AO334" i="14" s="1"/>
  <c r="AU10" i="22"/>
  <c r="AY354" i="14"/>
  <c r="AO354" i="14" s="1"/>
  <c r="AU30" i="22"/>
  <c r="M47" i="22"/>
  <c r="BK42" i="30"/>
  <c r="M122" i="22"/>
  <c r="AY335" i="14"/>
  <c r="AO335" i="14" s="1"/>
  <c r="AU11" i="22"/>
  <c r="K47" i="21"/>
  <c r="BJ34" i="30"/>
  <c r="K122" i="21"/>
  <c r="P401" i="1" s="1"/>
  <c r="J47" i="21"/>
  <c r="J147" i="21" s="1"/>
  <c r="J122" i="21"/>
  <c r="P400" i="1" s="1"/>
  <c r="BJ30" i="30"/>
  <c r="L47" i="22"/>
  <c r="BK38" i="30"/>
  <c r="L122" i="22"/>
  <c r="AU25" i="22"/>
  <c r="AY349" i="14"/>
  <c r="AO349" i="14" s="1"/>
  <c r="M47" i="21"/>
  <c r="M147" i="21" s="1"/>
  <c r="BJ42" i="30"/>
  <c r="M122" i="21"/>
  <c r="AY358" i="14"/>
  <c r="AO358" i="14" s="1"/>
  <c r="AU34" i="22"/>
  <c r="AU8" i="22"/>
  <c r="AY332" i="14"/>
  <c r="AO332" i="14" s="1"/>
  <c r="M129" i="21"/>
  <c r="H13" i="29" s="1"/>
  <c r="L47" i="20"/>
  <c r="L147" i="20" s="1"/>
  <c r="L146" i="20" s="1"/>
  <c r="BI38" i="30"/>
  <c r="L122" i="20"/>
  <c r="AU29" i="22"/>
  <c r="AY353" i="14"/>
  <c r="AO353" i="14" s="1"/>
  <c r="AU28" i="22"/>
  <c r="AY352" i="14"/>
  <c r="AO352" i="14" s="1"/>
  <c r="G47" i="21"/>
  <c r="BJ54" i="30"/>
  <c r="E48" i="21"/>
  <c r="I52" i="21" s="1"/>
  <c r="I56" i="21" s="1"/>
  <c r="H158" i="29" s="1"/>
  <c r="G122" i="21"/>
  <c r="K47" i="22"/>
  <c r="S386" i="1" s="1"/>
  <c r="K122" i="22"/>
  <c r="S401" i="1" s="1"/>
  <c r="BK34" i="30"/>
  <c r="AU21" i="22"/>
  <c r="AY345" i="14"/>
  <c r="AO345" i="14" s="1"/>
  <c r="AU18" i="22"/>
  <c r="AY342" i="14"/>
  <c r="AO342" i="14" s="1"/>
  <c r="I129" i="20"/>
  <c r="G10" i="29" s="1"/>
  <c r="M47" i="20"/>
  <c r="M147" i="20" s="1"/>
  <c r="M146" i="20" s="1"/>
  <c r="BI42" i="30"/>
  <c r="M122" i="20"/>
  <c r="AU23" i="22"/>
  <c r="AY347" i="14"/>
  <c r="AO347" i="14" s="1"/>
  <c r="AU13" i="22"/>
  <c r="AY337" i="14"/>
  <c r="AO337" i="14" s="1"/>
  <c r="AU27" i="22"/>
  <c r="AY351" i="14"/>
  <c r="AO351" i="14" s="1"/>
  <c r="J47" i="20"/>
  <c r="J147" i="20" s="1"/>
  <c r="J146" i="20" s="1"/>
  <c r="BI30" i="30"/>
  <c r="J122" i="20"/>
  <c r="M400" i="1" s="1"/>
  <c r="J129" i="22"/>
  <c r="I11" i="29" s="1"/>
  <c r="I47" i="22"/>
  <c r="E48" i="22"/>
  <c r="I52" i="22" s="1"/>
  <c r="I56" i="22" s="1"/>
  <c r="I158" i="29" s="1"/>
  <c r="BK26" i="30"/>
  <c r="I122" i="22"/>
  <c r="AU33" i="22"/>
  <c r="AY357" i="14"/>
  <c r="AO357" i="14" s="1"/>
  <c r="AY356" i="14"/>
  <c r="AO356" i="14" s="1"/>
  <c r="AU32" i="22"/>
  <c r="L129" i="22"/>
  <c r="I12" i="29" s="1"/>
  <c r="AY361" i="14"/>
  <c r="AO361" i="14" s="1"/>
  <c r="AU37" i="22"/>
  <c r="L129" i="21"/>
  <c r="H12" i="29" s="1"/>
  <c r="H47" i="20"/>
  <c r="H122" i="20"/>
  <c r="BI50" i="30"/>
  <c r="AU12" i="22"/>
  <c r="AY336" i="14"/>
  <c r="AO336" i="14" s="1"/>
  <c r="AY344" i="14"/>
  <c r="AO344" i="14" s="1"/>
  <c r="AU20" i="22"/>
  <c r="AU15" i="22"/>
  <c r="AY339" i="14"/>
  <c r="AO339" i="14" s="1"/>
  <c r="AY346" i="14"/>
  <c r="AO346" i="14" s="1"/>
  <c r="AU22" i="22"/>
  <c r="AU26" i="22"/>
  <c r="AY350" i="14"/>
  <c r="AO350" i="14" s="1"/>
  <c r="AU35" i="22"/>
  <c r="AY359" i="14"/>
  <c r="AO359" i="14" s="1"/>
  <c r="AY360" i="14"/>
  <c r="AO360" i="14" s="1"/>
  <c r="AU36" i="22"/>
  <c r="AU31" i="22"/>
  <c r="AY355" i="14"/>
  <c r="AO355" i="14" s="1"/>
  <c r="AE13" i="23"/>
  <c r="E13" i="23" s="1"/>
  <c r="J368" i="14"/>
  <c r="C368" i="14"/>
  <c r="D368" i="14" s="1"/>
  <c r="H301" i="15"/>
  <c r="I301" i="15" s="1"/>
  <c r="Q368" i="14"/>
  <c r="E369" i="14"/>
  <c r="B368" i="14"/>
  <c r="J272" i="1"/>
  <c r="J126" i="29"/>
  <c r="J127" i="29"/>
  <c r="M272" i="1"/>
  <c r="G118" i="24"/>
  <c r="I118" i="19"/>
  <c r="M118" i="19"/>
  <c r="K118" i="19"/>
  <c r="J118" i="19"/>
  <c r="L118" i="19"/>
  <c r="H118" i="19"/>
  <c r="I118" i="23"/>
  <c r="K122" i="19"/>
  <c r="J401" i="1" s="1"/>
  <c r="AG10" i="19"/>
  <c r="AG26" i="19"/>
  <c r="AH15" i="19"/>
  <c r="AH31" i="19"/>
  <c r="AI13" i="19"/>
  <c r="AI29" i="19"/>
  <c r="AJ20" i="19"/>
  <c r="AG12" i="19"/>
  <c r="AG28" i="19"/>
  <c r="AH13" i="19"/>
  <c r="AH29" i="19"/>
  <c r="AI19" i="19"/>
  <c r="AI35" i="19"/>
  <c r="AJ22" i="19"/>
  <c r="AG8" i="19"/>
  <c r="AH16" i="19"/>
  <c r="AI22" i="19"/>
  <c r="AJ25" i="19"/>
  <c r="AG25" i="19"/>
  <c r="AH28" i="19"/>
  <c r="AI34" i="19"/>
  <c r="AJ29" i="19"/>
  <c r="AH26" i="19"/>
  <c r="AJ27" i="19"/>
  <c r="AG23" i="19"/>
  <c r="AJ19" i="19"/>
  <c r="AG36" i="19"/>
  <c r="AJ23" i="19"/>
  <c r="AG11" i="19"/>
  <c r="AI20" i="19"/>
  <c r="AJ37" i="19"/>
  <c r="AG18" i="19"/>
  <c r="AG34" i="19"/>
  <c r="AH23" i="19"/>
  <c r="AI8" i="19"/>
  <c r="AI21" i="19"/>
  <c r="AJ12" i="19"/>
  <c r="AJ28" i="19"/>
  <c r="AG20" i="19"/>
  <c r="AH8" i="19"/>
  <c r="AH21" i="19"/>
  <c r="AI11" i="19"/>
  <c r="AI27" i="19"/>
  <c r="AJ14" i="19"/>
  <c r="AJ30" i="19"/>
  <c r="AG21" i="19"/>
  <c r="AH32" i="19"/>
  <c r="AJ9" i="19"/>
  <c r="AG9" i="19"/>
  <c r="AH12" i="19"/>
  <c r="AI18" i="19"/>
  <c r="AJ13" i="19"/>
  <c r="AG31" i="19"/>
  <c r="AI32" i="19"/>
  <c r="AI37" i="19"/>
  <c r="AH34" i="19"/>
  <c r="AG38" i="19"/>
  <c r="AH14" i="19"/>
  <c r="AH22" i="19"/>
  <c r="AH36" i="19"/>
  <c r="AJ15" i="19"/>
  <c r="AG35" i="19"/>
  <c r="AG22" i="19"/>
  <c r="AH11" i="19"/>
  <c r="AH27" i="19"/>
  <c r="AI9" i="19"/>
  <c r="AI25" i="19"/>
  <c r="AJ16" i="19"/>
  <c r="AJ32" i="19"/>
  <c r="AG24" i="19"/>
  <c r="AH9" i="19"/>
  <c r="AH25" i="19"/>
  <c r="AI15" i="19"/>
  <c r="AI31" i="19"/>
  <c r="AJ18" i="19"/>
  <c r="AJ34" i="19"/>
  <c r="AG29" i="19"/>
  <c r="AI14" i="19"/>
  <c r="AJ17" i="19"/>
  <c r="AG17" i="19"/>
  <c r="AH20" i="19"/>
  <c r="AI26" i="19"/>
  <c r="AJ21" i="19"/>
  <c r="AH10" i="19"/>
  <c r="AJ11" i="19"/>
  <c r="AI36" i="19"/>
  <c r="AI24" i="19"/>
  <c r="AG37" i="19"/>
  <c r="AI28" i="19"/>
  <c r="AJ31" i="19"/>
  <c r="AH30" i="19"/>
  <c r="AJ38" i="19"/>
  <c r="AJ36" i="19"/>
  <c r="AG30" i="19"/>
  <c r="AI33" i="19"/>
  <c r="AH17" i="19"/>
  <c r="AJ26" i="19"/>
  <c r="AJ33" i="19"/>
  <c r="AG15" i="19"/>
  <c r="AJ35" i="19"/>
  <c r="AH37" i="19"/>
  <c r="AH19" i="19"/>
  <c r="AJ24" i="19"/>
  <c r="AH33" i="19"/>
  <c r="AG13" i="19"/>
  <c r="AG33" i="19"/>
  <c r="AI16" i="19"/>
  <c r="AG19" i="19"/>
  <c r="AI12" i="19"/>
  <c r="AH35" i="19"/>
  <c r="AG16" i="19"/>
  <c r="AI23" i="19"/>
  <c r="AH24" i="19"/>
  <c r="AI10" i="19"/>
  <c r="AI38" i="19"/>
  <c r="AG27" i="19"/>
  <c r="AG14" i="19"/>
  <c r="AI17" i="19"/>
  <c r="AG32" i="19"/>
  <c r="AJ10" i="19"/>
  <c r="AI30" i="19"/>
  <c r="AJ8" i="19"/>
  <c r="AH18" i="19"/>
  <c r="AH38" i="19"/>
  <c r="H122" i="19"/>
  <c r="G118" i="19"/>
  <c r="O199" i="19"/>
  <c r="E173" i="29" s="1"/>
  <c r="E170" i="29" s="1"/>
  <c r="E2" i="29" s="1"/>
  <c r="E113" i="29" s="1"/>
  <c r="G122" i="19"/>
  <c r="I122" i="19"/>
  <c r="J122" i="19"/>
  <c r="L122" i="19"/>
  <c r="H118" i="24"/>
  <c r="M122" i="19"/>
  <c r="J403" i="1" s="1"/>
  <c r="G118" i="23"/>
  <c r="I118" i="24"/>
  <c r="H118" i="23"/>
  <c r="K118" i="23"/>
  <c r="L118" i="23"/>
  <c r="K118" i="24"/>
  <c r="M118" i="24"/>
  <c r="M118" i="23"/>
  <c r="J118" i="23"/>
  <c r="L118" i="24"/>
  <c r="J118" i="24"/>
  <c r="AG11" i="23"/>
  <c r="AG15" i="23"/>
  <c r="AG19" i="23"/>
  <c r="AG23" i="23"/>
  <c r="AG27" i="23"/>
  <c r="AG31" i="23"/>
  <c r="AG35" i="23"/>
  <c r="AH11" i="23"/>
  <c r="AH15" i="23"/>
  <c r="AH19" i="23"/>
  <c r="AH23" i="23"/>
  <c r="AH27" i="23"/>
  <c r="AH31" i="23"/>
  <c r="AH35" i="23"/>
  <c r="AI8" i="23"/>
  <c r="AI9" i="23"/>
  <c r="AI13" i="23"/>
  <c r="AI17" i="23"/>
  <c r="AI21" i="23"/>
  <c r="AI25" i="23"/>
  <c r="AI29" i="23"/>
  <c r="AI33" i="23"/>
  <c r="AJ12" i="23"/>
  <c r="AJ16" i="23"/>
  <c r="AJ20" i="23"/>
  <c r="AJ24" i="23"/>
  <c r="AJ28" i="23"/>
  <c r="AJ32" i="23"/>
  <c r="AG8" i="23"/>
  <c r="AG9" i="23"/>
  <c r="AG13" i="23"/>
  <c r="AG17" i="23"/>
  <c r="AG21" i="23"/>
  <c r="AG25" i="23"/>
  <c r="AG29" i="23"/>
  <c r="AG33" i="23"/>
  <c r="AH8" i="23"/>
  <c r="AH9" i="23"/>
  <c r="AH13" i="23"/>
  <c r="AH17" i="23"/>
  <c r="AH21" i="23"/>
  <c r="AH25" i="23"/>
  <c r="AH29" i="23"/>
  <c r="AH33" i="23"/>
  <c r="AI11" i="23"/>
  <c r="AI15" i="23"/>
  <c r="AI19" i="23"/>
  <c r="AI23" i="23"/>
  <c r="AI27" i="23"/>
  <c r="AI31" i="23"/>
  <c r="AI35" i="23"/>
  <c r="AJ10" i="23"/>
  <c r="AJ14" i="23"/>
  <c r="AJ18" i="23"/>
  <c r="AJ22" i="23"/>
  <c r="AJ26" i="23"/>
  <c r="AJ30" i="23"/>
  <c r="AJ34" i="23"/>
  <c r="AG16" i="23"/>
  <c r="AG24" i="23"/>
  <c r="AG32" i="23"/>
  <c r="AH12" i="23"/>
  <c r="AH20" i="23"/>
  <c r="AH28" i="23"/>
  <c r="AI10" i="23"/>
  <c r="AI18" i="23"/>
  <c r="AI26" i="23"/>
  <c r="AI34" i="23"/>
  <c r="AJ8" i="23"/>
  <c r="AJ13" i="23"/>
  <c r="AJ21" i="23"/>
  <c r="AJ29" i="23"/>
  <c r="AG12" i="23"/>
  <c r="AG20" i="23"/>
  <c r="AG28" i="23"/>
  <c r="AH16" i="23"/>
  <c r="AH24" i="23"/>
  <c r="AH32" i="23"/>
  <c r="AI14" i="23"/>
  <c r="AI22" i="23"/>
  <c r="AI30" i="23"/>
  <c r="AJ9" i="23"/>
  <c r="AJ17" i="23"/>
  <c r="AJ25" i="23"/>
  <c r="AJ33" i="23"/>
  <c r="AG18" i="23"/>
  <c r="AG34" i="23"/>
  <c r="AH14" i="23"/>
  <c r="AH30" i="23"/>
  <c r="AI20" i="23"/>
  <c r="AJ19" i="23"/>
  <c r="AJ35" i="23"/>
  <c r="AI38" i="23"/>
  <c r="AI37" i="23"/>
  <c r="AI36" i="23"/>
  <c r="AG10" i="23"/>
  <c r="AG26" i="23"/>
  <c r="AH22" i="23"/>
  <c r="AI12" i="23"/>
  <c r="AI28" i="23"/>
  <c r="AJ11" i="23"/>
  <c r="AJ27" i="23"/>
  <c r="AG38" i="23"/>
  <c r="AG37" i="23"/>
  <c r="AG36" i="23"/>
  <c r="AG30" i="23"/>
  <c r="AH18" i="23"/>
  <c r="AI32" i="23"/>
  <c r="AJ23" i="23"/>
  <c r="AH26" i="23"/>
  <c r="AJ31" i="23"/>
  <c r="AG22" i="23"/>
  <c r="AH34" i="23"/>
  <c r="AI16" i="23"/>
  <c r="AH38" i="23"/>
  <c r="AH36" i="23"/>
  <c r="AJ15" i="23"/>
  <c r="AH37" i="23"/>
  <c r="AJ36" i="23"/>
  <c r="AH10" i="23"/>
  <c r="AI24" i="23"/>
  <c r="AJ38" i="23"/>
  <c r="AJ37" i="23"/>
  <c r="AG14" i="23"/>
  <c r="BP240" i="14" l="1"/>
  <c r="BP290" i="14"/>
  <c r="BP256" i="14"/>
  <c r="BP315" i="14"/>
  <c r="E123" i="29"/>
  <c r="P398" i="1"/>
  <c r="M398" i="1"/>
  <c r="P383" i="1"/>
  <c r="BP319" i="14"/>
  <c r="BP251" i="14"/>
  <c r="BP249" i="14"/>
  <c r="BP232" i="14"/>
  <c r="BP298" i="14"/>
  <c r="BP286" i="14"/>
  <c r="BP268" i="14"/>
  <c r="BP237" i="14"/>
  <c r="S338" i="1"/>
  <c r="J12" i="29"/>
  <c r="M129" i="20"/>
  <c r="G13" i="29" s="1"/>
  <c r="G124" i="29"/>
  <c r="M129" i="22"/>
  <c r="I13" i="29" s="1"/>
  <c r="I124" i="29"/>
  <c r="G123" i="29"/>
  <c r="J123" i="29" s="1"/>
  <c r="H119" i="29"/>
  <c r="H120" i="29"/>
  <c r="E121" i="29"/>
  <c r="H121" i="29"/>
  <c r="I121" i="29"/>
  <c r="BY388" i="14"/>
  <c r="BY355" i="14"/>
  <c r="BY376" i="14"/>
  <c r="BY365" i="14"/>
  <c r="BY392" i="14"/>
  <c r="BY345" i="14"/>
  <c r="K147" i="19"/>
  <c r="J386" i="1"/>
  <c r="K147" i="21"/>
  <c r="K146" i="21" s="1"/>
  <c r="P386" i="1"/>
  <c r="K147" i="20"/>
  <c r="K146" i="20" s="1"/>
  <c r="M386" i="1"/>
  <c r="BY348" i="14"/>
  <c r="BY349" i="14"/>
  <c r="BY377" i="14"/>
  <c r="BY357" i="14"/>
  <c r="BY360" i="14"/>
  <c r="BY373" i="14"/>
  <c r="BY389" i="14"/>
  <c r="BY375" i="14"/>
  <c r="BY358" i="14"/>
  <c r="BY385" i="14"/>
  <c r="BP308" i="14"/>
  <c r="BY362" i="14"/>
  <c r="BY371" i="14"/>
  <c r="BY342" i="14"/>
  <c r="BY384" i="14"/>
  <c r="BY343" i="14"/>
  <c r="BP226" i="14"/>
  <c r="BP222" i="14"/>
  <c r="BP223" i="14"/>
  <c r="BP283" i="14"/>
  <c r="BP242" i="14"/>
  <c r="BP247" i="14"/>
  <c r="BY386" i="14"/>
  <c r="BY372" i="14"/>
  <c r="BY339" i="14"/>
  <c r="BY354" i="14"/>
  <c r="BY359" i="14"/>
  <c r="BP329" i="14"/>
  <c r="BP297" i="14"/>
  <c r="BP228" i="14"/>
  <c r="BP288" i="14"/>
  <c r="BP235" i="14"/>
  <c r="BY383" i="14"/>
  <c r="BY332" i="14"/>
  <c r="BP263" i="14"/>
  <c r="BY352" i="14"/>
  <c r="BY346" i="14"/>
  <c r="BY378" i="14"/>
  <c r="BY338" i="14"/>
  <c r="BY367" i="14"/>
  <c r="BY333" i="14"/>
  <c r="BY363" i="14"/>
  <c r="BY351" i="14"/>
  <c r="BY353" i="14"/>
  <c r="BY379" i="14"/>
  <c r="BY381" i="14"/>
  <c r="BY344" i="14"/>
  <c r="BY337" i="14"/>
  <c r="BY387" i="14"/>
  <c r="BY340" i="14"/>
  <c r="BY361" i="14"/>
  <c r="BP266" i="14"/>
  <c r="BP233" i="14"/>
  <c r="BP292" i="14"/>
  <c r="BP317" i="14"/>
  <c r="BP252" i="14"/>
  <c r="BY374" i="14"/>
  <c r="BY336" i="14"/>
  <c r="BY350" i="14"/>
  <c r="BY334" i="14"/>
  <c r="BY370" i="14"/>
  <c r="BY364" i="14"/>
  <c r="BY356" i="14"/>
  <c r="BY391" i="14"/>
  <c r="BY347" i="14"/>
  <c r="BY382" i="14"/>
  <c r="BY368" i="14"/>
  <c r="BY369" i="14"/>
  <c r="BY335" i="14"/>
  <c r="BY390" i="14"/>
  <c r="BY380" i="14"/>
  <c r="BY366" i="14"/>
  <c r="BP316" i="14"/>
  <c r="BP243" i="14"/>
  <c r="BP279" i="14"/>
  <c r="BP224" i="14"/>
  <c r="BP221" i="14"/>
  <c r="BP225" i="14"/>
  <c r="BP230" i="14"/>
  <c r="BP305" i="14"/>
  <c r="BP320" i="14"/>
  <c r="BP236" i="14"/>
  <c r="BP229" i="14"/>
  <c r="BP277" i="14"/>
  <c r="BP324" i="14"/>
  <c r="BP271" i="14"/>
  <c r="BP301" i="14"/>
  <c r="BP231" i="14"/>
  <c r="BP310" i="14"/>
  <c r="BP267" i="14"/>
  <c r="BP314" i="14"/>
  <c r="BP285" i="14"/>
  <c r="BP262" i="14"/>
  <c r="BP300" i="14"/>
  <c r="BP258" i="14"/>
  <c r="BP295" i="14"/>
  <c r="BP253" i="14"/>
  <c r="BP299" i="14"/>
  <c r="BP276" i="14"/>
  <c r="BP219" i="14"/>
  <c r="BP281" i="14"/>
  <c r="BP217" i="14"/>
  <c r="BP330" i="14"/>
  <c r="BP248" i="14"/>
  <c r="BP259" i="14"/>
  <c r="BP278" i="14"/>
  <c r="BP264" i="14"/>
  <c r="BP216" i="14"/>
  <c r="BP291" i="14"/>
  <c r="BP331" i="14"/>
  <c r="BP303" i="14"/>
  <c r="BP304" i="14"/>
  <c r="BP255" i="14"/>
  <c r="BP269" i="14"/>
  <c r="BP270" i="14"/>
  <c r="BP213" i="14"/>
  <c r="BP327" i="14"/>
  <c r="BP241" i="14"/>
  <c r="BP287" i="14"/>
  <c r="BP272" i="14"/>
  <c r="BP250" i="14"/>
  <c r="BP307" i="14"/>
  <c r="BP282" i="14"/>
  <c r="BP261" i="14"/>
  <c r="BP265" i="14"/>
  <c r="BP211" i="14"/>
  <c r="BP318" i="14"/>
  <c r="BP302" i="14"/>
  <c r="BP326" i="14"/>
  <c r="BP275" i="14"/>
  <c r="BP293" i="14"/>
  <c r="BP260" i="14"/>
  <c r="BP306" i="14"/>
  <c r="BP322" i="14"/>
  <c r="BP214" i="14"/>
  <c r="BP215" i="14"/>
  <c r="BP328" i="14"/>
  <c r="BP212" i="14"/>
  <c r="BP309" i="14"/>
  <c r="BP313" i="14"/>
  <c r="BP246" i="14"/>
  <c r="BP321" i="14"/>
  <c r="BP284" i="14"/>
  <c r="BP257" i="14"/>
  <c r="BP274" i="14"/>
  <c r="BP311" i="14"/>
  <c r="BP294" i="14"/>
  <c r="BP238" i="14"/>
  <c r="BP296" i="14"/>
  <c r="BP239" i="14"/>
  <c r="BP227" i="14"/>
  <c r="BP325" i="14"/>
  <c r="BP323" i="14"/>
  <c r="BP220" i="14"/>
  <c r="BP289" i="14"/>
  <c r="BP218" i="14"/>
  <c r="BP234" i="14"/>
  <c r="BP273" i="14"/>
  <c r="BP280" i="14"/>
  <c r="BP254" i="14"/>
  <c r="BP312" i="14"/>
  <c r="BP245" i="14"/>
  <c r="BP244" i="14"/>
  <c r="S397" i="1"/>
  <c r="S352" i="1"/>
  <c r="G147" i="21"/>
  <c r="G146" i="21" s="1"/>
  <c r="P338" i="1"/>
  <c r="G147" i="20"/>
  <c r="G146" i="20" s="1"/>
  <c r="M338" i="1"/>
  <c r="P397" i="1"/>
  <c r="P352" i="1"/>
  <c r="M397" i="1"/>
  <c r="M352" i="1"/>
  <c r="G147" i="19"/>
  <c r="G146" i="19" s="1"/>
  <c r="J338" i="1"/>
  <c r="H147" i="20"/>
  <c r="H146" i="20" s="1"/>
  <c r="M383" i="1"/>
  <c r="BK17" i="30"/>
  <c r="G49" i="22"/>
  <c r="S382" i="1"/>
  <c r="AV15" i="21"/>
  <c r="CS308" i="14" s="1"/>
  <c r="CI308" i="14" s="1"/>
  <c r="AZ304" i="14"/>
  <c r="AP304" i="14" s="1"/>
  <c r="AV12" i="21"/>
  <c r="CS305" i="14" s="1"/>
  <c r="CI305" i="14" s="1"/>
  <c r="BC275" i="14"/>
  <c r="AX275" i="14" s="1"/>
  <c r="AX36" i="21"/>
  <c r="CU329" i="14" s="1"/>
  <c r="CP329" i="14" s="1"/>
  <c r="AF11" i="21"/>
  <c r="AY304" i="14" s="1"/>
  <c r="AO304" i="14" s="1"/>
  <c r="AF12" i="20"/>
  <c r="AY275" i="14" s="1"/>
  <c r="AO275" i="14" s="1"/>
  <c r="AF15" i="21"/>
  <c r="AU15" i="21" s="1"/>
  <c r="CR308" i="14" s="1"/>
  <c r="AZ284" i="14"/>
  <c r="AP284" i="14" s="1"/>
  <c r="BP383" i="14"/>
  <c r="AY15" i="21"/>
  <c r="CV308" i="14" s="1"/>
  <c r="CQ308" i="14" s="1"/>
  <c r="AW11" i="21"/>
  <c r="CT304" i="14" s="1"/>
  <c r="CJ304" i="14" s="1"/>
  <c r="Z25" i="14"/>
  <c r="AB28" i="14" s="1"/>
  <c r="AB38" i="14" s="1"/>
  <c r="I117" i="14"/>
  <c r="N117" i="14" s="1"/>
  <c r="N119" i="14" s="1"/>
  <c r="K25" i="14"/>
  <c r="U25" i="14"/>
  <c r="N28" i="14" s="1"/>
  <c r="AE14" i="23"/>
  <c r="E14" i="23" s="1"/>
  <c r="G368" i="14" s="1"/>
  <c r="AY27" i="21"/>
  <c r="CV320" i="14" s="1"/>
  <c r="CQ320" i="14" s="1"/>
  <c r="BB322" i="14"/>
  <c r="AW322" i="14" s="1"/>
  <c r="AY18" i="20"/>
  <c r="CV281" i="14" s="1"/>
  <c r="CQ281" i="14" s="1"/>
  <c r="AW20" i="20"/>
  <c r="CT283" i="14" s="1"/>
  <c r="CJ283" i="14" s="1"/>
  <c r="BC273" i="14"/>
  <c r="AX273" i="14" s="1"/>
  <c r="BA294" i="14"/>
  <c r="AQ294" i="14" s="1"/>
  <c r="AF30" i="20"/>
  <c r="AU30" i="20" s="1"/>
  <c r="CR293" i="14" s="1"/>
  <c r="AX28" i="21"/>
  <c r="CU321" i="14" s="1"/>
  <c r="CP321" i="14" s="1"/>
  <c r="AY35" i="21"/>
  <c r="CV328" i="14" s="1"/>
  <c r="CQ328" i="14" s="1"/>
  <c r="K146" i="19"/>
  <c r="I146" i="21"/>
  <c r="L146" i="21"/>
  <c r="M146" i="19"/>
  <c r="M146" i="21"/>
  <c r="J146" i="21"/>
  <c r="J146" i="19"/>
  <c r="I146" i="19"/>
  <c r="BA291" i="14"/>
  <c r="AQ291" i="14" s="1"/>
  <c r="AV28" i="21"/>
  <c r="CS321" i="14" s="1"/>
  <c r="CI321" i="14" s="1"/>
  <c r="AF16" i="21"/>
  <c r="AY309" i="14" s="1"/>
  <c r="AO309" i="14" s="1"/>
  <c r="AF19" i="21"/>
  <c r="AU19" i="21" s="1"/>
  <c r="CR312" i="14" s="1"/>
  <c r="AV22" i="20"/>
  <c r="CS285" i="14" s="1"/>
  <c r="CI285" i="14" s="1"/>
  <c r="AY16" i="21"/>
  <c r="CV309" i="14" s="1"/>
  <c r="CQ309" i="14" s="1"/>
  <c r="L146" i="19"/>
  <c r="H146" i="19"/>
  <c r="BJ49" i="30"/>
  <c r="H147" i="21"/>
  <c r="AW29" i="21"/>
  <c r="CT322" i="14" s="1"/>
  <c r="CJ322" i="14" s="1"/>
  <c r="AF24" i="20"/>
  <c r="AY287" i="14" s="1"/>
  <c r="AO287" i="14" s="1"/>
  <c r="BC330" i="14"/>
  <c r="AX330" i="14" s="1"/>
  <c r="BC311" i="14"/>
  <c r="AX311" i="14" s="1"/>
  <c r="AX9" i="21"/>
  <c r="CU302" i="14" s="1"/>
  <c r="CP302" i="14" s="1"/>
  <c r="AY33" i="21"/>
  <c r="CV326" i="14" s="1"/>
  <c r="CQ326" i="14" s="1"/>
  <c r="AF21" i="20"/>
  <c r="AY284" i="14" s="1"/>
  <c r="AO284" i="14" s="1"/>
  <c r="BC276" i="14"/>
  <c r="AX276" i="14" s="1"/>
  <c r="BA323" i="14"/>
  <c r="AQ323" i="14" s="1"/>
  <c r="AF13" i="20"/>
  <c r="AU13" i="20" s="1"/>
  <c r="CR276" i="14" s="1"/>
  <c r="AV19" i="21"/>
  <c r="CS312" i="14" s="1"/>
  <c r="CI312" i="14" s="1"/>
  <c r="AF33" i="21"/>
  <c r="AU33" i="21" s="1"/>
  <c r="CR326" i="14" s="1"/>
  <c r="AV24" i="21"/>
  <c r="CS317" i="14" s="1"/>
  <c r="CI317" i="14" s="1"/>
  <c r="AF28" i="20"/>
  <c r="AU28" i="20" s="1"/>
  <c r="CR291" i="14" s="1"/>
  <c r="BC290" i="14"/>
  <c r="AX290" i="14" s="1"/>
  <c r="BC300" i="14"/>
  <c r="AX300" i="14" s="1"/>
  <c r="AF26" i="21"/>
  <c r="AY319" i="14" s="1"/>
  <c r="AO319" i="14" s="1"/>
  <c r="AW21" i="20"/>
  <c r="CT284" i="14" s="1"/>
  <c r="CJ284" i="14" s="1"/>
  <c r="BC277" i="14"/>
  <c r="AX277" i="14" s="1"/>
  <c r="AZ309" i="14"/>
  <c r="AP309" i="14" s="1"/>
  <c r="G119" i="29"/>
  <c r="G120" i="29"/>
  <c r="BA318" i="14"/>
  <c r="AQ318" i="14" s="1"/>
  <c r="AV27" i="21"/>
  <c r="CS320" i="14" s="1"/>
  <c r="CI320" i="14" s="1"/>
  <c r="BC289" i="14"/>
  <c r="AX289" i="14" s="1"/>
  <c r="AF27" i="21"/>
  <c r="AU27" i="21" s="1"/>
  <c r="CR320" i="14" s="1"/>
  <c r="AF30" i="21"/>
  <c r="AY323" i="14" s="1"/>
  <c r="AO323" i="14" s="1"/>
  <c r="AY34" i="20"/>
  <c r="CV297" i="14" s="1"/>
  <c r="CQ297" i="14" s="1"/>
  <c r="AF9" i="21"/>
  <c r="AU9" i="21" s="1"/>
  <c r="CR302" i="14" s="1"/>
  <c r="AY36" i="21"/>
  <c r="CV329" i="14" s="1"/>
  <c r="CQ329" i="14" s="1"/>
  <c r="AF32" i="21"/>
  <c r="AY325" i="14" s="1"/>
  <c r="AO325" i="14" s="1"/>
  <c r="AV15" i="20"/>
  <c r="CS278" i="14" s="1"/>
  <c r="CI278" i="14" s="1"/>
  <c r="AV25" i="20"/>
  <c r="CS288" i="14" s="1"/>
  <c r="CI288" i="14" s="1"/>
  <c r="AF29" i="20"/>
  <c r="AY292" i="14" s="1"/>
  <c r="AO292" i="14" s="1"/>
  <c r="BC302" i="14"/>
  <c r="AX302" i="14" s="1"/>
  <c r="BA280" i="14"/>
  <c r="AQ280" i="14" s="1"/>
  <c r="BA328" i="14"/>
  <c r="AQ328" i="14" s="1"/>
  <c r="AW35" i="21"/>
  <c r="CT328" i="14" s="1"/>
  <c r="CJ328" i="14" s="1"/>
  <c r="AF32" i="20"/>
  <c r="AY295" i="14" s="1"/>
  <c r="AO295" i="14" s="1"/>
  <c r="AF18" i="21"/>
  <c r="AU18" i="21" s="1"/>
  <c r="CR311" i="14" s="1"/>
  <c r="BA277" i="14"/>
  <c r="AQ277" i="14" s="1"/>
  <c r="J129" i="20"/>
  <c r="G11" i="29" s="1"/>
  <c r="AF17" i="20"/>
  <c r="AU17" i="20" s="1"/>
  <c r="AY31" i="21"/>
  <c r="CV324" i="14" s="1"/>
  <c r="CQ324" i="14" s="1"/>
  <c r="AF26" i="20"/>
  <c r="AW37" i="21"/>
  <c r="CT330" i="14" s="1"/>
  <c r="CJ330" i="14" s="1"/>
  <c r="BB326" i="14"/>
  <c r="AW326" i="14" s="1"/>
  <c r="AY30" i="21"/>
  <c r="CV323" i="14" s="1"/>
  <c r="CQ323" i="14" s="1"/>
  <c r="AW12" i="21"/>
  <c r="CT305" i="14" s="1"/>
  <c r="CJ305" i="14" s="1"/>
  <c r="AF35" i="20"/>
  <c r="AU35" i="20" s="1"/>
  <c r="CR298" i="14" s="1"/>
  <c r="AF14" i="20"/>
  <c r="AY277" i="14" s="1"/>
  <c r="AO277" i="14" s="1"/>
  <c r="AW32" i="20"/>
  <c r="CT295" i="14" s="1"/>
  <c r="CJ295" i="14" s="1"/>
  <c r="AF37" i="20"/>
  <c r="AU37" i="20" s="1"/>
  <c r="CR300" i="14" s="1"/>
  <c r="AF15" i="20"/>
  <c r="AU15" i="20" s="1"/>
  <c r="CR278" i="14" s="1"/>
  <c r="AF29" i="21"/>
  <c r="AY322" i="14" s="1"/>
  <c r="AO322" i="14" s="1"/>
  <c r="AF22" i="20"/>
  <c r="AY285" i="14" s="1"/>
  <c r="AO285" i="14" s="1"/>
  <c r="AZ274" i="14"/>
  <c r="AP274" i="14" s="1"/>
  <c r="AV11" i="20"/>
  <c r="CS274" i="14" s="1"/>
  <c r="CI274" i="14" s="1"/>
  <c r="AX13" i="21"/>
  <c r="CU306" i="14" s="1"/>
  <c r="CP306" i="14" s="1"/>
  <c r="AF11" i="20"/>
  <c r="AU11" i="20" s="1"/>
  <c r="CR274" i="14" s="1"/>
  <c r="BC303" i="14"/>
  <c r="AX303" i="14" s="1"/>
  <c r="BC307" i="14"/>
  <c r="AX307" i="14" s="1"/>
  <c r="BA321" i="14"/>
  <c r="AQ321" i="14" s="1"/>
  <c r="AW21" i="21"/>
  <c r="CT314" i="14" s="1"/>
  <c r="CJ314" i="14" s="1"/>
  <c r="AX14" i="21"/>
  <c r="CU307" i="14" s="1"/>
  <c r="CP307" i="14" s="1"/>
  <c r="AY21" i="21"/>
  <c r="CV314" i="14" s="1"/>
  <c r="CQ314" i="14" s="1"/>
  <c r="BC287" i="14"/>
  <c r="AX287" i="14" s="1"/>
  <c r="AF10" i="21"/>
  <c r="AU10" i="21" s="1"/>
  <c r="AF31" i="21"/>
  <c r="AU31" i="21" s="1"/>
  <c r="CR324" i="14" s="1"/>
  <c r="AF24" i="21"/>
  <c r="AU24" i="21" s="1"/>
  <c r="CR317" i="14" s="1"/>
  <c r="AV14" i="21"/>
  <c r="CS307" i="14" s="1"/>
  <c r="CI307" i="14" s="1"/>
  <c r="BB313" i="14"/>
  <c r="AW313" i="14" s="1"/>
  <c r="AF19" i="20"/>
  <c r="AU19" i="20" s="1"/>
  <c r="CR282" i="14" s="1"/>
  <c r="AV30" i="20"/>
  <c r="CS293" i="14" s="1"/>
  <c r="CI293" i="14" s="1"/>
  <c r="AV36" i="21"/>
  <c r="CS329" i="14" s="1"/>
  <c r="CI329" i="14" s="1"/>
  <c r="AZ329" i="14"/>
  <c r="AP329" i="14" s="1"/>
  <c r="AX18" i="21"/>
  <c r="CU311" i="14" s="1"/>
  <c r="CP311" i="14" s="1"/>
  <c r="AW26" i="20"/>
  <c r="CT289" i="14" s="1"/>
  <c r="CJ289" i="14" s="1"/>
  <c r="AX10" i="21"/>
  <c r="CU303" i="14" s="1"/>
  <c r="CP303" i="14" s="1"/>
  <c r="AF20" i="21"/>
  <c r="AY313" i="14" s="1"/>
  <c r="AO313" i="14" s="1"/>
  <c r="AF14" i="21"/>
  <c r="AU14" i="21" s="1"/>
  <c r="CR307" i="14" s="1"/>
  <c r="AF34" i="20"/>
  <c r="AU34" i="20" s="1"/>
  <c r="AY22" i="20"/>
  <c r="CV285" i="14" s="1"/>
  <c r="CQ285" i="14" s="1"/>
  <c r="AZ319" i="14"/>
  <c r="AP319" i="14" s="1"/>
  <c r="AF10" i="20"/>
  <c r="AU10" i="20" s="1"/>
  <c r="CR273" i="14" s="1"/>
  <c r="AF36" i="21"/>
  <c r="AY329" i="14" s="1"/>
  <c r="AO329" i="14" s="1"/>
  <c r="BA313" i="14"/>
  <c r="AQ313" i="14" s="1"/>
  <c r="BA325" i="14"/>
  <c r="AQ325" i="14" s="1"/>
  <c r="AF13" i="21"/>
  <c r="AU13" i="21" s="1"/>
  <c r="CR306" i="14" s="1"/>
  <c r="AX19" i="21"/>
  <c r="CU312" i="14" s="1"/>
  <c r="CP312" i="14" s="1"/>
  <c r="BB312" i="14"/>
  <c r="AW312" i="14" s="1"/>
  <c r="AW11" i="20"/>
  <c r="CT274" i="14" s="1"/>
  <c r="CJ274" i="14" s="1"/>
  <c r="BA274" i="14"/>
  <c r="AQ274" i="14" s="1"/>
  <c r="AW30" i="20"/>
  <c r="CT293" i="14" s="1"/>
  <c r="CJ293" i="14" s="1"/>
  <c r="BA293" i="14"/>
  <c r="AQ293" i="14" s="1"/>
  <c r="AX30" i="21"/>
  <c r="CU323" i="14" s="1"/>
  <c r="CP323" i="14" s="1"/>
  <c r="BB323" i="14"/>
  <c r="AW323" i="14" s="1"/>
  <c r="AF23" i="21"/>
  <c r="AU23" i="21" s="1"/>
  <c r="CR316" i="14" s="1"/>
  <c r="AW25" i="20"/>
  <c r="CT288" i="14" s="1"/>
  <c r="CJ288" i="14" s="1"/>
  <c r="AF31" i="20"/>
  <c r="AZ294" i="14"/>
  <c r="AP294" i="14" s="1"/>
  <c r="AV31" i="20"/>
  <c r="CS294" i="14" s="1"/>
  <c r="CI294" i="14" s="1"/>
  <c r="AV19" i="20"/>
  <c r="CS282" i="14" s="1"/>
  <c r="CI282" i="14" s="1"/>
  <c r="AZ282" i="14"/>
  <c r="AP282" i="14" s="1"/>
  <c r="AX16" i="21"/>
  <c r="CU309" i="14" s="1"/>
  <c r="CP309" i="14" s="1"/>
  <c r="BB309" i="14"/>
  <c r="AW309" i="14" s="1"/>
  <c r="BA286" i="14"/>
  <c r="AQ286" i="14" s="1"/>
  <c r="H117" i="29"/>
  <c r="AV22" i="21"/>
  <c r="CS315" i="14" s="1"/>
  <c r="CI315" i="14" s="1"/>
  <c r="AF12" i="21"/>
  <c r="AY305" i="14" s="1"/>
  <c r="AO305" i="14" s="1"/>
  <c r="AY38" i="21"/>
  <c r="CV331" i="14" s="1"/>
  <c r="CQ331" i="14" s="1"/>
  <c r="BC327" i="14"/>
  <c r="AX327" i="14" s="1"/>
  <c r="AZ280" i="14"/>
  <c r="AP280" i="14" s="1"/>
  <c r="AV17" i="20"/>
  <c r="CS280" i="14" s="1"/>
  <c r="CI280" i="14" s="1"/>
  <c r="AW17" i="21"/>
  <c r="CT310" i="14" s="1"/>
  <c r="CJ310" i="14" s="1"/>
  <c r="BA310" i="14"/>
  <c r="AQ310" i="14" s="1"/>
  <c r="AV34" i="20"/>
  <c r="CS297" i="14" s="1"/>
  <c r="CI297" i="14" s="1"/>
  <c r="AZ297" i="14"/>
  <c r="AP297" i="14" s="1"/>
  <c r="AW33" i="20"/>
  <c r="CT296" i="14" s="1"/>
  <c r="CJ296" i="14" s="1"/>
  <c r="BA296" i="14"/>
  <c r="AQ296" i="14" s="1"/>
  <c r="BB328" i="14"/>
  <c r="AW328" i="14" s="1"/>
  <c r="AX35" i="21"/>
  <c r="CU328" i="14" s="1"/>
  <c r="CP328" i="14" s="1"/>
  <c r="AX38" i="21"/>
  <c r="CU331" i="14" s="1"/>
  <c r="CP331" i="14" s="1"/>
  <c r="BB331" i="14"/>
  <c r="AW331" i="14" s="1"/>
  <c r="AF25" i="20"/>
  <c r="AY288" i="14" s="1"/>
  <c r="AO288" i="14" s="1"/>
  <c r="AF17" i="21"/>
  <c r="AF38" i="21"/>
  <c r="AU38" i="21" s="1"/>
  <c r="CR331" i="14" s="1"/>
  <c r="AY20" i="20"/>
  <c r="CV283" i="14" s="1"/>
  <c r="CQ283" i="14" s="1"/>
  <c r="AF21" i="21"/>
  <c r="AY314" i="14" s="1"/>
  <c r="AO314" i="14" s="1"/>
  <c r="AF23" i="20"/>
  <c r="AY286" i="14" s="1"/>
  <c r="AO286" i="14" s="1"/>
  <c r="AF20" i="20"/>
  <c r="BC298" i="14"/>
  <c r="AX298" i="14" s="1"/>
  <c r="AY35" i="20"/>
  <c r="CV298" i="14" s="1"/>
  <c r="CQ298" i="14" s="1"/>
  <c r="BC291" i="14"/>
  <c r="AX291" i="14" s="1"/>
  <c r="AY28" i="20"/>
  <c r="CV291" i="14" s="1"/>
  <c r="CQ291" i="14" s="1"/>
  <c r="AY17" i="21"/>
  <c r="CV310" i="14" s="1"/>
  <c r="CQ310" i="14" s="1"/>
  <c r="BC310" i="14"/>
  <c r="AX310" i="14" s="1"/>
  <c r="AZ296" i="14"/>
  <c r="AP296" i="14" s="1"/>
  <c r="AV33" i="20"/>
  <c r="CS296" i="14" s="1"/>
  <c r="CI296" i="14" s="1"/>
  <c r="AF33" i="20"/>
  <c r="J129" i="21"/>
  <c r="H11" i="29" s="1"/>
  <c r="AW15" i="20"/>
  <c r="CT278" i="14" s="1"/>
  <c r="CJ278" i="14" s="1"/>
  <c r="BA278" i="14"/>
  <c r="AQ278" i="14" s="1"/>
  <c r="BC322" i="14"/>
  <c r="AX322" i="14" s="1"/>
  <c r="AY29" i="21"/>
  <c r="CV322" i="14" s="1"/>
  <c r="CQ322" i="14" s="1"/>
  <c r="AZ331" i="14"/>
  <c r="AP331" i="14" s="1"/>
  <c r="AV38" i="21"/>
  <c r="CS331" i="14" s="1"/>
  <c r="CI331" i="14" s="1"/>
  <c r="BH21" i="30"/>
  <c r="AF35" i="21"/>
  <c r="AY328" i="14" s="1"/>
  <c r="AO328" i="14" s="1"/>
  <c r="AZ286" i="14"/>
  <c r="AP286" i="14" s="1"/>
  <c r="AY24" i="21"/>
  <c r="CV317" i="14" s="1"/>
  <c r="CQ317" i="14" s="1"/>
  <c r="AX31" i="21"/>
  <c r="CU324" i="14" s="1"/>
  <c r="CP324" i="14" s="1"/>
  <c r="AF25" i="21"/>
  <c r="AU25" i="21" s="1"/>
  <c r="CR318" i="14" s="1"/>
  <c r="AV24" i="20"/>
  <c r="CS287" i="14" s="1"/>
  <c r="CI287" i="14" s="1"/>
  <c r="AZ287" i="14"/>
  <c r="AP287" i="14" s="1"/>
  <c r="AX12" i="21"/>
  <c r="CU305" i="14" s="1"/>
  <c r="CP305" i="14" s="1"/>
  <c r="BB305" i="14"/>
  <c r="AW305" i="14" s="1"/>
  <c r="BC282" i="14"/>
  <c r="AX282" i="14" s="1"/>
  <c r="AY19" i="20"/>
  <c r="CV282" i="14" s="1"/>
  <c r="CQ282" i="14" s="1"/>
  <c r="AY9" i="20"/>
  <c r="CV272" i="14" s="1"/>
  <c r="CQ272" i="14" s="1"/>
  <c r="BC272" i="14"/>
  <c r="AX272" i="14" s="1"/>
  <c r="J122" i="29"/>
  <c r="AZ310" i="14"/>
  <c r="AP310" i="14" s="1"/>
  <c r="AV17" i="21"/>
  <c r="CS310" i="14" s="1"/>
  <c r="CI310" i="14" s="1"/>
  <c r="AV35" i="20"/>
  <c r="CS298" i="14" s="1"/>
  <c r="CI298" i="14" s="1"/>
  <c r="AZ298" i="14"/>
  <c r="AP298" i="14" s="1"/>
  <c r="AW16" i="20"/>
  <c r="CT279" i="14" s="1"/>
  <c r="CJ279" i="14" s="1"/>
  <c r="BA279" i="14"/>
  <c r="AQ279" i="14" s="1"/>
  <c r="AF28" i="21"/>
  <c r="AU28" i="21" s="1"/>
  <c r="CR321" i="14" s="1"/>
  <c r="AY26" i="21"/>
  <c r="CV319" i="14" s="1"/>
  <c r="CQ319" i="14" s="1"/>
  <c r="BC319" i="14"/>
  <c r="AX319" i="14" s="1"/>
  <c r="AZ313" i="14"/>
  <c r="AP313" i="14" s="1"/>
  <c r="AV20" i="21"/>
  <c r="CS313" i="14" s="1"/>
  <c r="CI313" i="14" s="1"/>
  <c r="AW12" i="20"/>
  <c r="CT275" i="14" s="1"/>
  <c r="CJ275" i="14" s="1"/>
  <c r="BA275" i="14"/>
  <c r="AQ275" i="14" s="1"/>
  <c r="BC299" i="14"/>
  <c r="AX299" i="14" s="1"/>
  <c r="AY22" i="21"/>
  <c r="CV315" i="14" s="1"/>
  <c r="CQ315" i="14" s="1"/>
  <c r="AZ306" i="14"/>
  <c r="AP306" i="14" s="1"/>
  <c r="AV13" i="21"/>
  <c r="CS306" i="14" s="1"/>
  <c r="CI306" i="14" s="1"/>
  <c r="AZ276" i="14"/>
  <c r="AP276" i="14" s="1"/>
  <c r="AV13" i="20"/>
  <c r="CS276" i="14" s="1"/>
  <c r="CI276" i="14" s="1"/>
  <c r="AZ281" i="14"/>
  <c r="AP281" i="14" s="1"/>
  <c r="AV18" i="20"/>
  <c r="CS281" i="14" s="1"/>
  <c r="CI281" i="14" s="1"/>
  <c r="AF36" i="20"/>
  <c r="AZ299" i="14"/>
  <c r="AP299" i="14" s="1"/>
  <c r="AV36" i="20"/>
  <c r="CS299" i="14" s="1"/>
  <c r="CI299" i="14" s="1"/>
  <c r="AF18" i="20"/>
  <c r="AY281" i="14" s="1"/>
  <c r="AO281" i="14" s="1"/>
  <c r="AF22" i="21"/>
  <c r="AY315" i="14" s="1"/>
  <c r="AO315" i="14" s="1"/>
  <c r="E8" i="29"/>
  <c r="H129" i="20"/>
  <c r="I129" i="22"/>
  <c r="I10" i="29" s="1"/>
  <c r="AY32" i="21"/>
  <c r="CV325" i="14" s="1"/>
  <c r="CQ325" i="14" s="1"/>
  <c r="BC325" i="14"/>
  <c r="AX325" i="14" s="1"/>
  <c r="I129" i="19"/>
  <c r="E10" i="29" s="1"/>
  <c r="BB325" i="14"/>
  <c r="AW325" i="14" s="1"/>
  <c r="AX32" i="21"/>
  <c r="CU325" i="14" s="1"/>
  <c r="CP325" i="14" s="1"/>
  <c r="I129" i="21"/>
  <c r="H10" i="29" s="1"/>
  <c r="AV23" i="21"/>
  <c r="CS316" i="14" s="1"/>
  <c r="CI316" i="14" s="1"/>
  <c r="AZ316" i="14"/>
  <c r="AP316" i="14" s="1"/>
  <c r="AW31" i="21"/>
  <c r="CT324" i="14" s="1"/>
  <c r="CJ324" i="14" s="1"/>
  <c r="BA324" i="14"/>
  <c r="AQ324" i="14" s="1"/>
  <c r="BA316" i="14"/>
  <c r="AQ316" i="14" s="1"/>
  <c r="AW23" i="21"/>
  <c r="CT316" i="14" s="1"/>
  <c r="CJ316" i="14" s="1"/>
  <c r="I120" i="29"/>
  <c r="I119" i="29"/>
  <c r="H129" i="21"/>
  <c r="H9" i="29" s="1"/>
  <c r="BA292" i="14"/>
  <c r="AQ292" i="14" s="1"/>
  <c r="AW29" i="20"/>
  <c r="CT292" i="14" s="1"/>
  <c r="CJ292" i="14" s="1"/>
  <c r="BC312" i="14"/>
  <c r="AX312" i="14" s="1"/>
  <c r="AY19" i="21"/>
  <c r="CV312" i="14" s="1"/>
  <c r="CQ312" i="14" s="1"/>
  <c r="BC292" i="14"/>
  <c r="AX292" i="14" s="1"/>
  <c r="AY29" i="20"/>
  <c r="CV292" i="14" s="1"/>
  <c r="CQ292" i="14" s="1"/>
  <c r="G117" i="29"/>
  <c r="BK49" i="30"/>
  <c r="I117" i="29"/>
  <c r="AW24" i="21"/>
  <c r="CT317" i="14" s="1"/>
  <c r="CJ317" i="14" s="1"/>
  <c r="BA317" i="14"/>
  <c r="AQ317" i="14" s="1"/>
  <c r="AX23" i="21"/>
  <c r="CU316" i="14" s="1"/>
  <c r="CP316" i="14" s="1"/>
  <c r="BB316" i="14"/>
  <c r="AW316" i="14" s="1"/>
  <c r="E120" i="29"/>
  <c r="E119" i="29"/>
  <c r="AZ300" i="14"/>
  <c r="AP300" i="14" s="1"/>
  <c r="AV37" i="20"/>
  <c r="CS300" i="14" s="1"/>
  <c r="CI300" i="14" s="1"/>
  <c r="BA308" i="14"/>
  <c r="AQ308" i="14" s="1"/>
  <c r="AW15" i="21"/>
  <c r="CT308" i="14" s="1"/>
  <c r="CJ308" i="14" s="1"/>
  <c r="AW34" i="21"/>
  <c r="CT327" i="14" s="1"/>
  <c r="CJ327" i="14" s="1"/>
  <c r="BA327" i="14"/>
  <c r="AQ327" i="14" s="1"/>
  <c r="BC304" i="14"/>
  <c r="AX304" i="14" s="1"/>
  <c r="AY11" i="21"/>
  <c r="CV304" i="14" s="1"/>
  <c r="CQ304" i="14" s="1"/>
  <c r="AW27" i="21"/>
  <c r="CT320" i="14" s="1"/>
  <c r="CJ320" i="14" s="1"/>
  <c r="BA320" i="14"/>
  <c r="AQ320" i="14" s="1"/>
  <c r="AW33" i="21"/>
  <c r="CT326" i="14" s="1"/>
  <c r="CJ326" i="14" s="1"/>
  <c r="BA326" i="14"/>
  <c r="AQ326" i="14" s="1"/>
  <c r="AV25" i="21"/>
  <c r="CS318" i="14" s="1"/>
  <c r="CI318" i="14" s="1"/>
  <c r="AZ318" i="14"/>
  <c r="AP318" i="14" s="1"/>
  <c r="AW10" i="21"/>
  <c r="CT303" i="14" s="1"/>
  <c r="CJ303" i="14" s="1"/>
  <c r="BA303" i="14"/>
  <c r="AQ303" i="14" s="1"/>
  <c r="BA306" i="14"/>
  <c r="AQ306" i="14" s="1"/>
  <c r="AW13" i="21"/>
  <c r="CT306" i="14" s="1"/>
  <c r="CJ306" i="14" s="1"/>
  <c r="AF9" i="20"/>
  <c r="AV9" i="20"/>
  <c r="CS272" i="14" s="1"/>
  <c r="CI272" i="14" s="1"/>
  <c r="AZ272" i="14"/>
  <c r="AP272" i="14" s="1"/>
  <c r="AZ327" i="14"/>
  <c r="AP327" i="14" s="1"/>
  <c r="AF34" i="21"/>
  <c r="BB315" i="14"/>
  <c r="AW315" i="14" s="1"/>
  <c r="AX22" i="21"/>
  <c r="CU315" i="14" s="1"/>
  <c r="CP315" i="14" s="1"/>
  <c r="AW10" i="20"/>
  <c r="CT273" i="14" s="1"/>
  <c r="CJ273" i="14" s="1"/>
  <c r="BA273" i="14"/>
  <c r="AQ273" i="14" s="1"/>
  <c r="BA315" i="14"/>
  <c r="AQ315" i="14" s="1"/>
  <c r="AW22" i="21"/>
  <c r="CT315" i="14" s="1"/>
  <c r="CJ315" i="14" s="1"/>
  <c r="BH17" i="30"/>
  <c r="J382" i="1"/>
  <c r="AX37" i="21"/>
  <c r="CU330" i="14" s="1"/>
  <c r="CP330" i="14" s="1"/>
  <c r="BB330" i="14"/>
  <c r="AW330" i="14" s="1"/>
  <c r="AF37" i="21"/>
  <c r="BA311" i="14"/>
  <c r="AQ311" i="14" s="1"/>
  <c r="AW18" i="21"/>
  <c r="CT311" i="14" s="1"/>
  <c r="CJ311" i="14" s="1"/>
  <c r="AX25" i="21"/>
  <c r="CU318" i="14" s="1"/>
  <c r="CP318" i="14" s="1"/>
  <c r="BB318" i="14"/>
  <c r="AW318" i="14" s="1"/>
  <c r="BA319" i="14"/>
  <c r="AQ319" i="14" s="1"/>
  <c r="AW26" i="21"/>
  <c r="CT319" i="14" s="1"/>
  <c r="CJ319" i="14" s="1"/>
  <c r="BB327" i="14"/>
  <c r="AW327" i="14" s="1"/>
  <c r="AX34" i="21"/>
  <c r="CU327" i="14" s="1"/>
  <c r="CP327" i="14" s="1"/>
  <c r="BC286" i="14"/>
  <c r="AX286" i="14" s="1"/>
  <c r="AY23" i="20"/>
  <c r="CV286" i="14" s="1"/>
  <c r="CQ286" i="14" s="1"/>
  <c r="BC295" i="14"/>
  <c r="AX295" i="14" s="1"/>
  <c r="AY32" i="20"/>
  <c r="CV295" i="14" s="1"/>
  <c r="CQ295" i="14" s="1"/>
  <c r="AV21" i="21"/>
  <c r="CS314" i="14" s="1"/>
  <c r="CI314" i="14" s="1"/>
  <c r="AZ314" i="14"/>
  <c r="AP314" i="14" s="1"/>
  <c r="AY16" i="20"/>
  <c r="CV279" i="14" s="1"/>
  <c r="CQ279" i="14" s="1"/>
  <c r="BC279" i="14"/>
  <c r="AX279" i="14" s="1"/>
  <c r="AF16" i="20"/>
  <c r="AW9" i="21"/>
  <c r="CT302" i="14" s="1"/>
  <c r="CJ302" i="14" s="1"/>
  <c r="BA302" i="14"/>
  <c r="AQ302" i="14" s="1"/>
  <c r="BA290" i="14"/>
  <c r="AQ290" i="14" s="1"/>
  <c r="AF27" i="20"/>
  <c r="CU310" i="14"/>
  <c r="CP310" i="14" s="1"/>
  <c r="CV288" i="14"/>
  <c r="CQ288" i="14" s="1"/>
  <c r="CV313" i="14"/>
  <c r="CQ313" i="14" s="1"/>
  <c r="CT280" i="14"/>
  <c r="CJ280" i="14" s="1"/>
  <c r="CT290" i="14"/>
  <c r="CJ290" i="14" s="1"/>
  <c r="CV321" i="14"/>
  <c r="CQ321" i="14" s="1"/>
  <c r="CV300" i="14"/>
  <c r="CQ300" i="14" s="1"/>
  <c r="AF8" i="20"/>
  <c r="CS327" i="14"/>
  <c r="CI327" i="14" s="1"/>
  <c r="CU308" i="14"/>
  <c r="CP308" i="14" s="1"/>
  <c r="CV305" i="14"/>
  <c r="CQ305" i="14" s="1"/>
  <c r="CV316" i="14"/>
  <c r="CQ316" i="14" s="1"/>
  <c r="CV275" i="14"/>
  <c r="CQ275" i="14" s="1"/>
  <c r="CU322" i="14"/>
  <c r="CP322" i="14" s="1"/>
  <c r="AF8" i="21"/>
  <c r="AU8" i="21" s="1"/>
  <c r="CR301" i="14" s="1"/>
  <c r="CS302" i="14"/>
  <c r="CI302" i="14" s="1"/>
  <c r="CV294" i="14"/>
  <c r="CQ294" i="14" s="1"/>
  <c r="CS324" i="14"/>
  <c r="CI324" i="14" s="1"/>
  <c r="AV8" i="21"/>
  <c r="AZ301" i="14"/>
  <c r="AP301" i="14" s="1"/>
  <c r="AV8" i="20"/>
  <c r="AZ271" i="14"/>
  <c r="AP271" i="14" s="1"/>
  <c r="AW8" i="21"/>
  <c r="BA301" i="14"/>
  <c r="AQ301" i="14" s="1"/>
  <c r="AX8" i="21"/>
  <c r="BB301" i="14"/>
  <c r="AW301" i="14" s="1"/>
  <c r="BC271" i="14"/>
  <c r="AX271" i="14" s="1"/>
  <c r="AY8" i="20"/>
  <c r="AY8" i="21"/>
  <c r="BC301" i="14"/>
  <c r="AX301" i="14" s="1"/>
  <c r="AW8" i="20"/>
  <c r="BA271" i="14"/>
  <c r="AQ271" i="14" s="1"/>
  <c r="I8" i="29"/>
  <c r="BI21" i="30"/>
  <c r="BK21" i="30"/>
  <c r="H49" i="22"/>
  <c r="BJ21" i="30"/>
  <c r="H49" i="21"/>
  <c r="M359" i="1"/>
  <c r="G99" i="29" s="1"/>
  <c r="P382" i="1"/>
  <c r="BJ17" i="30"/>
  <c r="P359" i="1"/>
  <c r="H99" i="29" s="1"/>
  <c r="BI17" i="30"/>
  <c r="M382" i="1"/>
  <c r="BH41" i="30"/>
  <c r="J388" i="1"/>
  <c r="M49" i="19"/>
  <c r="G367" i="14"/>
  <c r="BH25" i="30"/>
  <c r="J339" i="1"/>
  <c r="J384" i="1"/>
  <c r="I49" i="19"/>
  <c r="L49" i="19"/>
  <c r="J387" i="1"/>
  <c r="J342" i="1"/>
  <c r="BH37" i="30"/>
  <c r="BH29" i="30"/>
  <c r="J49" i="19"/>
  <c r="J385" i="1"/>
  <c r="H49" i="19"/>
  <c r="J340" i="1"/>
  <c r="BH49" i="30"/>
  <c r="J392" i="1"/>
  <c r="E63" i="29" s="1"/>
  <c r="BH45" i="30"/>
  <c r="G49" i="19"/>
  <c r="E47" i="19"/>
  <c r="J345" i="1"/>
  <c r="E98" i="29" s="1"/>
  <c r="J383" i="1"/>
  <c r="K49" i="19"/>
  <c r="BH33" i="30"/>
  <c r="M407" i="1"/>
  <c r="G64" i="29" s="1"/>
  <c r="M354" i="1"/>
  <c r="CW356" i="14"/>
  <c r="CR356" i="14"/>
  <c r="S353" i="1"/>
  <c r="S399" i="1"/>
  <c r="M402" i="1"/>
  <c r="M356" i="1"/>
  <c r="CW348" i="14"/>
  <c r="CR348" i="14"/>
  <c r="P342" i="1"/>
  <c r="BJ37" i="30"/>
  <c r="L49" i="21"/>
  <c r="P387" i="1"/>
  <c r="CR333" i="14"/>
  <c r="CW333" i="14"/>
  <c r="CR360" i="14"/>
  <c r="CW360" i="14"/>
  <c r="CR346" i="14"/>
  <c r="CW346" i="14"/>
  <c r="CR344" i="14"/>
  <c r="CW344" i="14"/>
  <c r="M340" i="1"/>
  <c r="M392" i="1"/>
  <c r="G63" i="29" s="1"/>
  <c r="BI49" i="30"/>
  <c r="H49" i="20"/>
  <c r="BI29" i="30"/>
  <c r="J49" i="20"/>
  <c r="M385" i="1"/>
  <c r="CR337" i="14"/>
  <c r="CW337" i="14"/>
  <c r="BI41" i="30"/>
  <c r="M49" i="20"/>
  <c r="M345" i="1"/>
  <c r="G98" i="29" s="1"/>
  <c r="S340" i="1"/>
  <c r="K49" i="22"/>
  <c r="S392" i="1"/>
  <c r="I63" i="29" s="1"/>
  <c r="BK33" i="30"/>
  <c r="CR352" i="14"/>
  <c r="CW352" i="14"/>
  <c r="CR332" i="14"/>
  <c r="CW332" i="14"/>
  <c r="S402" i="1"/>
  <c r="S356" i="1"/>
  <c r="P407" i="1"/>
  <c r="H64" i="29" s="1"/>
  <c r="P354" i="1"/>
  <c r="CR354" i="14"/>
  <c r="CW354" i="14"/>
  <c r="K49" i="20"/>
  <c r="BI33" i="30"/>
  <c r="CR343" i="14"/>
  <c r="CW343" i="14"/>
  <c r="BK29" i="30"/>
  <c r="J49" i="22"/>
  <c r="S385" i="1"/>
  <c r="M399" i="1"/>
  <c r="M353" i="1"/>
  <c r="CW355" i="14"/>
  <c r="CR355" i="14"/>
  <c r="CR350" i="14"/>
  <c r="CW350" i="14"/>
  <c r="CR339" i="14"/>
  <c r="CW339" i="14"/>
  <c r="S407" i="1"/>
  <c r="I64" i="29" s="1"/>
  <c r="S354" i="1"/>
  <c r="P355" i="1"/>
  <c r="P403" i="1"/>
  <c r="CW349" i="14"/>
  <c r="CR349" i="14"/>
  <c r="S403" i="1"/>
  <c r="S359" i="1"/>
  <c r="I99" i="29" s="1"/>
  <c r="P353" i="1"/>
  <c r="P399" i="1"/>
  <c r="CW338" i="14"/>
  <c r="CR338" i="14"/>
  <c r="BI53" i="30"/>
  <c r="M341" i="1"/>
  <c r="G49" i="20"/>
  <c r="M388" i="1"/>
  <c r="E47" i="20"/>
  <c r="CR359" i="14"/>
  <c r="CW359" i="14"/>
  <c r="CW336" i="14"/>
  <c r="CR336" i="14"/>
  <c r="CW347" i="14"/>
  <c r="CR347" i="14"/>
  <c r="CW342" i="14"/>
  <c r="CR342" i="14"/>
  <c r="CW345" i="14"/>
  <c r="CR345" i="14"/>
  <c r="M342" i="1"/>
  <c r="L49" i="20"/>
  <c r="BI37" i="30"/>
  <c r="M387" i="1"/>
  <c r="CW358" i="14"/>
  <c r="CR358" i="14"/>
  <c r="BJ41" i="30"/>
  <c r="M49" i="21"/>
  <c r="P345" i="1"/>
  <c r="H98" i="29" s="1"/>
  <c r="BJ29" i="30"/>
  <c r="J49" i="21"/>
  <c r="P385" i="1"/>
  <c r="CR335" i="14"/>
  <c r="CW335" i="14"/>
  <c r="BK41" i="30"/>
  <c r="M49" i="22"/>
  <c r="S345" i="1"/>
  <c r="I98" i="29" s="1"/>
  <c r="S388" i="1"/>
  <c r="BJ25" i="30"/>
  <c r="P339" i="1"/>
  <c r="P384" i="1"/>
  <c r="I49" i="21"/>
  <c r="M355" i="1"/>
  <c r="M403" i="1"/>
  <c r="P402" i="1"/>
  <c r="P356" i="1"/>
  <c r="CW340" i="14"/>
  <c r="CR340" i="14"/>
  <c r="CR361" i="14"/>
  <c r="CW361" i="14"/>
  <c r="CR357" i="14"/>
  <c r="CW357" i="14"/>
  <c r="I49" i="22"/>
  <c r="E47" i="22"/>
  <c r="S339" i="1"/>
  <c r="S384" i="1"/>
  <c r="BK25" i="30"/>
  <c r="CR351" i="14"/>
  <c r="CW351" i="14"/>
  <c r="P388" i="1"/>
  <c r="E47" i="21"/>
  <c r="BJ53" i="30"/>
  <c r="G49" i="21"/>
  <c r="P341" i="1"/>
  <c r="CR353" i="14"/>
  <c r="CW353" i="14"/>
  <c r="BK37" i="30"/>
  <c r="L49" i="22"/>
  <c r="S387" i="1"/>
  <c r="S342" i="1"/>
  <c r="K49" i="21"/>
  <c r="P392" i="1"/>
  <c r="H63" i="29" s="1"/>
  <c r="BJ33" i="30"/>
  <c r="P340" i="1"/>
  <c r="CR334" i="14"/>
  <c r="CW334" i="14"/>
  <c r="J158" i="29"/>
  <c r="CR341" i="14"/>
  <c r="CW341" i="14"/>
  <c r="BI25" i="30"/>
  <c r="M384" i="1"/>
  <c r="I49" i="20"/>
  <c r="M339" i="1"/>
  <c r="C369" i="14"/>
  <c r="D369" i="14" s="1"/>
  <c r="H302" i="15"/>
  <c r="I302" i="15" s="1"/>
  <c r="Q369" i="14"/>
  <c r="J369" i="14"/>
  <c r="E370" i="14"/>
  <c r="B369" i="14"/>
  <c r="J407" i="1"/>
  <c r="E64" i="29" s="1"/>
  <c r="J402" i="1"/>
  <c r="J356" i="1"/>
  <c r="J400" i="1"/>
  <c r="J16" i="29"/>
  <c r="J398" i="1"/>
  <c r="E117" i="29"/>
  <c r="J353" i="1"/>
  <c r="J354" i="1"/>
  <c r="J399" i="1"/>
  <c r="J397" i="1"/>
  <c r="J352" i="1"/>
  <c r="C60" i="19"/>
  <c r="AW38" i="19"/>
  <c r="BA270" i="14"/>
  <c r="AQ270" i="14" s="1"/>
  <c r="AY10" i="19"/>
  <c r="BC242" i="14"/>
  <c r="AX242" i="14" s="1"/>
  <c r="AV27" i="19"/>
  <c r="AZ259" i="14"/>
  <c r="AP259" i="14" s="1"/>
  <c r="AF27" i="19"/>
  <c r="AX23" i="19"/>
  <c r="BB255" i="14"/>
  <c r="AW255" i="14" s="1"/>
  <c r="AV19" i="19"/>
  <c r="AZ251" i="14"/>
  <c r="AP251" i="14" s="1"/>
  <c r="AF19" i="19"/>
  <c r="AW33" i="19"/>
  <c r="BA265" i="14"/>
  <c r="AQ265" i="14" s="1"/>
  <c r="AY35" i="19"/>
  <c r="BC267" i="14"/>
  <c r="AX267" i="14" s="1"/>
  <c r="BA249" i="14"/>
  <c r="AQ249" i="14" s="1"/>
  <c r="AW17" i="19"/>
  <c r="AY38" i="19"/>
  <c r="BC270" i="14"/>
  <c r="AX270" i="14" s="1"/>
  <c r="AV37" i="19"/>
  <c r="AZ269" i="14"/>
  <c r="AP269" i="14" s="1"/>
  <c r="AF37" i="19"/>
  <c r="AW10" i="19"/>
  <c r="BA242" i="14"/>
  <c r="AQ242" i="14" s="1"/>
  <c r="AV17" i="19"/>
  <c r="AZ249" i="14"/>
  <c r="AP249" i="14" s="1"/>
  <c r="AF17" i="19"/>
  <c r="BC266" i="14"/>
  <c r="AX266" i="14" s="1"/>
  <c r="AY34" i="19"/>
  <c r="BA257" i="14"/>
  <c r="AQ257" i="14" s="1"/>
  <c r="AW25" i="19"/>
  <c r="AY16" i="19"/>
  <c r="BC248" i="14"/>
  <c r="AX248" i="14" s="1"/>
  <c r="BA243" i="14"/>
  <c r="AQ243" i="14" s="1"/>
  <c r="AW11" i="19"/>
  <c r="BA268" i="14"/>
  <c r="AQ268" i="14" s="1"/>
  <c r="AW36" i="19"/>
  <c r="AW34" i="19"/>
  <c r="BA266" i="14"/>
  <c r="AQ266" i="14" s="1"/>
  <c r="AY13" i="19"/>
  <c r="BC245" i="14"/>
  <c r="AX245" i="14" s="1"/>
  <c r="BC241" i="14"/>
  <c r="AX241" i="14" s="1"/>
  <c r="AY9" i="19"/>
  <c r="BC246" i="14"/>
  <c r="AX246" i="14" s="1"/>
  <c r="AY14" i="19"/>
  <c r="BA240" i="14"/>
  <c r="AQ240" i="14" s="1"/>
  <c r="AW8" i="19"/>
  <c r="BB253" i="14"/>
  <c r="AW253" i="14" s="1"/>
  <c r="AX21" i="19"/>
  <c r="AV18" i="19"/>
  <c r="AZ250" i="14"/>
  <c r="AP250" i="14" s="1"/>
  <c r="AF18" i="19"/>
  <c r="AY23" i="19"/>
  <c r="BC255" i="14"/>
  <c r="AX255" i="14" s="1"/>
  <c r="BC259" i="14"/>
  <c r="AX259" i="14" s="1"/>
  <c r="AY27" i="19"/>
  <c r="AW28" i="19"/>
  <c r="BA260" i="14"/>
  <c r="AQ260" i="14" s="1"/>
  <c r="AW16" i="19"/>
  <c r="BA248" i="14"/>
  <c r="AQ248" i="14" s="1"/>
  <c r="AX19" i="19"/>
  <c r="BB251" i="14"/>
  <c r="AW251" i="14" s="1"/>
  <c r="AV12" i="19"/>
  <c r="AZ244" i="14"/>
  <c r="AP244" i="14" s="1"/>
  <c r="AF12" i="19"/>
  <c r="AW31" i="19"/>
  <c r="BA263" i="14"/>
  <c r="AQ263" i="14" s="1"/>
  <c r="AW18" i="19"/>
  <c r="BA250" i="14"/>
  <c r="AQ250" i="14" s="1"/>
  <c r="AV32" i="19"/>
  <c r="AZ264" i="14"/>
  <c r="AP264" i="14" s="1"/>
  <c r="AF32" i="19"/>
  <c r="AV16" i="19"/>
  <c r="AZ248" i="14"/>
  <c r="AP248" i="14" s="1"/>
  <c r="AF16" i="19"/>
  <c r="AX16" i="19"/>
  <c r="BB248" i="14"/>
  <c r="AW248" i="14" s="1"/>
  <c r="BC256" i="14"/>
  <c r="AX256" i="14" s="1"/>
  <c r="AY24" i="19"/>
  <c r="AV15" i="19"/>
  <c r="AZ247" i="14"/>
  <c r="AP247" i="14" s="1"/>
  <c r="AF15" i="19"/>
  <c r="BB265" i="14"/>
  <c r="AW265" i="14" s="1"/>
  <c r="AX33" i="19"/>
  <c r="AW30" i="19"/>
  <c r="BA262" i="14"/>
  <c r="AQ262" i="14" s="1"/>
  <c r="BB256" i="14"/>
  <c r="AW256" i="14" s="1"/>
  <c r="AX24" i="19"/>
  <c r="AY17" i="19"/>
  <c r="BC249" i="14"/>
  <c r="AX249" i="14" s="1"/>
  <c r="AY18" i="19"/>
  <c r="BC250" i="14"/>
  <c r="AX250" i="14" s="1"/>
  <c r="AW9" i="19"/>
  <c r="BA241" i="14"/>
  <c r="AQ241" i="14" s="1"/>
  <c r="BB257" i="14"/>
  <c r="AW257" i="14" s="1"/>
  <c r="AX25" i="19"/>
  <c r="AV22" i="19"/>
  <c r="AZ254" i="14"/>
  <c r="AP254" i="14" s="1"/>
  <c r="AF22" i="19"/>
  <c r="AW22" i="19"/>
  <c r="BA254" i="14"/>
  <c r="AQ254" i="14" s="1"/>
  <c r="AX37" i="19"/>
  <c r="BB269" i="14"/>
  <c r="AW269" i="14" s="1"/>
  <c r="BB250" i="14"/>
  <c r="AW250" i="14" s="1"/>
  <c r="AX18" i="19"/>
  <c r="AW32" i="19"/>
  <c r="BA264" i="14"/>
  <c r="AQ264" i="14" s="1"/>
  <c r="AX27" i="19"/>
  <c r="BB259" i="14"/>
  <c r="AW259" i="14" s="1"/>
  <c r="AV20" i="19"/>
  <c r="AZ252" i="14"/>
  <c r="AP252" i="14" s="1"/>
  <c r="AF20" i="19"/>
  <c r="AX8" i="19"/>
  <c r="BB240" i="14"/>
  <c r="AW240" i="14" s="1"/>
  <c r="AY37" i="19"/>
  <c r="BC269" i="14"/>
  <c r="AX269" i="14" s="1"/>
  <c r="AV36" i="19"/>
  <c r="AZ268" i="14"/>
  <c r="AP268" i="14" s="1"/>
  <c r="AF36" i="19"/>
  <c r="AW26" i="19"/>
  <c r="BA258" i="14"/>
  <c r="AQ258" i="14" s="1"/>
  <c r="AV25" i="19"/>
  <c r="AZ257" i="14"/>
  <c r="AP257" i="14" s="1"/>
  <c r="AF25" i="19"/>
  <c r="AZ240" i="14"/>
  <c r="AP240" i="14" s="1"/>
  <c r="AV8" i="19"/>
  <c r="AF8" i="19"/>
  <c r="AW29" i="19"/>
  <c r="BA261" i="14"/>
  <c r="AQ261" i="14" s="1"/>
  <c r="AY20" i="19"/>
  <c r="BC252" i="14"/>
  <c r="AX252" i="14" s="1"/>
  <c r="BA247" i="14"/>
  <c r="AQ247" i="14" s="1"/>
  <c r="AW15" i="19"/>
  <c r="J359" i="1"/>
  <c r="E99" i="29" s="1"/>
  <c r="BC240" i="14"/>
  <c r="AX240" i="14" s="1"/>
  <c r="AY8" i="19"/>
  <c r="AX17" i="19"/>
  <c r="BB249" i="14"/>
  <c r="AW249" i="14" s="1"/>
  <c r="AX10" i="19"/>
  <c r="BB242" i="14"/>
  <c r="AW242" i="14" s="1"/>
  <c r="BA267" i="14"/>
  <c r="AQ267" i="14" s="1"/>
  <c r="AW35" i="19"/>
  <c r="AZ265" i="14"/>
  <c r="AP265" i="14" s="1"/>
  <c r="AV33" i="19"/>
  <c r="AF33" i="19"/>
  <c r="AW19" i="19"/>
  <c r="BA251" i="14"/>
  <c r="AQ251" i="14" s="1"/>
  <c r="AY33" i="19"/>
  <c r="BC265" i="14"/>
  <c r="AX265" i="14" s="1"/>
  <c r="AV30" i="19"/>
  <c r="AZ262" i="14"/>
  <c r="AP262" i="14" s="1"/>
  <c r="AF30" i="19"/>
  <c r="AY31" i="19"/>
  <c r="BC263" i="14"/>
  <c r="AX263" i="14" s="1"/>
  <c r="BB268" i="14"/>
  <c r="AW268" i="14" s="1"/>
  <c r="AX36" i="19"/>
  <c r="AX26" i="19"/>
  <c r="BB258" i="14"/>
  <c r="AW258" i="14" s="1"/>
  <c r="AX14" i="19"/>
  <c r="BB246" i="14"/>
  <c r="AW246" i="14" s="1"/>
  <c r="AX31" i="19"/>
  <c r="BB263" i="14"/>
  <c r="AW263" i="14" s="1"/>
  <c r="AV24" i="19"/>
  <c r="AZ256" i="14"/>
  <c r="AP256" i="14" s="1"/>
  <c r="AF24" i="19"/>
  <c r="BB241" i="14"/>
  <c r="AW241" i="14" s="1"/>
  <c r="AX9" i="19"/>
  <c r="AZ267" i="14"/>
  <c r="AP267" i="14" s="1"/>
  <c r="AV35" i="19"/>
  <c r="AF35" i="19"/>
  <c r="BA246" i="14"/>
  <c r="AQ246" i="14" s="1"/>
  <c r="AW14" i="19"/>
  <c r="AX32" i="19"/>
  <c r="BB264" i="14"/>
  <c r="AW264" i="14" s="1"/>
  <c r="AW12" i="19"/>
  <c r="BA244" i="14"/>
  <c r="AQ244" i="14" s="1"/>
  <c r="AZ253" i="14"/>
  <c r="AP253" i="14" s="1"/>
  <c r="AV21" i="19"/>
  <c r="AF21" i="19"/>
  <c r="BB243" i="14"/>
  <c r="AW243" i="14" s="1"/>
  <c r="AX11" i="19"/>
  <c r="BC260" i="14"/>
  <c r="AX260" i="14" s="1"/>
  <c r="AY28" i="19"/>
  <c r="BA255" i="14"/>
  <c r="AQ255" i="14" s="1"/>
  <c r="AW23" i="19"/>
  <c r="BB252" i="14"/>
  <c r="AW252" i="14" s="1"/>
  <c r="AX20" i="19"/>
  <c r="AY19" i="19"/>
  <c r="BC251" i="14"/>
  <c r="AX251" i="14" s="1"/>
  <c r="BC261" i="14"/>
  <c r="AX261" i="14" s="1"/>
  <c r="AY29" i="19"/>
  <c r="AY25" i="19"/>
  <c r="BC257" i="14"/>
  <c r="AX257" i="14" s="1"/>
  <c r="AY22" i="19"/>
  <c r="BC254" i="14"/>
  <c r="AX254" i="14" s="1"/>
  <c r="AW13" i="19"/>
  <c r="BA245" i="14"/>
  <c r="AQ245" i="14" s="1"/>
  <c r="BB261" i="14"/>
  <c r="AW261" i="14" s="1"/>
  <c r="AX29" i="19"/>
  <c r="AV26" i="19"/>
  <c r="AZ258" i="14"/>
  <c r="AP258" i="14" s="1"/>
  <c r="AF26" i="19"/>
  <c r="BB270" i="14"/>
  <c r="AW270" i="14" s="1"/>
  <c r="AX38" i="19"/>
  <c r="BC253" i="14"/>
  <c r="AX253" i="14" s="1"/>
  <c r="AY21" i="19"/>
  <c r="AX30" i="19"/>
  <c r="BB262" i="14"/>
  <c r="AW262" i="14" s="1"/>
  <c r="AV14" i="19"/>
  <c r="AZ246" i="14"/>
  <c r="AP246" i="14" s="1"/>
  <c r="AF14" i="19"/>
  <c r="AW24" i="19"/>
  <c r="BA256" i="14"/>
  <c r="AQ256" i="14" s="1"/>
  <c r="AX12" i="19"/>
  <c r="BB244" i="14"/>
  <c r="AW244" i="14" s="1"/>
  <c r="AV13" i="19"/>
  <c r="AZ245" i="14"/>
  <c r="AP245" i="14" s="1"/>
  <c r="AF13" i="19"/>
  <c r="AW37" i="19"/>
  <c r="BA269" i="14"/>
  <c r="AQ269" i="14" s="1"/>
  <c r="BC258" i="14"/>
  <c r="AX258" i="14" s="1"/>
  <c r="AY26" i="19"/>
  <c r="AY36" i="19"/>
  <c r="BC268" i="14"/>
  <c r="AX268" i="14" s="1"/>
  <c r="AX28" i="19"/>
  <c r="BB260" i="14"/>
  <c r="AW260" i="14" s="1"/>
  <c r="BC243" i="14"/>
  <c r="AX243" i="14" s="1"/>
  <c r="AY11" i="19"/>
  <c r="BA252" i="14"/>
  <c r="AQ252" i="14" s="1"/>
  <c r="AW20" i="19"/>
  <c r="AV29" i="19"/>
  <c r="AZ261" i="14"/>
  <c r="AP261" i="14" s="1"/>
  <c r="AF29" i="19"/>
  <c r="BB247" i="14"/>
  <c r="AW247" i="14" s="1"/>
  <c r="AX15" i="19"/>
  <c r="AY32" i="19"/>
  <c r="BC264" i="14"/>
  <c r="AX264" i="14" s="1"/>
  <c r="BA259" i="14"/>
  <c r="AQ259" i="14" s="1"/>
  <c r="AW27" i="19"/>
  <c r="AY15" i="19"/>
  <c r="BC247" i="14"/>
  <c r="AX247" i="14" s="1"/>
  <c r="AV38" i="19"/>
  <c r="AZ270" i="14"/>
  <c r="AP270" i="14" s="1"/>
  <c r="AF38" i="19"/>
  <c r="AZ263" i="14"/>
  <c r="AP263" i="14" s="1"/>
  <c r="AV31" i="19"/>
  <c r="AF31" i="19"/>
  <c r="AZ241" i="14"/>
  <c r="AP241" i="14" s="1"/>
  <c r="AV9" i="19"/>
  <c r="AF9" i="19"/>
  <c r="AY30" i="19"/>
  <c r="BC262" i="14"/>
  <c r="AX262" i="14" s="1"/>
  <c r="AW21" i="19"/>
  <c r="BA253" i="14"/>
  <c r="AQ253" i="14" s="1"/>
  <c r="BC244" i="14"/>
  <c r="AX244" i="14" s="1"/>
  <c r="AY12" i="19"/>
  <c r="AV34" i="19"/>
  <c r="AZ266" i="14"/>
  <c r="AP266" i="14" s="1"/>
  <c r="AF34" i="19"/>
  <c r="AV11" i="19"/>
  <c r="AZ243" i="14"/>
  <c r="AP243" i="14" s="1"/>
  <c r="AF11" i="19"/>
  <c r="AV23" i="19"/>
  <c r="AZ255" i="14"/>
  <c r="AP255" i="14" s="1"/>
  <c r="AF23" i="19"/>
  <c r="BB266" i="14"/>
  <c r="AW266" i="14" s="1"/>
  <c r="AX34" i="19"/>
  <c r="BB254" i="14"/>
  <c r="AW254" i="14" s="1"/>
  <c r="AX22" i="19"/>
  <c r="BB267" i="14"/>
  <c r="AW267" i="14" s="1"/>
  <c r="AX35" i="19"/>
  <c r="AZ260" i="14"/>
  <c r="AP260" i="14" s="1"/>
  <c r="AV28" i="19"/>
  <c r="AF28" i="19"/>
  <c r="BB245" i="14"/>
  <c r="AW245" i="14" s="1"/>
  <c r="AX13" i="19"/>
  <c r="AV10" i="19"/>
  <c r="AZ242" i="14"/>
  <c r="AP242" i="14" s="1"/>
  <c r="AF10" i="19"/>
  <c r="C60" i="23"/>
  <c r="C60" i="24"/>
  <c r="AY38" i="23"/>
  <c r="BC392" i="14"/>
  <c r="AX392" i="14" s="1"/>
  <c r="AX16" i="23"/>
  <c r="BB370" i="14"/>
  <c r="AW370" i="14" s="1"/>
  <c r="AY27" i="23"/>
  <c r="BC381" i="14"/>
  <c r="AX381" i="14" s="1"/>
  <c r="AX20" i="23"/>
  <c r="BB374" i="14"/>
  <c r="AW374" i="14" s="1"/>
  <c r="AW32" i="23"/>
  <c r="BA386" i="14"/>
  <c r="AQ386" i="14" s="1"/>
  <c r="AX18" i="23"/>
  <c r="BB372" i="14"/>
  <c r="AW372" i="14" s="1"/>
  <c r="AY18" i="23"/>
  <c r="BC372" i="14"/>
  <c r="AX372" i="14" s="1"/>
  <c r="AW25" i="23"/>
  <c r="BA379" i="14"/>
  <c r="AQ379" i="14" s="1"/>
  <c r="AV9" i="23"/>
  <c r="AZ363" i="14"/>
  <c r="AP363" i="14" s="1"/>
  <c r="AF9" i="23"/>
  <c r="BB371" i="14"/>
  <c r="AW371" i="14" s="1"/>
  <c r="AX17" i="23"/>
  <c r="AZ369" i="14"/>
  <c r="AP369" i="14" s="1"/>
  <c r="AV15" i="23"/>
  <c r="AF15" i="23"/>
  <c r="AY37" i="23"/>
  <c r="BC391" i="14"/>
  <c r="AX391" i="14" s="1"/>
  <c r="AY36" i="23"/>
  <c r="BC390" i="14"/>
  <c r="AX390" i="14" s="1"/>
  <c r="AW38" i="23"/>
  <c r="BA392" i="14"/>
  <c r="AQ392" i="14" s="1"/>
  <c r="AY31" i="23"/>
  <c r="BC385" i="14"/>
  <c r="AX385" i="14" s="1"/>
  <c r="AW18" i="23"/>
  <c r="BA372" i="14"/>
  <c r="AQ372" i="14" s="1"/>
  <c r="AV38" i="23"/>
  <c r="AZ392" i="14"/>
  <c r="AP392" i="14" s="1"/>
  <c r="AF38" i="23"/>
  <c r="AX12" i="23"/>
  <c r="BB366" i="14"/>
  <c r="AW366" i="14" s="1"/>
  <c r="BB390" i="14"/>
  <c r="AW390" i="14" s="1"/>
  <c r="AX36" i="23"/>
  <c r="AY19" i="23"/>
  <c r="BC373" i="14"/>
  <c r="AX373" i="14" s="1"/>
  <c r="AV34" i="23"/>
  <c r="AZ388" i="14"/>
  <c r="AP388" i="14" s="1"/>
  <c r="AF34" i="23"/>
  <c r="AY17" i="23"/>
  <c r="BC371" i="14"/>
  <c r="AX371" i="14" s="1"/>
  <c r="AX14" i="23"/>
  <c r="BB368" i="14"/>
  <c r="AW368" i="14" s="1"/>
  <c r="AV28" i="23"/>
  <c r="AZ382" i="14"/>
  <c r="AP382" i="14" s="1"/>
  <c r="AF28" i="23"/>
  <c r="AY21" i="23"/>
  <c r="BC375" i="14"/>
  <c r="AX375" i="14" s="1"/>
  <c r="AX26" i="23"/>
  <c r="BB380" i="14"/>
  <c r="AW380" i="14" s="1"/>
  <c r="AW20" i="23"/>
  <c r="BA374" i="14"/>
  <c r="AQ374" i="14" s="1"/>
  <c r="AV16" i="23"/>
  <c r="AZ370" i="14"/>
  <c r="AP370" i="14" s="1"/>
  <c r="AF16" i="23"/>
  <c r="AY22" i="23"/>
  <c r="BC376" i="14"/>
  <c r="AX376" i="14" s="1"/>
  <c r="BB389" i="14"/>
  <c r="AW389" i="14" s="1"/>
  <c r="AX35" i="23"/>
  <c r="BB373" i="14"/>
  <c r="AW373" i="14" s="1"/>
  <c r="AX19" i="23"/>
  <c r="AW29" i="23"/>
  <c r="BA383" i="14"/>
  <c r="AQ383" i="14" s="1"/>
  <c r="AW13" i="23"/>
  <c r="BA367" i="14"/>
  <c r="AQ367" i="14" s="1"/>
  <c r="AV29" i="23"/>
  <c r="AZ383" i="14"/>
  <c r="AP383" i="14" s="1"/>
  <c r="AF29" i="23"/>
  <c r="AV13" i="23"/>
  <c r="AZ367" i="14"/>
  <c r="AP367" i="14" s="1"/>
  <c r="AF13" i="23"/>
  <c r="BC382" i="14"/>
  <c r="AX382" i="14" s="1"/>
  <c r="AY28" i="23"/>
  <c r="AY12" i="23"/>
  <c r="BC366" i="14"/>
  <c r="AX366" i="14" s="1"/>
  <c r="BB375" i="14"/>
  <c r="AW375" i="14" s="1"/>
  <c r="AX21" i="23"/>
  <c r="AX8" i="23"/>
  <c r="BB362" i="14"/>
  <c r="AW362" i="14" s="1"/>
  <c r="BA377" i="14"/>
  <c r="AQ377" i="14" s="1"/>
  <c r="AW23" i="23"/>
  <c r="AZ389" i="14"/>
  <c r="AP389" i="14" s="1"/>
  <c r="AV35" i="23"/>
  <c r="AF35" i="23"/>
  <c r="AZ373" i="14"/>
  <c r="AP373" i="14" s="1"/>
  <c r="AV19" i="23"/>
  <c r="AF19" i="23"/>
  <c r="AW37" i="23"/>
  <c r="BA391" i="14"/>
  <c r="AQ391" i="14" s="1"/>
  <c r="AW26" i="23"/>
  <c r="BA380" i="14"/>
  <c r="AQ380" i="14" s="1"/>
  <c r="AV30" i="23"/>
  <c r="AZ384" i="14"/>
  <c r="AP384" i="14" s="1"/>
  <c r="AF30" i="23"/>
  <c r="AW22" i="23"/>
  <c r="BA376" i="14"/>
  <c r="AQ376" i="14" s="1"/>
  <c r="BB391" i="14"/>
  <c r="AW391" i="14" s="1"/>
  <c r="AX37" i="23"/>
  <c r="AV18" i="23"/>
  <c r="AZ372" i="14"/>
  <c r="AP372" i="14" s="1"/>
  <c r="AF18" i="23"/>
  <c r="AY9" i="23"/>
  <c r="BC363" i="14"/>
  <c r="AX363" i="14" s="1"/>
  <c r="AV20" i="23"/>
  <c r="AZ374" i="14"/>
  <c r="AP374" i="14" s="1"/>
  <c r="AF20" i="23"/>
  <c r="AY13" i="23"/>
  <c r="BC367" i="14"/>
  <c r="AX367" i="14" s="1"/>
  <c r="AW12" i="23"/>
  <c r="BA366" i="14"/>
  <c r="AQ366" i="14" s="1"/>
  <c r="AY34" i="23"/>
  <c r="BC388" i="14"/>
  <c r="AX388" i="14" s="1"/>
  <c r="AX31" i="23"/>
  <c r="BB385" i="14"/>
  <c r="AW385" i="14" s="1"/>
  <c r="AX15" i="23"/>
  <c r="BB369" i="14"/>
  <c r="AW369" i="14" s="1"/>
  <c r="AW9" i="23"/>
  <c r="BA363" i="14"/>
  <c r="AQ363" i="14" s="1"/>
  <c r="AV25" i="23"/>
  <c r="AZ379" i="14"/>
  <c r="AP379" i="14" s="1"/>
  <c r="AF25" i="23"/>
  <c r="AY24" i="23"/>
  <c r="BC378" i="14"/>
  <c r="AX378" i="14" s="1"/>
  <c r="BB387" i="14"/>
  <c r="AW387" i="14" s="1"/>
  <c r="AX33" i="23"/>
  <c r="BA389" i="14"/>
  <c r="AQ389" i="14" s="1"/>
  <c r="AW35" i="23"/>
  <c r="BA373" i="14"/>
  <c r="AQ373" i="14" s="1"/>
  <c r="AW19" i="23"/>
  <c r="AZ385" i="14"/>
  <c r="AP385" i="14" s="1"/>
  <c r="AV31" i="23"/>
  <c r="AF31" i="23"/>
  <c r="AX24" i="23"/>
  <c r="BB378" i="14"/>
  <c r="AW378" i="14" s="1"/>
  <c r="AY15" i="23"/>
  <c r="BC369" i="14"/>
  <c r="AX369" i="14" s="1"/>
  <c r="AW34" i="23"/>
  <c r="BA388" i="14"/>
  <c r="AQ388" i="14" s="1"/>
  <c r="AY23" i="23"/>
  <c r="BC377" i="14"/>
  <c r="AX377" i="14" s="1"/>
  <c r="AV36" i="23"/>
  <c r="AZ390" i="14"/>
  <c r="AP390" i="14" s="1"/>
  <c r="AF36" i="23"/>
  <c r="AY11" i="23"/>
  <c r="BC365" i="14"/>
  <c r="AX365" i="14" s="1"/>
  <c r="AV26" i="23"/>
  <c r="AZ380" i="14"/>
  <c r="AP380" i="14" s="1"/>
  <c r="AF26" i="23"/>
  <c r="BB392" i="14"/>
  <c r="AW392" i="14" s="1"/>
  <c r="AX38" i="23"/>
  <c r="AW30" i="23"/>
  <c r="BA384" i="14"/>
  <c r="AQ384" i="14" s="1"/>
  <c r="AY33" i="23"/>
  <c r="BC387" i="14"/>
  <c r="AX387" i="14" s="1"/>
  <c r="AX30" i="23"/>
  <c r="BB384" i="14"/>
  <c r="AW384" i="14" s="1"/>
  <c r="AW24" i="23"/>
  <c r="BA378" i="14"/>
  <c r="AQ378" i="14" s="1"/>
  <c r="AV12" i="23"/>
  <c r="AZ366" i="14"/>
  <c r="AP366" i="14" s="1"/>
  <c r="AF12" i="23"/>
  <c r="AY8" i="23"/>
  <c r="BC362" i="14"/>
  <c r="AX362" i="14" s="1"/>
  <c r="AX10" i="23"/>
  <c r="BB364" i="14"/>
  <c r="AW364" i="14" s="1"/>
  <c r="AV32" i="23"/>
  <c r="AZ386" i="14"/>
  <c r="AP386" i="14" s="1"/>
  <c r="AF32" i="23"/>
  <c r="AY30" i="23"/>
  <c r="BC384" i="14"/>
  <c r="AX384" i="14" s="1"/>
  <c r="AY14" i="23"/>
  <c r="BC368" i="14"/>
  <c r="AX368" i="14" s="1"/>
  <c r="BB381" i="14"/>
  <c r="AW381" i="14" s="1"/>
  <c r="AX27" i="23"/>
  <c r="BB365" i="14"/>
  <c r="AW365" i="14" s="1"/>
  <c r="AX11" i="23"/>
  <c r="AW21" i="23"/>
  <c r="BA375" i="14"/>
  <c r="AQ375" i="14" s="1"/>
  <c r="AW8" i="23"/>
  <c r="BA362" i="14"/>
  <c r="AQ362" i="14" s="1"/>
  <c r="AV21" i="23"/>
  <c r="AZ375" i="14"/>
  <c r="AP375" i="14" s="1"/>
  <c r="AF21" i="23"/>
  <c r="AV8" i="23"/>
  <c r="AZ362" i="14"/>
  <c r="AP362" i="14" s="1"/>
  <c r="AF8" i="23"/>
  <c r="AY20" i="23"/>
  <c r="BC374" i="14"/>
  <c r="AX374" i="14" s="1"/>
  <c r="BB383" i="14"/>
  <c r="AW383" i="14" s="1"/>
  <c r="AX29" i="23"/>
  <c r="BB367" i="14"/>
  <c r="AW367" i="14" s="1"/>
  <c r="AX13" i="23"/>
  <c r="BA385" i="14"/>
  <c r="AQ385" i="14" s="1"/>
  <c r="AW31" i="23"/>
  <c r="BA369" i="14"/>
  <c r="AQ369" i="14" s="1"/>
  <c r="AW15" i="23"/>
  <c r="AZ381" i="14"/>
  <c r="AP381" i="14" s="1"/>
  <c r="AV27" i="23"/>
  <c r="AF27" i="23"/>
  <c r="AZ365" i="14"/>
  <c r="AP365" i="14" s="1"/>
  <c r="AV11" i="23"/>
  <c r="AF11" i="23"/>
  <c r="AV14" i="23"/>
  <c r="AZ368" i="14"/>
  <c r="AP368" i="14" s="1"/>
  <c r="AF14" i="23"/>
  <c r="AW10" i="23"/>
  <c r="BA364" i="14"/>
  <c r="AQ364" i="14" s="1"/>
  <c r="AW36" i="23"/>
  <c r="BA390" i="14"/>
  <c r="AQ390" i="14" s="1"/>
  <c r="AV22" i="23"/>
  <c r="AZ376" i="14"/>
  <c r="AP376" i="14" s="1"/>
  <c r="AF22" i="23"/>
  <c r="AX32" i="23"/>
  <c r="BB386" i="14"/>
  <c r="AW386" i="14" s="1"/>
  <c r="AV37" i="23"/>
  <c r="AZ391" i="14"/>
  <c r="AP391" i="14" s="1"/>
  <c r="AF37" i="23"/>
  <c r="AX28" i="23"/>
  <c r="BB382" i="14"/>
  <c r="AW382" i="14" s="1"/>
  <c r="AV10" i="23"/>
  <c r="AZ364" i="14"/>
  <c r="AP364" i="14" s="1"/>
  <c r="AF10" i="23"/>
  <c r="AY35" i="23"/>
  <c r="BC389" i="14"/>
  <c r="AX389" i="14" s="1"/>
  <c r="AW14" i="23"/>
  <c r="BA368" i="14"/>
  <c r="AQ368" i="14" s="1"/>
  <c r="AY25" i="23"/>
  <c r="BC379" i="14"/>
  <c r="AX379" i="14" s="1"/>
  <c r="AX22" i="23"/>
  <c r="BB376" i="14"/>
  <c r="AW376" i="14" s="1"/>
  <c r="AW16" i="23"/>
  <c r="BA370" i="14"/>
  <c r="AQ370" i="14" s="1"/>
  <c r="AY29" i="23"/>
  <c r="BC383" i="14"/>
  <c r="AX383" i="14" s="1"/>
  <c r="AX34" i="23"/>
  <c r="BB388" i="14"/>
  <c r="AW388" i="14" s="1"/>
  <c r="AW28" i="23"/>
  <c r="BA382" i="14"/>
  <c r="AQ382" i="14" s="1"/>
  <c r="AV24" i="23"/>
  <c r="AZ378" i="14"/>
  <c r="AP378" i="14" s="1"/>
  <c r="AF24" i="23"/>
  <c r="AY26" i="23"/>
  <c r="BC380" i="14"/>
  <c r="AX380" i="14" s="1"/>
  <c r="AY10" i="23"/>
  <c r="BC364" i="14"/>
  <c r="AX364" i="14" s="1"/>
  <c r="AX23" i="23"/>
  <c r="BB377" i="14"/>
  <c r="AW377" i="14" s="1"/>
  <c r="AW33" i="23"/>
  <c r="BA387" i="14"/>
  <c r="AQ387" i="14" s="1"/>
  <c r="AW17" i="23"/>
  <c r="BA371" i="14"/>
  <c r="AQ371" i="14" s="1"/>
  <c r="AV33" i="23"/>
  <c r="AZ387" i="14"/>
  <c r="AP387" i="14" s="1"/>
  <c r="AF33" i="23"/>
  <c r="AV17" i="23"/>
  <c r="AZ371" i="14"/>
  <c r="AP371" i="14" s="1"/>
  <c r="AF17" i="23"/>
  <c r="AY32" i="23"/>
  <c r="BC386" i="14"/>
  <c r="AX386" i="14" s="1"/>
  <c r="AY16" i="23"/>
  <c r="BC370" i="14"/>
  <c r="AX370" i="14" s="1"/>
  <c r="BB379" i="14"/>
  <c r="AW379" i="14" s="1"/>
  <c r="AX25" i="23"/>
  <c r="BB363" i="14"/>
  <c r="AW363" i="14" s="1"/>
  <c r="AX9" i="23"/>
  <c r="BA381" i="14"/>
  <c r="AQ381" i="14" s="1"/>
  <c r="AW27" i="23"/>
  <c r="BA365" i="14"/>
  <c r="AQ365" i="14" s="1"/>
  <c r="AW11" i="23"/>
  <c r="AZ377" i="14"/>
  <c r="AP377" i="14" s="1"/>
  <c r="AV23" i="23"/>
  <c r="AF23" i="23"/>
  <c r="J13" i="29" l="1"/>
  <c r="J124" i="29"/>
  <c r="H128" i="29"/>
  <c r="AU18" i="20"/>
  <c r="CR281" i="14" s="1"/>
  <c r="J121" i="29"/>
  <c r="E147" i="21"/>
  <c r="E147" i="20"/>
  <c r="E147" i="19"/>
  <c r="AY308" i="14"/>
  <c r="AO308" i="14" s="1"/>
  <c r="AU12" i="20"/>
  <c r="CR275" i="14" s="1"/>
  <c r="AU11" i="21"/>
  <c r="CR304" i="14" s="1"/>
  <c r="N39" i="14"/>
  <c r="P48" i="14" s="1"/>
  <c r="N50" i="14" s="1"/>
  <c r="R155" i="14"/>
  <c r="R139" i="14"/>
  <c r="R123" i="14"/>
  <c r="R146" i="14"/>
  <c r="R130" i="14"/>
  <c r="R157" i="14"/>
  <c r="R137" i="14"/>
  <c r="R160" i="14"/>
  <c r="R144" i="14"/>
  <c r="R128" i="14"/>
  <c r="R159" i="14"/>
  <c r="R143" i="14"/>
  <c r="R127" i="14"/>
  <c r="R134" i="14"/>
  <c r="R141" i="14"/>
  <c r="R148" i="14"/>
  <c r="R151" i="14"/>
  <c r="R135" i="14"/>
  <c r="R162" i="14"/>
  <c r="R142" i="14"/>
  <c r="R126" i="14"/>
  <c r="R153" i="14"/>
  <c r="R133" i="14"/>
  <c r="R156" i="14"/>
  <c r="R140" i="14"/>
  <c r="R124" i="14"/>
  <c r="R163" i="14"/>
  <c r="R147" i="14"/>
  <c r="R131" i="14"/>
  <c r="R158" i="14"/>
  <c r="R138" i="14"/>
  <c r="R122" i="14"/>
  <c r="R145" i="14"/>
  <c r="R129" i="14"/>
  <c r="R152" i="14"/>
  <c r="R136" i="14"/>
  <c r="R154" i="14"/>
  <c r="R161" i="14"/>
  <c r="R125" i="14"/>
  <c r="R132" i="14"/>
  <c r="AU32" i="21"/>
  <c r="CR325" i="14" s="1"/>
  <c r="AY326" i="14"/>
  <c r="AO326" i="14" s="1"/>
  <c r="AU30" i="21"/>
  <c r="CR323" i="14" s="1"/>
  <c r="AU24" i="20"/>
  <c r="CR287" i="14" s="1"/>
  <c r="AY312" i="14"/>
  <c r="AO312" i="14" s="1"/>
  <c r="AY293" i="14"/>
  <c r="AO293" i="14" s="1"/>
  <c r="J11" i="29"/>
  <c r="AY303" i="14"/>
  <c r="AO303" i="14" s="1"/>
  <c r="AY300" i="14"/>
  <c r="AO300" i="14" s="1"/>
  <c r="AU35" i="21"/>
  <c r="CW328" i="14" s="1"/>
  <c r="AU36" i="21"/>
  <c r="CR329" i="14" s="1"/>
  <c r="AU21" i="20"/>
  <c r="CR284" i="14" s="1"/>
  <c r="AU16" i="21"/>
  <c r="G128" i="29"/>
  <c r="AU26" i="21"/>
  <c r="CR319" i="14" s="1"/>
  <c r="H146" i="21"/>
  <c r="J120" i="29"/>
  <c r="CW275" i="14"/>
  <c r="CW331" i="14"/>
  <c r="CH331" i="14" s="1"/>
  <c r="T331" i="14" s="1"/>
  <c r="AY302" i="14"/>
  <c r="AO302" i="14" s="1"/>
  <c r="AY276" i="14"/>
  <c r="AO276" i="14" s="1"/>
  <c r="AY291" i="14"/>
  <c r="AO291" i="14" s="1"/>
  <c r="AY320" i="14"/>
  <c r="AO320" i="14" s="1"/>
  <c r="AY273" i="14"/>
  <c r="AO273" i="14" s="1"/>
  <c r="AY324" i="14"/>
  <c r="AO324" i="14" s="1"/>
  <c r="AY282" i="14"/>
  <c r="AO282" i="14" s="1"/>
  <c r="CW291" i="14"/>
  <c r="CH291" i="14" s="1"/>
  <c r="T291" i="14" s="1"/>
  <c r="H8" i="29"/>
  <c r="H17" i="29" s="1"/>
  <c r="AU29" i="20"/>
  <c r="CW292" i="14" s="1"/>
  <c r="G8" i="29"/>
  <c r="G9" i="29"/>
  <c r="J9" i="29" s="1"/>
  <c r="AU23" i="20"/>
  <c r="CR286" i="14" s="1"/>
  <c r="CW278" i="14"/>
  <c r="CH278" i="14" s="1"/>
  <c r="T278" i="14" s="1"/>
  <c r="CW321" i="14"/>
  <c r="CH321" i="14" s="1"/>
  <c r="T321" i="14" s="1"/>
  <c r="AY307" i="14"/>
  <c r="AO307" i="14" s="1"/>
  <c r="AU20" i="21"/>
  <c r="AU32" i="20"/>
  <c r="CR295" i="14" s="1"/>
  <c r="AY280" i="14"/>
  <c r="AO280" i="14" s="1"/>
  <c r="AY318" i="14"/>
  <c r="AO318" i="14" s="1"/>
  <c r="AY278" i="14"/>
  <c r="AO278" i="14" s="1"/>
  <c r="AY321" i="14"/>
  <c r="AO321" i="14" s="1"/>
  <c r="AY331" i="14"/>
  <c r="AO331" i="14" s="1"/>
  <c r="AY298" i="14"/>
  <c r="AO298" i="14" s="1"/>
  <c r="CW303" i="14"/>
  <c r="CR303" i="14"/>
  <c r="AY306" i="14"/>
  <c r="AO306" i="14" s="1"/>
  <c r="CW280" i="14"/>
  <c r="CR280" i="14"/>
  <c r="I17" i="29"/>
  <c r="AU29" i="21"/>
  <c r="CR322" i="14" s="1"/>
  <c r="AY297" i="14"/>
  <c r="AO297" i="14" s="1"/>
  <c r="AU22" i="20"/>
  <c r="CW307" i="14"/>
  <c r="CH307" i="14" s="1"/>
  <c r="T307" i="14" s="1"/>
  <c r="AU26" i="20"/>
  <c r="CR289" i="14" s="1"/>
  <c r="AY289" i="14"/>
  <c r="AO289" i="14" s="1"/>
  <c r="AY274" i="14"/>
  <c r="AO274" i="14" s="1"/>
  <c r="CW297" i="14"/>
  <c r="AU14" i="20"/>
  <c r="CR277" i="14" s="1"/>
  <c r="AU12" i="21"/>
  <c r="CW305" i="14" s="1"/>
  <c r="AU22" i="21"/>
  <c r="CR315" i="14" s="1"/>
  <c r="AY311" i="14"/>
  <c r="AO311" i="14" s="1"/>
  <c r="CW293" i="14"/>
  <c r="CH293" i="14" s="1"/>
  <c r="T293" i="14" s="1"/>
  <c r="CW276" i="14"/>
  <c r="CH276" i="14" s="1"/>
  <c r="T276" i="14" s="1"/>
  <c r="CR297" i="14"/>
  <c r="AY317" i="14"/>
  <c r="AO317" i="14" s="1"/>
  <c r="CW312" i="14"/>
  <c r="CH312" i="14" s="1"/>
  <c r="T312" i="14" s="1"/>
  <c r="AU25" i="20"/>
  <c r="CW288" i="14" s="1"/>
  <c r="CW274" i="14"/>
  <c r="CH274" i="14" s="1"/>
  <c r="T274" i="14" s="1"/>
  <c r="AY316" i="14"/>
  <c r="AO316" i="14" s="1"/>
  <c r="CW317" i="14"/>
  <c r="CH317" i="14" s="1"/>
  <c r="T317" i="14" s="1"/>
  <c r="CW282" i="14"/>
  <c r="CH282" i="14" s="1"/>
  <c r="T282" i="14" s="1"/>
  <c r="J10" i="29"/>
  <c r="AY294" i="14"/>
  <c r="AO294" i="14" s="1"/>
  <c r="AU31" i="20"/>
  <c r="CW300" i="14"/>
  <c r="CH300" i="14" s="1"/>
  <c r="T300" i="14" s="1"/>
  <c r="AU21" i="21"/>
  <c r="CR314" i="14" s="1"/>
  <c r="AU33" i="20"/>
  <c r="AY296" i="14"/>
  <c r="AO296" i="14" s="1"/>
  <c r="CW308" i="14"/>
  <c r="CH308" i="14" s="1"/>
  <c r="T308" i="14" s="1"/>
  <c r="E128" i="29"/>
  <c r="J117" i="29"/>
  <c r="AY283" i="14"/>
  <c r="AO283" i="14" s="1"/>
  <c r="AU20" i="20"/>
  <c r="CW318" i="14"/>
  <c r="CH318" i="14" s="1"/>
  <c r="T318" i="14" s="1"/>
  <c r="CW298" i="14"/>
  <c r="CH298" i="14" s="1"/>
  <c r="T298" i="14" s="1"/>
  <c r="AY310" i="14"/>
  <c r="AO310" i="14" s="1"/>
  <c r="AU17" i="21"/>
  <c r="CW320" i="14"/>
  <c r="CH320" i="14" s="1"/>
  <c r="T320" i="14" s="1"/>
  <c r="AY299" i="14"/>
  <c r="AO299" i="14" s="1"/>
  <c r="AU36" i="20"/>
  <c r="CW311" i="14"/>
  <c r="CH311" i="14" s="1"/>
  <c r="T311" i="14" s="1"/>
  <c r="CW324" i="14"/>
  <c r="CH324" i="14" s="1"/>
  <c r="T324" i="14" s="1"/>
  <c r="I128" i="29"/>
  <c r="J119" i="29"/>
  <c r="CW326" i="14"/>
  <c r="CH326" i="14" s="1"/>
  <c r="T326" i="14" s="1"/>
  <c r="CW302" i="14"/>
  <c r="CH302" i="14" s="1"/>
  <c r="T302" i="14" s="1"/>
  <c r="AY301" i="14"/>
  <c r="AO301" i="14" s="1"/>
  <c r="CW301" i="14"/>
  <c r="CH301" i="14" s="1"/>
  <c r="T301" i="14" s="1"/>
  <c r="CW316" i="14"/>
  <c r="CH316" i="14" s="1"/>
  <c r="T316" i="14" s="1"/>
  <c r="CW273" i="14"/>
  <c r="CH273" i="14" s="1"/>
  <c r="T273" i="14" s="1"/>
  <c r="AU27" i="20"/>
  <c r="AY290" i="14"/>
  <c r="AO290" i="14" s="1"/>
  <c r="CW306" i="14"/>
  <c r="CH306" i="14" s="1"/>
  <c r="T306" i="14" s="1"/>
  <c r="AY327" i="14"/>
  <c r="AO327" i="14" s="1"/>
  <c r="AU34" i="21"/>
  <c r="AU9" i="20"/>
  <c r="AY272" i="14"/>
  <c r="AO272" i="14" s="1"/>
  <c r="AY279" i="14"/>
  <c r="AO279" i="14" s="1"/>
  <c r="AU16" i="20"/>
  <c r="AU37" i="21"/>
  <c r="AY330" i="14"/>
  <c r="AO330" i="14" s="1"/>
  <c r="CS377" i="14"/>
  <c r="CI377" i="14" s="1"/>
  <c r="CT381" i="14"/>
  <c r="CJ381" i="14" s="1"/>
  <c r="CU379" i="14"/>
  <c r="CP379" i="14" s="1"/>
  <c r="CU388" i="14"/>
  <c r="CP388" i="14" s="1"/>
  <c r="CS391" i="14"/>
  <c r="CI391" i="14" s="1"/>
  <c r="CS368" i="14"/>
  <c r="CI368" i="14" s="1"/>
  <c r="CV374" i="14"/>
  <c r="CQ374" i="14" s="1"/>
  <c r="CV368" i="14"/>
  <c r="CQ368" i="14" s="1"/>
  <c r="CV377" i="14"/>
  <c r="CQ377" i="14" s="1"/>
  <c r="CV369" i="14"/>
  <c r="CQ369" i="14" s="1"/>
  <c r="CS385" i="14"/>
  <c r="CI385" i="14" s="1"/>
  <c r="CT389" i="14"/>
  <c r="CJ389" i="14" s="1"/>
  <c r="CS379" i="14"/>
  <c r="CI379" i="14" s="1"/>
  <c r="CU369" i="14"/>
  <c r="CP369" i="14" s="1"/>
  <c r="CV388" i="14"/>
  <c r="CQ388" i="14" s="1"/>
  <c r="CV367" i="14"/>
  <c r="CQ367" i="14" s="1"/>
  <c r="CS389" i="14"/>
  <c r="CI389" i="14" s="1"/>
  <c r="CV373" i="14"/>
  <c r="CQ373" i="14" s="1"/>
  <c r="CU366" i="14"/>
  <c r="CP366" i="14" s="1"/>
  <c r="CU267" i="14"/>
  <c r="CP267" i="14" s="1"/>
  <c r="CU266" i="14"/>
  <c r="CP266" i="14" s="1"/>
  <c r="CS255" i="14"/>
  <c r="CI255" i="14" s="1"/>
  <c r="CT259" i="14"/>
  <c r="CJ259" i="14" s="1"/>
  <c r="CU247" i="14"/>
  <c r="CP247" i="14" s="1"/>
  <c r="CS261" i="14"/>
  <c r="CI261" i="14" s="1"/>
  <c r="CU262" i="14"/>
  <c r="CP262" i="14" s="1"/>
  <c r="CS244" i="14"/>
  <c r="CI244" i="14" s="1"/>
  <c r="CT248" i="14"/>
  <c r="CJ248" i="14" s="1"/>
  <c r="CT240" i="14"/>
  <c r="CJ240" i="14" s="1"/>
  <c r="CV241" i="14"/>
  <c r="CQ241" i="14" s="1"/>
  <c r="CT271" i="14"/>
  <c r="CJ271" i="14" s="1"/>
  <c r="CV271" i="14"/>
  <c r="CQ271" i="14" s="1"/>
  <c r="CV386" i="14"/>
  <c r="CQ386" i="14" s="1"/>
  <c r="CT371" i="14"/>
  <c r="CJ371" i="14" s="1"/>
  <c r="CU377" i="14"/>
  <c r="CP377" i="14" s="1"/>
  <c r="CV380" i="14"/>
  <c r="CQ380" i="14" s="1"/>
  <c r="CU382" i="14"/>
  <c r="CP382" i="14" s="1"/>
  <c r="CS376" i="14"/>
  <c r="CI376" i="14" s="1"/>
  <c r="CT364" i="14"/>
  <c r="CJ364" i="14" s="1"/>
  <c r="CS381" i="14"/>
  <c r="CI381" i="14" s="1"/>
  <c r="CT385" i="14"/>
  <c r="CJ385" i="14" s="1"/>
  <c r="CU383" i="14"/>
  <c r="CP383" i="14" s="1"/>
  <c r="CU381" i="14"/>
  <c r="CP381" i="14" s="1"/>
  <c r="CS386" i="14"/>
  <c r="CI386" i="14" s="1"/>
  <c r="CV362" i="14"/>
  <c r="CQ362" i="14" s="1"/>
  <c r="CU392" i="14"/>
  <c r="CP392" i="14" s="1"/>
  <c r="CS380" i="14"/>
  <c r="CI380" i="14" s="1"/>
  <c r="CV378" i="14"/>
  <c r="CQ378" i="14" s="1"/>
  <c r="CV363" i="14"/>
  <c r="CQ363" i="14" s="1"/>
  <c r="CU391" i="14"/>
  <c r="CP391" i="14" s="1"/>
  <c r="CT380" i="14"/>
  <c r="CJ380" i="14" s="1"/>
  <c r="CS373" i="14"/>
  <c r="CI373" i="14" s="1"/>
  <c r="CU362" i="14"/>
  <c r="CP362" i="14" s="1"/>
  <c r="CV366" i="14"/>
  <c r="CQ366" i="14" s="1"/>
  <c r="CS383" i="14"/>
  <c r="CI383" i="14" s="1"/>
  <c r="CT383" i="14"/>
  <c r="CJ383" i="14" s="1"/>
  <c r="CU368" i="14"/>
  <c r="CP368" i="14" s="1"/>
  <c r="CU390" i="14"/>
  <c r="CP390" i="14" s="1"/>
  <c r="CT372" i="14"/>
  <c r="CJ372" i="14" s="1"/>
  <c r="CT392" i="14"/>
  <c r="CJ392" i="14" s="1"/>
  <c r="CV391" i="14"/>
  <c r="CQ391" i="14" s="1"/>
  <c r="CU371" i="14"/>
  <c r="CP371" i="14" s="1"/>
  <c r="CS363" i="14"/>
  <c r="CI363" i="14" s="1"/>
  <c r="CV372" i="14"/>
  <c r="CQ372" i="14" s="1"/>
  <c r="CT386" i="14"/>
  <c r="CJ386" i="14" s="1"/>
  <c r="CV381" i="14"/>
  <c r="CQ381" i="14" s="1"/>
  <c r="CV392" i="14"/>
  <c r="CQ392" i="14" s="1"/>
  <c r="CS263" i="14"/>
  <c r="CI263" i="14" s="1"/>
  <c r="CS270" i="14"/>
  <c r="CI270" i="14" s="1"/>
  <c r="CT252" i="14"/>
  <c r="CJ252" i="14" s="1"/>
  <c r="CV258" i="14"/>
  <c r="CQ258" i="14" s="1"/>
  <c r="CU244" i="14"/>
  <c r="CP244" i="14" s="1"/>
  <c r="CV253" i="14"/>
  <c r="CQ253" i="14" s="1"/>
  <c r="CV254" i="14"/>
  <c r="CQ254" i="14" s="1"/>
  <c r="CS253" i="14"/>
  <c r="CI253" i="14" s="1"/>
  <c r="CS262" i="14"/>
  <c r="CI262" i="14" s="1"/>
  <c r="CT251" i="14"/>
  <c r="CJ251" i="14" s="1"/>
  <c r="CT267" i="14"/>
  <c r="CJ267" i="14" s="1"/>
  <c r="CV252" i="14"/>
  <c r="CQ252" i="14" s="1"/>
  <c r="CS240" i="14"/>
  <c r="CI240" i="14" s="1"/>
  <c r="CS257" i="14"/>
  <c r="CI257" i="14" s="1"/>
  <c r="CS252" i="14"/>
  <c r="CI252" i="14" s="1"/>
  <c r="CT264" i="14"/>
  <c r="CJ264" i="14" s="1"/>
  <c r="CU269" i="14"/>
  <c r="CP269" i="14" s="1"/>
  <c r="CS264" i="14"/>
  <c r="CI264" i="14" s="1"/>
  <c r="CT263" i="14"/>
  <c r="CJ263" i="14" s="1"/>
  <c r="CS250" i="14"/>
  <c r="CI250" i="14" s="1"/>
  <c r="CT266" i="14"/>
  <c r="CJ266" i="14" s="1"/>
  <c r="CV270" i="14"/>
  <c r="CQ270" i="14" s="1"/>
  <c r="CV267" i="14"/>
  <c r="CQ267" i="14" s="1"/>
  <c r="CV242" i="14"/>
  <c r="CQ242" i="14" s="1"/>
  <c r="CT301" i="14"/>
  <c r="CJ301" i="14" s="1"/>
  <c r="CS301" i="14"/>
  <c r="CI301" i="14" s="1"/>
  <c r="CS371" i="14"/>
  <c r="CI371" i="14" s="1"/>
  <c r="CS378" i="14"/>
  <c r="CI378" i="14" s="1"/>
  <c r="CT370" i="14"/>
  <c r="CJ370" i="14" s="1"/>
  <c r="CV379" i="14"/>
  <c r="CQ379" i="14" s="1"/>
  <c r="CV389" i="14"/>
  <c r="CQ389" i="14" s="1"/>
  <c r="CT362" i="14"/>
  <c r="CJ362" i="14" s="1"/>
  <c r="CS366" i="14"/>
  <c r="CI366" i="14" s="1"/>
  <c r="CU384" i="14"/>
  <c r="CP384" i="14" s="1"/>
  <c r="CT384" i="14"/>
  <c r="CJ384" i="14" s="1"/>
  <c r="CS372" i="14"/>
  <c r="CI372" i="14" s="1"/>
  <c r="CT376" i="14"/>
  <c r="CJ376" i="14" s="1"/>
  <c r="CU389" i="14"/>
  <c r="CP389" i="14" s="1"/>
  <c r="CT374" i="14"/>
  <c r="CJ374" i="14" s="1"/>
  <c r="CV375" i="14"/>
  <c r="CQ375" i="14" s="1"/>
  <c r="CV262" i="14"/>
  <c r="CQ262" i="14" s="1"/>
  <c r="CV268" i="14"/>
  <c r="CQ268" i="14" s="1"/>
  <c r="CT269" i="14"/>
  <c r="CJ269" i="14" s="1"/>
  <c r="CU261" i="14"/>
  <c r="CP261" i="14" s="1"/>
  <c r="CV261" i="14"/>
  <c r="CQ261" i="14" s="1"/>
  <c r="CU252" i="14"/>
  <c r="CP252" i="14" s="1"/>
  <c r="CV260" i="14"/>
  <c r="CQ260" i="14" s="1"/>
  <c r="CT244" i="14"/>
  <c r="CJ244" i="14" s="1"/>
  <c r="CU241" i="14"/>
  <c r="CP241" i="14" s="1"/>
  <c r="CS256" i="14"/>
  <c r="CI256" i="14" s="1"/>
  <c r="CU246" i="14"/>
  <c r="CP246" i="14" s="1"/>
  <c r="CU242" i="14"/>
  <c r="CP242" i="14" s="1"/>
  <c r="CV269" i="14"/>
  <c r="CQ269" i="14" s="1"/>
  <c r="CV250" i="14"/>
  <c r="CQ250" i="14" s="1"/>
  <c r="CV256" i="14"/>
  <c r="CQ256" i="14" s="1"/>
  <c r="CT243" i="14"/>
  <c r="CJ243" i="14" s="1"/>
  <c r="CT257" i="14"/>
  <c r="CJ257" i="14" s="1"/>
  <c r="CT242" i="14"/>
  <c r="CJ242" i="14" s="1"/>
  <c r="CU255" i="14"/>
  <c r="CP255" i="14" s="1"/>
  <c r="CT365" i="14"/>
  <c r="CJ365" i="14" s="1"/>
  <c r="CU363" i="14"/>
  <c r="CP363" i="14" s="1"/>
  <c r="CT382" i="14"/>
  <c r="CJ382" i="14" s="1"/>
  <c r="CV383" i="14"/>
  <c r="CQ383" i="14" s="1"/>
  <c r="CU376" i="14"/>
  <c r="CP376" i="14" s="1"/>
  <c r="CT368" i="14"/>
  <c r="CJ368" i="14" s="1"/>
  <c r="CU386" i="14"/>
  <c r="CP386" i="14" s="1"/>
  <c r="CS365" i="14"/>
  <c r="CI365" i="14" s="1"/>
  <c r="CS375" i="14"/>
  <c r="CI375" i="14" s="1"/>
  <c r="CT375" i="14"/>
  <c r="CJ375" i="14" s="1"/>
  <c r="CV384" i="14"/>
  <c r="CQ384" i="14" s="1"/>
  <c r="CT378" i="14"/>
  <c r="CJ378" i="14" s="1"/>
  <c r="CV387" i="14"/>
  <c r="CQ387" i="14" s="1"/>
  <c r="CS390" i="14"/>
  <c r="CI390" i="14" s="1"/>
  <c r="CT388" i="14"/>
  <c r="CJ388" i="14" s="1"/>
  <c r="CU378" i="14"/>
  <c r="CP378" i="14" s="1"/>
  <c r="CT373" i="14"/>
  <c r="CJ373" i="14" s="1"/>
  <c r="CU387" i="14"/>
  <c r="CP387" i="14" s="1"/>
  <c r="CT363" i="14"/>
  <c r="CJ363" i="14" s="1"/>
  <c r="CU385" i="14"/>
  <c r="CP385" i="14" s="1"/>
  <c r="CT366" i="14"/>
  <c r="CJ366" i="14" s="1"/>
  <c r="CT377" i="14"/>
  <c r="CJ377" i="14" s="1"/>
  <c r="CU375" i="14"/>
  <c r="CP375" i="14" s="1"/>
  <c r="CV382" i="14"/>
  <c r="CQ382" i="14" s="1"/>
  <c r="CS367" i="14"/>
  <c r="CI367" i="14" s="1"/>
  <c r="CU373" i="14"/>
  <c r="CP373" i="14" s="1"/>
  <c r="CS370" i="14"/>
  <c r="CI370" i="14" s="1"/>
  <c r="CU380" i="14"/>
  <c r="CP380" i="14" s="1"/>
  <c r="CS388" i="14"/>
  <c r="CI388" i="14" s="1"/>
  <c r="CS242" i="14"/>
  <c r="CI242" i="14" s="1"/>
  <c r="CS260" i="14"/>
  <c r="CI260" i="14" s="1"/>
  <c r="CU254" i="14"/>
  <c r="CP254" i="14" s="1"/>
  <c r="CS266" i="14"/>
  <c r="CI266" i="14" s="1"/>
  <c r="CT253" i="14"/>
  <c r="CJ253" i="14" s="1"/>
  <c r="CS241" i="14"/>
  <c r="CI241" i="14" s="1"/>
  <c r="CU260" i="14"/>
  <c r="CP260" i="14" s="1"/>
  <c r="CS246" i="14"/>
  <c r="CI246" i="14" s="1"/>
  <c r="CT255" i="14"/>
  <c r="CJ255" i="14" s="1"/>
  <c r="CU243" i="14"/>
  <c r="CP243" i="14" s="1"/>
  <c r="CU264" i="14"/>
  <c r="CP264" i="14" s="1"/>
  <c r="CS267" i="14"/>
  <c r="CI267" i="14" s="1"/>
  <c r="CU263" i="14"/>
  <c r="CP263" i="14" s="1"/>
  <c r="CU258" i="14"/>
  <c r="CP258" i="14" s="1"/>
  <c r="CV263" i="14"/>
  <c r="CQ263" i="14" s="1"/>
  <c r="CU249" i="14"/>
  <c r="CP249" i="14" s="1"/>
  <c r="CT247" i="14"/>
  <c r="CJ247" i="14" s="1"/>
  <c r="CS268" i="14"/>
  <c r="CI268" i="14" s="1"/>
  <c r="CU240" i="14"/>
  <c r="CP240" i="14" s="1"/>
  <c r="CU250" i="14"/>
  <c r="CP250" i="14" s="1"/>
  <c r="CS254" i="14"/>
  <c r="CI254" i="14" s="1"/>
  <c r="CT241" i="14"/>
  <c r="CJ241" i="14" s="1"/>
  <c r="CV249" i="14"/>
  <c r="CQ249" i="14" s="1"/>
  <c r="CT262" i="14"/>
  <c r="CJ262" i="14" s="1"/>
  <c r="CS248" i="14"/>
  <c r="CI248" i="14" s="1"/>
  <c r="CU251" i="14"/>
  <c r="CP251" i="14" s="1"/>
  <c r="CT260" i="14"/>
  <c r="CJ260" i="14" s="1"/>
  <c r="CV255" i="14"/>
  <c r="CQ255" i="14" s="1"/>
  <c r="CU253" i="14"/>
  <c r="CP253" i="14" s="1"/>
  <c r="CV246" i="14"/>
  <c r="CQ246" i="14" s="1"/>
  <c r="CT268" i="14"/>
  <c r="CJ268" i="14" s="1"/>
  <c r="CV266" i="14"/>
  <c r="CQ266" i="14" s="1"/>
  <c r="CS249" i="14"/>
  <c r="CI249" i="14" s="1"/>
  <c r="CT249" i="14"/>
  <c r="CJ249" i="14" s="1"/>
  <c r="CS251" i="14"/>
  <c r="CI251" i="14" s="1"/>
  <c r="CV301" i="14"/>
  <c r="CQ301" i="14" s="1"/>
  <c r="AY271" i="14"/>
  <c r="AO271" i="14" s="1"/>
  <c r="AU8" i="20"/>
  <c r="CV370" i="14"/>
  <c r="CQ370" i="14" s="1"/>
  <c r="CS387" i="14"/>
  <c r="CI387" i="14" s="1"/>
  <c r="CT387" i="14"/>
  <c r="CJ387" i="14" s="1"/>
  <c r="CV364" i="14"/>
  <c r="CQ364" i="14" s="1"/>
  <c r="CS364" i="14"/>
  <c r="CI364" i="14" s="1"/>
  <c r="CT390" i="14"/>
  <c r="CJ390" i="14" s="1"/>
  <c r="CT369" i="14"/>
  <c r="CJ369" i="14" s="1"/>
  <c r="CU367" i="14"/>
  <c r="CP367" i="14" s="1"/>
  <c r="CS362" i="14"/>
  <c r="CI362" i="14" s="1"/>
  <c r="CU365" i="14"/>
  <c r="CP365" i="14" s="1"/>
  <c r="CU364" i="14"/>
  <c r="CP364" i="14" s="1"/>
  <c r="CV365" i="14"/>
  <c r="CQ365" i="14" s="1"/>
  <c r="CS374" i="14"/>
  <c r="CI374" i="14" s="1"/>
  <c r="CS384" i="14"/>
  <c r="CI384" i="14" s="1"/>
  <c r="CT391" i="14"/>
  <c r="CJ391" i="14" s="1"/>
  <c r="CT367" i="14"/>
  <c r="CJ367" i="14" s="1"/>
  <c r="CV376" i="14"/>
  <c r="CQ376" i="14" s="1"/>
  <c r="CS382" i="14"/>
  <c r="CI382" i="14" s="1"/>
  <c r="CV371" i="14"/>
  <c r="CQ371" i="14" s="1"/>
  <c r="CS392" i="14"/>
  <c r="CI392" i="14" s="1"/>
  <c r="CV385" i="14"/>
  <c r="CQ385" i="14" s="1"/>
  <c r="CV390" i="14"/>
  <c r="CQ390" i="14" s="1"/>
  <c r="CS369" i="14"/>
  <c r="CI369" i="14" s="1"/>
  <c r="CT379" i="14"/>
  <c r="CJ379" i="14" s="1"/>
  <c r="CU372" i="14"/>
  <c r="CP372" i="14" s="1"/>
  <c r="CU374" i="14"/>
  <c r="CP374" i="14" s="1"/>
  <c r="CU370" i="14"/>
  <c r="CP370" i="14" s="1"/>
  <c r="CU245" i="14"/>
  <c r="CP245" i="14" s="1"/>
  <c r="CS243" i="14"/>
  <c r="CI243" i="14" s="1"/>
  <c r="CV244" i="14"/>
  <c r="CQ244" i="14" s="1"/>
  <c r="CV247" i="14"/>
  <c r="CQ247" i="14" s="1"/>
  <c r="CV264" i="14"/>
  <c r="CQ264" i="14" s="1"/>
  <c r="CV243" i="14"/>
  <c r="CQ243" i="14" s="1"/>
  <c r="CS245" i="14"/>
  <c r="CI245" i="14" s="1"/>
  <c r="CT256" i="14"/>
  <c r="CJ256" i="14" s="1"/>
  <c r="CU270" i="14"/>
  <c r="CP270" i="14" s="1"/>
  <c r="CS258" i="14"/>
  <c r="CI258" i="14" s="1"/>
  <c r="CT245" i="14"/>
  <c r="CJ245" i="14" s="1"/>
  <c r="CV257" i="14"/>
  <c r="CQ257" i="14" s="1"/>
  <c r="CV251" i="14"/>
  <c r="CQ251" i="14" s="1"/>
  <c r="CT246" i="14"/>
  <c r="CJ246" i="14" s="1"/>
  <c r="CU268" i="14"/>
  <c r="CP268" i="14" s="1"/>
  <c r="CV265" i="14"/>
  <c r="CQ265" i="14" s="1"/>
  <c r="CS265" i="14"/>
  <c r="CI265" i="14" s="1"/>
  <c r="CV240" i="14"/>
  <c r="CQ240" i="14" s="1"/>
  <c r="CT261" i="14"/>
  <c r="CJ261" i="14" s="1"/>
  <c r="CT258" i="14"/>
  <c r="CJ258" i="14" s="1"/>
  <c r="CU259" i="14"/>
  <c r="CP259" i="14" s="1"/>
  <c r="CT254" i="14"/>
  <c r="CJ254" i="14" s="1"/>
  <c r="CU257" i="14"/>
  <c r="CP257" i="14" s="1"/>
  <c r="CU256" i="14"/>
  <c r="CP256" i="14" s="1"/>
  <c r="CU265" i="14"/>
  <c r="CP265" i="14" s="1"/>
  <c r="CS247" i="14"/>
  <c r="CI247" i="14" s="1"/>
  <c r="CU248" i="14"/>
  <c r="CP248" i="14" s="1"/>
  <c r="CT250" i="14"/>
  <c r="CJ250" i="14" s="1"/>
  <c r="CV259" i="14"/>
  <c r="CQ259" i="14" s="1"/>
  <c r="CV245" i="14"/>
  <c r="CQ245" i="14" s="1"/>
  <c r="CV248" i="14"/>
  <c r="CQ248" i="14" s="1"/>
  <c r="CS269" i="14"/>
  <c r="CI269" i="14" s="1"/>
  <c r="CT265" i="14"/>
  <c r="CJ265" i="14" s="1"/>
  <c r="CS259" i="14"/>
  <c r="CI259" i="14" s="1"/>
  <c r="CT270" i="14"/>
  <c r="CJ270" i="14" s="1"/>
  <c r="CU301" i="14"/>
  <c r="CP301" i="14" s="1"/>
  <c r="CS271" i="14"/>
  <c r="CI271" i="14" s="1"/>
  <c r="J99" i="29"/>
  <c r="J393" i="1"/>
  <c r="J346" i="1"/>
  <c r="E6" i="29"/>
  <c r="E112" i="29" s="1"/>
  <c r="H52" i="19"/>
  <c r="H56" i="19" s="1"/>
  <c r="E153" i="29" s="1"/>
  <c r="M346" i="1"/>
  <c r="CH354" i="14"/>
  <c r="T354" i="14" s="1"/>
  <c r="CH332" i="14"/>
  <c r="T332" i="14" s="1"/>
  <c r="CH352" i="14"/>
  <c r="T352" i="14" s="1"/>
  <c r="CH343" i="14"/>
  <c r="T343" i="14" s="1"/>
  <c r="CH350" i="14"/>
  <c r="T350" i="14" s="1"/>
  <c r="CH344" i="14"/>
  <c r="T344" i="14" s="1"/>
  <c r="CH346" i="14"/>
  <c r="T346" i="14" s="1"/>
  <c r="CH334" i="14"/>
  <c r="T334" i="14" s="1"/>
  <c r="CH361" i="14"/>
  <c r="T361" i="14" s="1"/>
  <c r="CH359" i="14"/>
  <c r="T359" i="14" s="1"/>
  <c r="P360" i="1"/>
  <c r="CH356" i="14"/>
  <c r="T356" i="14" s="1"/>
  <c r="CH353" i="14"/>
  <c r="T353" i="14" s="1"/>
  <c r="S393" i="1"/>
  <c r="CH357" i="14"/>
  <c r="T357" i="14" s="1"/>
  <c r="CH335" i="14"/>
  <c r="T335" i="14" s="1"/>
  <c r="CH337" i="14"/>
  <c r="T337" i="14" s="1"/>
  <c r="CH348" i="14"/>
  <c r="T348" i="14" s="1"/>
  <c r="H52" i="20"/>
  <c r="H56" i="20" s="1"/>
  <c r="G153" i="29" s="1"/>
  <c r="G6" i="29"/>
  <c r="G112" i="29" s="1"/>
  <c r="M393" i="1"/>
  <c r="CH340" i="14"/>
  <c r="T340" i="14" s="1"/>
  <c r="P393" i="1"/>
  <c r="CH358" i="14"/>
  <c r="T358" i="14" s="1"/>
  <c r="CH345" i="14"/>
  <c r="T345" i="14" s="1"/>
  <c r="CH347" i="14"/>
  <c r="T347" i="14" s="1"/>
  <c r="CH336" i="14"/>
  <c r="T336" i="14" s="1"/>
  <c r="M360" i="1"/>
  <c r="J98" i="29"/>
  <c r="J63" i="29"/>
  <c r="CH360" i="14"/>
  <c r="T360" i="14" s="1"/>
  <c r="S408" i="1"/>
  <c r="H52" i="22"/>
  <c r="H56" i="22" s="1"/>
  <c r="I153" i="29" s="1"/>
  <c r="I6" i="29"/>
  <c r="I112" i="29" s="1"/>
  <c r="P346" i="1"/>
  <c r="CH338" i="14"/>
  <c r="T338" i="14" s="1"/>
  <c r="CH349" i="14"/>
  <c r="T349" i="14" s="1"/>
  <c r="CH355" i="14"/>
  <c r="T355" i="14" s="1"/>
  <c r="M408" i="1"/>
  <c r="S360" i="1"/>
  <c r="J64" i="29"/>
  <c r="CH341" i="14"/>
  <c r="T341" i="14" s="1"/>
  <c r="H6" i="29"/>
  <c r="H112" i="29" s="1"/>
  <c r="H52" i="21"/>
  <c r="H56" i="21" s="1"/>
  <c r="H153" i="29" s="1"/>
  <c r="CH351" i="14"/>
  <c r="T351" i="14" s="1"/>
  <c r="S346" i="1"/>
  <c r="CH342" i="14"/>
  <c r="T342" i="14" s="1"/>
  <c r="P408" i="1"/>
  <c r="CH339" i="14"/>
  <c r="T339" i="14" s="1"/>
  <c r="CH333" i="14"/>
  <c r="T333" i="14" s="1"/>
  <c r="AE15" i="23"/>
  <c r="E15" i="23" s="1"/>
  <c r="J370" i="14"/>
  <c r="E371" i="14"/>
  <c r="B370" i="14"/>
  <c r="Q370" i="14"/>
  <c r="H303" i="15"/>
  <c r="I303" i="15" s="1"/>
  <c r="C370" i="14"/>
  <c r="D370" i="14" s="1"/>
  <c r="J408" i="1"/>
  <c r="J360" i="1"/>
  <c r="E17" i="29"/>
  <c r="AU28" i="19"/>
  <c r="AY260" i="14"/>
  <c r="AO260" i="14" s="1"/>
  <c r="AU9" i="19"/>
  <c r="AY241" i="14"/>
  <c r="AO241" i="14" s="1"/>
  <c r="AY267" i="14"/>
  <c r="AO267" i="14" s="1"/>
  <c r="AU35" i="19"/>
  <c r="AU10" i="19"/>
  <c r="AY242" i="14"/>
  <c r="AO242" i="14" s="1"/>
  <c r="AY266" i="14"/>
  <c r="AO266" i="14" s="1"/>
  <c r="AU34" i="19"/>
  <c r="AU31" i="19"/>
  <c r="AY263" i="14"/>
  <c r="AO263" i="14" s="1"/>
  <c r="AU14" i="19"/>
  <c r="AY246" i="14"/>
  <c r="AO246" i="14" s="1"/>
  <c r="AY253" i="14"/>
  <c r="AO253" i="14" s="1"/>
  <c r="AU21" i="19"/>
  <c r="AU8" i="19"/>
  <c r="AY240" i="14"/>
  <c r="AO240" i="14" s="1"/>
  <c r="AU36" i="19"/>
  <c r="AY268" i="14"/>
  <c r="AO268" i="14" s="1"/>
  <c r="AU22" i="19"/>
  <c r="AY254" i="14"/>
  <c r="AO254" i="14" s="1"/>
  <c r="AY248" i="14"/>
  <c r="AO248" i="14" s="1"/>
  <c r="AU16" i="19"/>
  <c r="AY249" i="14"/>
  <c r="AO249" i="14" s="1"/>
  <c r="AU17" i="19"/>
  <c r="AY251" i="14"/>
  <c r="AO251" i="14" s="1"/>
  <c r="AU19" i="19"/>
  <c r="AY243" i="14"/>
  <c r="AO243" i="14" s="1"/>
  <c r="AU11" i="19"/>
  <c r="AY245" i="14"/>
  <c r="AO245" i="14" s="1"/>
  <c r="AU13" i="19"/>
  <c r="AY258" i="14"/>
  <c r="AO258" i="14" s="1"/>
  <c r="AU26" i="19"/>
  <c r="AU37" i="19"/>
  <c r="AY269" i="14"/>
  <c r="AO269" i="14" s="1"/>
  <c r="AU23" i="19"/>
  <c r="AY255" i="14"/>
  <c r="AO255" i="14" s="1"/>
  <c r="AY261" i="14"/>
  <c r="AO261" i="14" s="1"/>
  <c r="AU29" i="19"/>
  <c r="AY256" i="14"/>
  <c r="AO256" i="14" s="1"/>
  <c r="AU24" i="19"/>
  <c r="AY265" i="14"/>
  <c r="AO265" i="14" s="1"/>
  <c r="AU33" i="19"/>
  <c r="AU12" i="19"/>
  <c r="AY244" i="14"/>
  <c r="AO244" i="14" s="1"/>
  <c r="AU15" i="19"/>
  <c r="AY247" i="14"/>
  <c r="AO247" i="14" s="1"/>
  <c r="AY259" i="14"/>
  <c r="AO259" i="14" s="1"/>
  <c r="AU27" i="19"/>
  <c r="AU38" i="19"/>
  <c r="AY270" i="14"/>
  <c r="AO270" i="14" s="1"/>
  <c r="AU30" i="19"/>
  <c r="AY262" i="14"/>
  <c r="AO262" i="14" s="1"/>
  <c r="AU25" i="19"/>
  <c r="AY257" i="14"/>
  <c r="AO257" i="14" s="1"/>
  <c r="AY252" i="14"/>
  <c r="AO252" i="14" s="1"/>
  <c r="AU20" i="19"/>
  <c r="AY264" i="14"/>
  <c r="AO264" i="14" s="1"/>
  <c r="AU32" i="19"/>
  <c r="AU18" i="19"/>
  <c r="AY250" i="14"/>
  <c r="AO250" i="14" s="1"/>
  <c r="AU12" i="23"/>
  <c r="AY366" i="14"/>
  <c r="AO366" i="14" s="1"/>
  <c r="AU26" i="23"/>
  <c r="AY380" i="14"/>
  <c r="AO380" i="14" s="1"/>
  <c r="AY365" i="14"/>
  <c r="AO365" i="14" s="1"/>
  <c r="AU11" i="23"/>
  <c r="AU8" i="23"/>
  <c r="AY362" i="14"/>
  <c r="AO362" i="14" s="1"/>
  <c r="AU20" i="23"/>
  <c r="AY374" i="14"/>
  <c r="AO374" i="14" s="1"/>
  <c r="AU30" i="23"/>
  <c r="AY384" i="14"/>
  <c r="AO384" i="14" s="1"/>
  <c r="AU28" i="23"/>
  <c r="AY382" i="14"/>
  <c r="AO382" i="14" s="1"/>
  <c r="AU38" i="23"/>
  <c r="AY392" i="14"/>
  <c r="AO392" i="14" s="1"/>
  <c r="AY369" i="14"/>
  <c r="AO369" i="14" s="1"/>
  <c r="AU15" i="23"/>
  <c r="AY387" i="14"/>
  <c r="AO387" i="14" s="1"/>
  <c r="AU33" i="23"/>
  <c r="AU10" i="23"/>
  <c r="AY364" i="14"/>
  <c r="AO364" i="14" s="1"/>
  <c r="AY379" i="14"/>
  <c r="AO379" i="14" s="1"/>
  <c r="AU25" i="23"/>
  <c r="AU18" i="23"/>
  <c r="AY372" i="14"/>
  <c r="AO372" i="14" s="1"/>
  <c r="AY363" i="14"/>
  <c r="AO363" i="14" s="1"/>
  <c r="AU9" i="23"/>
  <c r="AY371" i="14"/>
  <c r="AO371" i="14" s="1"/>
  <c r="AU17" i="23"/>
  <c r="AU24" i="23"/>
  <c r="AY378" i="14"/>
  <c r="AO378" i="14" s="1"/>
  <c r="AY391" i="14"/>
  <c r="AO391" i="14" s="1"/>
  <c r="AU37" i="23"/>
  <c r="AU14" i="23"/>
  <c r="AY368" i="14"/>
  <c r="AO368" i="14" s="1"/>
  <c r="AU32" i="23"/>
  <c r="AY386" i="14"/>
  <c r="AO386" i="14" s="1"/>
  <c r="AY385" i="14"/>
  <c r="AO385" i="14" s="1"/>
  <c r="AU31" i="23"/>
  <c r="AY389" i="14"/>
  <c r="AO389" i="14" s="1"/>
  <c r="AU35" i="23"/>
  <c r="AY383" i="14"/>
  <c r="AO383" i="14" s="1"/>
  <c r="AU29" i="23"/>
  <c r="AY377" i="14"/>
  <c r="AO377" i="14" s="1"/>
  <c r="AU23" i="23"/>
  <c r="AU22" i="23"/>
  <c r="AY376" i="14"/>
  <c r="AO376" i="14" s="1"/>
  <c r="AY381" i="14"/>
  <c r="AO381" i="14" s="1"/>
  <c r="AU27" i="23"/>
  <c r="AY375" i="14"/>
  <c r="AO375" i="14" s="1"/>
  <c r="AU21" i="23"/>
  <c r="AU36" i="23"/>
  <c r="AY390" i="14"/>
  <c r="AO390" i="14" s="1"/>
  <c r="AY373" i="14"/>
  <c r="AO373" i="14" s="1"/>
  <c r="AU19" i="23"/>
  <c r="AY367" i="14"/>
  <c r="AO367" i="14" s="1"/>
  <c r="AU13" i="23"/>
  <c r="AU16" i="23"/>
  <c r="AY370" i="14"/>
  <c r="AO370" i="14" s="1"/>
  <c r="AU34" i="23"/>
  <c r="AY388" i="14"/>
  <c r="AO388" i="14" s="1"/>
  <c r="CW281" i="14" l="1"/>
  <c r="CH281" i="14" s="1"/>
  <c r="T281" i="14" s="1"/>
  <c r="CW304" i="14"/>
  <c r="CH304" i="14" s="1"/>
  <c r="T304" i="14" s="1"/>
  <c r="CW325" i="14"/>
  <c r="CH325" i="14" s="1"/>
  <c r="T325" i="14" s="1"/>
  <c r="CW323" i="14"/>
  <c r="CH323" i="14" s="1"/>
  <c r="T323" i="14" s="1"/>
  <c r="CH275" i="14"/>
  <c r="T275" i="14" s="1"/>
  <c r="CW295" i="14"/>
  <c r="CH295" i="14" s="1"/>
  <c r="T295" i="14" s="1"/>
  <c r="CW287" i="14"/>
  <c r="CH287" i="14" s="1"/>
  <c r="T287" i="14" s="1"/>
  <c r="CR328" i="14"/>
  <c r="CH328" i="14" s="1"/>
  <c r="T328" i="14" s="1"/>
  <c r="J128" i="29"/>
  <c r="CW322" i="14"/>
  <c r="CH322" i="14" s="1"/>
  <c r="T322" i="14" s="1"/>
  <c r="CW289" i="14"/>
  <c r="CH289" i="14" s="1"/>
  <c r="T289" i="14" s="1"/>
  <c r="CR288" i="14"/>
  <c r="CH288" i="14" s="1"/>
  <c r="T288" i="14" s="1"/>
  <c r="CW315" i="14"/>
  <c r="CH315" i="14" s="1"/>
  <c r="T315" i="14" s="1"/>
  <c r="CW329" i="14"/>
  <c r="CH329" i="14" s="1"/>
  <c r="T329" i="14" s="1"/>
  <c r="CW319" i="14"/>
  <c r="CH319" i="14" s="1"/>
  <c r="T319" i="14" s="1"/>
  <c r="G17" i="29"/>
  <c r="J17" i="29" s="1"/>
  <c r="CR292" i="14"/>
  <c r="CH292" i="14" s="1"/>
  <c r="T292" i="14" s="1"/>
  <c r="CH303" i="14"/>
  <c r="T303" i="14" s="1"/>
  <c r="CW284" i="14"/>
  <c r="CH284" i="14" s="1"/>
  <c r="T284" i="14" s="1"/>
  <c r="CR309" i="14"/>
  <c r="CW309" i="14"/>
  <c r="CH280" i="14"/>
  <c r="T280" i="14" s="1"/>
  <c r="CW314" i="14"/>
  <c r="CH314" i="14" s="1"/>
  <c r="T314" i="14" s="1"/>
  <c r="CW277" i="14"/>
  <c r="CH277" i="14" s="1"/>
  <c r="T277" i="14" s="1"/>
  <c r="J8" i="29"/>
  <c r="CR305" i="14"/>
  <c r="CH305" i="14" s="1"/>
  <c r="T305" i="14" s="1"/>
  <c r="CW286" i="14"/>
  <c r="CH286" i="14" s="1"/>
  <c r="T286" i="14" s="1"/>
  <c r="CH297" i="14"/>
  <c r="T297" i="14" s="1"/>
  <c r="CR313" i="14"/>
  <c r="CW313" i="14"/>
  <c r="CW285" i="14"/>
  <c r="CR285" i="14"/>
  <c r="CW294" i="14"/>
  <c r="CR294" i="14"/>
  <c r="CR310" i="14"/>
  <c r="CW310" i="14"/>
  <c r="CR283" i="14"/>
  <c r="CW283" i="14"/>
  <c r="CR296" i="14"/>
  <c r="CW296" i="14"/>
  <c r="CR299" i="14"/>
  <c r="CW299" i="14"/>
  <c r="CR279" i="14"/>
  <c r="CW279" i="14"/>
  <c r="CW327" i="14"/>
  <c r="CR327" i="14"/>
  <c r="CR290" i="14"/>
  <c r="CW290" i="14"/>
  <c r="CR330" i="14"/>
  <c r="CW330" i="14"/>
  <c r="CR272" i="14"/>
  <c r="CW272" i="14"/>
  <c r="CR271" i="14"/>
  <c r="CW271" i="14"/>
  <c r="G369" i="14"/>
  <c r="AJ332" i="14"/>
  <c r="J6" i="29"/>
  <c r="J112" i="29" s="1"/>
  <c r="J153" i="29"/>
  <c r="CR383" i="14"/>
  <c r="CW383" i="14"/>
  <c r="CR266" i="14"/>
  <c r="CW266" i="14"/>
  <c r="CR373" i="14"/>
  <c r="CW373" i="14"/>
  <c r="CR377" i="14"/>
  <c r="CW377" i="14"/>
  <c r="CR370" i="14"/>
  <c r="CW370" i="14"/>
  <c r="CR390" i="14"/>
  <c r="CW390" i="14"/>
  <c r="CR368" i="14"/>
  <c r="CW368" i="14"/>
  <c r="CR378" i="14"/>
  <c r="CW378" i="14"/>
  <c r="CR392" i="14"/>
  <c r="CW392" i="14"/>
  <c r="CR374" i="14"/>
  <c r="CW374" i="14"/>
  <c r="CR380" i="14"/>
  <c r="CW380" i="14"/>
  <c r="CR257" i="14"/>
  <c r="CW257" i="14"/>
  <c r="CR270" i="14"/>
  <c r="CW270" i="14"/>
  <c r="CR247" i="14"/>
  <c r="CW247" i="14"/>
  <c r="CR269" i="14"/>
  <c r="CW269" i="14"/>
  <c r="CR268" i="14"/>
  <c r="CW268" i="14"/>
  <c r="CR263" i="14"/>
  <c r="CW263" i="14"/>
  <c r="CR242" i="14"/>
  <c r="CW242" i="14"/>
  <c r="CR241" i="14"/>
  <c r="CW241" i="14"/>
  <c r="CR369" i="14"/>
  <c r="CW369" i="14"/>
  <c r="CR252" i="14"/>
  <c r="CW252" i="14"/>
  <c r="CR256" i="14"/>
  <c r="CW256" i="14"/>
  <c r="CR258" i="14"/>
  <c r="CW258" i="14"/>
  <c r="CR243" i="14"/>
  <c r="CW243" i="14"/>
  <c r="CR249" i="14"/>
  <c r="CW249" i="14"/>
  <c r="CR267" i="14"/>
  <c r="CW267" i="14"/>
  <c r="CR388" i="14"/>
  <c r="CW388" i="14"/>
  <c r="CR376" i="14"/>
  <c r="CW376" i="14"/>
  <c r="CR386" i="14"/>
  <c r="CW386" i="14"/>
  <c r="CR372" i="14"/>
  <c r="CW372" i="14"/>
  <c r="CR364" i="14"/>
  <c r="CW364" i="14"/>
  <c r="CR382" i="14"/>
  <c r="CW382" i="14"/>
  <c r="CR384" i="14"/>
  <c r="CW384" i="14"/>
  <c r="CR362" i="14"/>
  <c r="CW362" i="14"/>
  <c r="CR366" i="14"/>
  <c r="CW366" i="14"/>
  <c r="CR250" i="14"/>
  <c r="CW250" i="14"/>
  <c r="CR262" i="14"/>
  <c r="CW262" i="14"/>
  <c r="CR244" i="14"/>
  <c r="CW244" i="14"/>
  <c r="CR255" i="14"/>
  <c r="CW255" i="14"/>
  <c r="CR254" i="14"/>
  <c r="CW254" i="14"/>
  <c r="CR240" i="14"/>
  <c r="CW240" i="14"/>
  <c r="CR246" i="14"/>
  <c r="CW246" i="14"/>
  <c r="CR260" i="14"/>
  <c r="CW260" i="14"/>
  <c r="CR367" i="14"/>
  <c r="CW367" i="14"/>
  <c r="CR375" i="14"/>
  <c r="CW375" i="14"/>
  <c r="CR391" i="14"/>
  <c r="CW391" i="14"/>
  <c r="CR371" i="14"/>
  <c r="CW371" i="14"/>
  <c r="CR259" i="14"/>
  <c r="CW259" i="14"/>
  <c r="CR381" i="14"/>
  <c r="CW381" i="14"/>
  <c r="CR389" i="14"/>
  <c r="CW389" i="14"/>
  <c r="CR385" i="14"/>
  <c r="CW385" i="14"/>
  <c r="CR363" i="14"/>
  <c r="CW363" i="14"/>
  <c r="CR379" i="14"/>
  <c r="CW379" i="14"/>
  <c r="CR387" i="14"/>
  <c r="CW387" i="14"/>
  <c r="CR365" i="14"/>
  <c r="CW365" i="14"/>
  <c r="CR264" i="14"/>
  <c r="CW264" i="14"/>
  <c r="CR265" i="14"/>
  <c r="CW265" i="14"/>
  <c r="CR261" i="14"/>
  <c r="CW261" i="14"/>
  <c r="CR245" i="14"/>
  <c r="CW245" i="14"/>
  <c r="CR251" i="14"/>
  <c r="CW251" i="14"/>
  <c r="CR248" i="14"/>
  <c r="CW248" i="14"/>
  <c r="CR253" i="14"/>
  <c r="CW253" i="14"/>
  <c r="AE16" i="23"/>
  <c r="E16" i="23" s="1"/>
  <c r="G370" i="14" s="1"/>
  <c r="C371" i="14"/>
  <c r="D371" i="14" s="1"/>
  <c r="J371" i="14"/>
  <c r="H304" i="15"/>
  <c r="I304" i="15" s="1"/>
  <c r="E372" i="14"/>
  <c r="Q371" i="14"/>
  <c r="B371" i="14"/>
  <c r="CH309" i="14" l="1"/>
  <c r="T309" i="14" s="1"/>
  <c r="CH313" i="14"/>
  <c r="T313" i="14" s="1"/>
  <c r="CH285" i="14"/>
  <c r="T285" i="14" s="1"/>
  <c r="CH299" i="14"/>
  <c r="T299" i="14" s="1"/>
  <c r="CH296" i="14"/>
  <c r="T296" i="14" s="1"/>
  <c r="CH294" i="14"/>
  <c r="T294" i="14" s="1"/>
  <c r="CH283" i="14"/>
  <c r="T283" i="14" s="1"/>
  <c r="CH310" i="14"/>
  <c r="T310" i="14" s="1"/>
  <c r="CH290" i="14"/>
  <c r="T290" i="14" s="1"/>
  <c r="CH279" i="14"/>
  <c r="T279" i="14" s="1"/>
  <c r="CH327" i="14"/>
  <c r="T327" i="14" s="1"/>
  <c r="CH271" i="14"/>
  <c r="T271" i="14" s="1"/>
  <c r="CH330" i="14"/>
  <c r="T330" i="14" s="1"/>
  <c r="CH272" i="14"/>
  <c r="T272" i="14" s="1"/>
  <c r="CH253" i="14"/>
  <c r="T253" i="14" s="1"/>
  <c r="CH251" i="14"/>
  <c r="T251" i="14" s="1"/>
  <c r="CH261" i="14"/>
  <c r="T261" i="14" s="1"/>
  <c r="CH264" i="14"/>
  <c r="T264" i="14" s="1"/>
  <c r="CH385" i="14"/>
  <c r="CH389" i="14"/>
  <c r="CH391" i="14"/>
  <c r="CH367" i="14"/>
  <c r="T367" i="14" s="1"/>
  <c r="CH246" i="14"/>
  <c r="T246" i="14" s="1"/>
  <c r="CH254" i="14"/>
  <c r="T254" i="14" s="1"/>
  <c r="CH244" i="14"/>
  <c r="T244" i="14" s="1"/>
  <c r="CH250" i="14"/>
  <c r="T250" i="14" s="1"/>
  <c r="CH382" i="14"/>
  <c r="CH372" i="14"/>
  <c r="CH267" i="14"/>
  <c r="T267" i="14" s="1"/>
  <c r="CH243" i="14"/>
  <c r="T243" i="14" s="1"/>
  <c r="CH256" i="14"/>
  <c r="T256" i="14" s="1"/>
  <c r="CH242" i="14"/>
  <c r="T242" i="14" s="1"/>
  <c r="CH268" i="14"/>
  <c r="T268" i="14" s="1"/>
  <c r="CH247" i="14"/>
  <c r="T247" i="14" s="1"/>
  <c r="CH257" i="14"/>
  <c r="T257" i="14" s="1"/>
  <c r="CH392" i="14"/>
  <c r="CH378" i="14"/>
  <c r="CH370" i="14"/>
  <c r="T370" i="14" s="1"/>
  <c r="CH266" i="14"/>
  <c r="T266" i="14" s="1"/>
  <c r="CH383" i="14"/>
  <c r="CH248" i="14"/>
  <c r="T248" i="14" s="1"/>
  <c r="CH245" i="14"/>
  <c r="T245" i="14" s="1"/>
  <c r="CH265" i="14"/>
  <c r="T265" i="14" s="1"/>
  <c r="CH365" i="14"/>
  <c r="T365" i="14" s="1"/>
  <c r="CH387" i="14"/>
  <c r="CH379" i="14"/>
  <c r="CH363" i="14"/>
  <c r="T363" i="14" s="1"/>
  <c r="CH381" i="14"/>
  <c r="CH259" i="14"/>
  <c r="T259" i="14" s="1"/>
  <c r="CH371" i="14"/>
  <c r="CH375" i="14"/>
  <c r="CH260" i="14"/>
  <c r="T260" i="14" s="1"/>
  <c r="CH240" i="14"/>
  <c r="T240" i="14" s="1"/>
  <c r="CH255" i="14"/>
  <c r="T255" i="14" s="1"/>
  <c r="CH262" i="14"/>
  <c r="T262" i="14" s="1"/>
  <c r="CH366" i="14"/>
  <c r="T366" i="14" s="1"/>
  <c r="CH362" i="14"/>
  <c r="T362" i="14" s="1"/>
  <c r="CH384" i="14"/>
  <c r="CH364" i="14"/>
  <c r="T364" i="14" s="1"/>
  <c r="CH386" i="14"/>
  <c r="CH376" i="14"/>
  <c r="CH388" i="14"/>
  <c r="CH249" i="14"/>
  <c r="T249" i="14" s="1"/>
  <c r="CH258" i="14"/>
  <c r="T258" i="14" s="1"/>
  <c r="CH252" i="14"/>
  <c r="T252" i="14" s="1"/>
  <c r="CH369" i="14"/>
  <c r="T369" i="14" s="1"/>
  <c r="CH241" i="14"/>
  <c r="T241" i="14" s="1"/>
  <c r="CH263" i="14"/>
  <c r="T263" i="14" s="1"/>
  <c r="CH269" i="14"/>
  <c r="T269" i="14" s="1"/>
  <c r="CH270" i="14"/>
  <c r="T270" i="14" s="1"/>
  <c r="CH380" i="14"/>
  <c r="CH374" i="14"/>
  <c r="CH368" i="14"/>
  <c r="T368" i="14" s="1"/>
  <c r="CH390" i="14"/>
  <c r="CH377" i="14"/>
  <c r="CH373" i="14"/>
  <c r="AE17" i="23"/>
  <c r="E17" i="23" s="1"/>
  <c r="G371" i="14" s="1"/>
  <c r="E373" i="14"/>
  <c r="H305" i="15"/>
  <c r="I305" i="15" s="1"/>
  <c r="C372" i="14"/>
  <c r="D372" i="14" s="1"/>
  <c r="B372" i="14"/>
  <c r="J372" i="14"/>
  <c r="Q372" i="14"/>
  <c r="AJ271" i="14" l="1"/>
  <c r="AJ301" i="14"/>
  <c r="T371" i="14"/>
  <c r="AJ240" i="14"/>
  <c r="Q373" i="14"/>
  <c r="C373" i="14"/>
  <c r="D373" i="14" s="1"/>
  <c r="H306" i="15"/>
  <c r="I306" i="15" s="1"/>
  <c r="B373" i="14"/>
  <c r="J373" i="14"/>
  <c r="E374" i="14"/>
  <c r="AE18" i="23"/>
  <c r="E18" i="23" s="1"/>
  <c r="G372" i="14" s="1"/>
  <c r="T372" i="14" s="1"/>
  <c r="E375" i="14" l="1"/>
  <c r="Q374" i="14"/>
  <c r="H307" i="15"/>
  <c r="I307" i="15" s="1"/>
  <c r="J374" i="14"/>
  <c r="B374" i="14"/>
  <c r="C374" i="14"/>
  <c r="D374" i="14" s="1"/>
  <c r="Q375" i="14" l="1"/>
  <c r="C375" i="14"/>
  <c r="D375" i="14" s="1"/>
  <c r="B375" i="14"/>
  <c r="E376" i="14"/>
  <c r="H308" i="15"/>
  <c r="I308" i="15" s="1"/>
  <c r="J375" i="14"/>
  <c r="E377" i="14" l="1"/>
  <c r="C376" i="14"/>
  <c r="D376" i="14" s="1"/>
  <c r="H309" i="15"/>
  <c r="I309" i="15" s="1"/>
  <c r="J376" i="14"/>
  <c r="Q376" i="14"/>
  <c r="B376" i="14"/>
  <c r="J377" i="14" l="1"/>
  <c r="E378" i="14"/>
  <c r="Q377" i="14"/>
  <c r="H310" i="15"/>
  <c r="I310" i="15" s="1"/>
  <c r="B377" i="14"/>
  <c r="C377" i="14"/>
  <c r="D377" i="14" s="1"/>
  <c r="J378" i="14" l="1"/>
  <c r="H311" i="15"/>
  <c r="I311" i="15" s="1"/>
  <c r="B378" i="14"/>
  <c r="E379" i="14"/>
  <c r="C378" i="14"/>
  <c r="D378" i="14" s="1"/>
  <c r="Q378" i="14"/>
  <c r="H312" i="15" l="1"/>
  <c r="I312" i="15" s="1"/>
  <c r="B379" i="14"/>
  <c r="E380" i="14"/>
  <c r="Q379" i="14"/>
  <c r="J379" i="14"/>
  <c r="C379" i="14"/>
  <c r="D379" i="14" s="1"/>
  <c r="Q380" i="14" l="1"/>
  <c r="J380" i="14"/>
  <c r="B380" i="14"/>
  <c r="H313" i="15"/>
  <c r="I313" i="15" s="1"/>
  <c r="C380" i="14"/>
  <c r="D380" i="14" s="1"/>
  <c r="E381" i="14"/>
  <c r="H314" i="15" l="1"/>
  <c r="I314" i="15" s="1"/>
  <c r="C381" i="14"/>
  <c r="D381" i="14" s="1"/>
  <c r="J381" i="14"/>
  <c r="B381" i="14"/>
  <c r="Q381" i="14"/>
  <c r="E382" i="14"/>
  <c r="C382" i="14" l="1"/>
  <c r="D382" i="14" s="1"/>
  <c r="J382" i="14"/>
  <c r="E383" i="14"/>
  <c r="B382" i="14"/>
  <c r="Q382" i="14"/>
  <c r="H315" i="15"/>
  <c r="I315" i="15" s="1"/>
  <c r="E384" i="14" l="1"/>
  <c r="J383" i="14"/>
  <c r="Q383" i="14"/>
  <c r="C383" i="14"/>
  <c r="D383" i="14" s="1"/>
  <c r="H316" i="15"/>
  <c r="I316" i="15" s="1"/>
  <c r="B383" i="14"/>
  <c r="Q384" i="14" l="1"/>
  <c r="H317" i="15"/>
  <c r="I317" i="15" s="1"/>
  <c r="E385" i="14"/>
  <c r="J384" i="14"/>
  <c r="C384" i="14"/>
  <c r="D384" i="14" s="1"/>
  <c r="B384" i="14"/>
  <c r="H318" i="15" l="1"/>
  <c r="I318" i="15" s="1"/>
  <c r="Q385" i="14"/>
  <c r="B385" i="14"/>
  <c r="C385" i="14"/>
  <c r="D385" i="14" s="1"/>
  <c r="J385" i="14"/>
  <c r="E386" i="14"/>
  <c r="C386" i="14" l="1"/>
  <c r="D386" i="14" s="1"/>
  <c r="E387" i="14"/>
  <c r="B386" i="14"/>
  <c r="Q386" i="14"/>
  <c r="H319" i="15"/>
  <c r="I319" i="15" s="1"/>
  <c r="J386" i="14"/>
  <c r="B387" i="14" l="1"/>
  <c r="C387" i="14"/>
  <c r="D387" i="14" s="1"/>
  <c r="E388" i="14"/>
  <c r="J387" i="14"/>
  <c r="Q387" i="14"/>
  <c r="H320" i="15"/>
  <c r="I320" i="15" s="1"/>
  <c r="Q388" i="14" l="1"/>
  <c r="C388" i="14"/>
  <c r="D388" i="14" s="1"/>
  <c r="H321" i="15"/>
  <c r="I321" i="15" s="1"/>
  <c r="J388" i="14"/>
  <c r="B388" i="14"/>
  <c r="E389" i="14"/>
  <c r="J389" i="14" l="1"/>
  <c r="H322" i="15"/>
  <c r="I322" i="15" s="1"/>
  <c r="E390" i="14"/>
  <c r="Q389" i="14"/>
  <c r="B389" i="14"/>
  <c r="C389" i="14"/>
  <c r="D389" i="14" s="1"/>
  <c r="E391" i="14" l="1"/>
  <c r="C390" i="14"/>
  <c r="D390" i="14" s="1"/>
  <c r="J390" i="14"/>
  <c r="H323" i="15"/>
  <c r="I323" i="15" s="1"/>
  <c r="B390" i="14"/>
  <c r="Q390" i="14"/>
  <c r="H324" i="15" l="1"/>
  <c r="I324" i="15" s="1"/>
  <c r="C391" i="14"/>
  <c r="D391" i="14" s="1"/>
  <c r="B391" i="14"/>
  <c r="Q391" i="14"/>
  <c r="E392" i="14"/>
  <c r="J391" i="14"/>
  <c r="Q392" i="14" l="1"/>
  <c r="C392" i="14"/>
  <c r="D392" i="14" s="1"/>
  <c r="E393" i="14"/>
  <c r="J392" i="14"/>
  <c r="H325" i="15"/>
  <c r="I325" i="15" s="1"/>
  <c r="B392" i="14"/>
  <c r="E394" i="14" l="1"/>
  <c r="H326" i="15"/>
  <c r="I326" i="15" s="1"/>
  <c r="B393" i="14"/>
  <c r="Q393" i="14"/>
  <c r="J393" i="14"/>
  <c r="C393" i="14"/>
  <c r="D393" i="14" s="1"/>
  <c r="C394" i="14" l="1"/>
  <c r="D394" i="14" s="1"/>
  <c r="B394" i="14"/>
  <c r="H327" i="15"/>
  <c r="I327" i="15" s="1"/>
  <c r="Q394" i="14"/>
  <c r="J394" i="14"/>
  <c r="E395" i="14"/>
  <c r="B395" i="14" l="1"/>
  <c r="E396" i="14"/>
  <c r="H328" i="15"/>
  <c r="I328" i="15" s="1"/>
  <c r="J395" i="14"/>
  <c r="Q395" i="14"/>
  <c r="C395" i="14"/>
  <c r="D395" i="14" s="1"/>
  <c r="H329" i="15" l="1"/>
  <c r="I329" i="15" s="1"/>
  <c r="E397" i="14"/>
  <c r="C396" i="14"/>
  <c r="D396" i="14" s="1"/>
  <c r="J396" i="14"/>
  <c r="Q396" i="14"/>
  <c r="B396" i="14"/>
  <c r="H330" i="15" l="1"/>
  <c r="I330" i="15" s="1"/>
  <c r="E398" i="14"/>
  <c r="J397" i="14"/>
  <c r="B397" i="14"/>
  <c r="Q397" i="14"/>
  <c r="C397" i="14"/>
  <c r="D397" i="14" s="1"/>
  <c r="C398" i="14" l="1"/>
  <c r="D398" i="14" s="1"/>
  <c r="B398" i="14"/>
  <c r="Q398" i="14"/>
  <c r="E399" i="14"/>
  <c r="H331" i="15"/>
  <c r="I331" i="15" s="1"/>
  <c r="J398" i="14"/>
  <c r="C399" i="14" l="1"/>
  <c r="D399" i="14" s="1"/>
  <c r="J399" i="14"/>
  <c r="Q399" i="14"/>
  <c r="B399" i="14"/>
  <c r="H332" i="15"/>
  <c r="I332" i="15" s="1"/>
  <c r="E400" i="14"/>
  <c r="C400" i="14" l="1"/>
  <c r="D400" i="14" s="1"/>
  <c r="E401" i="14"/>
  <c r="J400" i="14"/>
  <c r="Q400" i="14"/>
  <c r="B400" i="14"/>
  <c r="H333" i="15"/>
  <c r="I333" i="15" s="1"/>
  <c r="C401" i="14" l="1"/>
  <c r="D401" i="14" s="1"/>
  <c r="H334" i="15"/>
  <c r="I334" i="15" s="1"/>
  <c r="Q401" i="14"/>
  <c r="J401" i="14"/>
  <c r="E402" i="14"/>
  <c r="B401" i="14"/>
  <c r="C402" i="14" l="1"/>
  <c r="D402" i="14" s="1"/>
  <c r="B402" i="14"/>
  <c r="H335" i="15"/>
  <c r="I335" i="15" s="1"/>
  <c r="J402" i="14"/>
  <c r="Q402" i="14"/>
  <c r="E403" i="14"/>
  <c r="B403" i="14" l="1"/>
  <c r="C403" i="14"/>
  <c r="D403" i="14" s="1"/>
  <c r="J403" i="14"/>
  <c r="Q403" i="14"/>
  <c r="H336" i="15"/>
  <c r="I336" i="15" s="1"/>
  <c r="E404" i="14"/>
  <c r="B404" i="14" l="1"/>
  <c r="C404" i="14"/>
  <c r="D404" i="14" s="1"/>
  <c r="H337" i="15"/>
  <c r="I337" i="15" s="1"/>
  <c r="Q404" i="14"/>
  <c r="J404" i="14"/>
  <c r="E405" i="14"/>
  <c r="B405" i="14" l="1"/>
  <c r="C405" i="14"/>
  <c r="D405" i="14" s="1"/>
  <c r="Q405" i="14"/>
  <c r="H338" i="15"/>
  <c r="I338" i="15" s="1"/>
  <c r="J405" i="14"/>
  <c r="E406" i="14"/>
  <c r="Q406" i="14" l="1"/>
  <c r="C406" i="14"/>
  <c r="D406" i="14" s="1"/>
  <c r="H339" i="15"/>
  <c r="I339" i="15" s="1"/>
  <c r="J406" i="14"/>
  <c r="E407" i="14"/>
  <c r="B406" i="14"/>
  <c r="B407" i="14" l="1"/>
  <c r="C407" i="14"/>
  <c r="D407" i="14" s="1"/>
  <c r="J407" i="14"/>
  <c r="Q407" i="14"/>
  <c r="H340" i="15"/>
  <c r="I340" i="15" s="1"/>
  <c r="E408" i="14"/>
  <c r="Q408" i="14" l="1"/>
  <c r="J408" i="14"/>
  <c r="H341" i="15"/>
  <c r="I341" i="15" s="1"/>
  <c r="E409" i="14"/>
  <c r="C408" i="14"/>
  <c r="D408" i="14" s="1"/>
  <c r="B408" i="14"/>
  <c r="Q409" i="14" l="1"/>
  <c r="C409" i="14"/>
  <c r="D409" i="14" s="1"/>
  <c r="E410" i="14"/>
  <c r="J409" i="14"/>
  <c r="H342" i="15"/>
  <c r="I342" i="15" s="1"/>
  <c r="B409" i="14"/>
  <c r="Q410" i="14" l="1"/>
  <c r="C410" i="14"/>
  <c r="D410" i="14" s="1"/>
  <c r="B410" i="14"/>
  <c r="E411" i="14"/>
  <c r="H343" i="15"/>
  <c r="I343" i="15" s="1"/>
  <c r="J410" i="14"/>
  <c r="H344" i="15" l="1"/>
  <c r="I344" i="15" s="1"/>
  <c r="Q411" i="14"/>
  <c r="E412" i="14"/>
  <c r="B411" i="14"/>
  <c r="J411" i="14"/>
  <c r="C411" i="14"/>
  <c r="D411" i="14" s="1"/>
  <c r="Q412" i="14" l="1"/>
  <c r="B412" i="14"/>
  <c r="H345" i="15"/>
  <c r="I345" i="15" s="1"/>
  <c r="C412" i="14"/>
  <c r="D412" i="14" s="1"/>
  <c r="J412" i="14"/>
  <c r="E413" i="14"/>
  <c r="B413" i="14" l="1"/>
  <c r="E414" i="14"/>
  <c r="Q413" i="14"/>
  <c r="H346" i="15"/>
  <c r="I346" i="15" s="1"/>
  <c r="J413" i="14"/>
  <c r="C413" i="14"/>
  <c r="D413" i="14" s="1"/>
  <c r="E415" i="14" l="1"/>
  <c r="J414" i="14"/>
  <c r="B414" i="14"/>
  <c r="H347" i="15"/>
  <c r="I347" i="15" s="1"/>
  <c r="C414" i="14"/>
  <c r="D414" i="14" s="1"/>
  <c r="Q414" i="14"/>
  <c r="B415" i="14" l="1"/>
  <c r="Q415" i="14"/>
  <c r="J415" i="14"/>
  <c r="H348" i="15"/>
  <c r="I348" i="15" s="1"/>
  <c r="E416" i="14"/>
  <c r="C415" i="14"/>
  <c r="D415" i="14" s="1"/>
  <c r="C416" i="14" l="1"/>
  <c r="D416" i="14" s="1"/>
  <c r="J416" i="14"/>
  <c r="H349" i="15"/>
  <c r="I349" i="15" s="1"/>
  <c r="B416" i="14"/>
  <c r="E417" i="14"/>
  <c r="Q416" i="14"/>
  <c r="B417" i="14" l="1"/>
  <c r="Q417" i="14"/>
  <c r="C417" i="14"/>
  <c r="D417" i="14" s="1"/>
  <c r="J417" i="14"/>
  <c r="E418" i="14"/>
  <c r="H350" i="15"/>
  <c r="I350" i="15" s="1"/>
  <c r="J418" i="14" l="1"/>
  <c r="B418" i="14"/>
  <c r="E419" i="14"/>
  <c r="Q418" i="14"/>
  <c r="H351" i="15"/>
  <c r="I351" i="15" s="1"/>
  <c r="C418" i="14"/>
  <c r="D418" i="14" s="1"/>
  <c r="C419" i="14" l="1"/>
  <c r="D419" i="14" s="1"/>
  <c r="H352" i="15"/>
  <c r="I352" i="15" s="1"/>
  <c r="J419" i="14"/>
  <c r="B419" i="14"/>
  <c r="E420" i="14"/>
  <c r="Q419" i="14"/>
  <c r="B420" i="14" l="1"/>
  <c r="C420" i="14"/>
  <c r="D420" i="14" s="1"/>
  <c r="J420" i="14"/>
  <c r="Q420" i="14"/>
  <c r="E421" i="14"/>
  <c r="H353" i="15"/>
  <c r="I353" i="15" s="1"/>
  <c r="J421" i="14" l="1"/>
  <c r="H354" i="15"/>
  <c r="I354" i="15" s="1"/>
  <c r="E422" i="14"/>
  <c r="B421" i="14"/>
  <c r="C421" i="14"/>
  <c r="D421" i="14" s="1"/>
  <c r="Q421" i="14"/>
  <c r="J422" i="14" l="1"/>
  <c r="Q422" i="14"/>
  <c r="B422" i="14"/>
  <c r="E423" i="14"/>
  <c r="H355" i="15"/>
  <c r="I355" i="15" s="1"/>
  <c r="C422" i="14"/>
  <c r="D422" i="14" s="1"/>
  <c r="Q423" i="14" l="1"/>
  <c r="J423" i="14"/>
  <c r="E424" i="14"/>
  <c r="B423" i="14"/>
  <c r="C423" i="14"/>
  <c r="D423" i="14" s="1"/>
  <c r="H356" i="15"/>
  <c r="I356" i="15" s="1"/>
  <c r="C424" i="14" l="1"/>
  <c r="D424" i="14" s="1"/>
  <c r="J424" i="14"/>
  <c r="H357" i="15"/>
  <c r="I357" i="15" s="1"/>
  <c r="Q424" i="14"/>
  <c r="E425" i="14"/>
  <c r="B424" i="14"/>
  <c r="B425" i="14" l="1"/>
  <c r="Q425" i="14"/>
  <c r="C425" i="14"/>
  <c r="D425" i="14" s="1"/>
  <c r="J425" i="14"/>
  <c r="H358" i="15"/>
  <c r="I358" i="15" s="1"/>
  <c r="E426" i="14"/>
  <c r="H359" i="15" l="1"/>
  <c r="I359" i="15" s="1"/>
  <c r="Q426" i="14"/>
  <c r="B426" i="14"/>
  <c r="E427" i="14"/>
  <c r="C426" i="14"/>
  <c r="D426" i="14" s="1"/>
  <c r="J426" i="14"/>
  <c r="H360" i="15" l="1"/>
  <c r="I360" i="15" s="1"/>
  <c r="Q427" i="14"/>
  <c r="E428" i="14"/>
  <c r="B427" i="14"/>
  <c r="C427" i="14"/>
  <c r="D427" i="14" s="1"/>
  <c r="J427" i="14"/>
  <c r="E429" i="14" l="1"/>
  <c r="H361" i="15"/>
  <c r="I361" i="15" s="1"/>
  <c r="B428" i="14"/>
  <c r="J428" i="14"/>
  <c r="Q428" i="14"/>
  <c r="C428" i="14"/>
  <c r="D428" i="14" s="1"/>
  <c r="J429" i="14" l="1"/>
  <c r="B429" i="14"/>
  <c r="Q429" i="14"/>
  <c r="H362" i="15"/>
  <c r="I362" i="15" s="1"/>
  <c r="E430" i="14"/>
  <c r="C429" i="14"/>
  <c r="D429" i="14" s="1"/>
  <c r="B430" i="14" l="1"/>
  <c r="J430" i="14"/>
  <c r="C430" i="14"/>
  <c r="D430" i="14" s="1"/>
  <c r="Q430" i="14"/>
  <c r="H363" i="15"/>
  <c r="I363" i="15" s="1"/>
  <c r="E431" i="14"/>
  <c r="Q431" i="14" l="1"/>
  <c r="C431" i="14"/>
  <c r="D431" i="14" s="1"/>
  <c r="B431" i="14"/>
  <c r="H364" i="15"/>
  <c r="I364" i="15" s="1"/>
  <c r="J431" i="14"/>
  <c r="E432" i="14"/>
  <c r="B432" i="14" l="1"/>
  <c r="C432" i="14"/>
  <c r="D432" i="14" s="1"/>
  <c r="J432" i="14"/>
  <c r="Q432" i="14"/>
  <c r="E433" i="14"/>
  <c r="H365" i="15"/>
  <c r="I365" i="15" s="1"/>
  <c r="Q433" i="14" l="1"/>
  <c r="H366" i="15"/>
  <c r="I366" i="15" s="1"/>
  <c r="J433" i="14"/>
  <c r="B433" i="14"/>
  <c r="E434" i="14"/>
  <c r="C433" i="14"/>
  <c r="D433" i="14" s="1"/>
  <c r="C434" i="14" l="1"/>
  <c r="D434" i="14" s="1"/>
  <c r="B434" i="14"/>
  <c r="E435" i="14"/>
  <c r="Q434" i="14"/>
  <c r="J434" i="14"/>
  <c r="H367" i="15"/>
  <c r="I367" i="15" s="1"/>
  <c r="C435" i="14" l="1"/>
  <c r="D435" i="14" s="1"/>
  <c r="E436" i="14"/>
  <c r="H368" i="15"/>
  <c r="I368" i="15" s="1"/>
  <c r="Q435" i="14"/>
  <c r="B435" i="14"/>
  <c r="J435" i="14"/>
  <c r="C436" i="14" l="1"/>
  <c r="D436" i="14" s="1"/>
  <c r="Q436" i="14"/>
  <c r="H369" i="15"/>
  <c r="I369" i="15" s="1"/>
  <c r="J436" i="14"/>
  <c r="B436" i="14"/>
  <c r="E437" i="14"/>
  <c r="B437" i="14" l="1"/>
  <c r="H370" i="15"/>
  <c r="I370" i="15" s="1"/>
  <c r="C437" i="14"/>
  <c r="D437" i="14" s="1"/>
  <c r="J437" i="14"/>
  <c r="Q437" i="14"/>
  <c r="E438" i="14"/>
  <c r="H371" i="15" l="1"/>
  <c r="I371" i="15" s="1"/>
  <c r="C438" i="14"/>
  <c r="D438" i="14" s="1"/>
  <c r="B438" i="14"/>
  <c r="E439" i="14"/>
  <c r="Q438" i="14"/>
  <c r="J438" i="14"/>
  <c r="Q439" i="14" l="1"/>
  <c r="J439" i="14"/>
  <c r="H372" i="15"/>
  <c r="I372" i="15" s="1"/>
  <c r="B439" i="14"/>
  <c r="E440" i="14"/>
  <c r="C439" i="14"/>
  <c r="D439" i="14" s="1"/>
  <c r="J440" i="14" l="1"/>
  <c r="B440" i="14"/>
  <c r="Q440" i="14"/>
  <c r="H373" i="15"/>
  <c r="I373" i="15" s="1"/>
  <c r="E441" i="14"/>
  <c r="C440" i="14"/>
  <c r="D440" i="14" s="1"/>
  <c r="E442" i="14" l="1"/>
  <c r="B441" i="14"/>
  <c r="H374" i="15"/>
  <c r="I374" i="15" s="1"/>
  <c r="J441" i="14"/>
  <c r="Q441" i="14"/>
  <c r="C441" i="14"/>
  <c r="D441" i="14" s="1"/>
  <c r="C442" i="14" l="1"/>
  <c r="D442" i="14" s="1"/>
  <c r="H375" i="15"/>
  <c r="I375" i="15" s="1"/>
  <c r="B442" i="14"/>
  <c r="Q442" i="14"/>
  <c r="J442" i="14"/>
  <c r="E443" i="14"/>
  <c r="C443" i="14" l="1"/>
  <c r="D443" i="14" s="1"/>
  <c r="E444" i="14"/>
  <c r="J443" i="14"/>
  <c r="B443" i="14"/>
  <c r="H376" i="15"/>
  <c r="I376" i="15" s="1"/>
  <c r="Q443" i="14"/>
  <c r="J444" i="14" l="1"/>
  <c r="H377" i="15"/>
  <c r="I377" i="15" s="1"/>
  <c r="C444" i="14"/>
  <c r="D444" i="14" s="1"/>
  <c r="Q444" i="14"/>
  <c r="B444" i="14"/>
  <c r="E445" i="14"/>
  <c r="C445" i="14" l="1"/>
  <c r="D445" i="14" s="1"/>
  <c r="J445" i="14"/>
  <c r="B445" i="14"/>
  <c r="Q445" i="14"/>
  <c r="H378" i="15"/>
  <c r="I378" i="15" s="1"/>
  <c r="E446" i="14"/>
  <c r="H379" i="15" l="1"/>
  <c r="I379" i="15" s="1"/>
  <c r="J446" i="14"/>
  <c r="E447" i="14"/>
  <c r="B446" i="14"/>
  <c r="Q446" i="14"/>
  <c r="C446" i="14"/>
  <c r="D446" i="14" s="1"/>
  <c r="Q447" i="14" l="1"/>
  <c r="C447" i="14"/>
  <c r="D447" i="14" s="1"/>
  <c r="J447" i="14"/>
  <c r="E448" i="14"/>
  <c r="B447" i="14"/>
  <c r="H380" i="15"/>
  <c r="I380" i="15" s="1"/>
  <c r="H381" i="15" l="1"/>
  <c r="I381" i="15" s="1"/>
  <c r="J448" i="14"/>
  <c r="B448" i="14"/>
  <c r="E449" i="14"/>
  <c r="C448" i="14"/>
  <c r="D448" i="14" s="1"/>
  <c r="Q448" i="14"/>
  <c r="C449" i="14" l="1"/>
  <c r="D449" i="14" s="1"/>
  <c r="B449" i="14"/>
  <c r="J449" i="14"/>
  <c r="E450" i="14"/>
  <c r="Q449" i="14"/>
  <c r="H382" i="15"/>
  <c r="I382" i="15" s="1"/>
  <c r="H383" i="15" l="1"/>
  <c r="I383" i="15" s="1"/>
  <c r="J450" i="14"/>
  <c r="B450" i="14"/>
  <c r="E451" i="14"/>
  <c r="Q450" i="14"/>
  <c r="C450" i="14"/>
  <c r="D450" i="14" s="1"/>
  <c r="B451" i="14" l="1"/>
  <c r="E452" i="14"/>
  <c r="J451" i="14"/>
  <c r="C451" i="14"/>
  <c r="D451" i="14" s="1"/>
  <c r="Q451" i="14"/>
  <c r="H384" i="15"/>
  <c r="I384" i="15" s="1"/>
  <c r="B452" i="14" l="1"/>
  <c r="J452" i="14"/>
  <c r="C452" i="14"/>
  <c r="D452" i="14" s="1"/>
  <c r="H385" i="15"/>
  <c r="I385" i="15" s="1"/>
  <c r="E453" i="14"/>
  <c r="Q452" i="14"/>
  <c r="C453" i="14" l="1"/>
  <c r="D453" i="14" s="1"/>
  <c r="E454" i="14"/>
  <c r="J453" i="14"/>
  <c r="B453" i="14"/>
  <c r="H386" i="15"/>
  <c r="I386" i="15" s="1"/>
  <c r="Q453" i="14"/>
  <c r="C454" i="14" l="1"/>
  <c r="D454" i="14" s="1"/>
  <c r="B454" i="14"/>
  <c r="E455" i="14"/>
  <c r="J454" i="14"/>
  <c r="Q454" i="14"/>
  <c r="H387" i="15"/>
  <c r="I387" i="15" s="1"/>
  <c r="C455" i="14" l="1"/>
  <c r="D455" i="14" s="1"/>
  <c r="J455" i="14"/>
  <c r="E456" i="14"/>
  <c r="Q455" i="14"/>
  <c r="B455" i="14"/>
  <c r="H388" i="15"/>
  <c r="I388" i="15" s="1"/>
  <c r="J456" i="14" l="1"/>
  <c r="B456" i="14"/>
  <c r="E457" i="14"/>
  <c r="H389" i="15"/>
  <c r="I389" i="15" s="1"/>
  <c r="C456" i="14"/>
  <c r="D456" i="14" s="1"/>
  <c r="Q456" i="14"/>
  <c r="Q457" i="14" l="1"/>
  <c r="H390" i="15"/>
  <c r="I390" i="15" s="1"/>
  <c r="C457" i="14"/>
  <c r="D457" i="14" s="1"/>
  <c r="B457" i="14"/>
  <c r="E458" i="14"/>
  <c r="J457" i="14"/>
  <c r="E459" i="14" l="1"/>
  <c r="B458" i="14"/>
  <c r="Q458" i="14"/>
  <c r="C458" i="14"/>
  <c r="D458" i="14" s="1"/>
  <c r="H391" i="15"/>
  <c r="I391" i="15" s="1"/>
  <c r="J458" i="14"/>
  <c r="E460" i="14" l="1"/>
  <c r="Q459" i="14"/>
  <c r="C459" i="14"/>
  <c r="D459" i="14" s="1"/>
  <c r="B459" i="14"/>
  <c r="H392" i="15"/>
  <c r="I392" i="15" s="1"/>
  <c r="J459" i="14"/>
  <c r="J460" i="14" l="1"/>
  <c r="Q460" i="14"/>
  <c r="C460" i="14"/>
  <c r="D460" i="14" s="1"/>
  <c r="H393" i="15"/>
  <c r="I393" i="15" s="1"/>
  <c r="E461" i="14"/>
  <c r="B460" i="14"/>
  <c r="J461" i="14" l="1"/>
  <c r="B461" i="14"/>
  <c r="Q461" i="14"/>
  <c r="C461" i="14"/>
  <c r="D461" i="14" s="1"/>
  <c r="H394" i="15"/>
  <c r="I394" i="15" s="1"/>
  <c r="E462" i="14"/>
  <c r="B462" i="14" l="1"/>
  <c r="H395" i="15"/>
  <c r="I395" i="15" s="1"/>
  <c r="Q462" i="14"/>
  <c r="C462" i="14"/>
  <c r="D462" i="14" s="1"/>
  <c r="J462" i="14"/>
  <c r="E463" i="14"/>
  <c r="Q463" i="14" l="1"/>
  <c r="C463" i="14"/>
  <c r="D463" i="14" s="1"/>
  <c r="J463" i="14"/>
  <c r="H396" i="15"/>
  <c r="I396" i="15" s="1"/>
  <c r="B463" i="14"/>
  <c r="E464" i="14"/>
  <c r="Q464" i="14" l="1"/>
  <c r="E465" i="14"/>
  <c r="H397" i="15"/>
  <c r="I397" i="15" s="1"/>
  <c r="C464" i="14"/>
  <c r="D464" i="14" s="1"/>
  <c r="B464" i="14"/>
  <c r="J464" i="14"/>
  <c r="Q465" i="14" l="1"/>
  <c r="C465" i="14"/>
  <c r="D465" i="14" s="1"/>
  <c r="B465" i="14"/>
  <c r="E466" i="14"/>
  <c r="J465" i="14"/>
  <c r="H398" i="15"/>
  <c r="I398" i="15" s="1"/>
  <c r="Q466" i="14" l="1"/>
  <c r="J466" i="14"/>
  <c r="H399" i="15"/>
  <c r="I399" i="15" s="1"/>
  <c r="E467" i="14"/>
  <c r="B466" i="14"/>
  <c r="C466" i="14"/>
  <c r="D466" i="14" s="1"/>
  <c r="E468" i="14" l="1"/>
  <c r="C467" i="14"/>
  <c r="D467" i="14" s="1"/>
  <c r="Q467" i="14"/>
  <c r="H400" i="15"/>
  <c r="I400" i="15" s="1"/>
  <c r="B467" i="14"/>
  <c r="J467" i="14"/>
  <c r="C468" i="14" l="1"/>
  <c r="D468" i="14" s="1"/>
  <c r="J468" i="14"/>
  <c r="E469" i="14"/>
  <c r="B468" i="14"/>
  <c r="H401" i="15"/>
  <c r="I401" i="15" s="1"/>
  <c r="Q468" i="14"/>
  <c r="B469" i="14" l="1"/>
  <c r="H402" i="15"/>
  <c r="I402" i="15" s="1"/>
  <c r="J469" i="14"/>
  <c r="E470" i="14"/>
  <c r="C469" i="14"/>
  <c r="D469" i="14" s="1"/>
  <c r="Q469" i="14"/>
  <c r="E471" i="14" l="1"/>
  <c r="Q470" i="14"/>
  <c r="B470" i="14"/>
  <c r="J470" i="14"/>
  <c r="H403" i="15"/>
  <c r="I403" i="15" s="1"/>
  <c r="C470" i="14"/>
  <c r="D470" i="14" s="1"/>
  <c r="Q471" i="14" l="1"/>
  <c r="B471" i="14"/>
  <c r="H404" i="15"/>
  <c r="I404" i="15" s="1"/>
  <c r="C471" i="14"/>
  <c r="D471" i="14" s="1"/>
  <c r="J471" i="14"/>
  <c r="E472" i="14"/>
  <c r="C472" i="14" l="1"/>
  <c r="D472" i="14" s="1"/>
  <c r="H405" i="15"/>
  <c r="I405" i="15" s="1"/>
  <c r="E473" i="14"/>
  <c r="Q472" i="14"/>
  <c r="B472" i="14"/>
  <c r="J472" i="14"/>
  <c r="Q473" i="14" l="1"/>
  <c r="B473" i="14"/>
  <c r="E474" i="14"/>
  <c r="C473" i="14"/>
  <c r="D473" i="14" s="1"/>
  <c r="H406" i="15"/>
  <c r="I406" i="15" s="1"/>
  <c r="J473" i="14"/>
  <c r="E475" i="14" l="1"/>
  <c r="J474" i="14"/>
  <c r="H407" i="15"/>
  <c r="I407" i="15" s="1"/>
  <c r="Q474" i="14"/>
  <c r="C474" i="14"/>
  <c r="D474" i="14" s="1"/>
  <c r="B474" i="14"/>
  <c r="Q475" i="14" l="1"/>
  <c r="J475" i="14"/>
  <c r="H408" i="15"/>
  <c r="I408" i="15" s="1"/>
  <c r="E476" i="14"/>
  <c r="B475" i="14"/>
  <c r="C475" i="14"/>
  <c r="D475" i="14" s="1"/>
  <c r="E477" i="14" l="1"/>
  <c r="H409" i="15"/>
  <c r="I409" i="15" s="1"/>
  <c r="B476" i="14"/>
  <c r="C476" i="14"/>
  <c r="D476" i="14" s="1"/>
  <c r="Q476" i="14"/>
  <c r="J476" i="14"/>
  <c r="C477" i="14" l="1"/>
  <c r="D477" i="14" s="1"/>
  <c r="Q477" i="14"/>
  <c r="J477" i="14"/>
  <c r="E478" i="14"/>
  <c r="B477" i="14"/>
  <c r="H410" i="15"/>
  <c r="I410" i="15" s="1"/>
  <c r="J478" i="14" l="1"/>
  <c r="C478" i="14"/>
  <c r="D478" i="14" s="1"/>
  <c r="H411" i="15"/>
  <c r="I411" i="15" s="1"/>
  <c r="B478" i="14"/>
  <c r="Q478" i="14"/>
  <c r="E479" i="14"/>
  <c r="B479" i="14" l="1"/>
  <c r="E480" i="14"/>
  <c r="C479" i="14"/>
  <c r="D479" i="14" s="1"/>
  <c r="Q479" i="14"/>
  <c r="H412" i="15"/>
  <c r="I412" i="15" s="1"/>
  <c r="J479" i="14"/>
  <c r="B480" i="14" l="1"/>
  <c r="J480" i="14"/>
  <c r="C480" i="14"/>
  <c r="D480" i="14" s="1"/>
  <c r="Q480" i="14"/>
  <c r="H413" i="15"/>
  <c r="I413" i="15" s="1"/>
  <c r="E481" i="14"/>
  <c r="C481" i="14" l="1"/>
  <c r="D481" i="14" s="1"/>
  <c r="H414" i="15"/>
  <c r="I414" i="15" s="1"/>
  <c r="J481" i="14"/>
  <c r="E482" i="14"/>
  <c r="B481" i="14"/>
  <c r="Q481" i="14"/>
  <c r="J482" i="14" l="1"/>
  <c r="H415" i="15"/>
  <c r="I415" i="15" s="1"/>
  <c r="E483" i="14"/>
  <c r="B482" i="14"/>
  <c r="Q482" i="14"/>
  <c r="C482" i="14"/>
  <c r="D482" i="14" s="1"/>
  <c r="B483" i="14" l="1"/>
  <c r="Q483" i="14"/>
  <c r="H416" i="15"/>
  <c r="I416" i="15" s="1"/>
  <c r="E484" i="14"/>
  <c r="J483" i="14"/>
  <c r="C483" i="14"/>
  <c r="D483" i="14" s="1"/>
  <c r="Q484" i="14" l="1"/>
  <c r="J484" i="14"/>
  <c r="H417" i="15"/>
  <c r="I417" i="15" s="1"/>
  <c r="C484" i="14"/>
  <c r="D484" i="14" s="1"/>
  <c r="B484" i="14"/>
  <c r="E485" i="14"/>
  <c r="H418" i="15" l="1"/>
  <c r="I418" i="15" s="1"/>
  <c r="B485" i="14"/>
  <c r="E486" i="14"/>
  <c r="C485" i="14"/>
  <c r="D485" i="14" s="1"/>
  <c r="Q485" i="14"/>
  <c r="J485" i="14"/>
  <c r="AE38" i="26"/>
  <c r="E38" i="26" s="1"/>
  <c r="G484" i="14" s="1"/>
  <c r="AE12" i="26"/>
  <c r="E12" i="26" s="1"/>
  <c r="G458" i="14" s="1"/>
  <c r="AE23" i="25"/>
  <c r="E23" i="25" s="1"/>
  <c r="G439" i="14" s="1"/>
  <c r="AE8" i="26"/>
  <c r="E8" i="26" s="1"/>
  <c r="AE27" i="26"/>
  <c r="E27" i="26" s="1"/>
  <c r="G473" i="14" s="1"/>
  <c r="AE13" i="26"/>
  <c r="E13" i="26" s="1"/>
  <c r="G459" i="14" s="1"/>
  <c r="AE31" i="26"/>
  <c r="E31" i="26" s="1"/>
  <c r="G477" i="14" s="1"/>
  <c r="AE28" i="25"/>
  <c r="E28" i="25" s="1"/>
  <c r="G444" i="14" s="1"/>
  <c r="AE24" i="25"/>
  <c r="E24" i="25" s="1"/>
  <c r="G440" i="14" s="1"/>
  <c r="AE11" i="26"/>
  <c r="E11" i="26" s="1"/>
  <c r="G457" i="14" s="1"/>
  <c r="AE19" i="26"/>
  <c r="E19" i="26" s="1"/>
  <c r="G465" i="14" s="1"/>
  <c r="AE19" i="25"/>
  <c r="E19" i="25" s="1"/>
  <c r="G435" i="14" s="1"/>
  <c r="AE20" i="26"/>
  <c r="E20" i="26" s="1"/>
  <c r="G466" i="14" s="1"/>
  <c r="AE21" i="25"/>
  <c r="E21" i="25" s="1"/>
  <c r="G437" i="14" s="1"/>
  <c r="AE30" i="26"/>
  <c r="E30" i="26" s="1"/>
  <c r="G476" i="14" s="1"/>
  <c r="AE36" i="26"/>
  <c r="E36" i="26" s="1"/>
  <c r="G482" i="14" s="1"/>
  <c r="AE25" i="26"/>
  <c r="E25" i="26" s="1"/>
  <c r="G471" i="14" s="1"/>
  <c r="AE34" i="25"/>
  <c r="E34" i="25" s="1"/>
  <c r="G450" i="14" s="1"/>
  <c r="AE10" i="26"/>
  <c r="E10" i="26" s="1"/>
  <c r="G456" i="14" s="1"/>
  <c r="AE18" i="26"/>
  <c r="E18" i="26" s="1"/>
  <c r="G464" i="14" s="1"/>
  <c r="AE17" i="25"/>
  <c r="E17" i="25" s="1"/>
  <c r="AE23" i="26"/>
  <c r="E23" i="26" s="1"/>
  <c r="G469" i="14" s="1"/>
  <c r="AE37" i="26"/>
  <c r="E37" i="26" s="1"/>
  <c r="G483" i="14" s="1"/>
  <c r="AE29" i="25"/>
  <c r="E29" i="25" s="1"/>
  <c r="G445" i="14" s="1"/>
  <c r="AE21" i="26"/>
  <c r="E21" i="26" s="1"/>
  <c r="G467" i="14" s="1"/>
  <c r="AE32" i="25"/>
  <c r="E32" i="25" s="1"/>
  <c r="G448" i="14" s="1"/>
  <c r="AE35" i="26"/>
  <c r="E35" i="26" s="1"/>
  <c r="G481" i="14" s="1"/>
  <c r="AE20" i="25"/>
  <c r="E20" i="25" s="1"/>
  <c r="G436" i="14" s="1"/>
  <c r="AE26" i="25"/>
  <c r="E26" i="25" s="1"/>
  <c r="G442" i="14" s="1"/>
  <c r="AE22" i="25"/>
  <c r="E22" i="25" s="1"/>
  <c r="G438" i="14" s="1"/>
  <c r="AE18" i="25"/>
  <c r="E18" i="25" s="1"/>
  <c r="G434" i="14" s="1"/>
  <c r="AE29" i="26"/>
  <c r="E29" i="26" s="1"/>
  <c r="G475" i="14" s="1"/>
  <c r="AE33" i="26"/>
  <c r="E33" i="26" s="1"/>
  <c r="G479" i="14" s="1"/>
  <c r="AE37" i="25"/>
  <c r="E37" i="25" s="1"/>
  <c r="AE30" i="25"/>
  <c r="E30" i="25" s="1"/>
  <c r="G446" i="14" s="1"/>
  <c r="AE35" i="25"/>
  <c r="E35" i="25" s="1"/>
  <c r="G451" i="14" s="1"/>
  <c r="AE32" i="26"/>
  <c r="E32" i="26" s="1"/>
  <c r="G478" i="14" s="1"/>
  <c r="AE33" i="25"/>
  <c r="E33" i="25" s="1"/>
  <c r="G449" i="14" s="1"/>
  <c r="AE15" i="26"/>
  <c r="E15" i="26" s="1"/>
  <c r="G461" i="14" s="1"/>
  <c r="AE17" i="26"/>
  <c r="E17" i="26" s="1"/>
  <c r="G463" i="14" s="1"/>
  <c r="AE22" i="26"/>
  <c r="E22" i="26" s="1"/>
  <c r="G468" i="14" s="1"/>
  <c r="AE24" i="26"/>
  <c r="E24" i="26" s="1"/>
  <c r="G470" i="14" s="1"/>
  <c r="AE26" i="26"/>
  <c r="E26" i="26" s="1"/>
  <c r="G472" i="14" s="1"/>
  <c r="AE36" i="25"/>
  <c r="E36" i="25" s="1"/>
  <c r="G452" i="14" s="1"/>
  <c r="AE25" i="25"/>
  <c r="E25" i="25" s="1"/>
  <c r="G441" i="14" s="1"/>
  <c r="AE16" i="26"/>
  <c r="E16" i="26" s="1"/>
  <c r="G462" i="14" s="1"/>
  <c r="AE27" i="25"/>
  <c r="E27" i="25" s="1"/>
  <c r="G443" i="14" s="1"/>
  <c r="AE28" i="26"/>
  <c r="E28" i="26" s="1"/>
  <c r="G474" i="14" s="1"/>
  <c r="AE14" i="26"/>
  <c r="E14" i="26" s="1"/>
  <c r="G460" i="14" s="1"/>
  <c r="AE34" i="26"/>
  <c r="E34" i="26" s="1"/>
  <c r="G480" i="14" s="1"/>
  <c r="AE31" i="25"/>
  <c r="E31" i="25" s="1"/>
  <c r="G447" i="14" s="1"/>
  <c r="AE9" i="26"/>
  <c r="E9" i="26" s="1"/>
  <c r="G455" i="14" s="1"/>
  <c r="P71" i="26" l="1"/>
  <c r="P73" i="26"/>
  <c r="P70" i="26"/>
  <c r="Q70" i="26"/>
  <c r="P72" i="26"/>
  <c r="Q71" i="26"/>
  <c r="Q73" i="26"/>
  <c r="O127" i="29" s="1"/>
  <c r="Q72" i="26"/>
  <c r="O126" i="29" s="1"/>
  <c r="T6" i="26"/>
  <c r="S6" i="26"/>
  <c r="V6" i="26"/>
  <c r="R6" i="26"/>
  <c r="P6" i="26"/>
  <c r="U6" i="26"/>
  <c r="Q6" i="26"/>
  <c r="Q486" i="14"/>
  <c r="H419" i="15"/>
  <c r="I419" i="15" s="1"/>
  <c r="J486" i="14"/>
  <c r="C486" i="14"/>
  <c r="D486" i="14" s="1"/>
  <c r="E487" i="14"/>
  <c r="B486" i="14"/>
  <c r="AE8" i="27"/>
  <c r="E8" i="27" s="1"/>
  <c r="M46" i="26"/>
  <c r="BO39" i="30" s="1"/>
  <c r="L46" i="26"/>
  <c r="BO35" i="30" s="1"/>
  <c r="K46" i="26"/>
  <c r="AE371" i="1" s="1"/>
  <c r="J46" i="26"/>
  <c r="BO27" i="30" s="1"/>
  <c r="I46" i="26"/>
  <c r="BO23" i="30" s="1"/>
  <c r="G46" i="26"/>
  <c r="H46" i="26"/>
  <c r="G257" i="1"/>
  <c r="G454" i="14"/>
  <c r="G453" i="14"/>
  <c r="G433" i="14"/>
  <c r="P21" i="26" l="1"/>
  <c r="X21" i="26" s="1"/>
  <c r="BA21" i="26" s="1"/>
  <c r="P20" i="26"/>
  <c r="X20" i="26" s="1"/>
  <c r="BA20" i="26" s="1"/>
  <c r="P11" i="26"/>
  <c r="X11" i="26" s="1"/>
  <c r="BA11" i="26" s="1"/>
  <c r="P13" i="26"/>
  <c r="X13" i="26" s="1"/>
  <c r="BA13" i="26" s="1"/>
  <c r="P22" i="26"/>
  <c r="X22" i="26" s="1"/>
  <c r="BA22" i="26" s="1"/>
  <c r="P18" i="26"/>
  <c r="X18" i="26" s="1"/>
  <c r="BA18" i="26" s="1"/>
  <c r="P8" i="26"/>
  <c r="P14" i="26"/>
  <c r="X14" i="26" s="1"/>
  <c r="BA14" i="26" s="1"/>
  <c r="P12" i="26"/>
  <c r="X12" i="26" s="1"/>
  <c r="BA12" i="26" s="1"/>
  <c r="P17" i="26"/>
  <c r="X17" i="26" s="1"/>
  <c r="BA17" i="26" s="1"/>
  <c r="P19" i="26"/>
  <c r="X19" i="26" s="1"/>
  <c r="BA19" i="26" s="1"/>
  <c r="P16" i="26"/>
  <c r="X16" i="26" s="1"/>
  <c r="BA16" i="26" s="1"/>
  <c r="P9" i="26"/>
  <c r="X9" i="26" s="1"/>
  <c r="BA9" i="26" s="1"/>
  <c r="P15" i="26"/>
  <c r="X15" i="26" s="1"/>
  <c r="BA15" i="26" s="1"/>
  <c r="P10" i="26"/>
  <c r="X10" i="26" s="1"/>
  <c r="BA10" i="26" s="1"/>
  <c r="P23" i="26"/>
  <c r="X23" i="26" s="1"/>
  <c r="BA23" i="26" s="1"/>
  <c r="P24" i="26"/>
  <c r="X24" i="26" s="1"/>
  <c r="BA24" i="26" s="1"/>
  <c r="P25" i="26"/>
  <c r="X25" i="26" s="1"/>
  <c r="BA25" i="26" s="1"/>
  <c r="P26" i="26"/>
  <c r="X26" i="26" s="1"/>
  <c r="BA26" i="26" s="1"/>
  <c r="P27" i="26"/>
  <c r="X27" i="26" s="1"/>
  <c r="BA27" i="26" s="1"/>
  <c r="P28" i="26"/>
  <c r="X28" i="26" s="1"/>
  <c r="BA28" i="26" s="1"/>
  <c r="P29" i="26"/>
  <c r="X29" i="26" s="1"/>
  <c r="BA29" i="26" s="1"/>
  <c r="P30" i="26"/>
  <c r="X30" i="26" s="1"/>
  <c r="BA30" i="26" s="1"/>
  <c r="P31" i="26"/>
  <c r="X31" i="26" s="1"/>
  <c r="BA31" i="26" s="1"/>
  <c r="P32" i="26"/>
  <c r="X32" i="26" s="1"/>
  <c r="BA32" i="26" s="1"/>
  <c r="P33" i="26"/>
  <c r="X33" i="26" s="1"/>
  <c r="BA33" i="26" s="1"/>
  <c r="P34" i="26"/>
  <c r="X34" i="26" s="1"/>
  <c r="BA34" i="26" s="1"/>
  <c r="P35" i="26"/>
  <c r="X35" i="26" s="1"/>
  <c r="BA35" i="26" s="1"/>
  <c r="P36" i="26"/>
  <c r="X36" i="26" s="1"/>
  <c r="BA36" i="26" s="1"/>
  <c r="P37" i="26"/>
  <c r="X37" i="26" s="1"/>
  <c r="BA37" i="26" s="1"/>
  <c r="P38" i="26"/>
  <c r="X38" i="26" s="1"/>
  <c r="BA38" i="26" s="1"/>
  <c r="R70" i="26"/>
  <c r="R71" i="26"/>
  <c r="BO19" i="30"/>
  <c r="BO47" i="30"/>
  <c r="Q8" i="26"/>
  <c r="AN8" i="26" s="1"/>
  <c r="Q9" i="26"/>
  <c r="Q14" i="26"/>
  <c r="Q21" i="26"/>
  <c r="Q19" i="26"/>
  <c r="Q16" i="26"/>
  <c r="Q20" i="26"/>
  <c r="Q11" i="26"/>
  <c r="Q13" i="26"/>
  <c r="Q15" i="26"/>
  <c r="Q18" i="26"/>
  <c r="Q10" i="26"/>
  <c r="Q17" i="26"/>
  <c r="Q12" i="26"/>
  <c r="Q22" i="26"/>
  <c r="Q23" i="26"/>
  <c r="Q24" i="26"/>
  <c r="Q25" i="26"/>
  <c r="Q26" i="26"/>
  <c r="Q27" i="26"/>
  <c r="Q28" i="26"/>
  <c r="Q29" i="26"/>
  <c r="Q30" i="26"/>
  <c r="Q31" i="26"/>
  <c r="Q32" i="26"/>
  <c r="Q33" i="26"/>
  <c r="Q34" i="26"/>
  <c r="Q35" i="26"/>
  <c r="Q36" i="26"/>
  <c r="Q37" i="26"/>
  <c r="Q38" i="26"/>
  <c r="BO31" i="30"/>
  <c r="V13" i="26"/>
  <c r="AU459" i="14" s="1"/>
  <c r="V11" i="26"/>
  <c r="AU457" i="14" s="1"/>
  <c r="V8" i="26"/>
  <c r="V17" i="26"/>
  <c r="AU463" i="14" s="1"/>
  <c r="V9" i="26"/>
  <c r="AU455" i="14" s="1"/>
  <c r="V14" i="26"/>
  <c r="AU460" i="14" s="1"/>
  <c r="V20" i="26"/>
  <c r="AU466" i="14" s="1"/>
  <c r="V10" i="26"/>
  <c r="AU456" i="14" s="1"/>
  <c r="V16" i="26"/>
  <c r="AU462" i="14" s="1"/>
  <c r="V21" i="26"/>
  <c r="AU467" i="14" s="1"/>
  <c r="V19" i="26"/>
  <c r="AU465" i="14" s="1"/>
  <c r="V15" i="26"/>
  <c r="AU461" i="14" s="1"/>
  <c r="V12" i="26"/>
  <c r="AU458" i="14" s="1"/>
  <c r="V18" i="26"/>
  <c r="AU464" i="14" s="1"/>
  <c r="V22" i="26"/>
  <c r="AU468" i="14" s="1"/>
  <c r="V23" i="26"/>
  <c r="AU469" i="14" s="1"/>
  <c r="V24" i="26"/>
  <c r="AU470" i="14" s="1"/>
  <c r="V25" i="26"/>
  <c r="AU471" i="14" s="1"/>
  <c r="V26" i="26"/>
  <c r="AU472" i="14" s="1"/>
  <c r="V27" i="26"/>
  <c r="AU473" i="14" s="1"/>
  <c r="V28" i="26"/>
  <c r="AU474" i="14" s="1"/>
  <c r="V29" i="26"/>
  <c r="AU475" i="14" s="1"/>
  <c r="V30" i="26"/>
  <c r="AU476" i="14" s="1"/>
  <c r="V31" i="26"/>
  <c r="AU477" i="14" s="1"/>
  <c r="V32" i="26"/>
  <c r="AU478" i="14" s="1"/>
  <c r="V33" i="26"/>
  <c r="AU479" i="14" s="1"/>
  <c r="V34" i="26"/>
  <c r="AU480" i="14" s="1"/>
  <c r="V35" i="26"/>
  <c r="AU481" i="14" s="1"/>
  <c r="V36" i="26"/>
  <c r="AU482" i="14" s="1"/>
  <c r="V37" i="26"/>
  <c r="AU483" i="14" s="1"/>
  <c r="V38" i="26"/>
  <c r="AU484" i="14" s="1"/>
  <c r="U15" i="26"/>
  <c r="U14" i="26"/>
  <c r="U16" i="26"/>
  <c r="U19" i="26"/>
  <c r="U20" i="26"/>
  <c r="U9" i="26"/>
  <c r="U11" i="26"/>
  <c r="U13" i="26"/>
  <c r="U12" i="26"/>
  <c r="U21" i="26"/>
  <c r="U17" i="26"/>
  <c r="U10" i="26"/>
  <c r="U18" i="26"/>
  <c r="U8" i="26"/>
  <c r="AR8" i="26" s="1"/>
  <c r="U22" i="26"/>
  <c r="U23" i="26"/>
  <c r="U24" i="26"/>
  <c r="U25" i="26"/>
  <c r="U26" i="26"/>
  <c r="U27" i="26"/>
  <c r="U28" i="26"/>
  <c r="U29" i="26"/>
  <c r="U30" i="26"/>
  <c r="U31" i="26"/>
  <c r="U32" i="26"/>
  <c r="U33" i="26"/>
  <c r="U34" i="26"/>
  <c r="U35" i="26"/>
  <c r="U36" i="26"/>
  <c r="U37" i="26"/>
  <c r="U38" i="26"/>
  <c r="S17" i="26"/>
  <c r="AP17" i="26" s="1"/>
  <c r="CL463" i="14" s="1"/>
  <c r="S12" i="26"/>
  <c r="AP12" i="26" s="1"/>
  <c r="CL458" i="14" s="1"/>
  <c r="S8" i="26"/>
  <c r="AP8" i="26" s="1"/>
  <c r="CL454" i="14" s="1"/>
  <c r="S15" i="26"/>
  <c r="AP15" i="26" s="1"/>
  <c r="CL461" i="14" s="1"/>
  <c r="S16" i="26"/>
  <c r="AP16" i="26" s="1"/>
  <c r="CL462" i="14" s="1"/>
  <c r="S10" i="26"/>
  <c r="AP10" i="26" s="1"/>
  <c r="CL456" i="14" s="1"/>
  <c r="S9" i="26"/>
  <c r="AP9" i="26" s="1"/>
  <c r="CL455" i="14" s="1"/>
  <c r="S13" i="26"/>
  <c r="AP13" i="26" s="1"/>
  <c r="CL459" i="14" s="1"/>
  <c r="S20" i="26"/>
  <c r="AP20" i="26" s="1"/>
  <c r="CL466" i="14" s="1"/>
  <c r="S18" i="26"/>
  <c r="AP18" i="26" s="1"/>
  <c r="CL464" i="14" s="1"/>
  <c r="S14" i="26"/>
  <c r="AP14" i="26" s="1"/>
  <c r="CL460" i="14" s="1"/>
  <c r="S21" i="26"/>
  <c r="AP21" i="26" s="1"/>
  <c r="CL467" i="14" s="1"/>
  <c r="S11" i="26"/>
  <c r="AP11" i="26" s="1"/>
  <c r="CL457" i="14" s="1"/>
  <c r="S19" i="26"/>
  <c r="AP19" i="26" s="1"/>
  <c r="CL465" i="14" s="1"/>
  <c r="S22" i="26"/>
  <c r="AP22" i="26" s="1"/>
  <c r="CL468" i="14" s="1"/>
  <c r="S23" i="26"/>
  <c r="AP23" i="26" s="1"/>
  <c r="CL469" i="14" s="1"/>
  <c r="S24" i="26"/>
  <c r="AP24" i="26" s="1"/>
  <c r="CL470" i="14" s="1"/>
  <c r="S25" i="26"/>
  <c r="AP25" i="26" s="1"/>
  <c r="CL471" i="14" s="1"/>
  <c r="S26" i="26"/>
  <c r="AP26" i="26" s="1"/>
  <c r="CL472" i="14" s="1"/>
  <c r="S27" i="26"/>
  <c r="AP27" i="26" s="1"/>
  <c r="CL473" i="14" s="1"/>
  <c r="S28" i="26"/>
  <c r="AP28" i="26" s="1"/>
  <c r="CL474" i="14" s="1"/>
  <c r="S29" i="26"/>
  <c r="AP29" i="26" s="1"/>
  <c r="CL475" i="14" s="1"/>
  <c r="S30" i="26"/>
  <c r="AP30" i="26" s="1"/>
  <c r="CL476" i="14" s="1"/>
  <c r="S31" i="26"/>
  <c r="AP31" i="26" s="1"/>
  <c r="CL477" i="14" s="1"/>
  <c r="S32" i="26"/>
  <c r="AP32" i="26" s="1"/>
  <c r="CL478" i="14" s="1"/>
  <c r="S33" i="26"/>
  <c r="AP33" i="26" s="1"/>
  <c r="CL479" i="14" s="1"/>
  <c r="S34" i="26"/>
  <c r="AP34" i="26" s="1"/>
  <c r="CL480" i="14" s="1"/>
  <c r="S35" i="26"/>
  <c r="AP35" i="26" s="1"/>
  <c r="CL481" i="14" s="1"/>
  <c r="S36" i="26"/>
  <c r="AP36" i="26" s="1"/>
  <c r="CL482" i="14" s="1"/>
  <c r="S37" i="26"/>
  <c r="AP37" i="26" s="1"/>
  <c r="CL483" i="14" s="1"/>
  <c r="S38" i="26"/>
  <c r="AP38" i="26" s="1"/>
  <c r="CL484" i="14" s="1"/>
  <c r="T11" i="26"/>
  <c r="AQ11" i="26" s="1"/>
  <c r="T15" i="26"/>
  <c r="AQ15" i="26" s="1"/>
  <c r="T21" i="26"/>
  <c r="AQ21" i="26" s="1"/>
  <c r="T13" i="26"/>
  <c r="AQ13" i="26" s="1"/>
  <c r="T20" i="26"/>
  <c r="AQ20" i="26" s="1"/>
  <c r="T8" i="26"/>
  <c r="AQ8" i="26" s="1"/>
  <c r="T18" i="26"/>
  <c r="AQ18" i="26" s="1"/>
  <c r="T14" i="26"/>
  <c r="AQ14" i="26" s="1"/>
  <c r="T19" i="26"/>
  <c r="AQ19" i="26" s="1"/>
  <c r="T12" i="26"/>
  <c r="AQ12" i="26" s="1"/>
  <c r="T10" i="26"/>
  <c r="AQ10" i="26" s="1"/>
  <c r="T17" i="26"/>
  <c r="AQ17" i="26" s="1"/>
  <c r="T9" i="26"/>
  <c r="AQ9" i="26" s="1"/>
  <c r="T16" i="26"/>
  <c r="AQ16" i="26" s="1"/>
  <c r="T22" i="26"/>
  <c r="AQ22" i="26" s="1"/>
  <c r="T23" i="26"/>
  <c r="AQ23" i="26" s="1"/>
  <c r="T24" i="26"/>
  <c r="AQ24" i="26" s="1"/>
  <c r="T25" i="26"/>
  <c r="AQ25" i="26" s="1"/>
  <c r="T26" i="26"/>
  <c r="AQ26" i="26" s="1"/>
  <c r="T27" i="26"/>
  <c r="AQ27" i="26" s="1"/>
  <c r="T28" i="26"/>
  <c r="AQ28" i="26" s="1"/>
  <c r="T29" i="26"/>
  <c r="AQ29" i="26" s="1"/>
  <c r="T30" i="26"/>
  <c r="AQ30" i="26" s="1"/>
  <c r="T31" i="26"/>
  <c r="AQ31" i="26" s="1"/>
  <c r="T32" i="26"/>
  <c r="AQ32" i="26" s="1"/>
  <c r="T33" i="26"/>
  <c r="AQ33" i="26" s="1"/>
  <c r="T34" i="26"/>
  <c r="AQ34" i="26" s="1"/>
  <c r="T35" i="26"/>
  <c r="AQ35" i="26" s="1"/>
  <c r="T36" i="26"/>
  <c r="AQ36" i="26" s="1"/>
  <c r="T37" i="26"/>
  <c r="AQ37" i="26" s="1"/>
  <c r="T38" i="26"/>
  <c r="AQ38" i="26" s="1"/>
  <c r="R17" i="26"/>
  <c r="R14" i="26"/>
  <c r="R11" i="26"/>
  <c r="R8" i="26"/>
  <c r="R19" i="26"/>
  <c r="R18" i="26"/>
  <c r="R10" i="26"/>
  <c r="R15" i="26"/>
  <c r="R20" i="26"/>
  <c r="R12" i="26"/>
  <c r="R9" i="26"/>
  <c r="R21" i="26"/>
  <c r="R13" i="26"/>
  <c r="R16" i="26"/>
  <c r="R22" i="26"/>
  <c r="R23" i="26"/>
  <c r="R24" i="26"/>
  <c r="R25" i="26"/>
  <c r="R26" i="26"/>
  <c r="R27" i="26"/>
  <c r="R28" i="26"/>
  <c r="R29" i="26"/>
  <c r="R30" i="26"/>
  <c r="R31" i="26"/>
  <c r="R32" i="26"/>
  <c r="R33" i="26"/>
  <c r="R34" i="26"/>
  <c r="R35" i="26"/>
  <c r="R36" i="26"/>
  <c r="R37" i="26"/>
  <c r="R38" i="26"/>
  <c r="R73" i="26"/>
  <c r="O16" i="29"/>
  <c r="G485" i="14"/>
  <c r="P73" i="27"/>
  <c r="P72" i="27"/>
  <c r="P71" i="27"/>
  <c r="P70" i="27"/>
  <c r="Q70" i="27"/>
  <c r="Q73" i="27"/>
  <c r="P127" i="29" s="1"/>
  <c r="Q72" i="27"/>
  <c r="P126" i="29" s="1"/>
  <c r="Q71" i="27"/>
  <c r="V6" i="27"/>
  <c r="R6" i="27"/>
  <c r="U6" i="27"/>
  <c r="Q6" i="27"/>
  <c r="T6" i="27"/>
  <c r="S6" i="27"/>
  <c r="P6" i="27"/>
  <c r="R72" i="26"/>
  <c r="O15" i="29"/>
  <c r="AE9" i="27"/>
  <c r="E9" i="27" s="1"/>
  <c r="G486" i="14" s="1"/>
  <c r="H420" i="15"/>
  <c r="I420" i="15" s="1"/>
  <c r="B487" i="14"/>
  <c r="J487" i="14"/>
  <c r="Q487" i="14"/>
  <c r="E488" i="14"/>
  <c r="C487" i="14"/>
  <c r="D487" i="14" s="1"/>
  <c r="E46" i="26"/>
  <c r="O5" i="29" s="1"/>
  <c r="BO15" i="30"/>
  <c r="G430" i="1"/>
  <c r="J430" i="1" s="1"/>
  <c r="M430" i="1" s="1"/>
  <c r="P430" i="1" s="1"/>
  <c r="S430" i="1" s="1"/>
  <c r="V430" i="1" s="1"/>
  <c r="Y430" i="1" s="1"/>
  <c r="G128" i="26"/>
  <c r="AE373" i="1"/>
  <c r="AE257" i="1"/>
  <c r="AB257" i="1"/>
  <c r="AK257" i="1"/>
  <c r="G256" i="1"/>
  <c r="G271" i="1"/>
  <c r="AE377" i="1"/>
  <c r="O62" i="29" s="1"/>
  <c r="AE372" i="1"/>
  <c r="AE328" i="1"/>
  <c r="F126" i="29"/>
  <c r="F127" i="29"/>
  <c r="AE254" i="1"/>
  <c r="O116" i="29"/>
  <c r="AE368" i="1"/>
  <c r="AE369" i="1"/>
  <c r="AE325" i="1"/>
  <c r="AE370" i="1"/>
  <c r="AE326" i="1"/>
  <c r="AE324" i="1"/>
  <c r="AE367" i="1"/>
  <c r="K147" i="26"/>
  <c r="AE238" i="1"/>
  <c r="AE247" i="1"/>
  <c r="AE239" i="1"/>
  <c r="AE265" i="1" s="1"/>
  <c r="AE233" i="1"/>
  <c r="AE263" i="1" s="1"/>
  <c r="AE235" i="1"/>
  <c r="AE248" i="1"/>
  <c r="AE268" i="1" s="1"/>
  <c r="AE242" i="1"/>
  <c r="AE266" i="1" s="1"/>
  <c r="AE241" i="1"/>
  <c r="G147" i="26"/>
  <c r="AE232" i="1"/>
  <c r="AE245" i="1"/>
  <c r="AE267" i="1" s="1"/>
  <c r="AE236" i="1"/>
  <c r="AE264" i="1" s="1"/>
  <c r="AE331" i="1"/>
  <c r="O97" i="29" s="1"/>
  <c r="AE230" i="1"/>
  <c r="AE262" i="1" s="1"/>
  <c r="AE229" i="1"/>
  <c r="AE244" i="1"/>
  <c r="J147" i="26"/>
  <c r="I147" i="26"/>
  <c r="M147" i="26"/>
  <c r="H147" i="26"/>
  <c r="L147" i="26"/>
  <c r="BD225" i="14"/>
  <c r="BD229" i="14"/>
  <c r="BD223" i="14"/>
  <c r="BD236" i="14"/>
  <c r="BD233" i="14"/>
  <c r="BD219" i="14"/>
  <c r="BD216" i="14"/>
  <c r="BD226" i="14"/>
  <c r="AF6" i="18"/>
  <c r="BD230" i="14"/>
  <c r="BD212" i="14"/>
  <c r="BD227" i="14"/>
  <c r="BD211" i="14"/>
  <c r="BD215" i="14"/>
  <c r="BD217" i="14"/>
  <c r="BD222" i="14"/>
  <c r="BD214" i="14"/>
  <c r="BD232" i="14"/>
  <c r="BD228" i="14"/>
  <c r="BD220" i="14"/>
  <c r="BD239" i="14"/>
  <c r="BD218" i="14"/>
  <c r="BD237" i="14"/>
  <c r="BD231" i="14"/>
  <c r="BD235" i="14"/>
  <c r="BD213" i="14"/>
  <c r="BD238" i="14"/>
  <c r="BD234" i="14"/>
  <c r="BD221" i="14"/>
  <c r="BD224" i="14"/>
  <c r="AS8" i="26" l="1"/>
  <c r="CN454" i="14" s="1"/>
  <c r="AU454" i="14"/>
  <c r="AO32" i="26"/>
  <c r="AT478" i="14"/>
  <c r="AO28" i="26"/>
  <c r="AT474" i="14"/>
  <c r="AO20" i="26"/>
  <c r="AT466" i="14"/>
  <c r="AO19" i="26"/>
  <c r="AT465" i="14"/>
  <c r="AO35" i="26"/>
  <c r="AT481" i="14"/>
  <c r="AO31" i="26"/>
  <c r="AT477" i="14"/>
  <c r="AO27" i="26"/>
  <c r="AT473" i="14"/>
  <c r="AO23" i="26"/>
  <c r="AT469" i="14"/>
  <c r="AO21" i="26"/>
  <c r="AT467" i="14"/>
  <c r="AO15" i="26"/>
  <c r="AT461" i="14"/>
  <c r="AO8" i="26"/>
  <c r="CM454" i="14" s="1"/>
  <c r="AT454" i="14"/>
  <c r="AO24" i="26"/>
  <c r="AT470" i="14"/>
  <c r="AO17" i="26"/>
  <c r="AT463" i="14"/>
  <c r="AO38" i="26"/>
  <c r="AT484" i="14"/>
  <c r="AO34" i="26"/>
  <c r="AT480" i="14"/>
  <c r="AO30" i="26"/>
  <c r="AT476" i="14"/>
  <c r="AO26" i="26"/>
  <c r="AT472" i="14"/>
  <c r="AO22" i="26"/>
  <c r="AT468" i="14"/>
  <c r="AO9" i="26"/>
  <c r="AT455" i="14"/>
  <c r="AO10" i="26"/>
  <c r="AT456" i="14"/>
  <c r="AO11" i="26"/>
  <c r="AT457" i="14"/>
  <c r="AO36" i="26"/>
  <c r="AT482" i="14"/>
  <c r="AO13" i="26"/>
  <c r="AT459" i="14"/>
  <c r="AO37" i="26"/>
  <c r="AT483" i="14"/>
  <c r="AO33" i="26"/>
  <c r="AT479" i="14"/>
  <c r="AO29" i="26"/>
  <c r="AT475" i="14"/>
  <c r="AO25" i="26"/>
  <c r="AT471" i="14"/>
  <c r="AO16" i="26"/>
  <c r="AT462" i="14"/>
  <c r="AO12" i="26"/>
  <c r="AT458" i="14"/>
  <c r="AO18" i="26"/>
  <c r="AT464" i="14"/>
  <c r="AO14" i="26"/>
  <c r="AT460" i="14"/>
  <c r="X8" i="26"/>
  <c r="BA8" i="26" s="1"/>
  <c r="G48" i="26"/>
  <c r="AD34" i="26"/>
  <c r="BG34" i="26" s="1"/>
  <c r="AS34" i="26"/>
  <c r="CN480" i="14" s="1"/>
  <c r="AD26" i="26"/>
  <c r="BG26" i="26" s="1"/>
  <c r="AS26" i="26"/>
  <c r="CN472" i="14" s="1"/>
  <c r="AD19" i="26"/>
  <c r="BG19" i="26" s="1"/>
  <c r="AS19" i="26"/>
  <c r="CN465" i="14" s="1"/>
  <c r="AD20" i="26"/>
  <c r="BG20" i="26" s="1"/>
  <c r="AS20" i="26"/>
  <c r="CN466" i="14" s="1"/>
  <c r="AD33" i="26"/>
  <c r="BG33" i="26" s="1"/>
  <c r="AS33" i="26"/>
  <c r="CN479" i="14" s="1"/>
  <c r="AD25" i="26"/>
  <c r="BG25" i="26" s="1"/>
  <c r="AS25" i="26"/>
  <c r="CN471" i="14" s="1"/>
  <c r="AD21" i="26"/>
  <c r="BG21" i="26" s="1"/>
  <c r="AS21" i="26"/>
  <c r="CN467" i="14" s="1"/>
  <c r="AD35" i="26"/>
  <c r="BG35" i="26" s="1"/>
  <c r="AS35" i="26"/>
  <c r="CN481" i="14" s="1"/>
  <c r="AD31" i="26"/>
  <c r="BG31" i="26" s="1"/>
  <c r="AS31" i="26"/>
  <c r="CN477" i="14" s="1"/>
  <c r="AD27" i="26"/>
  <c r="BG27" i="26" s="1"/>
  <c r="AS27" i="26"/>
  <c r="CN473" i="14" s="1"/>
  <c r="AD23" i="26"/>
  <c r="BG23" i="26" s="1"/>
  <c r="AS23" i="26"/>
  <c r="CN469" i="14" s="1"/>
  <c r="AD15" i="26"/>
  <c r="BG15" i="26" s="1"/>
  <c r="AS15" i="26"/>
  <c r="CN461" i="14" s="1"/>
  <c r="AD10" i="26"/>
  <c r="BG10" i="26" s="1"/>
  <c r="AS10" i="26"/>
  <c r="CN456" i="14" s="1"/>
  <c r="AD17" i="26"/>
  <c r="BG17" i="26" s="1"/>
  <c r="AS17" i="26"/>
  <c r="CN463" i="14" s="1"/>
  <c r="AD38" i="26"/>
  <c r="BG38" i="26" s="1"/>
  <c r="AS38" i="26"/>
  <c r="CN484" i="14" s="1"/>
  <c r="AD30" i="26"/>
  <c r="BG30" i="26" s="1"/>
  <c r="AS30" i="26"/>
  <c r="CN476" i="14" s="1"/>
  <c r="AD22" i="26"/>
  <c r="BG22" i="26" s="1"/>
  <c r="AS22" i="26"/>
  <c r="CN468" i="14" s="1"/>
  <c r="AD37" i="26"/>
  <c r="BG37" i="26" s="1"/>
  <c r="AS37" i="26"/>
  <c r="CN483" i="14" s="1"/>
  <c r="AD29" i="26"/>
  <c r="BG29" i="26" s="1"/>
  <c r="AS29" i="26"/>
  <c r="CN475" i="14" s="1"/>
  <c r="AD18" i="26"/>
  <c r="BG18" i="26" s="1"/>
  <c r="AS18" i="26"/>
  <c r="CN464" i="14" s="1"/>
  <c r="AD14" i="26"/>
  <c r="BG14" i="26" s="1"/>
  <c r="AS14" i="26"/>
  <c r="CN460" i="14" s="1"/>
  <c r="AD11" i="26"/>
  <c r="BG11" i="26" s="1"/>
  <c r="AS11" i="26"/>
  <c r="CN457" i="14" s="1"/>
  <c r="AD36" i="26"/>
  <c r="BG36" i="26" s="1"/>
  <c r="AS36" i="26"/>
  <c r="CN482" i="14" s="1"/>
  <c r="AD32" i="26"/>
  <c r="BG32" i="26" s="1"/>
  <c r="AS32" i="26"/>
  <c r="CN478" i="14" s="1"/>
  <c r="AD28" i="26"/>
  <c r="BG28" i="26" s="1"/>
  <c r="AS28" i="26"/>
  <c r="CN474" i="14" s="1"/>
  <c r="AD24" i="26"/>
  <c r="BG24" i="26" s="1"/>
  <c r="AS24" i="26"/>
  <c r="CN470" i="14" s="1"/>
  <c r="AD12" i="26"/>
  <c r="BG12" i="26" s="1"/>
  <c r="AS12" i="26"/>
  <c r="CN458" i="14" s="1"/>
  <c r="AD16" i="26"/>
  <c r="BG16" i="26" s="1"/>
  <c r="AS16" i="26"/>
  <c r="CN462" i="14" s="1"/>
  <c r="AD9" i="26"/>
  <c r="BG9" i="26" s="1"/>
  <c r="AS9" i="26"/>
  <c r="CN455" i="14" s="1"/>
  <c r="AD13" i="26"/>
  <c r="BG13" i="26" s="1"/>
  <c r="AS13" i="26"/>
  <c r="CN459" i="14" s="1"/>
  <c r="AC34" i="26"/>
  <c r="BF34" i="26" s="1"/>
  <c r="AR34" i="26"/>
  <c r="AC22" i="26"/>
  <c r="BF22" i="26" s="1"/>
  <c r="AR22" i="26"/>
  <c r="AC11" i="26"/>
  <c r="BF11" i="26" s="1"/>
  <c r="AR11" i="26"/>
  <c r="AC36" i="26"/>
  <c r="BF36" i="26" s="1"/>
  <c r="AR36" i="26"/>
  <c r="AC32" i="26"/>
  <c r="BF32" i="26" s="1"/>
  <c r="AR32" i="26"/>
  <c r="AC28" i="26"/>
  <c r="BF28" i="26" s="1"/>
  <c r="AR28" i="26"/>
  <c r="AC24" i="26"/>
  <c r="BF24" i="26" s="1"/>
  <c r="AR24" i="26"/>
  <c r="AC18" i="26"/>
  <c r="BF18" i="26" s="1"/>
  <c r="AR18" i="26"/>
  <c r="AC12" i="26"/>
  <c r="BF12" i="26" s="1"/>
  <c r="AR12" i="26"/>
  <c r="AC20" i="26"/>
  <c r="BF20" i="26" s="1"/>
  <c r="AR20" i="26"/>
  <c r="AC15" i="26"/>
  <c r="BF15" i="26" s="1"/>
  <c r="AR15" i="26"/>
  <c r="AC38" i="26"/>
  <c r="BF38" i="26" s="1"/>
  <c r="AR38" i="26"/>
  <c r="AC26" i="26"/>
  <c r="BF26" i="26" s="1"/>
  <c r="AR26" i="26"/>
  <c r="AC35" i="26"/>
  <c r="BF35" i="26" s="1"/>
  <c r="AR35" i="26"/>
  <c r="AC31" i="26"/>
  <c r="BF31" i="26" s="1"/>
  <c r="AR31" i="26"/>
  <c r="AC27" i="26"/>
  <c r="BF27" i="26" s="1"/>
  <c r="AR27" i="26"/>
  <c r="AC23" i="26"/>
  <c r="BF23" i="26" s="1"/>
  <c r="AR23" i="26"/>
  <c r="AC10" i="26"/>
  <c r="BF10" i="26" s="1"/>
  <c r="AR10" i="26"/>
  <c r="AC13" i="26"/>
  <c r="BF13" i="26" s="1"/>
  <c r="AR13" i="26"/>
  <c r="AC19" i="26"/>
  <c r="BF19" i="26" s="1"/>
  <c r="AR19" i="26"/>
  <c r="AC30" i="26"/>
  <c r="BF30" i="26" s="1"/>
  <c r="AR30" i="26"/>
  <c r="AC17" i="26"/>
  <c r="BF17" i="26" s="1"/>
  <c r="AR17" i="26"/>
  <c r="AC16" i="26"/>
  <c r="BF16" i="26" s="1"/>
  <c r="AR16" i="26"/>
  <c r="AC37" i="26"/>
  <c r="BF37" i="26" s="1"/>
  <c r="AR37" i="26"/>
  <c r="AC33" i="26"/>
  <c r="BF33" i="26" s="1"/>
  <c r="AR33" i="26"/>
  <c r="AC29" i="26"/>
  <c r="BF29" i="26" s="1"/>
  <c r="AR29" i="26"/>
  <c r="AC25" i="26"/>
  <c r="BF25" i="26" s="1"/>
  <c r="AR25" i="26"/>
  <c r="AC21" i="26"/>
  <c r="BF21" i="26" s="1"/>
  <c r="AR21" i="26"/>
  <c r="AC9" i="26"/>
  <c r="BF9" i="26" s="1"/>
  <c r="AR9" i="26"/>
  <c r="AC14" i="26"/>
  <c r="BF14" i="26" s="1"/>
  <c r="AR14" i="26"/>
  <c r="Y35" i="26"/>
  <c r="AN35" i="26"/>
  <c r="Y31" i="26"/>
  <c r="AN31" i="26"/>
  <c r="CK477" i="14" s="1"/>
  <c r="Y27" i="26"/>
  <c r="AN27" i="26"/>
  <c r="Y23" i="26"/>
  <c r="AN23" i="26"/>
  <c r="CK469" i="14" s="1"/>
  <c r="Y10" i="26"/>
  <c r="AN10" i="26"/>
  <c r="CK456" i="14" s="1"/>
  <c r="Y11" i="26"/>
  <c r="AN11" i="26"/>
  <c r="Y21" i="26"/>
  <c r="AN21" i="26"/>
  <c r="Y38" i="26"/>
  <c r="AN38" i="26"/>
  <c r="CK484" i="14" s="1"/>
  <c r="Y34" i="26"/>
  <c r="AN34" i="26"/>
  <c r="Y30" i="26"/>
  <c r="AN30" i="26"/>
  <c r="CK476" i="14" s="1"/>
  <c r="Y26" i="26"/>
  <c r="AN26" i="26"/>
  <c r="Y22" i="26"/>
  <c r="AN22" i="26"/>
  <c r="CK468" i="14" s="1"/>
  <c r="Y18" i="26"/>
  <c r="AN18" i="26"/>
  <c r="CK464" i="14" s="1"/>
  <c r="Y20" i="26"/>
  <c r="AN20" i="26"/>
  <c r="Y14" i="26"/>
  <c r="AN14" i="26"/>
  <c r="Y37" i="26"/>
  <c r="AN37" i="26"/>
  <c r="CK483" i="14" s="1"/>
  <c r="Y33" i="26"/>
  <c r="AN33" i="26"/>
  <c r="Y29" i="26"/>
  <c r="AN29" i="26"/>
  <c r="CK475" i="14" s="1"/>
  <c r="Y25" i="26"/>
  <c r="AN25" i="26"/>
  <c r="Y12" i="26"/>
  <c r="AN12" i="26"/>
  <c r="Y16" i="26"/>
  <c r="AN16" i="26"/>
  <c r="CK462" i="14" s="1"/>
  <c r="Y9" i="26"/>
  <c r="AN9" i="26"/>
  <c r="Y36" i="26"/>
  <c r="AN36" i="26"/>
  <c r="CK482" i="14" s="1"/>
  <c r="Y32" i="26"/>
  <c r="AN32" i="26"/>
  <c r="Y28" i="26"/>
  <c r="AN28" i="26"/>
  <c r="CK474" i="14" s="1"/>
  <c r="Y24" i="26"/>
  <c r="AN24" i="26"/>
  <c r="CK470" i="14" s="1"/>
  <c r="Y17" i="26"/>
  <c r="AN17" i="26"/>
  <c r="Y13" i="26"/>
  <c r="AN13" i="26"/>
  <c r="Y19" i="26"/>
  <c r="AN19" i="26"/>
  <c r="CK465" i="14" s="1"/>
  <c r="R71" i="27"/>
  <c r="R70" i="27"/>
  <c r="Q20" i="27"/>
  <c r="Q10" i="27"/>
  <c r="Q13" i="27"/>
  <c r="Q15" i="27"/>
  <c r="Q12" i="27"/>
  <c r="Q17" i="27"/>
  <c r="Q11" i="27"/>
  <c r="Q14" i="27"/>
  <c r="Q8" i="27"/>
  <c r="AN8" i="27" s="1"/>
  <c r="Q18" i="27"/>
  <c r="Q19" i="27"/>
  <c r="Q21" i="27"/>
  <c r="Q9" i="27"/>
  <c r="Q16" i="27"/>
  <c r="Q22" i="27"/>
  <c r="Q23" i="27"/>
  <c r="Q24" i="27"/>
  <c r="Q25" i="27"/>
  <c r="Q26" i="27"/>
  <c r="Q27" i="27"/>
  <c r="Q28" i="27"/>
  <c r="Q29" i="27"/>
  <c r="Q30" i="27"/>
  <c r="Q31" i="27"/>
  <c r="Q32" i="27"/>
  <c r="Q33" i="27"/>
  <c r="Q34" i="27"/>
  <c r="Q35" i="27"/>
  <c r="Q36" i="27"/>
  <c r="Q37" i="27"/>
  <c r="AN15" i="26"/>
  <c r="CK461" i="14" s="1"/>
  <c r="Y15" i="26"/>
  <c r="Y8" i="26"/>
  <c r="H48" i="26"/>
  <c r="H128" i="26" s="1"/>
  <c r="O119" i="29" s="1"/>
  <c r="P10" i="27"/>
  <c r="P14" i="27"/>
  <c r="P19" i="27"/>
  <c r="P20" i="27"/>
  <c r="P15" i="27"/>
  <c r="P13" i="27"/>
  <c r="P17" i="27"/>
  <c r="P16" i="27"/>
  <c r="P18" i="27"/>
  <c r="P12" i="27"/>
  <c r="P8" i="27"/>
  <c r="AM8" i="27" s="1"/>
  <c r="P9" i="27"/>
  <c r="P11" i="27"/>
  <c r="P21" i="27"/>
  <c r="P22" i="27"/>
  <c r="P23" i="27"/>
  <c r="P24" i="27"/>
  <c r="P25" i="27"/>
  <c r="P26" i="27"/>
  <c r="P27" i="27"/>
  <c r="P28" i="27"/>
  <c r="P29" i="27"/>
  <c r="P30" i="27"/>
  <c r="P31" i="27"/>
  <c r="P32" i="27"/>
  <c r="P33" i="27"/>
  <c r="P34" i="27"/>
  <c r="P35" i="27"/>
  <c r="P36" i="27"/>
  <c r="P37" i="27"/>
  <c r="S17" i="27"/>
  <c r="AP17" i="27" s="1"/>
  <c r="CL494" i="14" s="1"/>
  <c r="S9" i="27"/>
  <c r="AP9" i="27" s="1"/>
  <c r="CL486" i="14" s="1"/>
  <c r="S20" i="27"/>
  <c r="AP20" i="27" s="1"/>
  <c r="CL497" i="14" s="1"/>
  <c r="S21" i="27"/>
  <c r="AP21" i="27" s="1"/>
  <c r="CL498" i="14" s="1"/>
  <c r="S16" i="27"/>
  <c r="AP16" i="27" s="1"/>
  <c r="CL493" i="14" s="1"/>
  <c r="S12" i="27"/>
  <c r="AP12" i="27" s="1"/>
  <c r="CL489" i="14" s="1"/>
  <c r="S15" i="27"/>
  <c r="AP15" i="27" s="1"/>
  <c r="CL492" i="14" s="1"/>
  <c r="S13" i="27"/>
  <c r="AP13" i="27" s="1"/>
  <c r="CL490" i="14" s="1"/>
  <c r="S8" i="27"/>
  <c r="AP8" i="27" s="1"/>
  <c r="CL485" i="14" s="1"/>
  <c r="S19" i="27"/>
  <c r="AP19" i="27" s="1"/>
  <c r="CL496" i="14" s="1"/>
  <c r="S14" i="27"/>
  <c r="AP14" i="27" s="1"/>
  <c r="CL491" i="14" s="1"/>
  <c r="S18" i="27"/>
  <c r="AP18" i="27" s="1"/>
  <c r="CL495" i="14" s="1"/>
  <c r="S10" i="27"/>
  <c r="AP10" i="27" s="1"/>
  <c r="CL487" i="14" s="1"/>
  <c r="S11" i="27"/>
  <c r="AP11" i="27" s="1"/>
  <c r="CL488" i="14" s="1"/>
  <c r="S22" i="27"/>
  <c r="AP22" i="27" s="1"/>
  <c r="CL499" i="14" s="1"/>
  <c r="S23" i="27"/>
  <c r="AP23" i="27" s="1"/>
  <c r="CL500" i="14" s="1"/>
  <c r="S24" i="27"/>
  <c r="AP24" i="27" s="1"/>
  <c r="CL501" i="14" s="1"/>
  <c r="S25" i="27"/>
  <c r="AP25" i="27" s="1"/>
  <c r="CL502" i="14" s="1"/>
  <c r="S26" i="27"/>
  <c r="AP26" i="27" s="1"/>
  <c r="CL503" i="14" s="1"/>
  <c r="S27" i="27"/>
  <c r="AP27" i="27" s="1"/>
  <c r="CL504" i="14" s="1"/>
  <c r="S28" i="27"/>
  <c r="AP28" i="27" s="1"/>
  <c r="CL505" i="14" s="1"/>
  <c r="S29" i="27"/>
  <c r="AP29" i="27" s="1"/>
  <c r="CL506" i="14" s="1"/>
  <c r="S30" i="27"/>
  <c r="AP30" i="27" s="1"/>
  <c r="CL507" i="14" s="1"/>
  <c r="S31" i="27"/>
  <c r="AP31" i="27" s="1"/>
  <c r="CL508" i="14" s="1"/>
  <c r="S32" i="27"/>
  <c r="AP32" i="27" s="1"/>
  <c r="CL509" i="14" s="1"/>
  <c r="S33" i="27"/>
  <c r="AP33" i="27" s="1"/>
  <c r="CL510" i="14" s="1"/>
  <c r="S34" i="27"/>
  <c r="AP34" i="27" s="1"/>
  <c r="CL511" i="14" s="1"/>
  <c r="S35" i="27"/>
  <c r="AP35" i="27" s="1"/>
  <c r="CL512" i="14" s="1"/>
  <c r="S36" i="27"/>
  <c r="AP36" i="27" s="1"/>
  <c r="CL513" i="14" s="1"/>
  <c r="S37" i="27"/>
  <c r="AP37" i="27" s="1"/>
  <c r="CL514" i="14" s="1"/>
  <c r="R11" i="27"/>
  <c r="R15" i="27"/>
  <c r="R21" i="27"/>
  <c r="R9" i="27"/>
  <c r="R16" i="27"/>
  <c r="R8" i="27"/>
  <c r="R17" i="27"/>
  <c r="R18" i="27"/>
  <c r="R14" i="27"/>
  <c r="R12" i="27"/>
  <c r="R20" i="27"/>
  <c r="R19" i="27"/>
  <c r="R13" i="27"/>
  <c r="R10" i="27"/>
  <c r="R22" i="27"/>
  <c r="R23" i="27"/>
  <c r="R24" i="27"/>
  <c r="R25" i="27"/>
  <c r="R26" i="27"/>
  <c r="R27" i="27"/>
  <c r="R28" i="27"/>
  <c r="R29" i="27"/>
  <c r="R30" i="27"/>
  <c r="R31" i="27"/>
  <c r="R32" i="27"/>
  <c r="R33" i="27"/>
  <c r="R34" i="27"/>
  <c r="R35" i="27"/>
  <c r="R36" i="27"/>
  <c r="R37" i="27"/>
  <c r="AR482" i="14"/>
  <c r="Z36" i="26"/>
  <c r="BC36" i="26" s="1"/>
  <c r="AR478" i="14"/>
  <c r="Z32" i="26"/>
  <c r="BC32" i="26" s="1"/>
  <c r="AR474" i="14"/>
  <c r="Z28" i="26"/>
  <c r="BC28" i="26" s="1"/>
  <c r="AR470" i="14"/>
  <c r="Z24" i="26"/>
  <c r="BC24" i="26" s="1"/>
  <c r="AR459" i="14"/>
  <c r="Z13" i="26"/>
  <c r="BC13" i="26" s="1"/>
  <c r="AR466" i="14"/>
  <c r="Z20" i="26"/>
  <c r="BC20" i="26" s="1"/>
  <c r="AR465" i="14"/>
  <c r="Z19" i="26"/>
  <c r="BC19" i="26" s="1"/>
  <c r="AR463" i="14"/>
  <c r="Z17" i="26"/>
  <c r="BC17" i="26" s="1"/>
  <c r="AB36" i="26"/>
  <c r="BE36" i="26" s="1"/>
  <c r="AB32" i="26"/>
  <c r="BE32" i="26" s="1"/>
  <c r="AB28" i="26"/>
  <c r="BE28" i="26" s="1"/>
  <c r="AB24" i="26"/>
  <c r="BE24" i="26" s="1"/>
  <c r="AB9" i="26"/>
  <c r="BE9" i="26" s="1"/>
  <c r="AB19" i="26"/>
  <c r="BE19" i="26" s="1"/>
  <c r="AB20" i="26"/>
  <c r="BE20" i="26" s="1"/>
  <c r="AB11" i="26"/>
  <c r="BE11" i="26" s="1"/>
  <c r="AS481" i="14"/>
  <c r="AA35" i="26"/>
  <c r="BD35" i="26" s="1"/>
  <c r="AS477" i="14"/>
  <c r="AA31" i="26"/>
  <c r="BD31" i="26" s="1"/>
  <c r="AS473" i="14"/>
  <c r="AA27" i="26"/>
  <c r="BD27" i="26" s="1"/>
  <c r="AS469" i="14"/>
  <c r="AA23" i="26"/>
  <c r="BD23" i="26" s="1"/>
  <c r="AS467" i="14"/>
  <c r="AA21" i="26"/>
  <c r="BD21" i="26" s="1"/>
  <c r="AS459" i="14"/>
  <c r="AA13" i="26"/>
  <c r="BD13" i="26" s="1"/>
  <c r="AS461" i="14"/>
  <c r="AA15" i="26"/>
  <c r="BD15" i="26" s="1"/>
  <c r="AD8" i="26"/>
  <c r="BG8" i="26" s="1"/>
  <c r="M48" i="26"/>
  <c r="M128" i="26" s="1"/>
  <c r="O124" i="29" s="1"/>
  <c r="T14" i="27"/>
  <c r="AQ14" i="27" s="1"/>
  <c r="T18" i="27"/>
  <c r="AQ18" i="27" s="1"/>
  <c r="T16" i="27"/>
  <c r="AQ16" i="27" s="1"/>
  <c r="T21" i="27"/>
  <c r="AQ21" i="27" s="1"/>
  <c r="T11" i="27"/>
  <c r="AQ11" i="27" s="1"/>
  <c r="T8" i="27"/>
  <c r="AQ8" i="27" s="1"/>
  <c r="T13" i="27"/>
  <c r="AQ13" i="27" s="1"/>
  <c r="T15" i="27"/>
  <c r="AQ15" i="27" s="1"/>
  <c r="T12" i="27"/>
  <c r="AQ12" i="27" s="1"/>
  <c r="T10" i="27"/>
  <c r="AQ10" i="27" s="1"/>
  <c r="T19" i="27"/>
  <c r="AQ19" i="27" s="1"/>
  <c r="T9" i="27"/>
  <c r="AQ9" i="27" s="1"/>
  <c r="T20" i="27"/>
  <c r="AQ20" i="27" s="1"/>
  <c r="T17" i="27"/>
  <c r="AQ17" i="27" s="1"/>
  <c r="T22" i="27"/>
  <c r="AQ22" i="27" s="1"/>
  <c r="T23" i="27"/>
  <c r="AQ23" i="27" s="1"/>
  <c r="T24" i="27"/>
  <c r="AQ24" i="27" s="1"/>
  <c r="T25" i="27"/>
  <c r="AQ25" i="27" s="1"/>
  <c r="T26" i="27"/>
  <c r="AQ26" i="27" s="1"/>
  <c r="T27" i="27"/>
  <c r="AQ27" i="27" s="1"/>
  <c r="T28" i="27"/>
  <c r="AQ28" i="27" s="1"/>
  <c r="T29" i="27"/>
  <c r="AQ29" i="27" s="1"/>
  <c r="T30" i="27"/>
  <c r="AQ30" i="27" s="1"/>
  <c r="T31" i="27"/>
  <c r="AQ31" i="27" s="1"/>
  <c r="T32" i="27"/>
  <c r="AQ32" i="27" s="1"/>
  <c r="T33" i="27"/>
  <c r="AQ33" i="27" s="1"/>
  <c r="T34" i="27"/>
  <c r="AQ34" i="27" s="1"/>
  <c r="T35" i="27"/>
  <c r="AQ35" i="27" s="1"/>
  <c r="T36" i="27"/>
  <c r="AQ36" i="27" s="1"/>
  <c r="T37" i="27"/>
  <c r="AQ37" i="27" s="1"/>
  <c r="V16" i="27"/>
  <c r="AU493" i="14" s="1"/>
  <c r="V17" i="27"/>
  <c r="AU494" i="14" s="1"/>
  <c r="V12" i="27"/>
  <c r="AU489" i="14" s="1"/>
  <c r="V18" i="27"/>
  <c r="AU495" i="14" s="1"/>
  <c r="V21" i="27"/>
  <c r="AU498" i="14" s="1"/>
  <c r="V14" i="27"/>
  <c r="AU491" i="14" s="1"/>
  <c r="V9" i="27"/>
  <c r="AU486" i="14" s="1"/>
  <c r="V10" i="27"/>
  <c r="AU487" i="14" s="1"/>
  <c r="V11" i="27"/>
  <c r="AU488" i="14" s="1"/>
  <c r="V19" i="27"/>
  <c r="AU496" i="14" s="1"/>
  <c r="V13" i="27"/>
  <c r="AU490" i="14" s="1"/>
  <c r="V20" i="27"/>
  <c r="AU497" i="14" s="1"/>
  <c r="V8" i="27"/>
  <c r="V15" i="27"/>
  <c r="AU492" i="14" s="1"/>
  <c r="V22" i="27"/>
  <c r="AU499" i="14" s="1"/>
  <c r="V23" i="27"/>
  <c r="AU500" i="14" s="1"/>
  <c r="V24" i="27"/>
  <c r="AU501" i="14" s="1"/>
  <c r="V25" i="27"/>
  <c r="AU502" i="14" s="1"/>
  <c r="V26" i="27"/>
  <c r="AU503" i="14" s="1"/>
  <c r="V27" i="27"/>
  <c r="AU504" i="14" s="1"/>
  <c r="V28" i="27"/>
  <c r="AU505" i="14" s="1"/>
  <c r="V29" i="27"/>
  <c r="AU506" i="14" s="1"/>
  <c r="V30" i="27"/>
  <c r="AU507" i="14" s="1"/>
  <c r="V31" i="27"/>
  <c r="AU508" i="14" s="1"/>
  <c r="V32" i="27"/>
  <c r="AU509" i="14" s="1"/>
  <c r="V33" i="27"/>
  <c r="AU510" i="14" s="1"/>
  <c r="V34" i="27"/>
  <c r="AU511" i="14" s="1"/>
  <c r="V35" i="27"/>
  <c r="AU512" i="14" s="1"/>
  <c r="V36" i="27"/>
  <c r="AU513" i="14" s="1"/>
  <c r="V37" i="27"/>
  <c r="AU514" i="14" s="1"/>
  <c r="AR481" i="14"/>
  <c r="Z35" i="26"/>
  <c r="BC35" i="26" s="1"/>
  <c r="AR477" i="14"/>
  <c r="Z31" i="26"/>
  <c r="BC31" i="26" s="1"/>
  <c r="AR473" i="14"/>
  <c r="Z27" i="26"/>
  <c r="BC27" i="26" s="1"/>
  <c r="AR469" i="14"/>
  <c r="Z23" i="26"/>
  <c r="BC23" i="26" s="1"/>
  <c r="AR467" i="14"/>
  <c r="Z21" i="26"/>
  <c r="BC21" i="26" s="1"/>
  <c r="AR461" i="14"/>
  <c r="Z15" i="26"/>
  <c r="BC15" i="26" s="1"/>
  <c r="AR454" i="14"/>
  <c r="Z8" i="26"/>
  <c r="BC8" i="26" s="1"/>
  <c r="I48" i="26"/>
  <c r="AB35" i="26"/>
  <c r="BE35" i="26" s="1"/>
  <c r="AB31" i="26"/>
  <c r="BE31" i="26" s="1"/>
  <c r="AB27" i="26"/>
  <c r="BE27" i="26" s="1"/>
  <c r="AB23" i="26"/>
  <c r="BE23" i="26" s="1"/>
  <c r="AB17" i="26"/>
  <c r="BE17" i="26" s="1"/>
  <c r="AB14" i="26"/>
  <c r="BE14" i="26" s="1"/>
  <c r="AB13" i="26"/>
  <c r="BE13" i="26" s="1"/>
  <c r="AS484" i="14"/>
  <c r="AA38" i="26"/>
  <c r="BD38" i="26" s="1"/>
  <c r="AS480" i="14"/>
  <c r="AA34" i="26"/>
  <c r="BD34" i="26" s="1"/>
  <c r="AS476" i="14"/>
  <c r="AA30" i="26"/>
  <c r="BD30" i="26" s="1"/>
  <c r="AS472" i="14"/>
  <c r="AA26" i="26"/>
  <c r="BD26" i="26" s="1"/>
  <c r="AS468" i="14"/>
  <c r="AA22" i="26"/>
  <c r="BD22" i="26" s="1"/>
  <c r="AS460" i="14"/>
  <c r="AA14" i="26"/>
  <c r="BD14" i="26" s="1"/>
  <c r="AS455" i="14"/>
  <c r="AA9" i="26"/>
  <c r="BD9" i="26" s="1"/>
  <c r="AS454" i="14"/>
  <c r="AA8" i="26"/>
  <c r="BD8" i="26" s="1"/>
  <c r="J48" i="26"/>
  <c r="J128" i="26" s="1"/>
  <c r="O122" i="29" s="1"/>
  <c r="AC8" i="26"/>
  <c r="BF8" i="26" s="1"/>
  <c r="L48" i="26"/>
  <c r="AR484" i="14"/>
  <c r="Z38" i="26"/>
  <c r="BC38" i="26" s="1"/>
  <c r="AR480" i="14"/>
  <c r="Z34" i="26"/>
  <c r="BC34" i="26" s="1"/>
  <c r="AR476" i="14"/>
  <c r="Z30" i="26"/>
  <c r="BC30" i="26" s="1"/>
  <c r="AR472" i="14"/>
  <c r="Z26" i="26"/>
  <c r="BC26" i="26" s="1"/>
  <c r="AR468" i="14"/>
  <c r="Z22" i="26"/>
  <c r="BC22" i="26" s="1"/>
  <c r="AR455" i="14"/>
  <c r="Z9" i="26"/>
  <c r="BC9" i="26" s="1"/>
  <c r="AR456" i="14"/>
  <c r="Z10" i="26"/>
  <c r="BC10" i="26" s="1"/>
  <c r="AR457" i="14"/>
  <c r="Z11" i="26"/>
  <c r="BC11" i="26" s="1"/>
  <c r="AB38" i="26"/>
  <c r="BE38" i="26" s="1"/>
  <c r="AB34" i="26"/>
  <c r="BE34" i="26" s="1"/>
  <c r="AB30" i="26"/>
  <c r="BE30" i="26" s="1"/>
  <c r="AB26" i="26"/>
  <c r="BE26" i="26" s="1"/>
  <c r="AB22" i="26"/>
  <c r="BE22" i="26" s="1"/>
  <c r="AB10" i="26"/>
  <c r="BE10" i="26" s="1"/>
  <c r="AB18" i="26"/>
  <c r="BE18" i="26" s="1"/>
  <c r="AB21" i="26"/>
  <c r="BE21" i="26" s="1"/>
  <c r="AS483" i="14"/>
  <c r="AA37" i="26"/>
  <c r="BD37" i="26" s="1"/>
  <c r="AS479" i="14"/>
  <c r="AA33" i="26"/>
  <c r="BD33" i="26" s="1"/>
  <c r="AS475" i="14"/>
  <c r="AA29" i="26"/>
  <c r="BD29" i="26" s="1"/>
  <c r="AS471" i="14"/>
  <c r="AA25" i="26"/>
  <c r="BD25" i="26" s="1"/>
  <c r="AS465" i="14"/>
  <c r="AA19" i="26"/>
  <c r="BD19" i="26" s="1"/>
  <c r="AS464" i="14"/>
  <c r="AA18" i="26"/>
  <c r="BD18" i="26" s="1"/>
  <c r="AS456" i="14"/>
  <c r="AA10" i="26"/>
  <c r="BD10" i="26" s="1"/>
  <c r="AS458" i="14"/>
  <c r="AA12" i="26"/>
  <c r="BD12" i="26" s="1"/>
  <c r="U18" i="27"/>
  <c r="U15" i="27"/>
  <c r="U16" i="27"/>
  <c r="U13" i="27"/>
  <c r="U8" i="27"/>
  <c r="AR8" i="27" s="1"/>
  <c r="U10" i="27"/>
  <c r="U14" i="27"/>
  <c r="U20" i="27"/>
  <c r="U12" i="27"/>
  <c r="U21" i="27"/>
  <c r="U11" i="27"/>
  <c r="U17" i="27"/>
  <c r="U9" i="27"/>
  <c r="U19" i="27"/>
  <c r="U22" i="27"/>
  <c r="U23" i="27"/>
  <c r="U24" i="27"/>
  <c r="U25" i="27"/>
  <c r="U26" i="27"/>
  <c r="U27" i="27"/>
  <c r="U28" i="27"/>
  <c r="U29" i="27"/>
  <c r="U30" i="27"/>
  <c r="U31" i="27"/>
  <c r="U32" i="27"/>
  <c r="U33" i="27"/>
  <c r="U34" i="27"/>
  <c r="U35" i="27"/>
  <c r="U36" i="27"/>
  <c r="U37" i="27"/>
  <c r="AR483" i="14"/>
  <c r="Z37" i="26"/>
  <c r="BC37" i="26" s="1"/>
  <c r="AR479" i="14"/>
  <c r="Z33" i="26"/>
  <c r="BC33" i="26" s="1"/>
  <c r="AR475" i="14"/>
  <c r="Z29" i="26"/>
  <c r="BC29" i="26" s="1"/>
  <c r="AR471" i="14"/>
  <c r="Z25" i="26"/>
  <c r="BC25" i="26" s="1"/>
  <c r="AR462" i="14"/>
  <c r="Z16" i="26"/>
  <c r="BC16" i="26" s="1"/>
  <c r="AR458" i="14"/>
  <c r="Z12" i="26"/>
  <c r="BC12" i="26" s="1"/>
  <c r="AR464" i="14"/>
  <c r="Z18" i="26"/>
  <c r="BC18" i="26" s="1"/>
  <c r="AR460" i="14"/>
  <c r="Z14" i="26"/>
  <c r="BC14" i="26" s="1"/>
  <c r="AB37" i="26"/>
  <c r="BE37" i="26" s="1"/>
  <c r="AB33" i="26"/>
  <c r="BE33" i="26" s="1"/>
  <c r="AB29" i="26"/>
  <c r="BE29" i="26" s="1"/>
  <c r="AB25" i="26"/>
  <c r="BE25" i="26" s="1"/>
  <c r="AB16" i="26"/>
  <c r="BE16" i="26" s="1"/>
  <c r="AB12" i="26"/>
  <c r="BE12" i="26" s="1"/>
  <c r="AB8" i="26"/>
  <c r="BE8" i="26" s="1"/>
  <c r="K48" i="26"/>
  <c r="AB15" i="26"/>
  <c r="BE15" i="26" s="1"/>
  <c r="AS482" i="14"/>
  <c r="AA36" i="26"/>
  <c r="BD36" i="26" s="1"/>
  <c r="AS478" i="14"/>
  <c r="AA32" i="26"/>
  <c r="BD32" i="26" s="1"/>
  <c r="AS474" i="14"/>
  <c r="AA28" i="26"/>
  <c r="BD28" i="26" s="1"/>
  <c r="AS470" i="14"/>
  <c r="AA24" i="26"/>
  <c r="BD24" i="26" s="1"/>
  <c r="AS457" i="14"/>
  <c r="AA11" i="26"/>
  <c r="BD11" i="26" s="1"/>
  <c r="AS466" i="14"/>
  <c r="AA20" i="26"/>
  <c r="BD20" i="26" s="1"/>
  <c r="AS462" i="14"/>
  <c r="AA16" i="26"/>
  <c r="BD16" i="26" s="1"/>
  <c r="AS463" i="14"/>
  <c r="AA17" i="26"/>
  <c r="BD17" i="26" s="1"/>
  <c r="R73" i="27"/>
  <c r="P16" i="29"/>
  <c r="R72" i="27"/>
  <c r="P15" i="29"/>
  <c r="AE10" i="27"/>
  <c r="E10" i="27" s="1"/>
  <c r="G487" i="14" s="1"/>
  <c r="E489" i="14"/>
  <c r="H421" i="15"/>
  <c r="I421" i="15" s="1"/>
  <c r="B488" i="14"/>
  <c r="C488" i="14"/>
  <c r="D488" i="14" s="1"/>
  <c r="J488" i="14"/>
  <c r="Q488" i="14"/>
  <c r="G129" i="26"/>
  <c r="AB430" i="1"/>
  <c r="AE430" i="1" s="1"/>
  <c r="G320" i="1"/>
  <c r="J320" i="1" s="1"/>
  <c r="M320" i="1" s="1"/>
  <c r="P320" i="1" s="1"/>
  <c r="S320" i="1" s="1"/>
  <c r="V320" i="1" s="1"/>
  <c r="Y320" i="1" s="1"/>
  <c r="AB271" i="1"/>
  <c r="AB256" i="1"/>
  <c r="AK256" i="1"/>
  <c r="AK271" i="1"/>
  <c r="AE271" i="1"/>
  <c r="AE256" i="1"/>
  <c r="AE378" i="1"/>
  <c r="AE270" i="1"/>
  <c r="AE253" i="1"/>
  <c r="AE332" i="1"/>
  <c r="G118" i="18"/>
  <c r="L146" i="26"/>
  <c r="J146" i="26"/>
  <c r="AF6" i="27"/>
  <c r="K146" i="26"/>
  <c r="H146" i="26"/>
  <c r="M146" i="26"/>
  <c r="I146" i="26"/>
  <c r="AF6" i="28"/>
  <c r="BD520" i="14"/>
  <c r="BD536" i="14"/>
  <c r="BD522" i="14"/>
  <c r="BD538" i="14"/>
  <c r="BD529" i="14"/>
  <c r="BD531" i="14"/>
  <c r="BD533" i="14"/>
  <c r="BD535" i="14"/>
  <c r="BD528" i="14"/>
  <c r="BD530" i="14"/>
  <c r="BD515" i="14"/>
  <c r="BD519" i="14"/>
  <c r="BD524" i="14"/>
  <c r="BD541" i="14"/>
  <c r="BD526" i="14"/>
  <c r="BD543" i="14"/>
  <c r="BD537" i="14"/>
  <c r="BD540" i="14"/>
  <c r="BD542" i="14"/>
  <c r="BD544" i="14"/>
  <c r="BD545" i="14"/>
  <c r="BD539" i="14"/>
  <c r="BD517" i="14"/>
  <c r="BD516" i="14"/>
  <c r="BD521" i="14"/>
  <c r="BD527" i="14"/>
  <c r="BD532" i="14"/>
  <c r="BD523" i="14"/>
  <c r="BD518" i="14"/>
  <c r="BD525" i="14"/>
  <c r="BD534" i="14"/>
  <c r="E147" i="26"/>
  <c r="G146" i="26"/>
  <c r="BD468" i="14"/>
  <c r="BD484" i="14"/>
  <c r="BD466" i="14"/>
  <c r="BD482" i="14"/>
  <c r="BD481" i="14"/>
  <c r="BD483" i="14"/>
  <c r="BD455" i="14"/>
  <c r="BD476" i="14"/>
  <c r="BD474" i="14"/>
  <c r="BD467" i="14"/>
  <c r="BD456" i="14"/>
  <c r="BD472" i="14"/>
  <c r="BD454" i="14"/>
  <c r="BD470" i="14"/>
  <c r="BD457" i="14"/>
  <c r="BD459" i="14"/>
  <c r="BD461" i="14"/>
  <c r="BD463" i="14"/>
  <c r="BD460" i="14"/>
  <c r="BD458" i="14"/>
  <c r="BD465" i="14"/>
  <c r="BD469" i="14"/>
  <c r="BD471" i="14"/>
  <c r="BD462" i="14"/>
  <c r="BD477" i="14"/>
  <c r="BD475" i="14"/>
  <c r="AF6" i="26"/>
  <c r="BD478" i="14"/>
  <c r="BD479" i="14"/>
  <c r="BD464" i="14"/>
  <c r="BD473" i="14"/>
  <c r="BD480" i="14"/>
  <c r="J118" i="18"/>
  <c r="K118" i="18"/>
  <c r="I118" i="18"/>
  <c r="M118" i="18"/>
  <c r="L118" i="18"/>
  <c r="H118" i="18"/>
  <c r="AG16" i="18"/>
  <c r="AG32" i="18"/>
  <c r="AH22" i="18"/>
  <c r="AI12" i="18"/>
  <c r="AI28" i="18"/>
  <c r="AJ19" i="18"/>
  <c r="AJ35" i="18"/>
  <c r="AG22" i="18"/>
  <c r="AH12" i="18"/>
  <c r="AH28" i="18"/>
  <c r="AI18" i="18"/>
  <c r="AI34" i="18"/>
  <c r="AJ17" i="18"/>
  <c r="AJ33" i="18"/>
  <c r="AH15" i="18"/>
  <c r="AI13" i="18"/>
  <c r="AJ24" i="18"/>
  <c r="AG27" i="18"/>
  <c r="AH27" i="18"/>
  <c r="AI25" i="18"/>
  <c r="AJ28" i="18"/>
  <c r="AH13" i="18"/>
  <c r="AJ34" i="18"/>
  <c r="AH21" i="18"/>
  <c r="AJ26" i="18"/>
  <c r="AJ30" i="18"/>
  <c r="AH9" i="18"/>
  <c r="AJ14" i="18"/>
  <c r="AJ22" i="18"/>
  <c r="AG20" i="18"/>
  <c r="AH10" i="18"/>
  <c r="AH26" i="18"/>
  <c r="AI16" i="18"/>
  <c r="AI32" i="18"/>
  <c r="AJ23" i="18"/>
  <c r="AG10" i="18"/>
  <c r="AG26" i="18"/>
  <c r="AH16" i="18"/>
  <c r="AH32" i="18"/>
  <c r="AI22" i="18"/>
  <c r="AJ8" i="18"/>
  <c r="AJ21" i="18"/>
  <c r="AG15" i="18"/>
  <c r="AH23" i="18"/>
  <c r="AI21" i="18"/>
  <c r="AJ32" i="18"/>
  <c r="AG35" i="18"/>
  <c r="AH35" i="18"/>
  <c r="AI33" i="18"/>
  <c r="AG17" i="18"/>
  <c r="AH29" i="18"/>
  <c r="AI36" i="18"/>
  <c r="AI15" i="18"/>
  <c r="AG36" i="18"/>
  <c r="AG13" i="18"/>
  <c r="AG8" i="18"/>
  <c r="AH36" i="18"/>
  <c r="AH17" i="18"/>
  <c r="AG12" i="18"/>
  <c r="AG28" i="18"/>
  <c r="AH18" i="18"/>
  <c r="AH34" i="18"/>
  <c r="AI24" i="18"/>
  <c r="AJ15" i="18"/>
  <c r="AJ31" i="18"/>
  <c r="AG18" i="18"/>
  <c r="AG34" i="18"/>
  <c r="AH24" i="18"/>
  <c r="AI14" i="18"/>
  <c r="AI30" i="18"/>
  <c r="AJ13" i="18"/>
  <c r="AJ29" i="18"/>
  <c r="AG31" i="18"/>
  <c r="AI8" i="18"/>
  <c r="AJ16" i="18"/>
  <c r="AG19" i="18"/>
  <c r="AH19" i="18"/>
  <c r="AI17" i="18"/>
  <c r="AJ20" i="18"/>
  <c r="AH8" i="18"/>
  <c r="AJ18" i="18"/>
  <c r="AG25" i="18"/>
  <c r="AJ10" i="18"/>
  <c r="AI27" i="18"/>
  <c r="AI35" i="18"/>
  <c r="AI11" i="18"/>
  <c r="AG21" i="18"/>
  <c r="AH14" i="18"/>
  <c r="AJ27" i="18"/>
  <c r="AI10" i="18"/>
  <c r="AG23" i="18"/>
  <c r="AH11" i="18"/>
  <c r="AI23" i="18"/>
  <c r="AH33" i="18"/>
  <c r="AI20" i="18"/>
  <c r="AJ9" i="18"/>
  <c r="AJ12" i="18"/>
  <c r="AI19" i="18"/>
  <c r="AH30" i="18"/>
  <c r="AG14" i="18"/>
  <c r="AI26" i="18"/>
  <c r="AH31" i="18"/>
  <c r="AI9" i="18"/>
  <c r="AG9" i="18"/>
  <c r="AG29" i="18"/>
  <c r="AG30" i="18"/>
  <c r="AI29" i="18"/>
  <c r="AI31" i="18"/>
  <c r="AG24" i="18"/>
  <c r="AJ11" i="18"/>
  <c r="AH20" i="18"/>
  <c r="AJ25" i="18"/>
  <c r="AG11" i="18"/>
  <c r="AG33" i="18"/>
  <c r="AH25" i="18"/>
  <c r="AJ36" i="18"/>
  <c r="BD433" i="14"/>
  <c r="BD449" i="14"/>
  <c r="BD435" i="14"/>
  <c r="BD451" i="14"/>
  <c r="BD446" i="14"/>
  <c r="BD442" i="14"/>
  <c r="BD436" i="14"/>
  <c r="BD453" i="14"/>
  <c r="BD425" i="14"/>
  <c r="BD443" i="14"/>
  <c r="BD424" i="14"/>
  <c r="BD437" i="14"/>
  <c r="BD439" i="14"/>
  <c r="AF6" i="25"/>
  <c r="BD452" i="14"/>
  <c r="BD450" i="14"/>
  <c r="BD448" i="14"/>
  <c r="BD444" i="14"/>
  <c r="BD429" i="14"/>
  <c r="BD445" i="14"/>
  <c r="BD431" i="14"/>
  <c r="BD447" i="14"/>
  <c r="BD438" i="14"/>
  <c r="BD434" i="14"/>
  <c r="BD440" i="14"/>
  <c r="BD432" i="14"/>
  <c r="BD441" i="14"/>
  <c r="BD427" i="14"/>
  <c r="BD430" i="14"/>
  <c r="BD426" i="14"/>
  <c r="BD428" i="14"/>
  <c r="CK459" i="14" l="1"/>
  <c r="CK457" i="14"/>
  <c r="CK478" i="14"/>
  <c r="CK455" i="14"/>
  <c r="CK458" i="14"/>
  <c r="CK466" i="14"/>
  <c r="O120" i="29"/>
  <c r="CK463" i="14"/>
  <c r="CK471" i="14"/>
  <c r="CK479" i="14"/>
  <c r="CK460" i="14"/>
  <c r="CK472" i="14"/>
  <c r="CK480" i="14"/>
  <c r="CK467" i="14"/>
  <c r="CK473" i="14"/>
  <c r="CK481" i="14"/>
  <c r="CK454" i="14"/>
  <c r="AS8" i="27"/>
  <c r="CN485" i="14" s="1"/>
  <c r="AU485" i="14"/>
  <c r="CM464" i="14"/>
  <c r="CM462" i="14"/>
  <c r="CM475" i="14"/>
  <c r="CM483" i="14"/>
  <c r="CM482" i="14"/>
  <c r="CM456" i="14"/>
  <c r="CM468" i="14"/>
  <c r="CM476" i="14"/>
  <c r="CM484" i="14"/>
  <c r="CM470" i="14"/>
  <c r="CM461" i="14"/>
  <c r="CM469" i="14"/>
  <c r="CM477" i="14"/>
  <c r="CM465" i="14"/>
  <c r="CM474" i="14"/>
  <c r="CM460" i="14"/>
  <c r="CM458" i="14"/>
  <c r="CM471" i="14"/>
  <c r="CM479" i="14"/>
  <c r="CM459" i="14"/>
  <c r="CM457" i="14"/>
  <c r="CM455" i="14"/>
  <c r="CM472" i="14"/>
  <c r="CM480" i="14"/>
  <c r="CM463" i="14"/>
  <c r="CM467" i="14"/>
  <c r="CM473" i="14"/>
  <c r="CM481" i="14"/>
  <c r="CM466" i="14"/>
  <c r="CM478" i="14"/>
  <c r="AO37" i="27"/>
  <c r="AT514" i="14"/>
  <c r="AO33" i="27"/>
  <c r="AT510" i="14"/>
  <c r="AO29" i="27"/>
  <c r="AT506" i="14"/>
  <c r="AO25" i="27"/>
  <c r="AT502" i="14"/>
  <c r="AO10" i="27"/>
  <c r="AT487" i="14"/>
  <c r="AO12" i="27"/>
  <c r="AT489" i="14"/>
  <c r="AO8" i="27"/>
  <c r="CM485" i="14" s="1"/>
  <c r="AT485" i="14"/>
  <c r="AO15" i="27"/>
  <c r="AT492" i="14"/>
  <c r="AO36" i="27"/>
  <c r="AT513" i="14"/>
  <c r="AO32" i="27"/>
  <c r="AT509" i="14"/>
  <c r="AO28" i="27"/>
  <c r="AT505" i="14"/>
  <c r="AO24" i="27"/>
  <c r="AT501" i="14"/>
  <c r="AO13" i="27"/>
  <c r="AT490" i="14"/>
  <c r="AO14" i="27"/>
  <c r="AT491" i="14"/>
  <c r="AO16" i="27"/>
  <c r="AT493" i="14"/>
  <c r="AO11" i="27"/>
  <c r="AT488" i="14"/>
  <c r="AO35" i="27"/>
  <c r="AT512" i="14"/>
  <c r="AO31" i="27"/>
  <c r="AT508" i="14"/>
  <c r="AO27" i="27"/>
  <c r="AT504" i="14"/>
  <c r="AO23" i="27"/>
  <c r="AT500" i="14"/>
  <c r="AO19" i="27"/>
  <c r="AT496" i="14"/>
  <c r="AO18" i="27"/>
  <c r="AT495" i="14"/>
  <c r="AO9" i="27"/>
  <c r="AT486" i="14"/>
  <c r="AO34" i="27"/>
  <c r="AT511" i="14"/>
  <c r="AO30" i="27"/>
  <c r="AT507" i="14"/>
  <c r="AO26" i="27"/>
  <c r="AT503" i="14"/>
  <c r="AO22" i="27"/>
  <c r="AT499" i="14"/>
  <c r="AO20" i="27"/>
  <c r="AT497" i="14"/>
  <c r="AO17" i="27"/>
  <c r="AT494" i="14"/>
  <c r="AO21" i="27"/>
  <c r="AT498" i="14"/>
  <c r="CK485" i="14"/>
  <c r="G47" i="26"/>
  <c r="BO18" i="30"/>
  <c r="AD36" i="27"/>
  <c r="BG36" i="27" s="1"/>
  <c r="AS36" i="27"/>
  <c r="CN513" i="14" s="1"/>
  <c r="AD28" i="27"/>
  <c r="BG28" i="27" s="1"/>
  <c r="AS28" i="27"/>
  <c r="CN505" i="14" s="1"/>
  <c r="AD21" i="27"/>
  <c r="BG21" i="27" s="1"/>
  <c r="AS21" i="27"/>
  <c r="CN498" i="14" s="1"/>
  <c r="AD16" i="27"/>
  <c r="BG16" i="27" s="1"/>
  <c r="AS16" i="27"/>
  <c r="CN493" i="14" s="1"/>
  <c r="AD31" i="27"/>
  <c r="BG31" i="27" s="1"/>
  <c r="AS31" i="27"/>
  <c r="CN508" i="14" s="1"/>
  <c r="AD23" i="27"/>
  <c r="BG23" i="27" s="1"/>
  <c r="AS23" i="27"/>
  <c r="CN500" i="14" s="1"/>
  <c r="AD10" i="27"/>
  <c r="BG10" i="27" s="1"/>
  <c r="AS10" i="27"/>
  <c r="CN487" i="14" s="1"/>
  <c r="AD37" i="27"/>
  <c r="BG37" i="27" s="1"/>
  <c r="AS37" i="27"/>
  <c r="CN514" i="14" s="1"/>
  <c r="AD33" i="27"/>
  <c r="BG33" i="27" s="1"/>
  <c r="AS33" i="27"/>
  <c r="CN510" i="14" s="1"/>
  <c r="AD29" i="27"/>
  <c r="BG29" i="27" s="1"/>
  <c r="AS29" i="27"/>
  <c r="CN506" i="14" s="1"/>
  <c r="AD25" i="27"/>
  <c r="BG25" i="27" s="1"/>
  <c r="AS25" i="27"/>
  <c r="CN502" i="14" s="1"/>
  <c r="AD15" i="27"/>
  <c r="BG15" i="27" s="1"/>
  <c r="AS15" i="27"/>
  <c r="CN492" i="14" s="1"/>
  <c r="AD19" i="27"/>
  <c r="BG19" i="27" s="1"/>
  <c r="AS19" i="27"/>
  <c r="CN496" i="14" s="1"/>
  <c r="AD14" i="27"/>
  <c r="BG14" i="27" s="1"/>
  <c r="AS14" i="27"/>
  <c r="CN491" i="14" s="1"/>
  <c r="AD17" i="27"/>
  <c r="BG17" i="27" s="1"/>
  <c r="AS17" i="27"/>
  <c r="CN494" i="14" s="1"/>
  <c r="AD32" i="27"/>
  <c r="BG32" i="27" s="1"/>
  <c r="AS32" i="27"/>
  <c r="CN509" i="14" s="1"/>
  <c r="AD24" i="27"/>
  <c r="BG24" i="27" s="1"/>
  <c r="AS24" i="27"/>
  <c r="CN501" i="14" s="1"/>
  <c r="AD11" i="27"/>
  <c r="BG11" i="27" s="1"/>
  <c r="AS11" i="27"/>
  <c r="CN488" i="14" s="1"/>
  <c r="AD35" i="27"/>
  <c r="BG35" i="27" s="1"/>
  <c r="AS35" i="27"/>
  <c r="CN512" i="14" s="1"/>
  <c r="AD27" i="27"/>
  <c r="BG27" i="27" s="1"/>
  <c r="AS27" i="27"/>
  <c r="CN504" i="14" s="1"/>
  <c r="AD20" i="27"/>
  <c r="BG20" i="27" s="1"/>
  <c r="AS20" i="27"/>
  <c r="CN497" i="14" s="1"/>
  <c r="AD18" i="27"/>
  <c r="BG18" i="27" s="1"/>
  <c r="AS18" i="27"/>
  <c r="CN495" i="14" s="1"/>
  <c r="AD34" i="27"/>
  <c r="BG34" i="27" s="1"/>
  <c r="AS34" i="27"/>
  <c r="CN511" i="14" s="1"/>
  <c r="AD30" i="27"/>
  <c r="BG30" i="27" s="1"/>
  <c r="AS30" i="27"/>
  <c r="CN507" i="14" s="1"/>
  <c r="AD26" i="27"/>
  <c r="BG26" i="27" s="1"/>
  <c r="AS26" i="27"/>
  <c r="CN503" i="14" s="1"/>
  <c r="AD22" i="27"/>
  <c r="BG22" i="27" s="1"/>
  <c r="AS22" i="27"/>
  <c r="CN499" i="14" s="1"/>
  <c r="AD13" i="27"/>
  <c r="BG13" i="27" s="1"/>
  <c r="AS13" i="27"/>
  <c r="CN490" i="14" s="1"/>
  <c r="AD9" i="27"/>
  <c r="BG9" i="27" s="1"/>
  <c r="AS9" i="27"/>
  <c r="CN486" i="14" s="1"/>
  <c r="AD12" i="27"/>
  <c r="BG12" i="27" s="1"/>
  <c r="AS12" i="27"/>
  <c r="CN489" i="14" s="1"/>
  <c r="AC24" i="27"/>
  <c r="BF24" i="27" s="1"/>
  <c r="AR24" i="27"/>
  <c r="AC34" i="27"/>
  <c r="BF34" i="27" s="1"/>
  <c r="AR34" i="27"/>
  <c r="AC30" i="27"/>
  <c r="BF30" i="27" s="1"/>
  <c r="AR30" i="27"/>
  <c r="AC26" i="27"/>
  <c r="BF26" i="27" s="1"/>
  <c r="AR26" i="27"/>
  <c r="AC22" i="27"/>
  <c r="BF22" i="27" s="1"/>
  <c r="AR22" i="27"/>
  <c r="AC11" i="27"/>
  <c r="BF11" i="27" s="1"/>
  <c r="AR11" i="27"/>
  <c r="AC14" i="27"/>
  <c r="BF14" i="27" s="1"/>
  <c r="AR14" i="27"/>
  <c r="AC16" i="27"/>
  <c r="BF16" i="27" s="1"/>
  <c r="AR16" i="27"/>
  <c r="AC36" i="27"/>
  <c r="BF36" i="27" s="1"/>
  <c r="AR36" i="27"/>
  <c r="AC28" i="27"/>
  <c r="BF28" i="27" s="1"/>
  <c r="AR28" i="27"/>
  <c r="AC12" i="27"/>
  <c r="BF12" i="27" s="1"/>
  <c r="AR12" i="27"/>
  <c r="AC37" i="27"/>
  <c r="BF37" i="27" s="1"/>
  <c r="AR37" i="27"/>
  <c r="AC33" i="27"/>
  <c r="BF33" i="27" s="1"/>
  <c r="AR33" i="27"/>
  <c r="AC29" i="27"/>
  <c r="BF29" i="27" s="1"/>
  <c r="AR29" i="27"/>
  <c r="AC25" i="27"/>
  <c r="BF25" i="27" s="1"/>
  <c r="AR25" i="27"/>
  <c r="AC19" i="27"/>
  <c r="BF19" i="27" s="1"/>
  <c r="AR19" i="27"/>
  <c r="AC21" i="27"/>
  <c r="BF21" i="27" s="1"/>
  <c r="AR21" i="27"/>
  <c r="AC10" i="27"/>
  <c r="BF10" i="27" s="1"/>
  <c r="AR10" i="27"/>
  <c r="AC15" i="27"/>
  <c r="BF15" i="27" s="1"/>
  <c r="AR15" i="27"/>
  <c r="AC32" i="27"/>
  <c r="BF32" i="27" s="1"/>
  <c r="AR32" i="27"/>
  <c r="AC9" i="27"/>
  <c r="BF9" i="27" s="1"/>
  <c r="AR9" i="27"/>
  <c r="AC18" i="27"/>
  <c r="BF18" i="27" s="1"/>
  <c r="AR18" i="27"/>
  <c r="AC35" i="27"/>
  <c r="BF35" i="27" s="1"/>
  <c r="AR35" i="27"/>
  <c r="AC31" i="27"/>
  <c r="BF31" i="27" s="1"/>
  <c r="AR31" i="27"/>
  <c r="AC27" i="27"/>
  <c r="BF27" i="27" s="1"/>
  <c r="AR27" i="27"/>
  <c r="AC23" i="27"/>
  <c r="BF23" i="27" s="1"/>
  <c r="AR23" i="27"/>
  <c r="AC17" i="27"/>
  <c r="BF17" i="27" s="1"/>
  <c r="AR17" i="27"/>
  <c r="AC20" i="27"/>
  <c r="BF20" i="27" s="1"/>
  <c r="AR20" i="27"/>
  <c r="AC13" i="27"/>
  <c r="BF13" i="27" s="1"/>
  <c r="AR13" i="27"/>
  <c r="L128" i="26"/>
  <c r="L129" i="26" s="1"/>
  <c r="O12" i="29" s="1"/>
  <c r="K128" i="26"/>
  <c r="K129" i="26" s="1"/>
  <c r="I128" i="26"/>
  <c r="Y37" i="27"/>
  <c r="BB37" i="27" s="1"/>
  <c r="AN37" i="27"/>
  <c r="Y33" i="27"/>
  <c r="BB33" i="27" s="1"/>
  <c r="AN33" i="27"/>
  <c r="Y29" i="27"/>
  <c r="BB29" i="27" s="1"/>
  <c r="AN29" i="27"/>
  <c r="Y25" i="27"/>
  <c r="BB25" i="27" s="1"/>
  <c r="AN25" i="27"/>
  <c r="Y16" i="27"/>
  <c r="BB16" i="27" s="1"/>
  <c r="AN16" i="27"/>
  <c r="Y18" i="27"/>
  <c r="BB18" i="27" s="1"/>
  <c r="AN18" i="27"/>
  <c r="Y17" i="27"/>
  <c r="BB17" i="27" s="1"/>
  <c r="AN17" i="27"/>
  <c r="Y10" i="27"/>
  <c r="BB10" i="27" s="1"/>
  <c r="AN10" i="27"/>
  <c r="BB8" i="26"/>
  <c r="BY454" i="14" s="1"/>
  <c r="AL8" i="26"/>
  <c r="Y36" i="27"/>
  <c r="BB36" i="27" s="1"/>
  <c r="AN36" i="27"/>
  <c r="Y32" i="27"/>
  <c r="BB32" i="27" s="1"/>
  <c r="AN32" i="27"/>
  <c r="Y28" i="27"/>
  <c r="BB28" i="27" s="1"/>
  <c r="AN28" i="27"/>
  <c r="Y24" i="27"/>
  <c r="BB24" i="27" s="1"/>
  <c r="AN24" i="27"/>
  <c r="Y9" i="27"/>
  <c r="BB9" i="27" s="1"/>
  <c r="AN9" i="27"/>
  <c r="Y12" i="27"/>
  <c r="BB12" i="27" s="1"/>
  <c r="AN12" i="27"/>
  <c r="Y20" i="27"/>
  <c r="BB20" i="27" s="1"/>
  <c r="AN20" i="27"/>
  <c r="BB13" i="26"/>
  <c r="BP459" i="14" s="1"/>
  <c r="AL13" i="26"/>
  <c r="BB24" i="26"/>
  <c r="BP470" i="14" s="1"/>
  <c r="AL24" i="26"/>
  <c r="BB32" i="26"/>
  <c r="BP478" i="14" s="1"/>
  <c r="AL32" i="26"/>
  <c r="BB9" i="26"/>
  <c r="BP455" i="14" s="1"/>
  <c r="AL9" i="26"/>
  <c r="BB12" i="26"/>
  <c r="BP458" i="14" s="1"/>
  <c r="AL12" i="26"/>
  <c r="BB29" i="26"/>
  <c r="BP475" i="14" s="1"/>
  <c r="AL29" i="26"/>
  <c r="BB37" i="26"/>
  <c r="BP483" i="14" s="1"/>
  <c r="AL37" i="26"/>
  <c r="BB20" i="26"/>
  <c r="BP466" i="14" s="1"/>
  <c r="AL20" i="26"/>
  <c r="BB22" i="26"/>
  <c r="BP468" i="14" s="1"/>
  <c r="AL22" i="26"/>
  <c r="BB30" i="26"/>
  <c r="BP476" i="14" s="1"/>
  <c r="AL30" i="26"/>
  <c r="BB38" i="26"/>
  <c r="BP484" i="14" s="1"/>
  <c r="AL38" i="26"/>
  <c r="BB11" i="26"/>
  <c r="BP457" i="14" s="1"/>
  <c r="AL11" i="26"/>
  <c r="BB23" i="26"/>
  <c r="BP469" i="14" s="1"/>
  <c r="AL23" i="26"/>
  <c r="BB31" i="26"/>
  <c r="BP477" i="14" s="1"/>
  <c r="AL31" i="26"/>
  <c r="BB15" i="26"/>
  <c r="BP461" i="14" s="1"/>
  <c r="AL15" i="26"/>
  <c r="Y35" i="27"/>
  <c r="BB35" i="27" s="1"/>
  <c r="AN35" i="27"/>
  <c r="Y31" i="27"/>
  <c r="BB31" i="27" s="1"/>
  <c r="AN31" i="27"/>
  <c r="Y27" i="27"/>
  <c r="BB27" i="27" s="1"/>
  <c r="AN27" i="27"/>
  <c r="Y23" i="27"/>
  <c r="BB23" i="27" s="1"/>
  <c r="AN23" i="27"/>
  <c r="Y21" i="27"/>
  <c r="BB21" i="27" s="1"/>
  <c r="AN21" i="27"/>
  <c r="Y14" i="27"/>
  <c r="BB14" i="27" s="1"/>
  <c r="AN14" i="27"/>
  <c r="Y15" i="27"/>
  <c r="BB15" i="27" s="1"/>
  <c r="AN15" i="27"/>
  <c r="Y34" i="27"/>
  <c r="BB34" i="27" s="1"/>
  <c r="AN34" i="27"/>
  <c r="Y30" i="27"/>
  <c r="BB30" i="27" s="1"/>
  <c r="AN30" i="27"/>
  <c r="Y26" i="27"/>
  <c r="BB26" i="27" s="1"/>
  <c r="AN26" i="27"/>
  <c r="Y22" i="27"/>
  <c r="BB22" i="27" s="1"/>
  <c r="AN22" i="27"/>
  <c r="Y19" i="27"/>
  <c r="BB19" i="27" s="1"/>
  <c r="AN19" i="27"/>
  <c r="Y11" i="27"/>
  <c r="BB11" i="27" s="1"/>
  <c r="AN11" i="27"/>
  <c r="Y13" i="27"/>
  <c r="BB13" i="27" s="1"/>
  <c r="AN13" i="27"/>
  <c r="BB19" i="26"/>
  <c r="BP465" i="14" s="1"/>
  <c r="AL19" i="26"/>
  <c r="BB17" i="26"/>
  <c r="BP463" i="14" s="1"/>
  <c r="AL17" i="26"/>
  <c r="BB28" i="26"/>
  <c r="BP474" i="14" s="1"/>
  <c r="AL28" i="26"/>
  <c r="BB36" i="26"/>
  <c r="BP482" i="14" s="1"/>
  <c r="AL36" i="26"/>
  <c r="BB16" i="26"/>
  <c r="BP462" i="14" s="1"/>
  <c r="AL16" i="26"/>
  <c r="BB25" i="26"/>
  <c r="BP471" i="14" s="1"/>
  <c r="AL25" i="26"/>
  <c r="BB33" i="26"/>
  <c r="BP479" i="14" s="1"/>
  <c r="AL33" i="26"/>
  <c r="BB14" i="26"/>
  <c r="BP460" i="14" s="1"/>
  <c r="AL14" i="26"/>
  <c r="BB18" i="26"/>
  <c r="BP464" i="14" s="1"/>
  <c r="AL18" i="26"/>
  <c r="BB26" i="26"/>
  <c r="BP472" i="14" s="1"/>
  <c r="AL26" i="26"/>
  <c r="BB34" i="26"/>
  <c r="BP480" i="14" s="1"/>
  <c r="AL34" i="26"/>
  <c r="BB21" i="26"/>
  <c r="BP467" i="14" s="1"/>
  <c r="AL21" i="26"/>
  <c r="BB10" i="26"/>
  <c r="BP456" i="14" s="1"/>
  <c r="AL10" i="26"/>
  <c r="BB27" i="26"/>
  <c r="BP473" i="14" s="1"/>
  <c r="AL27" i="26"/>
  <c r="BB35" i="26"/>
  <c r="BP481" i="14" s="1"/>
  <c r="AL35" i="26"/>
  <c r="X37" i="27"/>
  <c r="AM37" i="27"/>
  <c r="X33" i="27"/>
  <c r="AM33" i="27"/>
  <c r="X29" i="27"/>
  <c r="AM29" i="27"/>
  <c r="X25" i="27"/>
  <c r="AM25" i="27"/>
  <c r="X21" i="27"/>
  <c r="AM21" i="27"/>
  <c r="X12" i="27"/>
  <c r="AM12" i="27"/>
  <c r="X13" i="27"/>
  <c r="AM13" i="27"/>
  <c r="X14" i="27"/>
  <c r="AM14" i="27"/>
  <c r="X36" i="27"/>
  <c r="AM36" i="27"/>
  <c r="X24" i="27"/>
  <c r="AM24" i="27"/>
  <c r="X18" i="27"/>
  <c r="AM18" i="27"/>
  <c r="X10" i="27"/>
  <c r="AM10" i="27"/>
  <c r="X35" i="27"/>
  <c r="AM35" i="27"/>
  <c r="X31" i="27"/>
  <c r="AM31" i="27"/>
  <c r="X27" i="27"/>
  <c r="AM27" i="27"/>
  <c r="X23" i="27"/>
  <c r="AM23" i="27"/>
  <c r="X9" i="27"/>
  <c r="AM9" i="27"/>
  <c r="X20" i="27"/>
  <c r="AM20" i="27"/>
  <c r="X32" i="27"/>
  <c r="AM32" i="27"/>
  <c r="X28" i="27"/>
  <c r="AM28" i="27"/>
  <c r="X11" i="27"/>
  <c r="AM11" i="27"/>
  <c r="X15" i="27"/>
  <c r="AM15" i="27"/>
  <c r="X34" i="27"/>
  <c r="AM34" i="27"/>
  <c r="X30" i="27"/>
  <c r="AM30" i="27"/>
  <c r="X26" i="27"/>
  <c r="AM26" i="27"/>
  <c r="X22" i="27"/>
  <c r="AM22" i="27"/>
  <c r="X17" i="27"/>
  <c r="AM17" i="27"/>
  <c r="X19" i="27"/>
  <c r="AM19" i="27"/>
  <c r="BP454" i="14"/>
  <c r="H129" i="26"/>
  <c r="O9" i="29" s="1"/>
  <c r="BO50" i="30"/>
  <c r="BO22" i="30"/>
  <c r="H47" i="26"/>
  <c r="Y8" i="27"/>
  <c r="BB8" i="27" s="1"/>
  <c r="X8" i="27"/>
  <c r="AM16" i="27"/>
  <c r="X16" i="27"/>
  <c r="AC8" i="27"/>
  <c r="BF8" i="27" s="1"/>
  <c r="BO30" i="30"/>
  <c r="J47" i="26"/>
  <c r="AB37" i="27"/>
  <c r="BE37" i="27" s="1"/>
  <c r="AB33" i="27"/>
  <c r="BE33" i="27" s="1"/>
  <c r="AB29" i="27"/>
  <c r="BE29" i="27" s="1"/>
  <c r="AB25" i="27"/>
  <c r="BE25" i="27" s="1"/>
  <c r="AB17" i="27"/>
  <c r="BE17" i="27" s="1"/>
  <c r="AB10" i="27"/>
  <c r="BE10" i="27" s="1"/>
  <c r="AB8" i="27"/>
  <c r="BE8" i="27" s="1"/>
  <c r="AB18" i="27"/>
  <c r="BE18" i="27" s="1"/>
  <c r="AR513" i="14"/>
  <c r="Z36" i="27"/>
  <c r="BC36" i="27" s="1"/>
  <c r="AR509" i="14"/>
  <c r="Z32" i="27"/>
  <c r="BC32" i="27" s="1"/>
  <c r="AR505" i="14"/>
  <c r="Z28" i="27"/>
  <c r="BC28" i="27" s="1"/>
  <c r="AR501" i="14"/>
  <c r="Z24" i="27"/>
  <c r="BC24" i="27" s="1"/>
  <c r="AR490" i="14"/>
  <c r="Z13" i="27"/>
  <c r="BC13" i="27" s="1"/>
  <c r="AR491" i="14"/>
  <c r="Z14" i="27"/>
  <c r="BC14" i="27" s="1"/>
  <c r="AR493" i="14"/>
  <c r="Z16" i="27"/>
  <c r="BC16" i="27" s="1"/>
  <c r="AR488" i="14"/>
  <c r="Z11" i="27"/>
  <c r="BC11" i="27" s="1"/>
  <c r="AS511" i="14"/>
  <c r="AA34" i="27"/>
  <c r="BD34" i="27" s="1"/>
  <c r="AS507" i="14"/>
  <c r="AA30" i="27"/>
  <c r="BD30" i="27" s="1"/>
  <c r="AS503" i="14"/>
  <c r="AA26" i="27"/>
  <c r="BD26" i="27" s="1"/>
  <c r="AS499" i="14"/>
  <c r="AA22" i="27"/>
  <c r="BD22" i="27" s="1"/>
  <c r="AS491" i="14"/>
  <c r="AA14" i="27"/>
  <c r="BD14" i="27" s="1"/>
  <c r="AS492" i="14"/>
  <c r="AA15" i="27"/>
  <c r="BD15" i="27" s="1"/>
  <c r="AS497" i="14"/>
  <c r="AA20" i="27"/>
  <c r="BD20" i="27" s="1"/>
  <c r="K47" i="26"/>
  <c r="AE386" i="1" s="1"/>
  <c r="BO34" i="30"/>
  <c r="AB36" i="27"/>
  <c r="BE36" i="27" s="1"/>
  <c r="AB32" i="27"/>
  <c r="BE32" i="27" s="1"/>
  <c r="AB28" i="27"/>
  <c r="BE28" i="27" s="1"/>
  <c r="AB24" i="27"/>
  <c r="BE24" i="27" s="1"/>
  <c r="AB20" i="27"/>
  <c r="BE20" i="27" s="1"/>
  <c r="AB12" i="27"/>
  <c r="BE12" i="27" s="1"/>
  <c r="AB11" i="27"/>
  <c r="BE11" i="27" s="1"/>
  <c r="AB14" i="27"/>
  <c r="BE14" i="27" s="1"/>
  <c r="AR512" i="14"/>
  <c r="Z35" i="27"/>
  <c r="BC35" i="27" s="1"/>
  <c r="AR508" i="14"/>
  <c r="Z31" i="27"/>
  <c r="BC31" i="27" s="1"/>
  <c r="AR504" i="14"/>
  <c r="Z27" i="27"/>
  <c r="BC27" i="27" s="1"/>
  <c r="AR500" i="14"/>
  <c r="Z23" i="27"/>
  <c r="BC23" i="27" s="1"/>
  <c r="AR496" i="14"/>
  <c r="Z19" i="27"/>
  <c r="BC19" i="27" s="1"/>
  <c r="AR495" i="14"/>
  <c r="Z18" i="27"/>
  <c r="BC18" i="27" s="1"/>
  <c r="AR486" i="14"/>
  <c r="Z9" i="27"/>
  <c r="BC9" i="27" s="1"/>
  <c r="AS514" i="14"/>
  <c r="AA37" i="27"/>
  <c r="BD37" i="27" s="1"/>
  <c r="AS510" i="14"/>
  <c r="AA33" i="27"/>
  <c r="BD33" i="27" s="1"/>
  <c r="AS506" i="14"/>
  <c r="AA29" i="27"/>
  <c r="BD29" i="27" s="1"/>
  <c r="AS502" i="14"/>
  <c r="AA25" i="27"/>
  <c r="BD25" i="27" s="1"/>
  <c r="AS488" i="14"/>
  <c r="AA11" i="27"/>
  <c r="BD11" i="27" s="1"/>
  <c r="AS496" i="14"/>
  <c r="AA19" i="27"/>
  <c r="BD19" i="27" s="1"/>
  <c r="AS489" i="14"/>
  <c r="AA12" i="27"/>
  <c r="BD12" i="27" s="1"/>
  <c r="AS486" i="14"/>
  <c r="AA9" i="27"/>
  <c r="BD9" i="27" s="1"/>
  <c r="BO38" i="30"/>
  <c r="L47" i="26"/>
  <c r="AB35" i="27"/>
  <c r="BE35" i="27" s="1"/>
  <c r="AB31" i="27"/>
  <c r="BE31" i="27" s="1"/>
  <c r="AB27" i="27"/>
  <c r="BE27" i="27" s="1"/>
  <c r="AB23" i="27"/>
  <c r="BE23" i="27" s="1"/>
  <c r="AB9" i="27"/>
  <c r="BE9" i="27" s="1"/>
  <c r="AB15" i="27"/>
  <c r="BE15" i="27" s="1"/>
  <c r="AB21" i="27"/>
  <c r="BE21" i="27" s="1"/>
  <c r="AR511" i="14"/>
  <c r="Z34" i="27"/>
  <c r="BC34" i="27" s="1"/>
  <c r="AR507" i="14"/>
  <c r="Z30" i="27"/>
  <c r="BC30" i="27" s="1"/>
  <c r="AR503" i="14"/>
  <c r="Z26" i="27"/>
  <c r="BC26" i="27" s="1"/>
  <c r="AR499" i="14"/>
  <c r="Z22" i="27"/>
  <c r="BC22" i="27" s="1"/>
  <c r="AR497" i="14"/>
  <c r="Z20" i="27"/>
  <c r="BC20" i="27" s="1"/>
  <c r="AR494" i="14"/>
  <c r="Z17" i="27"/>
  <c r="BC17" i="27" s="1"/>
  <c r="AR498" i="14"/>
  <c r="Z21" i="27"/>
  <c r="BC21" i="27" s="1"/>
  <c r="AS513" i="14"/>
  <c r="AA36" i="27"/>
  <c r="BD36" i="27" s="1"/>
  <c r="AS509" i="14"/>
  <c r="AA32" i="27"/>
  <c r="BD32" i="27" s="1"/>
  <c r="AS505" i="14"/>
  <c r="AA28" i="27"/>
  <c r="BD28" i="27" s="1"/>
  <c r="AS501" i="14"/>
  <c r="AA24" i="27"/>
  <c r="BD24" i="27" s="1"/>
  <c r="AS487" i="14"/>
  <c r="AA10" i="27"/>
  <c r="BD10" i="27" s="1"/>
  <c r="AS485" i="14"/>
  <c r="AA8" i="27"/>
  <c r="BD8" i="27" s="1"/>
  <c r="AS493" i="14"/>
  <c r="AA16" i="27"/>
  <c r="BD16" i="27" s="1"/>
  <c r="AS494" i="14"/>
  <c r="AA17" i="27"/>
  <c r="BD17" i="27" s="1"/>
  <c r="J129" i="26"/>
  <c r="O11" i="29" s="1"/>
  <c r="BO26" i="30"/>
  <c r="I47" i="26"/>
  <c r="E48" i="26"/>
  <c r="I52" i="26" s="1"/>
  <c r="I56" i="26" s="1"/>
  <c r="O158" i="29" s="1"/>
  <c r="AD8" i="27"/>
  <c r="BG8" i="27" s="1"/>
  <c r="AB34" i="27"/>
  <c r="BE34" i="27" s="1"/>
  <c r="AB30" i="27"/>
  <c r="BE30" i="27" s="1"/>
  <c r="AB26" i="27"/>
  <c r="BE26" i="27" s="1"/>
  <c r="AB22" i="27"/>
  <c r="BE22" i="27" s="1"/>
  <c r="AB19" i="27"/>
  <c r="BE19" i="27" s="1"/>
  <c r="AB13" i="27"/>
  <c r="BE13" i="27" s="1"/>
  <c r="AB16" i="27"/>
  <c r="BE16" i="27" s="1"/>
  <c r="BO42" i="30"/>
  <c r="M47" i="26"/>
  <c r="AR514" i="14"/>
  <c r="Z37" i="27"/>
  <c r="BC37" i="27" s="1"/>
  <c r="AR510" i="14"/>
  <c r="Z33" i="27"/>
  <c r="BC33" i="27" s="1"/>
  <c r="AR506" i="14"/>
  <c r="Z29" i="27"/>
  <c r="BC29" i="27" s="1"/>
  <c r="AR502" i="14"/>
  <c r="Z25" i="27"/>
  <c r="BC25" i="27" s="1"/>
  <c r="AR487" i="14"/>
  <c r="Z10" i="27"/>
  <c r="BC10" i="27" s="1"/>
  <c r="AR489" i="14"/>
  <c r="Z12" i="27"/>
  <c r="BC12" i="27" s="1"/>
  <c r="AR485" i="14"/>
  <c r="Z8" i="27"/>
  <c r="BC8" i="27" s="1"/>
  <c r="AR492" i="14"/>
  <c r="Z15" i="27"/>
  <c r="BC15" i="27" s="1"/>
  <c r="AS512" i="14"/>
  <c r="AA35" i="27"/>
  <c r="BD35" i="27" s="1"/>
  <c r="AS508" i="14"/>
  <c r="AA31" i="27"/>
  <c r="BD31" i="27" s="1"/>
  <c r="AS504" i="14"/>
  <c r="AA27" i="27"/>
  <c r="BD27" i="27" s="1"/>
  <c r="AS500" i="14"/>
  <c r="AA23" i="27"/>
  <c r="BD23" i="27" s="1"/>
  <c r="AS495" i="14"/>
  <c r="AA18" i="27"/>
  <c r="BD18" i="27" s="1"/>
  <c r="AS490" i="14"/>
  <c r="AA13" i="27"/>
  <c r="BD13" i="27" s="1"/>
  <c r="AS498" i="14"/>
  <c r="AA21" i="27"/>
  <c r="BD21" i="27" s="1"/>
  <c r="M129" i="26"/>
  <c r="O13" i="29" s="1"/>
  <c r="AE11" i="27"/>
  <c r="E11" i="27" s="1"/>
  <c r="G488" i="14" s="1"/>
  <c r="C489" i="14"/>
  <c r="D489" i="14" s="1"/>
  <c r="B489" i="14"/>
  <c r="Q489" i="14"/>
  <c r="H422" i="15"/>
  <c r="I422" i="15" s="1"/>
  <c r="E490" i="14"/>
  <c r="J489" i="14"/>
  <c r="AB320" i="1"/>
  <c r="AE320" i="1" s="1"/>
  <c r="AE272" i="1"/>
  <c r="F16" i="29"/>
  <c r="G118" i="28"/>
  <c r="I118" i="28"/>
  <c r="I118" i="27"/>
  <c r="L118" i="27"/>
  <c r="J118" i="26"/>
  <c r="K118" i="26"/>
  <c r="G118" i="27"/>
  <c r="M118" i="27"/>
  <c r="H118" i="28"/>
  <c r="H118" i="26"/>
  <c r="L118" i="26"/>
  <c r="J118" i="27"/>
  <c r="M118" i="28"/>
  <c r="J118" i="28"/>
  <c r="L118" i="28"/>
  <c r="M118" i="26"/>
  <c r="I118" i="26"/>
  <c r="K118" i="28"/>
  <c r="K118" i="27"/>
  <c r="H118" i="27"/>
  <c r="AI37" i="26"/>
  <c r="AI33" i="26"/>
  <c r="AI29" i="26"/>
  <c r="AI25" i="26"/>
  <c r="AI21" i="26"/>
  <c r="AI17" i="26"/>
  <c r="AI13" i="26"/>
  <c r="AI9" i="26"/>
  <c r="AG36" i="26"/>
  <c r="AG32" i="26"/>
  <c r="AG28" i="26"/>
  <c r="AG24" i="26"/>
  <c r="AG20" i="26"/>
  <c r="AG16" i="26"/>
  <c r="AG12" i="26"/>
  <c r="AG8" i="26"/>
  <c r="AH32" i="26"/>
  <c r="AH24" i="26"/>
  <c r="AH16" i="26"/>
  <c r="AH8" i="26"/>
  <c r="AH31" i="26"/>
  <c r="AH23" i="26"/>
  <c r="AH15" i="26"/>
  <c r="AJ36" i="26"/>
  <c r="AJ20" i="26"/>
  <c r="AJ35" i="26"/>
  <c r="AJ19" i="26"/>
  <c r="AJ26" i="26"/>
  <c r="AJ25" i="26"/>
  <c r="AJ30" i="26"/>
  <c r="AJ29" i="26"/>
  <c r="AI31" i="26"/>
  <c r="AI23" i="26"/>
  <c r="AI15" i="26"/>
  <c r="AI11" i="26"/>
  <c r="AG34" i="26"/>
  <c r="AG30" i="26"/>
  <c r="AG26" i="26"/>
  <c r="AG18" i="26"/>
  <c r="AG14" i="26"/>
  <c r="AG10" i="26"/>
  <c r="AH28" i="26"/>
  <c r="AH20" i="26"/>
  <c r="AH35" i="26"/>
  <c r="AH27" i="26"/>
  <c r="AH11" i="26"/>
  <c r="AJ28" i="26"/>
  <c r="AJ27" i="26"/>
  <c r="AJ11" i="26"/>
  <c r="AJ9" i="26"/>
  <c r="AJ14" i="26"/>
  <c r="AI34" i="26"/>
  <c r="AI26" i="26"/>
  <c r="AI22" i="26"/>
  <c r="AI14" i="26"/>
  <c r="AI10" i="26"/>
  <c r="AG33" i="26"/>
  <c r="AG29" i="26"/>
  <c r="AG25" i="26"/>
  <c r="AG17" i="26"/>
  <c r="AG13" i="26"/>
  <c r="AH34" i="26"/>
  <c r="AH26" i="26"/>
  <c r="AH10" i="26"/>
  <c r="AH33" i="26"/>
  <c r="AH17" i="26"/>
  <c r="AH9" i="26"/>
  <c r="AJ24" i="26"/>
  <c r="AJ23" i="26"/>
  <c r="AJ34" i="26"/>
  <c r="AJ38" i="26"/>
  <c r="AI36" i="26"/>
  <c r="AI32" i="26"/>
  <c r="AI28" i="26"/>
  <c r="AI24" i="26"/>
  <c r="AI20" i="26"/>
  <c r="AI16" i="26"/>
  <c r="AI12" i="26"/>
  <c r="AI8" i="26"/>
  <c r="AG35" i="26"/>
  <c r="AG31" i="26"/>
  <c r="AG27" i="26"/>
  <c r="AG23" i="26"/>
  <c r="AG19" i="26"/>
  <c r="AG15" i="26"/>
  <c r="AG11" i="26"/>
  <c r="AH38" i="26"/>
  <c r="AH30" i="26"/>
  <c r="AH22" i="26"/>
  <c r="AH14" i="26"/>
  <c r="AH37" i="26"/>
  <c r="AH29" i="26"/>
  <c r="AH21" i="26"/>
  <c r="AH13" i="26"/>
  <c r="AJ32" i="26"/>
  <c r="AJ16" i="26"/>
  <c r="AJ31" i="26"/>
  <c r="AJ15" i="26"/>
  <c r="AJ18" i="26"/>
  <c r="AJ17" i="26"/>
  <c r="AJ22" i="26"/>
  <c r="AJ21" i="26"/>
  <c r="AI35" i="26"/>
  <c r="AI27" i="26"/>
  <c r="AI19" i="26"/>
  <c r="AG38" i="26"/>
  <c r="AG22" i="26"/>
  <c r="AH36" i="26"/>
  <c r="AH12" i="26"/>
  <c r="AH19" i="26"/>
  <c r="AJ12" i="26"/>
  <c r="AJ10" i="26"/>
  <c r="AJ13" i="26"/>
  <c r="AI38" i="26"/>
  <c r="AI30" i="26"/>
  <c r="AI18" i="26"/>
  <c r="AG37" i="26"/>
  <c r="AG21" i="26"/>
  <c r="AG9" i="26"/>
  <c r="AH18" i="26"/>
  <c r="AH25" i="26"/>
  <c r="AJ8" i="26"/>
  <c r="AJ33" i="26"/>
  <c r="AJ37" i="26"/>
  <c r="I122" i="26"/>
  <c r="O199" i="26"/>
  <c r="O173" i="29" s="1"/>
  <c r="O170" i="29" s="1"/>
  <c r="O2" i="29" s="1"/>
  <c r="O113" i="29" s="1"/>
  <c r="G122" i="26"/>
  <c r="AJ36" i="27"/>
  <c r="AJ32" i="27"/>
  <c r="AJ28" i="27"/>
  <c r="AJ24" i="27"/>
  <c r="AJ20" i="27"/>
  <c r="AJ16" i="27"/>
  <c r="AJ12" i="27"/>
  <c r="AJ8" i="27"/>
  <c r="AH34" i="27"/>
  <c r="AH30" i="27"/>
  <c r="AH26" i="27"/>
  <c r="AH22" i="27"/>
  <c r="AH18" i="27"/>
  <c r="AH14" i="27"/>
  <c r="AH10" i="27"/>
  <c r="AI34" i="27"/>
  <c r="AI26" i="27"/>
  <c r="AI18" i="27"/>
  <c r="AI10" i="27"/>
  <c r="AI33" i="27"/>
  <c r="AI25" i="27"/>
  <c r="AI17" i="27"/>
  <c r="AI9" i="27"/>
  <c r="AG23" i="27"/>
  <c r="AG34" i="27"/>
  <c r="AG18" i="27"/>
  <c r="AG25" i="27"/>
  <c r="AG24" i="27"/>
  <c r="AG29" i="27"/>
  <c r="AG28" i="27"/>
  <c r="AJ30" i="27"/>
  <c r="AJ26" i="27"/>
  <c r="AJ18" i="27"/>
  <c r="AH32" i="27"/>
  <c r="AH24" i="27"/>
  <c r="AH12" i="27"/>
  <c r="AI30" i="27"/>
  <c r="AI14" i="27"/>
  <c r="AI29" i="27"/>
  <c r="AI13" i="27"/>
  <c r="AG15" i="27"/>
  <c r="AG10" i="27"/>
  <c r="AG8" i="27"/>
  <c r="AG12" i="27"/>
  <c r="AJ37" i="27"/>
  <c r="AJ25" i="27"/>
  <c r="AJ21" i="27"/>
  <c r="AJ13" i="27"/>
  <c r="AJ9" i="27"/>
  <c r="AH31" i="27"/>
  <c r="AH27" i="27"/>
  <c r="AH19" i="27"/>
  <c r="AH15" i="27"/>
  <c r="AJ35" i="27"/>
  <c r="AJ31" i="27"/>
  <c r="AJ27" i="27"/>
  <c r="AJ23" i="27"/>
  <c r="AJ19" i="27"/>
  <c r="AJ15" i="27"/>
  <c r="AJ11" i="27"/>
  <c r="AH37" i="27"/>
  <c r="AH33" i="27"/>
  <c r="AH29" i="27"/>
  <c r="AH25" i="27"/>
  <c r="AH21" i="27"/>
  <c r="AH17" i="27"/>
  <c r="AH13" i="27"/>
  <c r="AH9" i="27"/>
  <c r="AI32" i="27"/>
  <c r="AI24" i="27"/>
  <c r="AI16" i="27"/>
  <c r="AI8" i="27"/>
  <c r="AI31" i="27"/>
  <c r="AI23" i="27"/>
  <c r="AI15" i="27"/>
  <c r="AG35" i="27"/>
  <c r="AG19" i="27"/>
  <c r="AG30" i="27"/>
  <c r="AG14" i="27"/>
  <c r="AG17" i="27"/>
  <c r="AG16" i="27"/>
  <c r="AG21" i="27"/>
  <c r="AG20" i="27"/>
  <c r="AJ34" i="27"/>
  <c r="AJ22" i="27"/>
  <c r="AJ14" i="27"/>
  <c r="AJ10" i="27"/>
  <c r="AH36" i="27"/>
  <c r="AH28" i="27"/>
  <c r="AH20" i="27"/>
  <c r="AH16" i="27"/>
  <c r="AH8" i="27"/>
  <c r="AI22" i="27"/>
  <c r="AI37" i="27"/>
  <c r="AI21" i="27"/>
  <c r="AG31" i="27"/>
  <c r="AG26" i="27"/>
  <c r="AG9" i="27"/>
  <c r="AG13" i="27"/>
  <c r="AJ33" i="27"/>
  <c r="AJ29" i="27"/>
  <c r="AJ17" i="27"/>
  <c r="AH35" i="27"/>
  <c r="AH23" i="27"/>
  <c r="AH11" i="27"/>
  <c r="AI12" i="27"/>
  <c r="AI11" i="27"/>
  <c r="AG33" i="27"/>
  <c r="AI19" i="27"/>
  <c r="AI36" i="27"/>
  <c r="AI35" i="27"/>
  <c r="AG27" i="27"/>
  <c r="AG32" i="27"/>
  <c r="AI28" i="27"/>
  <c r="AI27" i="27"/>
  <c r="AG11" i="27"/>
  <c r="AG37" i="27"/>
  <c r="AI20" i="27"/>
  <c r="AG22" i="27"/>
  <c r="AG36" i="27"/>
  <c r="H122" i="26"/>
  <c r="K122" i="26"/>
  <c r="AE401" i="1" s="1"/>
  <c r="G118" i="26"/>
  <c r="J122" i="26"/>
  <c r="M122" i="26"/>
  <c r="AE403" i="1" s="1"/>
  <c r="L122" i="26"/>
  <c r="G118" i="25"/>
  <c r="C60" i="18"/>
  <c r="BC239" i="14"/>
  <c r="AX239" i="14" s="1"/>
  <c r="AY36" i="18"/>
  <c r="AY25" i="18"/>
  <c r="BC228" i="14"/>
  <c r="AX228" i="14" s="1"/>
  <c r="AX31" i="18"/>
  <c r="BB234" i="14"/>
  <c r="AW234" i="14" s="1"/>
  <c r="AV9" i="18"/>
  <c r="AZ212" i="14"/>
  <c r="AP212" i="14" s="1"/>
  <c r="AF9" i="18"/>
  <c r="AZ217" i="14"/>
  <c r="AP217" i="14" s="1"/>
  <c r="AV14" i="18"/>
  <c r="AF14" i="18"/>
  <c r="AY9" i="18"/>
  <c r="BC212" i="14"/>
  <c r="AX212" i="14" s="1"/>
  <c r="AW11" i="18"/>
  <c r="BA214" i="14"/>
  <c r="AQ214" i="14" s="1"/>
  <c r="BA217" i="14"/>
  <c r="AQ217" i="14" s="1"/>
  <c r="AW14" i="18"/>
  <c r="BB230" i="14"/>
  <c r="AW230" i="14" s="1"/>
  <c r="AX27" i="18"/>
  <c r="AW8" i="18"/>
  <c r="BA211" i="14"/>
  <c r="AQ211" i="14" s="1"/>
  <c r="AV19" i="18"/>
  <c r="AZ222" i="14"/>
  <c r="AP222" i="14" s="1"/>
  <c r="AF19" i="18"/>
  <c r="AY29" i="18"/>
  <c r="BC232" i="14"/>
  <c r="AX232" i="14" s="1"/>
  <c r="AW24" i="18"/>
  <c r="BA227" i="14"/>
  <c r="AQ227" i="14" s="1"/>
  <c r="BC218" i="14"/>
  <c r="AX218" i="14" s="1"/>
  <c r="AY15" i="18"/>
  <c r="AV28" i="18"/>
  <c r="AZ231" i="14"/>
  <c r="AP231" i="14" s="1"/>
  <c r="AF28" i="18"/>
  <c r="AV8" i="18"/>
  <c r="AZ211" i="14"/>
  <c r="AP211" i="14" s="1"/>
  <c r="AF8" i="18"/>
  <c r="BB239" i="14"/>
  <c r="AW239" i="14" s="1"/>
  <c r="AX36" i="18"/>
  <c r="BA238" i="14"/>
  <c r="AQ238" i="14" s="1"/>
  <c r="AW35" i="18"/>
  <c r="AW23" i="18"/>
  <c r="BA226" i="14"/>
  <c r="AQ226" i="14" s="1"/>
  <c r="AX22" i="18"/>
  <c r="BB225" i="14"/>
  <c r="AW225" i="14" s="1"/>
  <c r="AV10" i="18"/>
  <c r="AZ213" i="14"/>
  <c r="AP213" i="14" s="1"/>
  <c r="AF10" i="18"/>
  <c r="AW26" i="18"/>
  <c r="BA229" i="14"/>
  <c r="AQ229" i="14" s="1"/>
  <c r="AY14" i="18"/>
  <c r="BC217" i="14"/>
  <c r="AX217" i="14" s="1"/>
  <c r="AW21" i="18"/>
  <c r="BA224" i="14"/>
  <c r="AQ224" i="14" s="1"/>
  <c r="AX25" i="18"/>
  <c r="BB228" i="14"/>
  <c r="AW228" i="14" s="1"/>
  <c r="AX13" i="18"/>
  <c r="BB216" i="14"/>
  <c r="AW216" i="14" s="1"/>
  <c r="AX34" i="18"/>
  <c r="BB237" i="14"/>
  <c r="AW237" i="14" s="1"/>
  <c r="AV22" i="18"/>
  <c r="AZ225" i="14"/>
  <c r="AP225" i="14" s="1"/>
  <c r="AF22" i="18"/>
  <c r="BB215" i="14"/>
  <c r="AW215" i="14" s="1"/>
  <c r="AX12" i="18"/>
  <c r="AW25" i="18"/>
  <c r="BA228" i="14"/>
  <c r="AQ228" i="14" s="1"/>
  <c r="BB232" i="14"/>
  <c r="AW232" i="14" s="1"/>
  <c r="AX29" i="18"/>
  <c r="BA233" i="14"/>
  <c r="AQ233" i="14" s="1"/>
  <c r="AW30" i="18"/>
  <c r="AZ226" i="14"/>
  <c r="AP226" i="14" s="1"/>
  <c r="AV23" i="18"/>
  <c r="AF23" i="18"/>
  <c r="AV21" i="18"/>
  <c r="AZ224" i="14"/>
  <c r="AP224" i="14" s="1"/>
  <c r="AF21" i="18"/>
  <c r="AY20" i="18"/>
  <c r="BC223" i="14"/>
  <c r="AX223" i="14" s="1"/>
  <c r="AY13" i="18"/>
  <c r="BC216" i="14"/>
  <c r="AX216" i="14" s="1"/>
  <c r="AZ215" i="14"/>
  <c r="AP215" i="14" s="1"/>
  <c r="AV12" i="18"/>
  <c r="AF12" i="18"/>
  <c r="AW29" i="18"/>
  <c r="BA232" i="14"/>
  <c r="AQ232" i="14" s="1"/>
  <c r="AV35" i="18"/>
  <c r="AZ238" i="14"/>
  <c r="AP238" i="14" s="1"/>
  <c r="AF35" i="18"/>
  <c r="AW32" i="18"/>
  <c r="BA235" i="14"/>
  <c r="AQ235" i="14" s="1"/>
  <c r="AW10" i="18"/>
  <c r="BA213" i="14"/>
  <c r="AQ213" i="14" s="1"/>
  <c r="BC237" i="14"/>
  <c r="AX237" i="14" s="1"/>
  <c r="AY34" i="18"/>
  <c r="AW15" i="18"/>
  <c r="BA218" i="14"/>
  <c r="AQ218" i="14" s="1"/>
  <c r="BC238" i="14"/>
  <c r="AX238" i="14" s="1"/>
  <c r="AY35" i="18"/>
  <c r="AZ236" i="14"/>
  <c r="AP236" i="14" s="1"/>
  <c r="AV33" i="18"/>
  <c r="AF33" i="18"/>
  <c r="BC214" i="14"/>
  <c r="AX214" i="14" s="1"/>
  <c r="AY11" i="18"/>
  <c r="AV30" i="18"/>
  <c r="AZ233" i="14"/>
  <c r="AP233" i="14" s="1"/>
  <c r="AF30" i="18"/>
  <c r="BA234" i="14"/>
  <c r="AQ234" i="14" s="1"/>
  <c r="AW31" i="18"/>
  <c r="BB222" i="14"/>
  <c r="AW222" i="14" s="1"/>
  <c r="AX19" i="18"/>
  <c r="AW33" i="18"/>
  <c r="BA236" i="14"/>
  <c r="AQ236" i="14" s="1"/>
  <c r="AX10" i="18"/>
  <c r="BB213" i="14"/>
  <c r="AW213" i="14" s="1"/>
  <c r="BB214" i="14"/>
  <c r="AW214" i="14" s="1"/>
  <c r="AX11" i="18"/>
  <c r="AZ228" i="14"/>
  <c r="AP228" i="14" s="1"/>
  <c r="AV25" i="18"/>
  <c r="AF25" i="18"/>
  <c r="AX17" i="18"/>
  <c r="BB220" i="14"/>
  <c r="AW220" i="14" s="1"/>
  <c r="BB211" i="14"/>
  <c r="AW211" i="14" s="1"/>
  <c r="AX8" i="18"/>
  <c r="AX30" i="18"/>
  <c r="BB233" i="14"/>
  <c r="AW233" i="14" s="1"/>
  <c r="AV18" i="18"/>
  <c r="AZ221" i="14"/>
  <c r="AP221" i="14" s="1"/>
  <c r="AF18" i="18"/>
  <c r="AW34" i="18"/>
  <c r="BA237" i="14"/>
  <c r="AQ237" i="14" s="1"/>
  <c r="AW17" i="18"/>
  <c r="BA220" i="14"/>
  <c r="AQ220" i="14" s="1"/>
  <c r="AZ239" i="14"/>
  <c r="AP239" i="14" s="1"/>
  <c r="AV36" i="18"/>
  <c r="AF36" i="18"/>
  <c r="AV17" i="18"/>
  <c r="AZ220" i="14"/>
  <c r="AP220" i="14" s="1"/>
  <c r="AF17" i="18"/>
  <c r="AY32" i="18"/>
  <c r="BC235" i="14"/>
  <c r="AX235" i="14" s="1"/>
  <c r="BC224" i="14"/>
  <c r="AX224" i="14" s="1"/>
  <c r="AY21" i="18"/>
  <c r="AW16" i="18"/>
  <c r="BA219" i="14"/>
  <c r="AQ219" i="14" s="1"/>
  <c r="BB235" i="14"/>
  <c r="AW235" i="14" s="1"/>
  <c r="AX32" i="18"/>
  <c r="AV20" i="18"/>
  <c r="AZ223" i="14"/>
  <c r="AP223" i="14" s="1"/>
  <c r="AF20" i="18"/>
  <c r="AY30" i="18"/>
  <c r="BC233" i="14"/>
  <c r="AX233" i="14" s="1"/>
  <c r="AW13" i="18"/>
  <c r="BA216" i="14"/>
  <c r="AQ216" i="14" s="1"/>
  <c r="AV27" i="18"/>
  <c r="AZ230" i="14"/>
  <c r="AP230" i="14" s="1"/>
  <c r="AF27" i="18"/>
  <c r="AY33" i="18"/>
  <c r="BC236" i="14"/>
  <c r="AX236" i="14" s="1"/>
  <c r="AW28" i="18"/>
  <c r="BA231" i="14"/>
  <c r="AQ231" i="14" s="1"/>
  <c r="AY19" i="18"/>
  <c r="BC222" i="14"/>
  <c r="AX222" i="14" s="1"/>
  <c r="AZ235" i="14"/>
  <c r="AP235" i="14" s="1"/>
  <c r="AV32" i="18"/>
  <c r="AF32" i="18"/>
  <c r="AW20" i="18"/>
  <c r="BA223" i="14"/>
  <c r="AQ223" i="14" s="1"/>
  <c r="AX9" i="18"/>
  <c r="BB212" i="14"/>
  <c r="AW212" i="14" s="1"/>
  <c r="AX20" i="18"/>
  <c r="BB223" i="14"/>
  <c r="AW223" i="14" s="1"/>
  <c r="AY10" i="18"/>
  <c r="BC213" i="14"/>
  <c r="AX213" i="14" s="1"/>
  <c r="BC219" i="14"/>
  <c r="AX219" i="14" s="1"/>
  <c r="AY16" i="18"/>
  <c r="AZ237" i="14"/>
  <c r="AP237" i="14" s="1"/>
  <c r="AV34" i="18"/>
  <c r="AF34" i="18"/>
  <c r="AX24" i="18"/>
  <c r="BB227" i="14"/>
  <c r="AW227" i="14" s="1"/>
  <c r="AZ216" i="14"/>
  <c r="AP216" i="14" s="1"/>
  <c r="AV13" i="18"/>
  <c r="AF13" i="18"/>
  <c r="AV15" i="18"/>
  <c r="AZ218" i="14"/>
  <c r="AP218" i="14" s="1"/>
  <c r="AF15" i="18"/>
  <c r="BC226" i="14"/>
  <c r="AX226" i="14" s="1"/>
  <c r="AY23" i="18"/>
  <c r="BA212" i="14"/>
  <c r="AQ212" i="14" s="1"/>
  <c r="AW9" i="18"/>
  <c r="BA230" i="14"/>
  <c r="AQ230" i="14" s="1"/>
  <c r="AW27" i="18"/>
  <c r="AX18" i="18"/>
  <c r="BB221" i="14"/>
  <c r="AW221" i="14" s="1"/>
  <c r="BA225" i="14"/>
  <c r="AQ225" i="14" s="1"/>
  <c r="AW22" i="18"/>
  <c r="I118" i="25"/>
  <c r="K118" i="25"/>
  <c r="AV11" i="18"/>
  <c r="AZ214" i="14"/>
  <c r="AP214" i="14" s="1"/>
  <c r="AF11" i="18"/>
  <c r="AV24" i="18"/>
  <c r="AZ227" i="14"/>
  <c r="AP227" i="14" s="1"/>
  <c r="AF24" i="18"/>
  <c r="AZ232" i="14"/>
  <c r="AP232" i="14" s="1"/>
  <c r="AV29" i="18"/>
  <c r="AF29" i="18"/>
  <c r="AX26" i="18"/>
  <c r="BB229" i="14"/>
  <c r="AW229" i="14" s="1"/>
  <c r="AY12" i="18"/>
  <c r="BC215" i="14"/>
  <c r="AX215" i="14" s="1"/>
  <c r="BB226" i="14"/>
  <c r="AW226" i="14" s="1"/>
  <c r="AX23" i="18"/>
  <c r="BC230" i="14"/>
  <c r="AX230" i="14" s="1"/>
  <c r="AY27" i="18"/>
  <c r="AX35" i="18"/>
  <c r="BB238" i="14"/>
  <c r="AW238" i="14" s="1"/>
  <c r="AY18" i="18"/>
  <c r="BC221" i="14"/>
  <c r="AX221" i="14" s="1"/>
  <c r="AW19" i="18"/>
  <c r="BA222" i="14"/>
  <c r="AQ222" i="14" s="1"/>
  <c r="AZ234" i="14"/>
  <c r="AP234" i="14" s="1"/>
  <c r="AV31" i="18"/>
  <c r="AF31" i="18"/>
  <c r="AX14" i="18"/>
  <c r="BB217" i="14"/>
  <c r="AW217" i="14" s="1"/>
  <c r="BC234" i="14"/>
  <c r="AX234" i="14" s="1"/>
  <c r="AY31" i="18"/>
  <c r="AW18" i="18"/>
  <c r="BA221" i="14"/>
  <c r="AQ221" i="14" s="1"/>
  <c r="BA239" i="14"/>
  <c r="AQ239" i="14" s="1"/>
  <c r="AW36" i="18"/>
  <c r="AX15" i="18"/>
  <c r="BB218" i="14"/>
  <c r="AW218" i="14" s="1"/>
  <c r="AX33" i="18"/>
  <c r="BB236" i="14"/>
  <c r="AW236" i="14" s="1"/>
  <c r="AX21" i="18"/>
  <c r="BB224" i="14"/>
  <c r="AW224" i="14" s="1"/>
  <c r="AY8" i="18"/>
  <c r="BC211" i="14"/>
  <c r="AX211" i="14" s="1"/>
  <c r="AZ229" i="14"/>
  <c r="AP229" i="14" s="1"/>
  <c r="AV26" i="18"/>
  <c r="AF26" i="18"/>
  <c r="AX16" i="18"/>
  <c r="BB219" i="14"/>
  <c r="AW219" i="14" s="1"/>
  <c r="BC225" i="14"/>
  <c r="AX225" i="14" s="1"/>
  <c r="AY22" i="18"/>
  <c r="BC229" i="14"/>
  <c r="AX229" i="14" s="1"/>
  <c r="AY26" i="18"/>
  <c r="BC231" i="14"/>
  <c r="AX231" i="14" s="1"/>
  <c r="AY28" i="18"/>
  <c r="AY24" i="18"/>
  <c r="BC227" i="14"/>
  <c r="AX227" i="14" s="1"/>
  <c r="AY17" i="18"/>
  <c r="BC220" i="14"/>
  <c r="AX220" i="14" s="1"/>
  <c r="AW12" i="18"/>
  <c r="BA215" i="14"/>
  <c r="AQ215" i="14" s="1"/>
  <c r="AX28" i="18"/>
  <c r="BB231" i="14"/>
  <c r="AW231" i="14" s="1"/>
  <c r="AV16" i="18"/>
  <c r="AZ219" i="14"/>
  <c r="AP219" i="14" s="1"/>
  <c r="AF16" i="18"/>
  <c r="J118" i="25"/>
  <c r="H118" i="25"/>
  <c r="M118" i="25"/>
  <c r="L118" i="25"/>
  <c r="AE338" i="1" l="1"/>
  <c r="CK499" i="14"/>
  <c r="CK488" i="14"/>
  <c r="CK492" i="14"/>
  <c r="CK498" i="14"/>
  <c r="CK497" i="14"/>
  <c r="CK495" i="14"/>
  <c r="CK502" i="14"/>
  <c r="CK510" i="14"/>
  <c r="CM494" i="14"/>
  <c r="CM499" i="14"/>
  <c r="CM507" i="14"/>
  <c r="CM486" i="14"/>
  <c r="CM504" i="14"/>
  <c r="CM512" i="14"/>
  <c r="CM490" i="14"/>
  <c r="CM513" i="14"/>
  <c r="CK503" i="14"/>
  <c r="CK511" i="14"/>
  <c r="CK491" i="14"/>
  <c r="CK500" i="14"/>
  <c r="CK508" i="14"/>
  <c r="CK489" i="14"/>
  <c r="CK501" i="14"/>
  <c r="CK509" i="14"/>
  <c r="CK507" i="14"/>
  <c r="CK504" i="14"/>
  <c r="CK512" i="14"/>
  <c r="CK486" i="14"/>
  <c r="CK505" i="14"/>
  <c r="CK513" i="14"/>
  <c r="CK487" i="14"/>
  <c r="CM496" i="14"/>
  <c r="CM493" i="14"/>
  <c r="CM506" i="14"/>
  <c r="CK490" i="14"/>
  <c r="CK496" i="14"/>
  <c r="CK494" i="14"/>
  <c r="CK493" i="14"/>
  <c r="CK506" i="14"/>
  <c r="CK514" i="14"/>
  <c r="CM505" i="14"/>
  <c r="CM487" i="14"/>
  <c r="CM514" i="14"/>
  <c r="CM498" i="14"/>
  <c r="CM497" i="14"/>
  <c r="CM503" i="14"/>
  <c r="CM511" i="14"/>
  <c r="CM495" i="14"/>
  <c r="CM500" i="14"/>
  <c r="CM508" i="14"/>
  <c r="CM488" i="14"/>
  <c r="CM491" i="14"/>
  <c r="CM501" i="14"/>
  <c r="CM509" i="14"/>
  <c r="CM492" i="14"/>
  <c r="CM489" i="14"/>
  <c r="CM502" i="14"/>
  <c r="CM510" i="14"/>
  <c r="O121" i="29"/>
  <c r="O123" i="29"/>
  <c r="BY476" i="14"/>
  <c r="BY467" i="14"/>
  <c r="BY483" i="14"/>
  <c r="BY472" i="14"/>
  <c r="BY484" i="14"/>
  <c r="BY481" i="14"/>
  <c r="BY478" i="14"/>
  <c r="BY468" i="14"/>
  <c r="BY473" i="14"/>
  <c r="BY482" i="14"/>
  <c r="BY470" i="14"/>
  <c r="BY480" i="14"/>
  <c r="BY477" i="14"/>
  <c r="BY474" i="14"/>
  <c r="BY466" i="14"/>
  <c r="BY461" i="14"/>
  <c r="BY464" i="14"/>
  <c r="BY462" i="14"/>
  <c r="BY465" i="14"/>
  <c r="BY469" i="14"/>
  <c r="BY475" i="14"/>
  <c r="BY458" i="14"/>
  <c r="BY471" i="14"/>
  <c r="BY463" i="14"/>
  <c r="BY457" i="14"/>
  <c r="BY459" i="14"/>
  <c r="BY479" i="14"/>
  <c r="BY456" i="14"/>
  <c r="BY460" i="14"/>
  <c r="BY455" i="14"/>
  <c r="BO49" i="30"/>
  <c r="AE383" i="1"/>
  <c r="BO17" i="30"/>
  <c r="G49" i="26"/>
  <c r="AE382" i="1"/>
  <c r="O8" i="29"/>
  <c r="I129" i="26"/>
  <c r="O10" i="29" s="1"/>
  <c r="BA8" i="27"/>
  <c r="BY485" i="14" s="1"/>
  <c r="AL8" i="27"/>
  <c r="BD485" i="14"/>
  <c r="BA17" i="27"/>
  <c r="BY494" i="14" s="1"/>
  <c r="AL17" i="27"/>
  <c r="BD494" i="14"/>
  <c r="BA26" i="27"/>
  <c r="BY503" i="14" s="1"/>
  <c r="AL26" i="27"/>
  <c r="BD503" i="14"/>
  <c r="BA34" i="27"/>
  <c r="BY511" i="14" s="1"/>
  <c r="AL34" i="27"/>
  <c r="BD511" i="14"/>
  <c r="BA11" i="27"/>
  <c r="BY488" i="14" s="1"/>
  <c r="AL11" i="27"/>
  <c r="BD488" i="14"/>
  <c r="BA32" i="27"/>
  <c r="BY509" i="14" s="1"/>
  <c r="AL32" i="27"/>
  <c r="BD509" i="14"/>
  <c r="BA9" i="27"/>
  <c r="BY486" i="14" s="1"/>
  <c r="AL9" i="27"/>
  <c r="BD486" i="14"/>
  <c r="BA27" i="27"/>
  <c r="BY504" i="14" s="1"/>
  <c r="AL27" i="27"/>
  <c r="BD504" i="14"/>
  <c r="BA35" i="27"/>
  <c r="BY512" i="14" s="1"/>
  <c r="AL35" i="27"/>
  <c r="BD512" i="14"/>
  <c r="BA10" i="27"/>
  <c r="BY487" i="14" s="1"/>
  <c r="AL10" i="27"/>
  <c r="BD487" i="14"/>
  <c r="BA24" i="27"/>
  <c r="BY501" i="14" s="1"/>
  <c r="AL24" i="27"/>
  <c r="BD501" i="14"/>
  <c r="BA14" i="27"/>
  <c r="BY491" i="14" s="1"/>
  <c r="AL14" i="27"/>
  <c r="BD491" i="14"/>
  <c r="BA12" i="27"/>
  <c r="BY489" i="14" s="1"/>
  <c r="AL12" i="27"/>
  <c r="BD489" i="14"/>
  <c r="BA25" i="27"/>
  <c r="BY502" i="14" s="1"/>
  <c r="AL25" i="27"/>
  <c r="BD502" i="14"/>
  <c r="BA33" i="27"/>
  <c r="BY510" i="14" s="1"/>
  <c r="AL33" i="27"/>
  <c r="BD510" i="14"/>
  <c r="BA16" i="27"/>
  <c r="BY493" i="14" s="1"/>
  <c r="AL16" i="27"/>
  <c r="BD493" i="14"/>
  <c r="BA19" i="27"/>
  <c r="BY496" i="14" s="1"/>
  <c r="AL19" i="27"/>
  <c r="BD496" i="14"/>
  <c r="BA22" i="27"/>
  <c r="BY499" i="14" s="1"/>
  <c r="AL22" i="27"/>
  <c r="BD499" i="14"/>
  <c r="BA30" i="27"/>
  <c r="BY507" i="14" s="1"/>
  <c r="AL30" i="27"/>
  <c r="BD507" i="14"/>
  <c r="BA15" i="27"/>
  <c r="BY492" i="14" s="1"/>
  <c r="AL15" i="27"/>
  <c r="BD492" i="14"/>
  <c r="BA28" i="27"/>
  <c r="BY505" i="14" s="1"/>
  <c r="AL28" i="27"/>
  <c r="BD505" i="14"/>
  <c r="BA20" i="27"/>
  <c r="BY497" i="14" s="1"/>
  <c r="AL20" i="27"/>
  <c r="BD497" i="14"/>
  <c r="BA23" i="27"/>
  <c r="BY500" i="14" s="1"/>
  <c r="AL23" i="27"/>
  <c r="BD500" i="14"/>
  <c r="BA31" i="27"/>
  <c r="BY508" i="14" s="1"/>
  <c r="AL31" i="27"/>
  <c r="BD508" i="14"/>
  <c r="BA18" i="27"/>
  <c r="BY495" i="14" s="1"/>
  <c r="AL18" i="27"/>
  <c r="BD495" i="14"/>
  <c r="BA36" i="27"/>
  <c r="BY513" i="14" s="1"/>
  <c r="AL36" i="27"/>
  <c r="BD513" i="14"/>
  <c r="BA13" i="27"/>
  <c r="BY490" i="14" s="1"/>
  <c r="AL13" i="27"/>
  <c r="BD490" i="14"/>
  <c r="BA21" i="27"/>
  <c r="BY498" i="14" s="1"/>
  <c r="AL21" i="27"/>
  <c r="BD498" i="14"/>
  <c r="BA29" i="27"/>
  <c r="BY506" i="14" s="1"/>
  <c r="AL29" i="27"/>
  <c r="BD506" i="14"/>
  <c r="BA37" i="27"/>
  <c r="BY514" i="14" s="1"/>
  <c r="AL37" i="27"/>
  <c r="BD514" i="14"/>
  <c r="CV221" i="14"/>
  <c r="CQ221" i="14" s="1"/>
  <c r="CT212" i="14"/>
  <c r="CJ212" i="14" s="1"/>
  <c r="CS216" i="14"/>
  <c r="CI216" i="14" s="1"/>
  <c r="CU223" i="14"/>
  <c r="CP223" i="14" s="1"/>
  <c r="CS230" i="14"/>
  <c r="CI230" i="14" s="1"/>
  <c r="CV233" i="14"/>
  <c r="CQ233" i="14" s="1"/>
  <c r="CV224" i="14"/>
  <c r="CQ224" i="14" s="1"/>
  <c r="CS239" i="14"/>
  <c r="CI239" i="14" s="1"/>
  <c r="CS228" i="14"/>
  <c r="CI228" i="14" s="1"/>
  <c r="CV238" i="14"/>
  <c r="CQ238" i="14" s="1"/>
  <c r="CV237" i="14"/>
  <c r="CQ237" i="14" s="1"/>
  <c r="CS224" i="14"/>
  <c r="CI224" i="14" s="1"/>
  <c r="CT233" i="14"/>
  <c r="CJ233" i="14" s="1"/>
  <c r="CS222" i="14"/>
  <c r="CI222" i="14" s="1"/>
  <c r="CV229" i="14"/>
  <c r="CQ229" i="14" s="1"/>
  <c r="CU224" i="14"/>
  <c r="CP224" i="14" s="1"/>
  <c r="CU218" i="14"/>
  <c r="CP218" i="14" s="1"/>
  <c r="CT221" i="14"/>
  <c r="CJ221" i="14" s="1"/>
  <c r="CU217" i="14"/>
  <c r="CP217" i="14" s="1"/>
  <c r="CU226" i="14"/>
  <c r="CP226" i="14" s="1"/>
  <c r="CU221" i="14"/>
  <c r="CP221" i="14" s="1"/>
  <c r="CS237" i="14"/>
  <c r="CI237" i="14" s="1"/>
  <c r="CV222" i="14"/>
  <c r="CQ222" i="14" s="1"/>
  <c r="CV236" i="14"/>
  <c r="CQ236" i="14" s="1"/>
  <c r="CT237" i="14"/>
  <c r="CJ237" i="14" s="1"/>
  <c r="CU213" i="14"/>
  <c r="CP213" i="14" s="1"/>
  <c r="CT235" i="14"/>
  <c r="CJ235" i="14" s="1"/>
  <c r="CV223" i="14"/>
  <c r="CQ223" i="14" s="1"/>
  <c r="CT228" i="14"/>
  <c r="CJ228" i="14" s="1"/>
  <c r="CS213" i="14"/>
  <c r="CI213" i="14" s="1"/>
  <c r="CT226" i="14"/>
  <c r="CJ226" i="14" s="1"/>
  <c r="CV232" i="14"/>
  <c r="CQ232" i="14" s="1"/>
  <c r="CT217" i="14"/>
  <c r="CJ217" i="14" s="1"/>
  <c r="CV239" i="14"/>
  <c r="CQ239" i="14" s="1"/>
  <c r="CU231" i="14"/>
  <c r="CP231" i="14" s="1"/>
  <c r="CV220" i="14"/>
  <c r="CQ220" i="14" s="1"/>
  <c r="CS229" i="14"/>
  <c r="CI229" i="14" s="1"/>
  <c r="CV215" i="14"/>
  <c r="CQ215" i="14" s="1"/>
  <c r="CS232" i="14"/>
  <c r="CI232" i="14" s="1"/>
  <c r="CS227" i="14"/>
  <c r="CI227" i="14" s="1"/>
  <c r="CT223" i="14"/>
  <c r="CJ223" i="14" s="1"/>
  <c r="CU235" i="14"/>
  <c r="CP235" i="14" s="1"/>
  <c r="CS221" i="14"/>
  <c r="CI221" i="14" s="1"/>
  <c r="CU222" i="14"/>
  <c r="CP222" i="14" s="1"/>
  <c r="CS238" i="14"/>
  <c r="CI238" i="14" s="1"/>
  <c r="CS215" i="14"/>
  <c r="CI215" i="14" s="1"/>
  <c r="CU237" i="14"/>
  <c r="CP237" i="14" s="1"/>
  <c r="CU228" i="14"/>
  <c r="CP228" i="14" s="1"/>
  <c r="CV217" i="14"/>
  <c r="CQ217" i="14" s="1"/>
  <c r="CU239" i="14"/>
  <c r="CP239" i="14" s="1"/>
  <c r="CS211" i="14"/>
  <c r="CI211" i="14" s="1"/>
  <c r="CV218" i="14"/>
  <c r="CQ218" i="14" s="1"/>
  <c r="CT214" i="14"/>
  <c r="CJ214" i="14" s="1"/>
  <c r="CS217" i="14"/>
  <c r="CI217" i="14" s="1"/>
  <c r="CS212" i="14"/>
  <c r="CI212" i="14" s="1"/>
  <c r="CV228" i="14"/>
  <c r="CQ228" i="14" s="1"/>
  <c r="CS219" i="14"/>
  <c r="CI219" i="14" s="1"/>
  <c r="CT215" i="14"/>
  <c r="CJ215" i="14" s="1"/>
  <c r="CV227" i="14"/>
  <c r="CQ227" i="14" s="1"/>
  <c r="CU219" i="14"/>
  <c r="CP219" i="14" s="1"/>
  <c r="CT239" i="14"/>
  <c r="CJ239" i="14" s="1"/>
  <c r="CV234" i="14"/>
  <c r="CQ234" i="14" s="1"/>
  <c r="CT222" i="14"/>
  <c r="CJ222" i="14" s="1"/>
  <c r="CU238" i="14"/>
  <c r="CP238" i="14" s="1"/>
  <c r="CU229" i="14"/>
  <c r="CP229" i="14" s="1"/>
  <c r="CT225" i="14"/>
  <c r="CJ225" i="14" s="1"/>
  <c r="CT230" i="14"/>
  <c r="CJ230" i="14" s="1"/>
  <c r="CV226" i="14"/>
  <c r="CQ226" i="14" s="1"/>
  <c r="CS218" i="14"/>
  <c r="CI218" i="14" s="1"/>
  <c r="CV213" i="14"/>
  <c r="CQ213" i="14" s="1"/>
  <c r="CU212" i="14"/>
  <c r="CP212" i="14" s="1"/>
  <c r="CS235" i="14"/>
  <c r="CI235" i="14" s="1"/>
  <c r="CT216" i="14"/>
  <c r="CJ216" i="14" s="1"/>
  <c r="CS220" i="14"/>
  <c r="CI220" i="14" s="1"/>
  <c r="CU233" i="14"/>
  <c r="CP233" i="14" s="1"/>
  <c r="CU220" i="14"/>
  <c r="CP220" i="14" s="1"/>
  <c r="CU214" i="14"/>
  <c r="CP214" i="14" s="1"/>
  <c r="CT234" i="14"/>
  <c r="CJ234" i="14" s="1"/>
  <c r="CS233" i="14"/>
  <c r="CI233" i="14" s="1"/>
  <c r="CS236" i="14"/>
  <c r="CI236" i="14" s="1"/>
  <c r="CT232" i="14"/>
  <c r="CJ232" i="14" s="1"/>
  <c r="CS226" i="14"/>
  <c r="CI226" i="14" s="1"/>
  <c r="CU232" i="14"/>
  <c r="CP232" i="14" s="1"/>
  <c r="CU215" i="14"/>
  <c r="CP215" i="14" s="1"/>
  <c r="CS225" i="14"/>
  <c r="CI225" i="14" s="1"/>
  <c r="CU216" i="14"/>
  <c r="CP216" i="14" s="1"/>
  <c r="CT224" i="14"/>
  <c r="CJ224" i="14" s="1"/>
  <c r="CT229" i="14"/>
  <c r="CJ229" i="14" s="1"/>
  <c r="CT238" i="14"/>
  <c r="CJ238" i="14" s="1"/>
  <c r="CT211" i="14"/>
  <c r="CJ211" i="14" s="1"/>
  <c r="CV212" i="14"/>
  <c r="CQ212" i="14" s="1"/>
  <c r="CU234" i="14"/>
  <c r="CP234" i="14" s="1"/>
  <c r="CV231" i="14"/>
  <c r="CQ231" i="14" s="1"/>
  <c r="CV225" i="14"/>
  <c r="CQ225" i="14" s="1"/>
  <c r="CV211" i="14"/>
  <c r="CQ211" i="14" s="1"/>
  <c r="CU236" i="14"/>
  <c r="CP236" i="14" s="1"/>
  <c r="CS234" i="14"/>
  <c r="CI234" i="14" s="1"/>
  <c r="CV230" i="14"/>
  <c r="CQ230" i="14" s="1"/>
  <c r="CS214" i="14"/>
  <c r="CI214" i="14" s="1"/>
  <c r="CU227" i="14"/>
  <c r="CP227" i="14" s="1"/>
  <c r="CV219" i="14"/>
  <c r="CQ219" i="14" s="1"/>
  <c r="CT231" i="14"/>
  <c r="CJ231" i="14" s="1"/>
  <c r="CS223" i="14"/>
  <c r="CI223" i="14" s="1"/>
  <c r="CT219" i="14"/>
  <c r="CJ219" i="14" s="1"/>
  <c r="CV235" i="14"/>
  <c r="CQ235" i="14" s="1"/>
  <c r="CT220" i="14"/>
  <c r="CJ220" i="14" s="1"/>
  <c r="CU211" i="14"/>
  <c r="CP211" i="14" s="1"/>
  <c r="CT236" i="14"/>
  <c r="CJ236" i="14" s="1"/>
  <c r="CV214" i="14"/>
  <c r="CQ214" i="14" s="1"/>
  <c r="CT218" i="14"/>
  <c r="CJ218" i="14" s="1"/>
  <c r="CT213" i="14"/>
  <c r="CJ213" i="14" s="1"/>
  <c r="CV216" i="14"/>
  <c r="CQ216" i="14" s="1"/>
  <c r="CU225" i="14"/>
  <c r="CP225" i="14" s="1"/>
  <c r="CS231" i="14"/>
  <c r="CI231" i="14" s="1"/>
  <c r="CT227" i="14"/>
  <c r="CJ227" i="14" s="1"/>
  <c r="CU230" i="14"/>
  <c r="CP230" i="14" s="1"/>
  <c r="BO21" i="30"/>
  <c r="H49" i="26"/>
  <c r="BO41" i="30"/>
  <c r="M49" i="26"/>
  <c r="AE345" i="1"/>
  <c r="O98" i="29" s="1"/>
  <c r="AE388" i="1"/>
  <c r="AE392" i="1"/>
  <c r="O63" i="29" s="1"/>
  <c r="BO33" i="30"/>
  <c r="AE340" i="1"/>
  <c r="K49" i="26"/>
  <c r="BO29" i="30"/>
  <c r="J49" i="26"/>
  <c r="AE385" i="1"/>
  <c r="BO25" i="30"/>
  <c r="I49" i="26"/>
  <c r="AE339" i="1"/>
  <c r="E47" i="26"/>
  <c r="AE384" i="1"/>
  <c r="BO37" i="30"/>
  <c r="L49" i="26"/>
  <c r="AE342" i="1"/>
  <c r="AE387" i="1"/>
  <c r="AE12" i="27"/>
  <c r="E12" i="27" s="1"/>
  <c r="Q490" i="14"/>
  <c r="H423" i="15"/>
  <c r="I423" i="15" s="1"/>
  <c r="B490" i="14"/>
  <c r="E491" i="14"/>
  <c r="J490" i="14"/>
  <c r="C490" i="14"/>
  <c r="D490" i="14" s="1"/>
  <c r="AE398" i="1"/>
  <c r="AE407" i="1"/>
  <c r="O64" i="29" s="1"/>
  <c r="AE402" i="1"/>
  <c r="AE356" i="1"/>
  <c r="AE400" i="1"/>
  <c r="O117" i="29"/>
  <c r="AE353" i="1"/>
  <c r="AE354" i="1"/>
  <c r="AE399" i="1"/>
  <c r="J97" i="29"/>
  <c r="AE397" i="1"/>
  <c r="AE352" i="1"/>
  <c r="C60" i="27"/>
  <c r="C60" i="26"/>
  <c r="C60" i="28"/>
  <c r="AZ513" i="14"/>
  <c r="AP513" i="14" s="1"/>
  <c r="AV36" i="27"/>
  <c r="AF36" i="27"/>
  <c r="AV11" i="27"/>
  <c r="AZ488" i="14"/>
  <c r="AP488" i="14" s="1"/>
  <c r="AF11" i="27"/>
  <c r="AV27" i="27"/>
  <c r="AZ504" i="14"/>
  <c r="AP504" i="14" s="1"/>
  <c r="AF27" i="27"/>
  <c r="AZ510" i="14"/>
  <c r="AP510" i="14" s="1"/>
  <c r="AV33" i="27"/>
  <c r="AF33" i="27"/>
  <c r="BA500" i="14"/>
  <c r="AQ500" i="14" s="1"/>
  <c r="AW23" i="27"/>
  <c r="BC510" i="14"/>
  <c r="AX510" i="14" s="1"/>
  <c r="AY33" i="27"/>
  <c r="AV31" i="27"/>
  <c r="AZ508" i="14"/>
  <c r="AP508" i="14" s="1"/>
  <c r="AF31" i="27"/>
  <c r="AW8" i="27"/>
  <c r="BA485" i="14"/>
  <c r="AQ485" i="14" s="1"/>
  <c r="BA513" i="14"/>
  <c r="AQ513" i="14" s="1"/>
  <c r="AW36" i="27"/>
  <c r="AY34" i="27"/>
  <c r="BC511" i="14"/>
  <c r="AX511" i="14" s="1"/>
  <c r="AV17" i="27"/>
  <c r="AZ494" i="14"/>
  <c r="AP494" i="14" s="1"/>
  <c r="AF17" i="27"/>
  <c r="AV35" i="27"/>
  <c r="AZ512" i="14"/>
  <c r="AP512" i="14" s="1"/>
  <c r="AF35" i="27"/>
  <c r="AX8" i="27"/>
  <c r="BB485" i="14"/>
  <c r="AW485" i="14" s="1"/>
  <c r="BA486" i="14"/>
  <c r="AQ486" i="14" s="1"/>
  <c r="AW9" i="27"/>
  <c r="BA502" i="14"/>
  <c r="AQ502" i="14" s="1"/>
  <c r="AW25" i="27"/>
  <c r="BC488" i="14"/>
  <c r="AX488" i="14" s="1"/>
  <c r="AY11" i="27"/>
  <c r="BC504" i="14"/>
  <c r="AX504" i="14" s="1"/>
  <c r="AY27" i="27"/>
  <c r="AW19" i="27"/>
  <c r="BA496" i="14"/>
  <c r="AQ496" i="14" s="1"/>
  <c r="AY13" i="27"/>
  <c r="BC490" i="14"/>
  <c r="AX490" i="14" s="1"/>
  <c r="AZ489" i="14"/>
  <c r="AP489" i="14" s="1"/>
  <c r="AV12" i="27"/>
  <c r="AF12" i="27"/>
  <c r="AX13" i="27"/>
  <c r="BB490" i="14"/>
  <c r="AW490" i="14" s="1"/>
  <c r="BA489" i="14"/>
  <c r="AQ489" i="14" s="1"/>
  <c r="AW12" i="27"/>
  <c r="AY26" i="27"/>
  <c r="BC503" i="14"/>
  <c r="AX503" i="14" s="1"/>
  <c r="AZ501" i="14"/>
  <c r="AP501" i="14" s="1"/>
  <c r="AV24" i="27"/>
  <c r="AF24" i="27"/>
  <c r="AV23" i="27"/>
  <c r="AZ500" i="14"/>
  <c r="AP500" i="14" s="1"/>
  <c r="AF23" i="27"/>
  <c r="BB510" i="14"/>
  <c r="AW510" i="14" s="1"/>
  <c r="AX33" i="27"/>
  <c r="BB511" i="14"/>
  <c r="AW511" i="14" s="1"/>
  <c r="AX34" i="27"/>
  <c r="AW22" i="27"/>
  <c r="BA499" i="14"/>
  <c r="AQ499" i="14" s="1"/>
  <c r="AY8" i="27"/>
  <c r="BC485" i="14"/>
  <c r="AX485" i="14" s="1"/>
  <c r="AY24" i="27"/>
  <c r="BC501" i="14"/>
  <c r="AX501" i="14" s="1"/>
  <c r="AE359" i="1"/>
  <c r="O99" i="29" s="1"/>
  <c r="BC483" i="14"/>
  <c r="AX483" i="14" s="1"/>
  <c r="AY37" i="26"/>
  <c r="BA464" i="14"/>
  <c r="AQ464" i="14" s="1"/>
  <c r="AW18" i="26"/>
  <c r="AX18" i="26"/>
  <c r="BB464" i="14"/>
  <c r="AW464" i="14" s="1"/>
  <c r="AY10" i="26"/>
  <c r="BC456" i="14"/>
  <c r="AX456" i="14" s="1"/>
  <c r="AW36" i="26"/>
  <c r="BA482" i="14"/>
  <c r="AQ482" i="14" s="1"/>
  <c r="BB473" i="14"/>
  <c r="AW473" i="14" s="1"/>
  <c r="AX27" i="26"/>
  <c r="AY17" i="26"/>
  <c r="BC463" i="14"/>
  <c r="AX463" i="14" s="1"/>
  <c r="BC462" i="14"/>
  <c r="AX462" i="14" s="1"/>
  <c r="AY16" i="26"/>
  <c r="BA475" i="14"/>
  <c r="AQ475" i="14" s="1"/>
  <c r="AW29" i="26"/>
  <c r="BA476" i="14"/>
  <c r="AQ476" i="14" s="1"/>
  <c r="AW30" i="26"/>
  <c r="AV19" i="26"/>
  <c r="AZ465" i="14"/>
  <c r="AP465" i="14" s="1"/>
  <c r="AF19" i="26"/>
  <c r="AZ481" i="14"/>
  <c r="AP481" i="14" s="1"/>
  <c r="AV35" i="26"/>
  <c r="AF35" i="26"/>
  <c r="AX20" i="26"/>
  <c r="BB466" i="14"/>
  <c r="AW466" i="14" s="1"/>
  <c r="AX36" i="26"/>
  <c r="BB482" i="14"/>
  <c r="AW482" i="14" s="1"/>
  <c r="BC470" i="14"/>
  <c r="AX470" i="14" s="1"/>
  <c r="AY24" i="26"/>
  <c r="BA456" i="14"/>
  <c r="AQ456" i="14" s="1"/>
  <c r="AW10" i="26"/>
  <c r="AZ463" i="14"/>
  <c r="AP463" i="14" s="1"/>
  <c r="AV17" i="26"/>
  <c r="AF17" i="26"/>
  <c r="AX10" i="26"/>
  <c r="BB456" i="14"/>
  <c r="AW456" i="14" s="1"/>
  <c r="AX34" i="26"/>
  <c r="BB480" i="14"/>
  <c r="AW480" i="14" s="1"/>
  <c r="AY27" i="26"/>
  <c r="BC473" i="14"/>
  <c r="AX473" i="14" s="1"/>
  <c r="AW35" i="26"/>
  <c r="BA481" i="14"/>
  <c r="AQ481" i="14" s="1"/>
  <c r="AZ460" i="14"/>
  <c r="AP460" i="14" s="1"/>
  <c r="AV14" i="26"/>
  <c r="AF14" i="26"/>
  <c r="AV34" i="26"/>
  <c r="AZ480" i="14"/>
  <c r="AP480" i="14" s="1"/>
  <c r="AF34" i="26"/>
  <c r="BB477" i="14"/>
  <c r="AW477" i="14" s="1"/>
  <c r="AX31" i="26"/>
  <c r="AY26" i="26"/>
  <c r="BC472" i="14"/>
  <c r="AX472" i="14" s="1"/>
  <c r="AY36" i="26"/>
  <c r="BC482" i="14"/>
  <c r="AX482" i="14" s="1"/>
  <c r="AW8" i="26"/>
  <c r="BA454" i="14"/>
  <c r="AQ454" i="14" s="1"/>
  <c r="AV8" i="26"/>
  <c r="AZ454" i="14"/>
  <c r="AP454" i="14" s="1"/>
  <c r="AF8" i="26"/>
  <c r="AV24" i="26"/>
  <c r="AZ470" i="14"/>
  <c r="AP470" i="14" s="1"/>
  <c r="AF24" i="26"/>
  <c r="BB455" i="14"/>
  <c r="AW455" i="14" s="1"/>
  <c r="AX9" i="26"/>
  <c r="BB471" i="14"/>
  <c r="AW471" i="14" s="1"/>
  <c r="AX25" i="26"/>
  <c r="AV22" i="27"/>
  <c r="AZ499" i="14"/>
  <c r="AP499" i="14" s="1"/>
  <c r="AF22" i="27"/>
  <c r="BB504" i="14"/>
  <c r="AW504" i="14" s="1"/>
  <c r="AX27" i="27"/>
  <c r="BB512" i="14"/>
  <c r="AW512" i="14" s="1"/>
  <c r="AX35" i="27"/>
  <c r="BB488" i="14"/>
  <c r="AW488" i="14" s="1"/>
  <c r="AX11" i="27"/>
  <c r="AW35" i="27"/>
  <c r="BA512" i="14"/>
  <c r="AQ512" i="14" s="1"/>
  <c r="AV13" i="27"/>
  <c r="AZ490" i="14"/>
  <c r="AP490" i="14" s="1"/>
  <c r="AF13" i="27"/>
  <c r="BB498" i="14"/>
  <c r="AW498" i="14" s="1"/>
  <c r="AX21" i="27"/>
  <c r="AW16" i="27"/>
  <c r="BA493" i="14"/>
  <c r="AQ493" i="14" s="1"/>
  <c r="AY10" i="27"/>
  <c r="BC487" i="14"/>
  <c r="AX487" i="14" s="1"/>
  <c r="AV20" i="27"/>
  <c r="AZ497" i="14"/>
  <c r="AP497" i="14" s="1"/>
  <c r="AF20" i="27"/>
  <c r="AV14" i="27"/>
  <c r="AZ491" i="14"/>
  <c r="AP491" i="14" s="1"/>
  <c r="AF14" i="27"/>
  <c r="AX15" i="27"/>
  <c r="BB492" i="14"/>
  <c r="AW492" i="14" s="1"/>
  <c r="AX16" i="27"/>
  <c r="BB493" i="14"/>
  <c r="AW493" i="14" s="1"/>
  <c r="BA490" i="14"/>
  <c r="AQ490" i="14" s="1"/>
  <c r="AW13" i="27"/>
  <c r="BA506" i="14"/>
  <c r="AQ506" i="14" s="1"/>
  <c r="AW29" i="27"/>
  <c r="BC492" i="14"/>
  <c r="AX492" i="14" s="1"/>
  <c r="AY15" i="27"/>
  <c r="BC508" i="14"/>
  <c r="AX508" i="14" s="1"/>
  <c r="AY31" i="27"/>
  <c r="AW27" i="27"/>
  <c r="BA504" i="14"/>
  <c r="AQ504" i="14" s="1"/>
  <c r="AY21" i="27"/>
  <c r="BC498" i="14"/>
  <c r="AX498" i="14" s="1"/>
  <c r="AV8" i="27"/>
  <c r="AZ485" i="14"/>
  <c r="AP485" i="14" s="1"/>
  <c r="AF8" i="27"/>
  <c r="BB506" i="14"/>
  <c r="AW506" i="14" s="1"/>
  <c r="AX29" i="27"/>
  <c r="BA501" i="14"/>
  <c r="AQ501" i="14" s="1"/>
  <c r="AW24" i="27"/>
  <c r="BC507" i="14"/>
  <c r="AX507" i="14" s="1"/>
  <c r="AY30" i="27"/>
  <c r="AZ502" i="14"/>
  <c r="AP502" i="14" s="1"/>
  <c r="AV25" i="27"/>
  <c r="AF25" i="27"/>
  <c r="BB486" i="14"/>
  <c r="AW486" i="14" s="1"/>
  <c r="AX9" i="27"/>
  <c r="BB487" i="14"/>
  <c r="AW487" i="14" s="1"/>
  <c r="AX10" i="27"/>
  <c r="AW10" i="27"/>
  <c r="BA487" i="14"/>
  <c r="AQ487" i="14" s="1"/>
  <c r="AW26" i="27"/>
  <c r="BA503" i="14"/>
  <c r="AQ503" i="14" s="1"/>
  <c r="BC489" i="14"/>
  <c r="AX489" i="14" s="1"/>
  <c r="AY12" i="27"/>
  <c r="AY28" i="27"/>
  <c r="BC505" i="14"/>
  <c r="AX505" i="14" s="1"/>
  <c r="BC479" i="14"/>
  <c r="AX479" i="14" s="1"/>
  <c r="AY33" i="26"/>
  <c r="AZ455" i="14"/>
  <c r="AP455" i="14" s="1"/>
  <c r="AV9" i="26"/>
  <c r="AF9" i="26"/>
  <c r="AX30" i="26"/>
  <c r="BB476" i="14"/>
  <c r="AW476" i="14" s="1"/>
  <c r="BC458" i="14"/>
  <c r="AX458" i="14" s="1"/>
  <c r="AY12" i="26"/>
  <c r="AZ468" i="14"/>
  <c r="AP468" i="14" s="1"/>
  <c r="AV22" i="26"/>
  <c r="AF22" i="26"/>
  <c r="AX35" i="26"/>
  <c r="BB481" i="14"/>
  <c r="AW481" i="14" s="1"/>
  <c r="BC464" i="14"/>
  <c r="AX464" i="14" s="1"/>
  <c r="AY18" i="26"/>
  <c r="AY32" i="26"/>
  <c r="BC478" i="14"/>
  <c r="AX478" i="14" s="1"/>
  <c r="BA483" i="14"/>
  <c r="AQ483" i="14" s="1"/>
  <c r="AW37" i="26"/>
  <c r="AW38" i="26"/>
  <c r="BA484" i="14"/>
  <c r="AQ484" i="14" s="1"/>
  <c r="AV23" i="26"/>
  <c r="AZ469" i="14"/>
  <c r="AP469" i="14" s="1"/>
  <c r="AF23" i="26"/>
  <c r="AX8" i="26"/>
  <c r="BB454" i="14"/>
  <c r="AW454" i="14" s="1"/>
  <c r="AX24" i="26"/>
  <c r="BB470" i="14"/>
  <c r="AW470" i="14" s="1"/>
  <c r="BC484" i="14"/>
  <c r="AX484" i="14" s="1"/>
  <c r="AY38" i="26"/>
  <c r="BA455" i="14"/>
  <c r="AQ455" i="14" s="1"/>
  <c r="AW9" i="26"/>
  <c r="BA472" i="14"/>
  <c r="AQ472" i="14" s="1"/>
  <c r="AW26" i="26"/>
  <c r="AZ471" i="14"/>
  <c r="AP471" i="14" s="1"/>
  <c r="AV25" i="26"/>
  <c r="AF25" i="26"/>
  <c r="BB460" i="14"/>
  <c r="AW460" i="14" s="1"/>
  <c r="AX14" i="26"/>
  <c r="AY14" i="26"/>
  <c r="BC460" i="14"/>
  <c r="AX460" i="14" s="1"/>
  <c r="AY28" i="26"/>
  <c r="BC474" i="14"/>
  <c r="AX474" i="14" s="1"/>
  <c r="AW20" i="26"/>
  <c r="BA466" i="14"/>
  <c r="AQ466" i="14" s="1"/>
  <c r="AV18" i="26"/>
  <c r="AZ464" i="14"/>
  <c r="AP464" i="14" s="1"/>
  <c r="AF18" i="26"/>
  <c r="BB457" i="14"/>
  <c r="AW457" i="14" s="1"/>
  <c r="AX11" i="26"/>
  <c r="AY29" i="26"/>
  <c r="BC475" i="14"/>
  <c r="AX475" i="14" s="1"/>
  <c r="AY19" i="26"/>
  <c r="BC465" i="14"/>
  <c r="AX465" i="14" s="1"/>
  <c r="BA461" i="14"/>
  <c r="AQ461" i="14" s="1"/>
  <c r="AW15" i="26"/>
  <c r="AW16" i="26"/>
  <c r="BA462" i="14"/>
  <c r="AQ462" i="14" s="1"/>
  <c r="AZ458" i="14"/>
  <c r="AP458" i="14" s="1"/>
  <c r="AV12" i="26"/>
  <c r="AF12" i="26"/>
  <c r="AZ474" i="14"/>
  <c r="AP474" i="14" s="1"/>
  <c r="AV28" i="26"/>
  <c r="AF28" i="26"/>
  <c r="BB459" i="14"/>
  <c r="AW459" i="14" s="1"/>
  <c r="AX13" i="26"/>
  <c r="BB475" i="14"/>
  <c r="AW475" i="14" s="1"/>
  <c r="AX29" i="26"/>
  <c r="AX20" i="27"/>
  <c r="BB497" i="14"/>
  <c r="AW497" i="14" s="1"/>
  <c r="BB505" i="14"/>
  <c r="AW505" i="14" s="1"/>
  <c r="AX28" i="27"/>
  <c r="AX36" i="27"/>
  <c r="BB513" i="14"/>
  <c r="AW513" i="14" s="1"/>
  <c r="BB489" i="14"/>
  <c r="AW489" i="14" s="1"/>
  <c r="AX12" i="27"/>
  <c r="AY17" i="27"/>
  <c r="BC494" i="14"/>
  <c r="AX494" i="14" s="1"/>
  <c r="AZ486" i="14"/>
  <c r="AP486" i="14" s="1"/>
  <c r="AV9" i="27"/>
  <c r="AF9" i="27"/>
  <c r="AX37" i="27"/>
  <c r="BB514" i="14"/>
  <c r="AW514" i="14" s="1"/>
  <c r="AW20" i="27"/>
  <c r="BA497" i="14"/>
  <c r="AQ497" i="14" s="1"/>
  <c r="AY14" i="27"/>
  <c r="BC491" i="14"/>
  <c r="AX491" i="14" s="1"/>
  <c r="AZ498" i="14"/>
  <c r="AP498" i="14" s="1"/>
  <c r="AV21" i="27"/>
  <c r="AF21" i="27"/>
  <c r="AZ507" i="14"/>
  <c r="AP507" i="14" s="1"/>
  <c r="AV30" i="27"/>
  <c r="AF30" i="27"/>
  <c r="AX23" i="27"/>
  <c r="BB500" i="14"/>
  <c r="AW500" i="14" s="1"/>
  <c r="AX24" i="27"/>
  <c r="BB501" i="14"/>
  <c r="AW501" i="14" s="1"/>
  <c r="BA494" i="14"/>
  <c r="AQ494" i="14" s="1"/>
  <c r="AW17" i="27"/>
  <c r="BA510" i="14"/>
  <c r="AQ510" i="14" s="1"/>
  <c r="AW33" i="27"/>
  <c r="AY19" i="27"/>
  <c r="BC496" i="14"/>
  <c r="AX496" i="14" s="1"/>
  <c r="BC512" i="14"/>
  <c r="AX512" i="14" s="1"/>
  <c r="AY35" i="27"/>
  <c r="AW31" i="27"/>
  <c r="BA508" i="14"/>
  <c r="AQ508" i="14" s="1"/>
  <c r="AY25" i="27"/>
  <c r="BC502" i="14"/>
  <c r="AX502" i="14" s="1"/>
  <c r="AV10" i="27"/>
  <c r="AZ487" i="14"/>
  <c r="AP487" i="14" s="1"/>
  <c r="AF10" i="27"/>
  <c r="BB491" i="14"/>
  <c r="AW491" i="14" s="1"/>
  <c r="AX14" i="27"/>
  <c r="AW32" i="27"/>
  <c r="BA509" i="14"/>
  <c r="AQ509" i="14" s="1"/>
  <c r="AV28" i="27"/>
  <c r="AZ505" i="14"/>
  <c r="AP505" i="14" s="1"/>
  <c r="AF28" i="27"/>
  <c r="AV18" i="27"/>
  <c r="AZ495" i="14"/>
  <c r="AP495" i="14" s="1"/>
  <c r="AF18" i="27"/>
  <c r="BB494" i="14"/>
  <c r="AW494" i="14" s="1"/>
  <c r="AX17" i="27"/>
  <c r="BB495" i="14"/>
  <c r="AW495" i="14" s="1"/>
  <c r="AX18" i="27"/>
  <c r="AW14" i="27"/>
  <c r="BA491" i="14"/>
  <c r="AQ491" i="14" s="1"/>
  <c r="AW30" i="27"/>
  <c r="BA507" i="14"/>
  <c r="AQ507" i="14" s="1"/>
  <c r="AY16" i="27"/>
  <c r="BC493" i="14"/>
  <c r="AX493" i="14" s="1"/>
  <c r="AY32" i="27"/>
  <c r="BC509" i="14"/>
  <c r="AX509" i="14" s="1"/>
  <c r="BC454" i="14"/>
  <c r="AX454" i="14" s="1"/>
  <c r="AY8" i="26"/>
  <c r="AV21" i="26"/>
  <c r="AZ467" i="14"/>
  <c r="AP467" i="14" s="1"/>
  <c r="AF21" i="26"/>
  <c r="AX38" i="26"/>
  <c r="BB484" i="14"/>
  <c r="AW484" i="14" s="1"/>
  <c r="AW19" i="26"/>
  <c r="BA465" i="14"/>
  <c r="AQ465" i="14" s="1"/>
  <c r="AZ484" i="14"/>
  <c r="AP484" i="14" s="1"/>
  <c r="AV38" i="26"/>
  <c r="AF38" i="26"/>
  <c r="AY21" i="26"/>
  <c r="BC467" i="14"/>
  <c r="AX467" i="14" s="1"/>
  <c r="AY15" i="26"/>
  <c r="BC461" i="14"/>
  <c r="AX461" i="14" s="1"/>
  <c r="BA459" i="14"/>
  <c r="AQ459" i="14" s="1"/>
  <c r="AW13" i="26"/>
  <c r="AW14" i="26"/>
  <c r="BA460" i="14"/>
  <c r="AQ460" i="14" s="1"/>
  <c r="AZ457" i="14"/>
  <c r="AP457" i="14" s="1"/>
  <c r="AV11" i="26"/>
  <c r="AF11" i="26"/>
  <c r="AZ473" i="14"/>
  <c r="AP473" i="14" s="1"/>
  <c r="AV27" i="26"/>
  <c r="AF27" i="26"/>
  <c r="AX12" i="26"/>
  <c r="BB458" i="14"/>
  <c r="AW458" i="14" s="1"/>
  <c r="BB474" i="14"/>
  <c r="AW474" i="14" s="1"/>
  <c r="AX28" i="26"/>
  <c r="BC480" i="14"/>
  <c r="AX480" i="14" s="1"/>
  <c r="AY34" i="26"/>
  <c r="BA463" i="14"/>
  <c r="AQ463" i="14" s="1"/>
  <c r="AW17" i="26"/>
  <c r="BA480" i="14"/>
  <c r="AQ480" i="14" s="1"/>
  <c r="AW34" i="26"/>
  <c r="AV29" i="26"/>
  <c r="AZ475" i="14"/>
  <c r="AP475" i="14" s="1"/>
  <c r="AF29" i="26"/>
  <c r="AX22" i="26"/>
  <c r="BB468" i="14"/>
  <c r="AW468" i="14" s="1"/>
  <c r="AY9" i="26"/>
  <c r="BC455" i="14"/>
  <c r="AX455" i="14" s="1"/>
  <c r="AW11" i="26"/>
  <c r="BA457" i="14"/>
  <c r="AQ457" i="14" s="1"/>
  <c r="AW28" i="26"/>
  <c r="BA474" i="14"/>
  <c r="AQ474" i="14" s="1"/>
  <c r="AV26" i="26"/>
  <c r="AZ472" i="14"/>
  <c r="AP472" i="14" s="1"/>
  <c r="AF26" i="26"/>
  <c r="BB461" i="14"/>
  <c r="AW461" i="14" s="1"/>
  <c r="AX15" i="26"/>
  <c r="AY30" i="26"/>
  <c r="BC476" i="14"/>
  <c r="AX476" i="14" s="1"/>
  <c r="AY35" i="26"/>
  <c r="BC481" i="14"/>
  <c r="AX481" i="14" s="1"/>
  <c r="AW23" i="26"/>
  <c r="BA469" i="14"/>
  <c r="AQ469" i="14" s="1"/>
  <c r="AW24" i="26"/>
  <c r="BA470" i="14"/>
  <c r="AQ470" i="14" s="1"/>
  <c r="AV16" i="26"/>
  <c r="AZ462" i="14"/>
  <c r="AP462" i="14" s="1"/>
  <c r="AF16" i="26"/>
  <c r="AV32" i="26"/>
  <c r="AZ478" i="14"/>
  <c r="AP478" i="14" s="1"/>
  <c r="AF32" i="26"/>
  <c r="BB463" i="14"/>
  <c r="AW463" i="14" s="1"/>
  <c r="AX17" i="26"/>
  <c r="BB479" i="14"/>
  <c r="AW479" i="14" s="1"/>
  <c r="AX33" i="26"/>
  <c r="AV37" i="27"/>
  <c r="AZ514" i="14"/>
  <c r="AP514" i="14" s="1"/>
  <c r="AF37" i="27"/>
  <c r="AV32" i="27"/>
  <c r="AZ509" i="14"/>
  <c r="AP509" i="14" s="1"/>
  <c r="AF32" i="27"/>
  <c r="AX19" i="27"/>
  <c r="BB496" i="14"/>
  <c r="AW496" i="14" s="1"/>
  <c r="AW11" i="27"/>
  <c r="BA488" i="14"/>
  <c r="AQ488" i="14" s="1"/>
  <c r="AY29" i="27"/>
  <c r="BC506" i="14"/>
  <c r="AX506" i="14" s="1"/>
  <c r="AZ503" i="14"/>
  <c r="AP503" i="14" s="1"/>
  <c r="AV26" i="27"/>
  <c r="AF26" i="27"/>
  <c r="BB499" i="14"/>
  <c r="AW499" i="14" s="1"/>
  <c r="AX22" i="27"/>
  <c r="AW28" i="27"/>
  <c r="BA505" i="14"/>
  <c r="AQ505" i="14" s="1"/>
  <c r="BC499" i="14"/>
  <c r="AX499" i="14" s="1"/>
  <c r="AY22" i="27"/>
  <c r="AZ493" i="14"/>
  <c r="AP493" i="14" s="1"/>
  <c r="AV16" i="27"/>
  <c r="CS493" i="14" s="1"/>
  <c r="CI493" i="14" s="1"/>
  <c r="AF16" i="27"/>
  <c r="AV19" i="27"/>
  <c r="AZ496" i="14"/>
  <c r="AP496" i="14" s="1"/>
  <c r="AF19" i="27"/>
  <c r="AX31" i="27"/>
  <c r="BB508" i="14"/>
  <c r="AW508" i="14" s="1"/>
  <c r="AX32" i="27"/>
  <c r="BB509" i="14"/>
  <c r="AW509" i="14" s="1"/>
  <c r="BA498" i="14"/>
  <c r="AQ498" i="14" s="1"/>
  <c r="AW21" i="27"/>
  <c r="BA514" i="14"/>
  <c r="AQ514" i="14" s="1"/>
  <c r="AW37" i="27"/>
  <c r="BC500" i="14"/>
  <c r="AX500" i="14" s="1"/>
  <c r="AY23" i="27"/>
  <c r="AW15" i="27"/>
  <c r="BA492" i="14"/>
  <c r="AQ492" i="14" s="1"/>
  <c r="BC486" i="14"/>
  <c r="AX486" i="14" s="1"/>
  <c r="AY9" i="27"/>
  <c r="AY37" i="27"/>
  <c r="BC514" i="14"/>
  <c r="AX514" i="14" s="1"/>
  <c r="AZ492" i="14"/>
  <c r="AP492" i="14" s="1"/>
  <c r="AV15" i="27"/>
  <c r="AF15" i="27"/>
  <c r="AX30" i="27"/>
  <c r="BB507" i="14"/>
  <c r="AW507" i="14" s="1"/>
  <c r="BC495" i="14"/>
  <c r="AX495" i="14" s="1"/>
  <c r="AY18" i="27"/>
  <c r="AZ506" i="14"/>
  <c r="AP506" i="14" s="1"/>
  <c r="AV29" i="27"/>
  <c r="AF29" i="27"/>
  <c r="AZ511" i="14"/>
  <c r="AP511" i="14" s="1"/>
  <c r="AV34" i="27"/>
  <c r="AF34" i="27"/>
  <c r="AX25" i="27"/>
  <c r="BB502" i="14"/>
  <c r="AW502" i="14" s="1"/>
  <c r="BB503" i="14"/>
  <c r="AW503" i="14" s="1"/>
  <c r="AX26" i="27"/>
  <c r="BA495" i="14"/>
  <c r="AQ495" i="14" s="1"/>
  <c r="AW18" i="27"/>
  <c r="AW34" i="27"/>
  <c r="BA511" i="14"/>
  <c r="AQ511" i="14" s="1"/>
  <c r="AY20" i="27"/>
  <c r="BC497" i="14"/>
  <c r="AX497" i="14" s="1"/>
  <c r="BC513" i="14"/>
  <c r="AX513" i="14" s="1"/>
  <c r="AY36" i="27"/>
  <c r="BA471" i="14"/>
  <c r="AQ471" i="14" s="1"/>
  <c r="AW25" i="26"/>
  <c r="AV37" i="26"/>
  <c r="AZ483" i="14"/>
  <c r="AP483" i="14" s="1"/>
  <c r="AF37" i="26"/>
  <c r="AY13" i="26"/>
  <c r="BC459" i="14"/>
  <c r="AX459" i="14" s="1"/>
  <c r="AW12" i="26"/>
  <c r="BA458" i="14"/>
  <c r="AQ458" i="14" s="1"/>
  <c r="BB465" i="14"/>
  <c r="AW465" i="14" s="1"/>
  <c r="AX19" i="26"/>
  <c r="BC468" i="14"/>
  <c r="AX468" i="14" s="1"/>
  <c r="AY22" i="26"/>
  <c r="AY31" i="26"/>
  <c r="BC477" i="14"/>
  <c r="AX477" i="14" s="1"/>
  <c r="AW21" i="26"/>
  <c r="BA467" i="14"/>
  <c r="AQ467" i="14" s="1"/>
  <c r="AW22" i="26"/>
  <c r="BA468" i="14"/>
  <c r="AQ468" i="14" s="1"/>
  <c r="AV15" i="26"/>
  <c r="AZ461" i="14"/>
  <c r="AP461" i="14" s="1"/>
  <c r="AF15" i="26"/>
  <c r="AV31" i="26"/>
  <c r="AZ477" i="14"/>
  <c r="AP477" i="14" s="1"/>
  <c r="AF31" i="26"/>
  <c r="BB462" i="14"/>
  <c r="AW462" i="14" s="1"/>
  <c r="AX16" i="26"/>
  <c r="BB478" i="14"/>
  <c r="AW478" i="14" s="1"/>
  <c r="AX32" i="26"/>
  <c r="BC469" i="14"/>
  <c r="AX469" i="14" s="1"/>
  <c r="AY23" i="26"/>
  <c r="BA479" i="14"/>
  <c r="AQ479" i="14" s="1"/>
  <c r="AW33" i="26"/>
  <c r="AV13" i="26"/>
  <c r="AZ459" i="14"/>
  <c r="AP459" i="14" s="1"/>
  <c r="AF13" i="26"/>
  <c r="AZ479" i="14"/>
  <c r="AP479" i="14" s="1"/>
  <c r="AV33" i="26"/>
  <c r="AF33" i="26"/>
  <c r="AX26" i="26"/>
  <c r="BB472" i="14"/>
  <c r="AW472" i="14" s="1"/>
  <c r="AY11" i="26"/>
  <c r="BC457" i="14"/>
  <c r="AX457" i="14" s="1"/>
  <c r="BA473" i="14"/>
  <c r="AQ473" i="14" s="1"/>
  <c r="AW27" i="26"/>
  <c r="AZ456" i="14"/>
  <c r="AP456" i="14" s="1"/>
  <c r="AV10" i="26"/>
  <c r="AF10" i="26"/>
  <c r="AZ476" i="14"/>
  <c r="AP476" i="14" s="1"/>
  <c r="AV30" i="26"/>
  <c r="AF30" i="26"/>
  <c r="BB469" i="14"/>
  <c r="AW469" i="14" s="1"/>
  <c r="AX23" i="26"/>
  <c r="AY25" i="26"/>
  <c r="BC471" i="14"/>
  <c r="AX471" i="14" s="1"/>
  <c r="AY20" i="26"/>
  <c r="BC466" i="14"/>
  <c r="AX466" i="14" s="1"/>
  <c r="AW31" i="26"/>
  <c r="BA477" i="14"/>
  <c r="AQ477" i="14" s="1"/>
  <c r="AW32" i="26"/>
  <c r="BA478" i="14"/>
  <c r="AQ478" i="14" s="1"/>
  <c r="AV20" i="26"/>
  <c r="AZ466" i="14"/>
  <c r="AP466" i="14" s="1"/>
  <c r="AF20" i="26"/>
  <c r="AV36" i="26"/>
  <c r="AZ482" i="14"/>
  <c r="AP482" i="14" s="1"/>
  <c r="AF36" i="26"/>
  <c r="AX21" i="26"/>
  <c r="BB467" i="14"/>
  <c r="AW467" i="14" s="1"/>
  <c r="AX37" i="26"/>
  <c r="BB483" i="14"/>
  <c r="AW483" i="14" s="1"/>
  <c r="AY219" i="14"/>
  <c r="AO219" i="14" s="1"/>
  <c r="AU16" i="18"/>
  <c r="AU13" i="18"/>
  <c r="AY216" i="14"/>
  <c r="AO216" i="14" s="1"/>
  <c r="AY235" i="14"/>
  <c r="AO235" i="14" s="1"/>
  <c r="AU32" i="18"/>
  <c r="AY223" i="14"/>
  <c r="AO223" i="14" s="1"/>
  <c r="AU20" i="18"/>
  <c r="AU33" i="18"/>
  <c r="AY236" i="14"/>
  <c r="AO236" i="14" s="1"/>
  <c r="AU23" i="18"/>
  <c r="AY226" i="14"/>
  <c r="AO226" i="14" s="1"/>
  <c r="AY213" i="14"/>
  <c r="AO213" i="14" s="1"/>
  <c r="AU10" i="18"/>
  <c r="AY217" i="14"/>
  <c r="AO217" i="14" s="1"/>
  <c r="AU14" i="18"/>
  <c r="AY225" i="14"/>
  <c r="AO225" i="14" s="1"/>
  <c r="AU22" i="18"/>
  <c r="AY234" i="14"/>
  <c r="AO234" i="14" s="1"/>
  <c r="AU31" i="18"/>
  <c r="AY227" i="14"/>
  <c r="AO227" i="14" s="1"/>
  <c r="AU24" i="18"/>
  <c r="AY239" i="14"/>
  <c r="AO239" i="14" s="1"/>
  <c r="AU36" i="18"/>
  <c r="AU25" i="18"/>
  <c r="AY228" i="14"/>
  <c r="AO228" i="14" s="1"/>
  <c r="AU12" i="18"/>
  <c r="AY215" i="14"/>
  <c r="AO215" i="14" s="1"/>
  <c r="AY231" i="14"/>
  <c r="AO231" i="14" s="1"/>
  <c r="AU28" i="18"/>
  <c r="AU11" i="18"/>
  <c r="AY214" i="14"/>
  <c r="AO214" i="14" s="1"/>
  <c r="AU15" i="18"/>
  <c r="AY218" i="14"/>
  <c r="AO218" i="14" s="1"/>
  <c r="AY237" i="14"/>
  <c r="AO237" i="14" s="1"/>
  <c r="AU34" i="18"/>
  <c r="AU27" i="18"/>
  <c r="AY230" i="14"/>
  <c r="AO230" i="14" s="1"/>
  <c r="AY221" i="14"/>
  <c r="AO221" i="14" s="1"/>
  <c r="AU18" i="18"/>
  <c r="AU35" i="18"/>
  <c r="AY238" i="14"/>
  <c r="AO238" i="14" s="1"/>
  <c r="AU21" i="18"/>
  <c r="AY224" i="14"/>
  <c r="AO224" i="14" s="1"/>
  <c r="AY229" i="14"/>
  <c r="AO229" i="14" s="1"/>
  <c r="AU26" i="18"/>
  <c r="AY232" i="14"/>
  <c r="AO232" i="14" s="1"/>
  <c r="AU29" i="18"/>
  <c r="AU17" i="18"/>
  <c r="AY220" i="14"/>
  <c r="AO220" i="14" s="1"/>
  <c r="AY233" i="14"/>
  <c r="AO233" i="14" s="1"/>
  <c r="AU30" i="18"/>
  <c r="AY211" i="14"/>
  <c r="AO211" i="14" s="1"/>
  <c r="AU8" i="18"/>
  <c r="AU19" i="18"/>
  <c r="AY222" i="14"/>
  <c r="AO222" i="14" s="1"/>
  <c r="AU9" i="18"/>
  <c r="AY212" i="14"/>
  <c r="AO212" i="14" s="1"/>
  <c r="C60" i="25"/>
  <c r="BP485" i="14" l="1"/>
  <c r="BP494" i="14"/>
  <c r="BP506" i="14"/>
  <c r="O128" i="29"/>
  <c r="BP490" i="14"/>
  <c r="BP514" i="14"/>
  <c r="BP499" i="14"/>
  <c r="BP495" i="14"/>
  <c r="BP507" i="14"/>
  <c r="BP486" i="14"/>
  <c r="BP500" i="14"/>
  <c r="BP511" i="14"/>
  <c r="BP504" i="14"/>
  <c r="BP497" i="14"/>
  <c r="BP508" i="14"/>
  <c r="BP487" i="14"/>
  <c r="BP489" i="14"/>
  <c r="BP491" i="14"/>
  <c r="BP502" i="14"/>
  <c r="BP488" i="14"/>
  <c r="BP493" i="14"/>
  <c r="BP505" i="14"/>
  <c r="BP496" i="14"/>
  <c r="BP498" i="14"/>
  <c r="BP513" i="14"/>
  <c r="BP492" i="14"/>
  <c r="BP510" i="14"/>
  <c r="BP509" i="14"/>
  <c r="BP501" i="14"/>
  <c r="BP512" i="14"/>
  <c r="BP503" i="14"/>
  <c r="CU467" i="14"/>
  <c r="CP467" i="14" s="1"/>
  <c r="CT478" i="14"/>
  <c r="CJ478" i="14" s="1"/>
  <c r="CV466" i="14"/>
  <c r="CQ466" i="14" s="1"/>
  <c r="CU472" i="14"/>
  <c r="CP472" i="14" s="1"/>
  <c r="CT458" i="14"/>
  <c r="CJ458" i="14" s="1"/>
  <c r="CU503" i="14"/>
  <c r="CP503" i="14" s="1"/>
  <c r="CS506" i="14"/>
  <c r="CI506" i="14" s="1"/>
  <c r="CU479" i="14"/>
  <c r="CP479" i="14" s="1"/>
  <c r="CV502" i="14"/>
  <c r="CQ502" i="14" s="1"/>
  <c r="CU501" i="14"/>
  <c r="CP501" i="14" s="1"/>
  <c r="CS507" i="14"/>
  <c r="CI507" i="14" s="1"/>
  <c r="CT466" i="14"/>
  <c r="CJ466" i="14" s="1"/>
  <c r="CV460" i="14"/>
  <c r="CQ460" i="14" s="1"/>
  <c r="CS471" i="14"/>
  <c r="CI471" i="14" s="1"/>
  <c r="CT455" i="14"/>
  <c r="CJ455" i="14" s="1"/>
  <c r="CU506" i="14"/>
  <c r="CP506" i="14" s="1"/>
  <c r="CT481" i="14"/>
  <c r="CJ481" i="14" s="1"/>
  <c r="CU480" i="14"/>
  <c r="CP480" i="14" s="1"/>
  <c r="CS463" i="14"/>
  <c r="CI463" i="14" s="1"/>
  <c r="CV470" i="14"/>
  <c r="CQ470" i="14" s="1"/>
  <c r="CT476" i="14"/>
  <c r="CJ476" i="14" s="1"/>
  <c r="CV462" i="14"/>
  <c r="CQ462" i="14" s="1"/>
  <c r="CU473" i="14"/>
  <c r="CP473" i="14" s="1"/>
  <c r="CT464" i="14"/>
  <c r="CJ464" i="14" s="1"/>
  <c r="CV488" i="14"/>
  <c r="CQ488" i="14" s="1"/>
  <c r="CT486" i="14"/>
  <c r="CJ486" i="14" s="1"/>
  <c r="CS510" i="14"/>
  <c r="CI510" i="14" s="1"/>
  <c r="CS504" i="14"/>
  <c r="CI504" i="14" s="1"/>
  <c r="CS483" i="14"/>
  <c r="CI483" i="14" s="1"/>
  <c r="CS511" i="14"/>
  <c r="CI511" i="14" s="1"/>
  <c r="CV506" i="14"/>
  <c r="CQ506" i="14" s="1"/>
  <c r="CU496" i="14"/>
  <c r="CP496" i="14" s="1"/>
  <c r="CS462" i="14"/>
  <c r="CI462" i="14" s="1"/>
  <c r="CT469" i="14"/>
  <c r="CJ469" i="14" s="1"/>
  <c r="CS475" i="14"/>
  <c r="CI475" i="14" s="1"/>
  <c r="CS473" i="14"/>
  <c r="CI473" i="14" s="1"/>
  <c r="CV467" i="14"/>
  <c r="CQ467" i="14" s="1"/>
  <c r="CV493" i="14"/>
  <c r="CQ493" i="14" s="1"/>
  <c r="CT491" i="14"/>
  <c r="CJ491" i="14" s="1"/>
  <c r="CT509" i="14"/>
  <c r="CJ509" i="14" s="1"/>
  <c r="CT494" i="14"/>
  <c r="CJ494" i="14" s="1"/>
  <c r="CS474" i="14"/>
  <c r="CI474" i="14" s="1"/>
  <c r="CV475" i="14"/>
  <c r="CQ475" i="14" s="1"/>
  <c r="CT483" i="14"/>
  <c r="CJ483" i="14" s="1"/>
  <c r="CV464" i="14"/>
  <c r="CQ464" i="14" s="1"/>
  <c r="CS455" i="14"/>
  <c r="CI455" i="14" s="1"/>
  <c r="CU487" i="14"/>
  <c r="CP487" i="14" s="1"/>
  <c r="CV508" i="14"/>
  <c r="CQ508" i="14" s="1"/>
  <c r="CT506" i="14"/>
  <c r="CJ506" i="14" s="1"/>
  <c r="CT512" i="14"/>
  <c r="CJ512" i="14" s="1"/>
  <c r="CU455" i="14"/>
  <c r="CP455" i="14" s="1"/>
  <c r="CS470" i="14"/>
  <c r="CI470" i="14" s="1"/>
  <c r="CS460" i="14"/>
  <c r="CI460" i="14" s="1"/>
  <c r="CU466" i="14"/>
  <c r="CP466" i="14" s="1"/>
  <c r="CV456" i="14"/>
  <c r="CQ456" i="14" s="1"/>
  <c r="CU510" i="14"/>
  <c r="CP510" i="14" s="1"/>
  <c r="CS500" i="14"/>
  <c r="CI500" i="14" s="1"/>
  <c r="CT496" i="14"/>
  <c r="CJ496" i="14" s="1"/>
  <c r="CS494" i="14"/>
  <c r="CI494" i="14" s="1"/>
  <c r="CT500" i="14"/>
  <c r="CJ500" i="14" s="1"/>
  <c r="CS513" i="14"/>
  <c r="CI513" i="14" s="1"/>
  <c r="CU483" i="14"/>
  <c r="CP483" i="14" s="1"/>
  <c r="CS466" i="14"/>
  <c r="CI466" i="14" s="1"/>
  <c r="CT477" i="14"/>
  <c r="CJ477" i="14" s="1"/>
  <c r="CV471" i="14"/>
  <c r="CQ471" i="14" s="1"/>
  <c r="CS476" i="14"/>
  <c r="CI476" i="14" s="1"/>
  <c r="CV457" i="14"/>
  <c r="CQ457" i="14" s="1"/>
  <c r="CS479" i="14"/>
  <c r="CI479" i="14" s="1"/>
  <c r="CS459" i="14"/>
  <c r="CI459" i="14" s="1"/>
  <c r="CT468" i="14"/>
  <c r="CJ468" i="14" s="1"/>
  <c r="CV477" i="14"/>
  <c r="CQ477" i="14" s="1"/>
  <c r="CV459" i="14"/>
  <c r="CQ459" i="14" s="1"/>
  <c r="CT471" i="14"/>
  <c r="CJ471" i="14" s="1"/>
  <c r="CT495" i="14"/>
  <c r="CJ495" i="14" s="1"/>
  <c r="CV495" i="14"/>
  <c r="CQ495" i="14" s="1"/>
  <c r="CV514" i="14"/>
  <c r="CQ514" i="14" s="1"/>
  <c r="CT492" i="14"/>
  <c r="CJ492" i="14" s="1"/>
  <c r="CU509" i="14"/>
  <c r="CP509" i="14" s="1"/>
  <c r="CT505" i="14"/>
  <c r="CJ505" i="14" s="1"/>
  <c r="CS503" i="14"/>
  <c r="CI503" i="14" s="1"/>
  <c r="CU463" i="14"/>
  <c r="CP463" i="14" s="1"/>
  <c r="CS478" i="14"/>
  <c r="CI478" i="14" s="1"/>
  <c r="CU461" i="14"/>
  <c r="CP461" i="14" s="1"/>
  <c r="CS472" i="14"/>
  <c r="CI472" i="14" s="1"/>
  <c r="CT457" i="14"/>
  <c r="CJ457" i="14" s="1"/>
  <c r="CU468" i="14"/>
  <c r="CP468" i="14" s="1"/>
  <c r="CT480" i="14"/>
  <c r="CJ480" i="14" s="1"/>
  <c r="CV480" i="14"/>
  <c r="CQ480" i="14" s="1"/>
  <c r="CT465" i="14"/>
  <c r="CJ465" i="14" s="1"/>
  <c r="CU495" i="14"/>
  <c r="CP495" i="14" s="1"/>
  <c r="CU491" i="14"/>
  <c r="CP491" i="14" s="1"/>
  <c r="CS487" i="14"/>
  <c r="CI487" i="14" s="1"/>
  <c r="CT508" i="14"/>
  <c r="CJ508" i="14" s="1"/>
  <c r="CV496" i="14"/>
  <c r="CQ496" i="14" s="1"/>
  <c r="CU500" i="14"/>
  <c r="CP500" i="14" s="1"/>
  <c r="CV491" i="14"/>
  <c r="CQ491" i="14" s="1"/>
  <c r="CU514" i="14"/>
  <c r="CP514" i="14" s="1"/>
  <c r="CU459" i="14"/>
  <c r="CP459" i="14" s="1"/>
  <c r="CU457" i="14"/>
  <c r="CP457" i="14" s="1"/>
  <c r="CS464" i="14"/>
  <c r="CI464" i="14" s="1"/>
  <c r="CV474" i="14"/>
  <c r="CQ474" i="14" s="1"/>
  <c r="CT472" i="14"/>
  <c r="CJ472" i="14" s="1"/>
  <c r="CV484" i="14"/>
  <c r="CQ484" i="14" s="1"/>
  <c r="CS469" i="14"/>
  <c r="CI469" i="14" s="1"/>
  <c r="CS468" i="14"/>
  <c r="CI468" i="14" s="1"/>
  <c r="CV505" i="14"/>
  <c r="CQ505" i="14" s="1"/>
  <c r="CT503" i="14"/>
  <c r="CJ503" i="14" s="1"/>
  <c r="CS502" i="14"/>
  <c r="CI502" i="14" s="1"/>
  <c r="CT501" i="14"/>
  <c r="CJ501" i="14" s="1"/>
  <c r="CV498" i="14"/>
  <c r="CQ498" i="14" s="1"/>
  <c r="CU493" i="14"/>
  <c r="CP493" i="14" s="1"/>
  <c r="CS497" i="14"/>
  <c r="CI497" i="14" s="1"/>
  <c r="CT493" i="14"/>
  <c r="CJ493" i="14" s="1"/>
  <c r="CU488" i="14"/>
  <c r="CP488" i="14" s="1"/>
  <c r="CU504" i="14"/>
  <c r="CP504" i="14" s="1"/>
  <c r="CS499" i="14"/>
  <c r="CI499" i="14" s="1"/>
  <c r="CT454" i="14"/>
  <c r="CJ454" i="14" s="1"/>
  <c r="CV472" i="14"/>
  <c r="CQ472" i="14" s="1"/>
  <c r="CV473" i="14"/>
  <c r="CQ473" i="14" s="1"/>
  <c r="CU456" i="14"/>
  <c r="CP456" i="14" s="1"/>
  <c r="CT456" i="14"/>
  <c r="CJ456" i="14" s="1"/>
  <c r="CT475" i="14"/>
  <c r="CJ475" i="14" s="1"/>
  <c r="CV483" i="14"/>
  <c r="CQ483" i="14" s="1"/>
  <c r="CV501" i="14"/>
  <c r="CQ501" i="14" s="1"/>
  <c r="CT499" i="14"/>
  <c r="CJ499" i="14" s="1"/>
  <c r="CV503" i="14"/>
  <c r="CQ503" i="14" s="1"/>
  <c r="CU490" i="14"/>
  <c r="CP490" i="14" s="1"/>
  <c r="CV504" i="14"/>
  <c r="CQ504" i="14" s="1"/>
  <c r="CT502" i="14"/>
  <c r="CJ502" i="14" s="1"/>
  <c r="CS512" i="14"/>
  <c r="CI512" i="14" s="1"/>
  <c r="CS508" i="14"/>
  <c r="CI508" i="14" s="1"/>
  <c r="CS461" i="14"/>
  <c r="CI461" i="14" s="1"/>
  <c r="CT467" i="14"/>
  <c r="CJ467" i="14" s="1"/>
  <c r="CV513" i="14"/>
  <c r="CQ513" i="14" s="1"/>
  <c r="CU508" i="14"/>
  <c r="CP508" i="14" s="1"/>
  <c r="CS509" i="14"/>
  <c r="CI509" i="14" s="1"/>
  <c r="CT474" i="14"/>
  <c r="CJ474" i="14" s="1"/>
  <c r="CV455" i="14"/>
  <c r="CQ455" i="14" s="1"/>
  <c r="CT463" i="14"/>
  <c r="CJ463" i="14" s="1"/>
  <c r="CU474" i="14"/>
  <c r="CP474" i="14" s="1"/>
  <c r="CS457" i="14"/>
  <c r="CI457" i="14" s="1"/>
  <c r="CT459" i="14"/>
  <c r="CJ459" i="14" s="1"/>
  <c r="CU484" i="14"/>
  <c r="CP484" i="14" s="1"/>
  <c r="CV454" i="14"/>
  <c r="CQ454" i="14" s="1"/>
  <c r="CU494" i="14"/>
  <c r="CP494" i="14" s="1"/>
  <c r="CS495" i="14"/>
  <c r="CI495" i="14" s="1"/>
  <c r="CT497" i="14"/>
  <c r="CJ497" i="14" s="1"/>
  <c r="CS486" i="14"/>
  <c r="CI486" i="14" s="1"/>
  <c r="CU489" i="14"/>
  <c r="CP489" i="14" s="1"/>
  <c r="CU505" i="14"/>
  <c r="CP505" i="14" s="1"/>
  <c r="CU475" i="14"/>
  <c r="CP475" i="14" s="1"/>
  <c r="CS458" i="14"/>
  <c r="CI458" i="14" s="1"/>
  <c r="CT461" i="14"/>
  <c r="CJ461" i="14" s="1"/>
  <c r="CT484" i="14"/>
  <c r="CJ484" i="14" s="1"/>
  <c r="CV478" i="14"/>
  <c r="CQ478" i="14" s="1"/>
  <c r="CU481" i="14"/>
  <c r="CP481" i="14" s="1"/>
  <c r="CV458" i="14"/>
  <c r="CQ458" i="14" s="1"/>
  <c r="CT487" i="14"/>
  <c r="CJ487" i="14" s="1"/>
  <c r="CV507" i="14"/>
  <c r="CQ507" i="14" s="1"/>
  <c r="CS485" i="14"/>
  <c r="CI485" i="14" s="1"/>
  <c r="CT504" i="14"/>
  <c r="CJ504" i="14" s="1"/>
  <c r="CU492" i="14"/>
  <c r="CP492" i="14" s="1"/>
  <c r="CV487" i="14"/>
  <c r="CQ487" i="14" s="1"/>
  <c r="CU512" i="14"/>
  <c r="CP512" i="14" s="1"/>
  <c r="CS454" i="14"/>
  <c r="CI454" i="14" s="1"/>
  <c r="CV482" i="14"/>
  <c r="CQ482" i="14" s="1"/>
  <c r="CV485" i="14"/>
  <c r="CQ485" i="14" s="1"/>
  <c r="CS489" i="14"/>
  <c r="CI489" i="14" s="1"/>
  <c r="CT513" i="14"/>
  <c r="CJ513" i="14" s="1"/>
  <c r="CS456" i="14"/>
  <c r="CI456" i="14" s="1"/>
  <c r="CV469" i="14"/>
  <c r="CQ469" i="14" s="1"/>
  <c r="CU462" i="14"/>
  <c r="CP462" i="14" s="1"/>
  <c r="CS477" i="14"/>
  <c r="CI477" i="14" s="1"/>
  <c r="CU465" i="14"/>
  <c r="CP465" i="14" s="1"/>
  <c r="CT511" i="14"/>
  <c r="CJ511" i="14" s="1"/>
  <c r="CU507" i="14"/>
  <c r="CP507" i="14" s="1"/>
  <c r="CT514" i="14"/>
  <c r="CJ514" i="14" s="1"/>
  <c r="CV476" i="14"/>
  <c r="CQ476" i="14" s="1"/>
  <c r="CU460" i="14"/>
  <c r="CP460" i="14" s="1"/>
  <c r="CU470" i="14"/>
  <c r="CP470" i="14" s="1"/>
  <c r="CS482" i="14"/>
  <c r="CI482" i="14" s="1"/>
  <c r="CU469" i="14"/>
  <c r="CP469" i="14" s="1"/>
  <c r="CT473" i="14"/>
  <c r="CJ473" i="14" s="1"/>
  <c r="CT479" i="14"/>
  <c r="CJ479" i="14" s="1"/>
  <c r="CU478" i="14"/>
  <c r="CP478" i="14" s="1"/>
  <c r="CV468" i="14"/>
  <c r="CQ468" i="14" s="1"/>
  <c r="CV497" i="14"/>
  <c r="CQ497" i="14" s="1"/>
  <c r="CU502" i="14"/>
  <c r="CP502" i="14" s="1"/>
  <c r="CS492" i="14"/>
  <c r="CI492" i="14" s="1"/>
  <c r="CV486" i="14"/>
  <c r="CQ486" i="14" s="1"/>
  <c r="CV500" i="14"/>
  <c r="CQ500" i="14" s="1"/>
  <c r="CT498" i="14"/>
  <c r="CJ498" i="14" s="1"/>
  <c r="CS496" i="14"/>
  <c r="CI496" i="14" s="1"/>
  <c r="CV499" i="14"/>
  <c r="CQ499" i="14" s="1"/>
  <c r="CU499" i="14"/>
  <c r="CP499" i="14" s="1"/>
  <c r="CT488" i="14"/>
  <c r="CJ488" i="14" s="1"/>
  <c r="CS514" i="14"/>
  <c r="CI514" i="14" s="1"/>
  <c r="CT470" i="14"/>
  <c r="CJ470" i="14" s="1"/>
  <c r="CV481" i="14"/>
  <c r="CQ481" i="14" s="1"/>
  <c r="CU458" i="14"/>
  <c r="CP458" i="14" s="1"/>
  <c r="CT460" i="14"/>
  <c r="CJ460" i="14" s="1"/>
  <c r="CV461" i="14"/>
  <c r="CQ461" i="14" s="1"/>
  <c r="CS484" i="14"/>
  <c r="CI484" i="14" s="1"/>
  <c r="CS467" i="14"/>
  <c r="CI467" i="14" s="1"/>
  <c r="CV509" i="14"/>
  <c r="CQ509" i="14" s="1"/>
  <c r="CT507" i="14"/>
  <c r="CJ507" i="14" s="1"/>
  <c r="CS505" i="14"/>
  <c r="CI505" i="14" s="1"/>
  <c r="CV512" i="14"/>
  <c r="CQ512" i="14" s="1"/>
  <c r="CT510" i="14"/>
  <c r="CJ510" i="14" s="1"/>
  <c r="CS498" i="14"/>
  <c r="CI498" i="14" s="1"/>
  <c r="CV494" i="14"/>
  <c r="CQ494" i="14" s="1"/>
  <c r="CU513" i="14"/>
  <c r="CP513" i="14" s="1"/>
  <c r="CU497" i="14"/>
  <c r="CP497" i="14" s="1"/>
  <c r="CT462" i="14"/>
  <c r="CJ462" i="14" s="1"/>
  <c r="CV465" i="14"/>
  <c r="CQ465" i="14" s="1"/>
  <c r="CU454" i="14"/>
  <c r="CP454" i="14" s="1"/>
  <c r="CU476" i="14"/>
  <c r="CP476" i="14" s="1"/>
  <c r="CV479" i="14"/>
  <c r="CQ479" i="14" s="1"/>
  <c r="CV489" i="14"/>
  <c r="CQ489" i="14" s="1"/>
  <c r="CU486" i="14"/>
  <c r="CP486" i="14" s="1"/>
  <c r="CV492" i="14"/>
  <c r="CQ492" i="14" s="1"/>
  <c r="CT490" i="14"/>
  <c r="CJ490" i="14" s="1"/>
  <c r="CS491" i="14"/>
  <c r="CI491" i="14" s="1"/>
  <c r="CU498" i="14"/>
  <c r="CP498" i="14" s="1"/>
  <c r="CS490" i="14"/>
  <c r="CI490" i="14" s="1"/>
  <c r="CU471" i="14"/>
  <c r="CP471" i="14" s="1"/>
  <c r="CU477" i="14"/>
  <c r="CP477" i="14" s="1"/>
  <c r="CS480" i="14"/>
  <c r="CI480" i="14" s="1"/>
  <c r="CU482" i="14"/>
  <c r="CP482" i="14" s="1"/>
  <c r="CS481" i="14"/>
  <c r="CI481" i="14" s="1"/>
  <c r="CS465" i="14"/>
  <c r="CI465" i="14" s="1"/>
  <c r="CV463" i="14"/>
  <c r="CQ463" i="14" s="1"/>
  <c r="CT482" i="14"/>
  <c r="CJ482" i="14" s="1"/>
  <c r="CU464" i="14"/>
  <c r="CP464" i="14" s="1"/>
  <c r="CU511" i="14"/>
  <c r="CP511" i="14" s="1"/>
  <c r="CS501" i="14"/>
  <c r="CI501" i="14" s="1"/>
  <c r="CT489" i="14"/>
  <c r="CJ489" i="14" s="1"/>
  <c r="CV490" i="14"/>
  <c r="CQ490" i="14" s="1"/>
  <c r="CU485" i="14"/>
  <c r="CP485" i="14" s="1"/>
  <c r="CV511" i="14"/>
  <c r="CQ511" i="14" s="1"/>
  <c r="CT485" i="14"/>
  <c r="CJ485" i="14" s="1"/>
  <c r="CV510" i="14"/>
  <c r="CQ510" i="14" s="1"/>
  <c r="CS488" i="14"/>
  <c r="CI488" i="14" s="1"/>
  <c r="AE393" i="1"/>
  <c r="H52" i="26"/>
  <c r="H56" i="26" s="1"/>
  <c r="O153" i="29" s="1"/>
  <c r="O6" i="29"/>
  <c r="O112" i="29" s="1"/>
  <c r="G489" i="14"/>
  <c r="CR229" i="14"/>
  <c r="CW229" i="14"/>
  <c r="CR226" i="14"/>
  <c r="CW226" i="14"/>
  <c r="CR216" i="14"/>
  <c r="CW216" i="14"/>
  <c r="CR222" i="14"/>
  <c r="CW222" i="14"/>
  <c r="CR224" i="14"/>
  <c r="CW224" i="14"/>
  <c r="CR214" i="14"/>
  <c r="CW214" i="14"/>
  <c r="CR239" i="14"/>
  <c r="CW239" i="14"/>
  <c r="CR234" i="14"/>
  <c r="CW234" i="14"/>
  <c r="CR217" i="14"/>
  <c r="CW217" i="14"/>
  <c r="CR223" i="14"/>
  <c r="CW223" i="14"/>
  <c r="CR211" i="14"/>
  <c r="CW211" i="14"/>
  <c r="CR215" i="14"/>
  <c r="CW215" i="14"/>
  <c r="CR212" i="14"/>
  <c r="CW212" i="14"/>
  <c r="CR220" i="14"/>
  <c r="CW220" i="14"/>
  <c r="CR238" i="14"/>
  <c r="CW238" i="14"/>
  <c r="CR230" i="14"/>
  <c r="CW230" i="14"/>
  <c r="CR218" i="14"/>
  <c r="CW218" i="14"/>
  <c r="CR231" i="14"/>
  <c r="CW231" i="14"/>
  <c r="CR227" i="14"/>
  <c r="CW227" i="14"/>
  <c r="CR225" i="14"/>
  <c r="CW225" i="14"/>
  <c r="CR213" i="14"/>
  <c r="CW213" i="14"/>
  <c r="CR235" i="14"/>
  <c r="CW235" i="14"/>
  <c r="CR219" i="14"/>
  <c r="CW219" i="14"/>
  <c r="CR233" i="14"/>
  <c r="CW233" i="14"/>
  <c r="CR232" i="14"/>
  <c r="CW232" i="14"/>
  <c r="CR221" i="14"/>
  <c r="CW221" i="14"/>
  <c r="CR237" i="14"/>
  <c r="CW237" i="14"/>
  <c r="CR228" i="14"/>
  <c r="CW228" i="14"/>
  <c r="CR236" i="14"/>
  <c r="CW236" i="14"/>
  <c r="AE13" i="27"/>
  <c r="E13" i="27" s="1"/>
  <c r="G490" i="14" s="1"/>
  <c r="H424" i="15"/>
  <c r="I424" i="15" s="1"/>
  <c r="J491" i="14"/>
  <c r="B491" i="14"/>
  <c r="E492" i="14"/>
  <c r="C491" i="14"/>
  <c r="D491" i="14" s="1"/>
  <c r="Q491" i="14"/>
  <c r="E54" i="30"/>
  <c r="E51" i="30"/>
  <c r="E52" i="30"/>
  <c r="E53" i="30"/>
  <c r="AE346" i="1"/>
  <c r="AE408" i="1"/>
  <c r="O17" i="29"/>
  <c r="AE360" i="1"/>
  <c r="AY477" i="14"/>
  <c r="AO477" i="14" s="1"/>
  <c r="AU31" i="26"/>
  <c r="AY483" i="14"/>
  <c r="AO483" i="14" s="1"/>
  <c r="AU37" i="26"/>
  <c r="AU29" i="27"/>
  <c r="AY506" i="14"/>
  <c r="AO506" i="14" s="1"/>
  <c r="AY467" i="14"/>
  <c r="AO467" i="14" s="1"/>
  <c r="AU21" i="26"/>
  <c r="AY505" i="14"/>
  <c r="AO505" i="14" s="1"/>
  <c r="AU28" i="27"/>
  <c r="AY485" i="14"/>
  <c r="AO485" i="14" s="1"/>
  <c r="AU8" i="27"/>
  <c r="AY480" i="14"/>
  <c r="AO480" i="14" s="1"/>
  <c r="AU34" i="26"/>
  <c r="AU19" i="26"/>
  <c r="AY465" i="14"/>
  <c r="AO465" i="14" s="1"/>
  <c r="AU35" i="27"/>
  <c r="AY512" i="14"/>
  <c r="AO512" i="14" s="1"/>
  <c r="AU31" i="27"/>
  <c r="AY508" i="14"/>
  <c r="AO508" i="14" s="1"/>
  <c r="AU36" i="27"/>
  <c r="AY513" i="14"/>
  <c r="AO513" i="14" s="1"/>
  <c r="AY466" i="14"/>
  <c r="AO466" i="14" s="1"/>
  <c r="AU20" i="26"/>
  <c r="AY456" i="14"/>
  <c r="AO456" i="14" s="1"/>
  <c r="AU10" i="26"/>
  <c r="AY459" i="14"/>
  <c r="AO459" i="14" s="1"/>
  <c r="AU13" i="26"/>
  <c r="AY511" i="14"/>
  <c r="AO511" i="14" s="1"/>
  <c r="AU34" i="27"/>
  <c r="AU16" i="27"/>
  <c r="AY493" i="14"/>
  <c r="AO493" i="14" s="1"/>
  <c r="AU38" i="26"/>
  <c r="AY484" i="14"/>
  <c r="AO484" i="14" s="1"/>
  <c r="AY495" i="14"/>
  <c r="AO495" i="14" s="1"/>
  <c r="AU18" i="27"/>
  <c r="AU21" i="27"/>
  <c r="AY498" i="14"/>
  <c r="AO498" i="14" s="1"/>
  <c r="AU12" i="26"/>
  <c r="AY458" i="14"/>
  <c r="AO458" i="14" s="1"/>
  <c r="AY471" i="14"/>
  <c r="AO471" i="14" s="1"/>
  <c r="AU25" i="26"/>
  <c r="AY454" i="14"/>
  <c r="AO454" i="14" s="1"/>
  <c r="AU8" i="26"/>
  <c r="AY481" i="14"/>
  <c r="AO481" i="14" s="1"/>
  <c r="AU35" i="26"/>
  <c r="AY488" i="14"/>
  <c r="AO488" i="14" s="1"/>
  <c r="AU11" i="27"/>
  <c r="AU36" i="26"/>
  <c r="AY482" i="14"/>
  <c r="AO482" i="14" s="1"/>
  <c r="AU30" i="26"/>
  <c r="AY476" i="14"/>
  <c r="AO476" i="14" s="1"/>
  <c r="AY479" i="14"/>
  <c r="AO479" i="14" s="1"/>
  <c r="AU33" i="26"/>
  <c r="AY496" i="14"/>
  <c r="AO496" i="14" s="1"/>
  <c r="AU19" i="27"/>
  <c r="AU26" i="27"/>
  <c r="AY503" i="14"/>
  <c r="AO503" i="14" s="1"/>
  <c r="AY514" i="14"/>
  <c r="AO514" i="14" s="1"/>
  <c r="AU37" i="27"/>
  <c r="AY462" i="14"/>
  <c r="AO462" i="14" s="1"/>
  <c r="AU16" i="26"/>
  <c r="AU29" i="26"/>
  <c r="AY475" i="14"/>
  <c r="AO475" i="14" s="1"/>
  <c r="AY457" i="14"/>
  <c r="AO457" i="14" s="1"/>
  <c r="AU11" i="26"/>
  <c r="AY507" i="14"/>
  <c r="AO507" i="14" s="1"/>
  <c r="AU30" i="27"/>
  <c r="AU9" i="27"/>
  <c r="AY486" i="14"/>
  <c r="AO486" i="14" s="1"/>
  <c r="AU28" i="26"/>
  <c r="AY474" i="14"/>
  <c r="AO474" i="14" s="1"/>
  <c r="AY464" i="14"/>
  <c r="AO464" i="14" s="1"/>
  <c r="AU18" i="26"/>
  <c r="AY469" i="14"/>
  <c r="AO469" i="14" s="1"/>
  <c r="AU23" i="26"/>
  <c r="AY455" i="14"/>
  <c r="AO455" i="14" s="1"/>
  <c r="AU9" i="26"/>
  <c r="AU20" i="27"/>
  <c r="AY497" i="14"/>
  <c r="AO497" i="14" s="1"/>
  <c r="AU22" i="27"/>
  <c r="AY499" i="14"/>
  <c r="AO499" i="14" s="1"/>
  <c r="AU24" i="26"/>
  <c r="AY470" i="14"/>
  <c r="AO470" i="14" s="1"/>
  <c r="AU17" i="26"/>
  <c r="AY463" i="14"/>
  <c r="AO463" i="14" s="1"/>
  <c r="AY501" i="14"/>
  <c r="AO501" i="14" s="1"/>
  <c r="AU24" i="27"/>
  <c r="AU27" i="27"/>
  <c r="AY504" i="14"/>
  <c r="AO504" i="14" s="1"/>
  <c r="AU15" i="26"/>
  <c r="AY461" i="14"/>
  <c r="AO461" i="14" s="1"/>
  <c r="AY492" i="14"/>
  <c r="AO492" i="14" s="1"/>
  <c r="AU15" i="27"/>
  <c r="AU32" i="27"/>
  <c r="AY509" i="14"/>
  <c r="AO509" i="14" s="1"/>
  <c r="AU32" i="26"/>
  <c r="AY478" i="14"/>
  <c r="AO478" i="14" s="1"/>
  <c r="AY472" i="14"/>
  <c r="AO472" i="14" s="1"/>
  <c r="AU26" i="26"/>
  <c r="AU27" i="26"/>
  <c r="AY473" i="14"/>
  <c r="AO473" i="14" s="1"/>
  <c r="AY487" i="14"/>
  <c r="AO487" i="14" s="1"/>
  <c r="AU10" i="27"/>
  <c r="AY468" i="14"/>
  <c r="AO468" i="14" s="1"/>
  <c r="AU22" i="26"/>
  <c r="AU25" i="27"/>
  <c r="AY502" i="14"/>
  <c r="AO502" i="14" s="1"/>
  <c r="AU14" i="27"/>
  <c r="AY491" i="14"/>
  <c r="AO491" i="14" s="1"/>
  <c r="AU13" i="27"/>
  <c r="AY490" i="14"/>
  <c r="AO490" i="14" s="1"/>
  <c r="AY460" i="14"/>
  <c r="AO460" i="14" s="1"/>
  <c r="AU14" i="26"/>
  <c r="AY500" i="14"/>
  <c r="AO500" i="14" s="1"/>
  <c r="AU23" i="27"/>
  <c r="AU12" i="27"/>
  <c r="AY489" i="14"/>
  <c r="AO489" i="14" s="1"/>
  <c r="AU17" i="27"/>
  <c r="AY494" i="14"/>
  <c r="AO494" i="14" s="1"/>
  <c r="AY510" i="14"/>
  <c r="AO510" i="14" s="1"/>
  <c r="AU33" i="27"/>
  <c r="CH236" i="14" l="1"/>
  <c r="CH237" i="14"/>
  <c r="CH232" i="14"/>
  <c r="CH219" i="14"/>
  <c r="CH213" i="14"/>
  <c r="CH227" i="14"/>
  <c r="CH218" i="14"/>
  <c r="CH238" i="14"/>
  <c r="CH212" i="14"/>
  <c r="CH211" i="14"/>
  <c r="CH217" i="14"/>
  <c r="CH239" i="14"/>
  <c r="CH224" i="14"/>
  <c r="CH216" i="14"/>
  <c r="CH229" i="14"/>
  <c r="T229" i="14" s="1"/>
  <c r="CR510" i="14"/>
  <c r="CW510" i="14"/>
  <c r="CR460" i="14"/>
  <c r="CW460" i="14"/>
  <c r="CR488" i="14"/>
  <c r="CW488" i="14"/>
  <c r="CR454" i="14"/>
  <c r="CW454" i="14"/>
  <c r="CR471" i="14"/>
  <c r="CW471" i="14"/>
  <c r="CR511" i="14"/>
  <c r="CW511" i="14"/>
  <c r="CR456" i="14"/>
  <c r="CW456" i="14"/>
  <c r="CR504" i="14"/>
  <c r="CW504" i="14"/>
  <c r="CR499" i="14"/>
  <c r="CW499" i="14"/>
  <c r="CR482" i="14"/>
  <c r="CW482" i="14"/>
  <c r="CH228" i="14"/>
  <c r="CH221" i="14"/>
  <c r="CH233" i="14"/>
  <c r="CH235" i="14"/>
  <c r="T235" i="14" s="1"/>
  <c r="CH225" i="14"/>
  <c r="CH231" i="14"/>
  <c r="T231" i="14" s="1"/>
  <c r="CH230" i="14"/>
  <c r="CH220" i="14"/>
  <c r="CH215" i="14"/>
  <c r="CH223" i="14"/>
  <c r="CH234" i="14"/>
  <c r="CH214" i="14"/>
  <c r="CH222" i="14"/>
  <c r="CH226" i="14"/>
  <c r="T226" i="14" s="1"/>
  <c r="CR500" i="14"/>
  <c r="CW500" i="14"/>
  <c r="CR468" i="14"/>
  <c r="CW468" i="14"/>
  <c r="CR487" i="14"/>
  <c r="CW487" i="14"/>
  <c r="CR472" i="14"/>
  <c r="CW472" i="14"/>
  <c r="CR501" i="14"/>
  <c r="CW501" i="14"/>
  <c r="CR469" i="14"/>
  <c r="CW469" i="14"/>
  <c r="CR507" i="14"/>
  <c r="CW507" i="14"/>
  <c r="CR514" i="14"/>
  <c r="CW514" i="14"/>
  <c r="CR496" i="14"/>
  <c r="CW496" i="14"/>
  <c r="CR481" i="14"/>
  <c r="CW481" i="14"/>
  <c r="CR495" i="14"/>
  <c r="CW495" i="14"/>
  <c r="CR459" i="14"/>
  <c r="CW459" i="14"/>
  <c r="CR466" i="14"/>
  <c r="CW466" i="14"/>
  <c r="CR480" i="14"/>
  <c r="CW480" i="14"/>
  <c r="CR485" i="14"/>
  <c r="CW485" i="14"/>
  <c r="CR467" i="14"/>
  <c r="CW467" i="14"/>
  <c r="CR483" i="14"/>
  <c r="CW483" i="14"/>
  <c r="CR492" i="14"/>
  <c r="CW492" i="14"/>
  <c r="CR455" i="14"/>
  <c r="CW455" i="14"/>
  <c r="CR464" i="14"/>
  <c r="CW464" i="14"/>
  <c r="CR457" i="14"/>
  <c r="CW457" i="14"/>
  <c r="CR462" i="14"/>
  <c r="CW462" i="14"/>
  <c r="CR479" i="14"/>
  <c r="CW479" i="14"/>
  <c r="CR505" i="14"/>
  <c r="CW505" i="14"/>
  <c r="CR477" i="14"/>
  <c r="CW477" i="14"/>
  <c r="CR489" i="14"/>
  <c r="CW489" i="14"/>
  <c r="CR490" i="14"/>
  <c r="CW490" i="14"/>
  <c r="CR502" i="14"/>
  <c r="CW502" i="14"/>
  <c r="CR473" i="14"/>
  <c r="CW473" i="14"/>
  <c r="CR478" i="14"/>
  <c r="CW478" i="14"/>
  <c r="CR463" i="14"/>
  <c r="CW463" i="14"/>
  <c r="CR486" i="14"/>
  <c r="CW486" i="14"/>
  <c r="CR503" i="14"/>
  <c r="CW503" i="14"/>
  <c r="CR498" i="14"/>
  <c r="CW498" i="14"/>
  <c r="CR484" i="14"/>
  <c r="CW484" i="14"/>
  <c r="CR508" i="14"/>
  <c r="CW508" i="14"/>
  <c r="CR465" i="14"/>
  <c r="CW465" i="14"/>
  <c r="CR506" i="14"/>
  <c r="CW506" i="14"/>
  <c r="CR494" i="14"/>
  <c r="CW494" i="14"/>
  <c r="CR491" i="14"/>
  <c r="CW491" i="14"/>
  <c r="CR509" i="14"/>
  <c r="CW509" i="14"/>
  <c r="CR461" i="14"/>
  <c r="CW461" i="14"/>
  <c r="CR470" i="14"/>
  <c r="CW470" i="14"/>
  <c r="CR497" i="14"/>
  <c r="CW497" i="14"/>
  <c r="CR474" i="14"/>
  <c r="CW474" i="14"/>
  <c r="CR475" i="14"/>
  <c r="CW475" i="14"/>
  <c r="CR476" i="14"/>
  <c r="CW476" i="14"/>
  <c r="CR458" i="14"/>
  <c r="CW458" i="14"/>
  <c r="CR493" i="14"/>
  <c r="CW493" i="14"/>
  <c r="CR513" i="14"/>
  <c r="CW513" i="14"/>
  <c r="CR512" i="14"/>
  <c r="CW512" i="14"/>
  <c r="AE14" i="27"/>
  <c r="E14" i="27" s="1"/>
  <c r="Q492" i="14"/>
  <c r="C492" i="14"/>
  <c r="D492" i="14" s="1"/>
  <c r="J492" i="14"/>
  <c r="E493" i="14"/>
  <c r="B492" i="14"/>
  <c r="H425" i="15"/>
  <c r="I425" i="15" s="1"/>
  <c r="G491" i="14" l="1"/>
  <c r="CH512" i="14"/>
  <c r="CH493" i="14"/>
  <c r="CH476" i="14"/>
  <c r="T476" i="14" s="1"/>
  <c r="CH475" i="14"/>
  <c r="T475" i="14" s="1"/>
  <c r="CH497" i="14"/>
  <c r="CH509" i="14"/>
  <c r="CH506" i="14"/>
  <c r="CH465" i="14"/>
  <c r="T465" i="14" s="1"/>
  <c r="CH498" i="14"/>
  <c r="CH478" i="14"/>
  <c r="T478" i="14" s="1"/>
  <c r="CH502" i="14"/>
  <c r="CH489" i="14"/>
  <c r="T489" i="14" s="1"/>
  <c r="CH479" i="14"/>
  <c r="T479" i="14" s="1"/>
  <c r="CH457" i="14"/>
  <c r="T457" i="14" s="1"/>
  <c r="CH455" i="14"/>
  <c r="T455" i="14" s="1"/>
  <c r="CH492" i="14"/>
  <c r="CH483" i="14"/>
  <c r="T483" i="14" s="1"/>
  <c r="CH467" i="14"/>
  <c r="T467" i="14" s="1"/>
  <c r="CH466" i="14"/>
  <c r="T466" i="14" s="1"/>
  <c r="CH481" i="14"/>
  <c r="T481" i="14" s="1"/>
  <c r="CH514" i="14"/>
  <c r="CH501" i="14"/>
  <c r="CH487" i="14"/>
  <c r="T487" i="14" s="1"/>
  <c r="CH499" i="14"/>
  <c r="CH511" i="14"/>
  <c r="CH471" i="14"/>
  <c r="T471" i="14" s="1"/>
  <c r="CH488" i="14"/>
  <c r="T488" i="14" s="1"/>
  <c r="CH460" i="14"/>
  <c r="T460" i="14" s="1"/>
  <c r="T217" i="14"/>
  <c r="T218" i="14"/>
  <c r="T232" i="14"/>
  <c r="T238" i="14"/>
  <c r="T216" i="14"/>
  <c r="AK211" i="14"/>
  <c r="T211" i="14"/>
  <c r="T227" i="14"/>
  <c r="T237" i="14"/>
  <c r="T219" i="14"/>
  <c r="T224" i="14"/>
  <c r="T212" i="14"/>
  <c r="T213" i="14"/>
  <c r="T236" i="14"/>
  <c r="T234" i="14"/>
  <c r="T230" i="14"/>
  <c r="T233" i="14"/>
  <c r="CH456" i="14"/>
  <c r="T456" i="14" s="1"/>
  <c r="CH454" i="14"/>
  <c r="T454" i="14" s="1"/>
  <c r="CH513" i="14"/>
  <c r="CH458" i="14"/>
  <c r="T458" i="14" s="1"/>
  <c r="CH474" i="14"/>
  <c r="T474" i="14" s="1"/>
  <c r="CH470" i="14"/>
  <c r="T470" i="14" s="1"/>
  <c r="CH461" i="14"/>
  <c r="T461" i="14" s="1"/>
  <c r="CH491" i="14"/>
  <c r="CH494" i="14"/>
  <c r="CH508" i="14"/>
  <c r="CH484" i="14"/>
  <c r="T484" i="14" s="1"/>
  <c r="CH503" i="14"/>
  <c r="CH486" i="14"/>
  <c r="T486" i="14" s="1"/>
  <c r="CH463" i="14"/>
  <c r="T463" i="14" s="1"/>
  <c r="CH473" i="14"/>
  <c r="T473" i="14" s="1"/>
  <c r="CH490" i="14"/>
  <c r="T490" i="14" s="1"/>
  <c r="CH477" i="14"/>
  <c r="T477" i="14" s="1"/>
  <c r="CH505" i="14"/>
  <c r="CH462" i="14"/>
  <c r="T462" i="14" s="1"/>
  <c r="CH464" i="14"/>
  <c r="T464" i="14" s="1"/>
  <c r="CH485" i="14"/>
  <c r="T485" i="14" s="1"/>
  <c r="CH480" i="14"/>
  <c r="T480" i="14" s="1"/>
  <c r="CH459" i="14"/>
  <c r="T459" i="14" s="1"/>
  <c r="CH495" i="14"/>
  <c r="CH496" i="14"/>
  <c r="CH507" i="14"/>
  <c r="CH469" i="14"/>
  <c r="T469" i="14" s="1"/>
  <c r="CH472" i="14"/>
  <c r="T472" i="14" s="1"/>
  <c r="CH468" i="14"/>
  <c r="T468" i="14" s="1"/>
  <c r="CH500" i="14"/>
  <c r="T222" i="14"/>
  <c r="T215" i="14"/>
  <c r="T225" i="14"/>
  <c r="T228" i="14"/>
  <c r="CH482" i="14"/>
  <c r="T482" i="14" s="1"/>
  <c r="CH504" i="14"/>
  <c r="T223" i="14"/>
  <c r="T221" i="14"/>
  <c r="CH510" i="14"/>
  <c r="T214" i="14"/>
  <c r="T220" i="14"/>
  <c r="H426" i="15"/>
  <c r="I426" i="15" s="1"/>
  <c r="C493" i="14"/>
  <c r="D493" i="14" s="1"/>
  <c r="Q493" i="14"/>
  <c r="E494" i="14"/>
  <c r="B493" i="14"/>
  <c r="J493" i="14"/>
  <c r="AE15" i="27"/>
  <c r="E15" i="27" s="1"/>
  <c r="G492" i="14" s="1"/>
  <c r="T491" i="14" l="1"/>
  <c r="AJ454" i="14"/>
  <c r="T492" i="14"/>
  <c r="AK212" i="14"/>
  <c r="AH211" i="14"/>
  <c r="C494" i="14"/>
  <c r="D494" i="14" s="1"/>
  <c r="H427" i="15"/>
  <c r="I427" i="15" s="1"/>
  <c r="E495" i="14"/>
  <c r="B494" i="14"/>
  <c r="J494" i="14"/>
  <c r="Q494" i="14"/>
  <c r="AE16" i="27"/>
  <c r="E16" i="27" s="1"/>
  <c r="G493" i="14" s="1"/>
  <c r="T493" i="14" s="1"/>
  <c r="E138" i="21"/>
  <c r="I138" i="21" l="1"/>
  <c r="I142" i="21"/>
  <c r="L144" i="21"/>
  <c r="L139" i="21"/>
  <c r="L138" i="21"/>
  <c r="M142" i="21"/>
  <c r="M141" i="21"/>
  <c r="M139" i="21"/>
  <c r="J142" i="21"/>
  <c r="J144" i="21"/>
  <c r="G141" i="21"/>
  <c r="G144" i="21"/>
  <c r="G139" i="21"/>
  <c r="K143" i="21"/>
  <c r="K140" i="21"/>
  <c r="L140" i="21"/>
  <c r="J140" i="21"/>
  <c r="I140" i="21"/>
  <c r="I137" i="21"/>
  <c r="I141" i="21"/>
  <c r="L137" i="21"/>
  <c r="L142" i="21"/>
  <c r="M144" i="21"/>
  <c r="M138" i="21"/>
  <c r="J143" i="21"/>
  <c r="J145" i="21"/>
  <c r="G143" i="21"/>
  <c r="G138" i="21"/>
  <c r="K142" i="21"/>
  <c r="I144" i="21"/>
  <c r="L145" i="21"/>
  <c r="M140" i="21"/>
  <c r="G142" i="21"/>
  <c r="G137" i="21"/>
  <c r="K144" i="21"/>
  <c r="K139" i="21"/>
  <c r="I139" i="21"/>
  <c r="I145" i="21"/>
  <c r="L141" i="21"/>
  <c r="L143" i="21"/>
  <c r="M145" i="21"/>
  <c r="M137" i="21"/>
  <c r="J139" i="21"/>
  <c r="J141" i="21"/>
  <c r="G140" i="21"/>
  <c r="G145" i="21"/>
  <c r="K137" i="21"/>
  <c r="K138" i="21"/>
  <c r="K145" i="21"/>
  <c r="I143" i="21"/>
  <c r="M143" i="21"/>
  <c r="J138" i="21"/>
  <c r="J137" i="21"/>
  <c r="K141" i="21"/>
  <c r="H141" i="21"/>
  <c r="H138" i="21"/>
  <c r="H140" i="21"/>
  <c r="H144" i="21"/>
  <c r="H139" i="21"/>
  <c r="H137" i="21"/>
  <c r="H143" i="21"/>
  <c r="H145" i="21"/>
  <c r="H142" i="21"/>
  <c r="AE17" i="27"/>
  <c r="E17" i="27" s="1"/>
  <c r="G494" i="14" s="1"/>
  <c r="T494" i="14" s="1"/>
  <c r="AH212" i="14"/>
  <c r="AK213" i="14"/>
  <c r="E496" i="14"/>
  <c r="Q495" i="14"/>
  <c r="B495" i="14"/>
  <c r="C495" i="14"/>
  <c r="D495" i="14" s="1"/>
  <c r="H428" i="15"/>
  <c r="I428" i="15" s="1"/>
  <c r="J495" i="14"/>
  <c r="E138" i="22"/>
  <c r="E164" i="22"/>
  <c r="G138" i="22" l="1"/>
  <c r="G142" i="22"/>
  <c r="G145" i="22"/>
  <c r="K140" i="22"/>
  <c r="K143" i="22"/>
  <c r="K137" i="22"/>
  <c r="L138" i="22"/>
  <c r="L142" i="22"/>
  <c r="M145" i="22"/>
  <c r="M141" i="22"/>
  <c r="M142" i="22"/>
  <c r="M137" i="22"/>
  <c r="G143" i="22"/>
  <c r="M144" i="22"/>
  <c r="G140" i="22"/>
  <c r="G141" i="22"/>
  <c r="K142" i="22"/>
  <c r="K138" i="22"/>
  <c r="K144" i="22"/>
  <c r="L139" i="22"/>
  <c r="L137" i="22"/>
  <c r="M138" i="22"/>
  <c r="M143" i="22"/>
  <c r="M140" i="22"/>
  <c r="G144" i="22"/>
  <c r="G137" i="22"/>
  <c r="K145" i="22"/>
  <c r="K141" i="22"/>
  <c r="L141" i="22"/>
  <c r="L143" i="22"/>
  <c r="M139" i="22"/>
  <c r="G139" i="22"/>
  <c r="K139" i="22"/>
  <c r="L145" i="22"/>
  <c r="L140" i="22"/>
  <c r="L144" i="22"/>
  <c r="H139" i="22"/>
  <c r="H144" i="22"/>
  <c r="H137" i="22"/>
  <c r="I139" i="22"/>
  <c r="I143" i="22"/>
  <c r="J140" i="22"/>
  <c r="J145" i="22"/>
  <c r="J142" i="22"/>
  <c r="H142" i="22"/>
  <c r="H141" i="22"/>
  <c r="H138" i="22"/>
  <c r="H140" i="22"/>
  <c r="I141" i="22"/>
  <c r="I144" i="22"/>
  <c r="J141" i="22"/>
  <c r="J143" i="22"/>
  <c r="J137" i="22"/>
  <c r="H143" i="22"/>
  <c r="I142" i="22"/>
  <c r="I138" i="22"/>
  <c r="I145" i="22"/>
  <c r="J144" i="22"/>
  <c r="H145" i="22"/>
  <c r="I137" i="22"/>
  <c r="I140" i="22"/>
  <c r="J138" i="22"/>
  <c r="J139" i="22"/>
  <c r="AH213" i="14"/>
  <c r="AK214" i="14"/>
  <c r="Q496" i="14"/>
  <c r="J496" i="14"/>
  <c r="B496" i="14"/>
  <c r="E497" i="14"/>
  <c r="C496" i="14"/>
  <c r="D496" i="14" s="1"/>
  <c r="H429" i="15"/>
  <c r="I429" i="15" s="1"/>
  <c r="E164" i="23"/>
  <c r="AK215" i="14" l="1"/>
  <c r="AH215" i="14" s="1"/>
  <c r="AH214" i="14"/>
  <c r="C497" i="14"/>
  <c r="D497" i="14" s="1"/>
  <c r="Q497" i="14"/>
  <c r="E498" i="14"/>
  <c r="J497" i="14"/>
  <c r="B497" i="14"/>
  <c r="H430" i="15"/>
  <c r="I430" i="15" s="1"/>
  <c r="E164" i="24"/>
  <c r="AK216" i="14" l="1"/>
  <c r="AH216" i="14" s="1"/>
  <c r="J498" i="14"/>
  <c r="E499" i="14"/>
  <c r="C498" i="14"/>
  <c r="D498" i="14" s="1"/>
  <c r="Q498" i="14"/>
  <c r="H431" i="15"/>
  <c r="I431" i="15" s="1"/>
  <c r="B498" i="14"/>
  <c r="E164" i="25"/>
  <c r="AK217" i="14" l="1"/>
  <c r="J499" i="14"/>
  <c r="C499" i="14"/>
  <c r="D499" i="14" s="1"/>
  <c r="E500" i="14"/>
  <c r="Q499" i="14"/>
  <c r="B499" i="14"/>
  <c r="H432" i="15"/>
  <c r="I432" i="15" s="1"/>
  <c r="E138" i="26"/>
  <c r="E164" i="26"/>
  <c r="L137" i="26" l="1"/>
  <c r="L142" i="26"/>
  <c r="J138" i="26"/>
  <c r="J137" i="26"/>
  <c r="K140" i="26"/>
  <c r="K143" i="26"/>
  <c r="H138" i="26"/>
  <c r="H144" i="26"/>
  <c r="M144" i="26"/>
  <c r="M139" i="26"/>
  <c r="I142" i="26"/>
  <c r="I145" i="26"/>
  <c r="G145" i="26"/>
  <c r="L145" i="26"/>
  <c r="L139" i="26"/>
  <c r="J140" i="26"/>
  <c r="K138" i="26"/>
  <c r="H141" i="26"/>
  <c r="M140" i="26"/>
  <c r="I143" i="26"/>
  <c r="G138" i="26"/>
  <c r="L140" i="26"/>
  <c r="L138" i="26"/>
  <c r="J142" i="26"/>
  <c r="J139" i="26"/>
  <c r="J144" i="26"/>
  <c r="K139" i="26"/>
  <c r="K142" i="26"/>
  <c r="K145" i="26"/>
  <c r="H139" i="26"/>
  <c r="H145" i="26"/>
  <c r="M137" i="26"/>
  <c r="M143" i="26"/>
  <c r="M141" i="26"/>
  <c r="I144" i="26"/>
  <c r="I141" i="26"/>
  <c r="G139" i="26"/>
  <c r="G140" i="26"/>
  <c r="G144" i="26"/>
  <c r="L143" i="26"/>
  <c r="K144" i="26"/>
  <c r="H140" i="26"/>
  <c r="M138" i="26"/>
  <c r="I139" i="26"/>
  <c r="I140" i="26"/>
  <c r="L144" i="26"/>
  <c r="L141" i="26"/>
  <c r="J143" i="26"/>
  <c r="J141" i="26"/>
  <c r="J145" i="26"/>
  <c r="K141" i="26"/>
  <c r="K137" i="26"/>
  <c r="H143" i="26"/>
  <c r="H142" i="26"/>
  <c r="H137" i="26"/>
  <c r="M145" i="26"/>
  <c r="M142" i="26"/>
  <c r="I137" i="26"/>
  <c r="I138" i="26"/>
  <c r="G142" i="26"/>
  <c r="G137" i="26"/>
  <c r="G143" i="26"/>
  <c r="G141" i="26"/>
  <c r="AK218" i="14"/>
  <c r="AH217" i="14"/>
  <c r="C500" i="14"/>
  <c r="D500" i="14" s="1"/>
  <c r="E501" i="14"/>
  <c r="H433" i="15"/>
  <c r="I433" i="15" s="1"/>
  <c r="B500" i="14"/>
  <c r="J500" i="14"/>
  <c r="Q500" i="14"/>
  <c r="E164" i="27"/>
  <c r="AH218" i="14" l="1"/>
  <c r="AK219" i="14"/>
  <c r="Q501" i="14"/>
  <c r="J501" i="14"/>
  <c r="E502" i="14"/>
  <c r="B501" i="14"/>
  <c r="C501" i="14"/>
  <c r="D501" i="14" s="1"/>
  <c r="H434" i="15"/>
  <c r="I434" i="15" s="1"/>
  <c r="E164" i="28"/>
  <c r="AK220" i="14" l="1"/>
  <c r="AH219" i="14"/>
  <c r="J502" i="14"/>
  <c r="Q502" i="14"/>
  <c r="C502" i="14"/>
  <c r="D502" i="14" s="1"/>
  <c r="B502" i="14"/>
  <c r="H435" i="15"/>
  <c r="I435" i="15" s="1"/>
  <c r="E503" i="14"/>
  <c r="AH220" i="14" l="1"/>
  <c r="AK221" i="14"/>
  <c r="C503" i="14"/>
  <c r="D503" i="14" s="1"/>
  <c r="J503" i="14"/>
  <c r="B503" i="14"/>
  <c r="E504" i="14"/>
  <c r="H436" i="15"/>
  <c r="I436" i="15" s="1"/>
  <c r="Q503" i="14"/>
  <c r="AH221" i="14" l="1"/>
  <c r="AK222" i="14"/>
  <c r="AK223" i="14" s="1"/>
  <c r="C504" i="14"/>
  <c r="D504" i="14" s="1"/>
  <c r="B504" i="14"/>
  <c r="H437" i="15"/>
  <c r="I437" i="15" s="1"/>
  <c r="J504" i="14"/>
  <c r="E505" i="14"/>
  <c r="Q504" i="14"/>
  <c r="AH223" i="14" l="1"/>
  <c r="AK224" i="14"/>
  <c r="AH222" i="14"/>
  <c r="H438" i="15"/>
  <c r="I438" i="15" s="1"/>
  <c r="B505" i="14"/>
  <c r="E506" i="14"/>
  <c r="C505" i="14"/>
  <c r="D505" i="14" s="1"/>
  <c r="J505" i="14"/>
  <c r="Q505" i="14"/>
  <c r="AH224" i="14" l="1"/>
  <c r="AK225" i="14"/>
  <c r="B506" i="14"/>
  <c r="E507" i="14"/>
  <c r="Q506" i="14"/>
  <c r="J506" i="14"/>
  <c r="H439" i="15"/>
  <c r="I439" i="15" s="1"/>
  <c r="C506" i="14"/>
  <c r="D506" i="14" s="1"/>
  <c r="AK226" i="14" l="1"/>
  <c r="AH226" i="14" s="1"/>
  <c r="AH225" i="14"/>
  <c r="Q507" i="14"/>
  <c r="B507" i="14"/>
  <c r="J507" i="14"/>
  <c r="C507" i="14"/>
  <c r="D507" i="14" s="1"/>
  <c r="H440" i="15"/>
  <c r="I440" i="15" s="1"/>
  <c r="E508" i="14"/>
  <c r="AK227" i="14" l="1"/>
  <c r="J508" i="14"/>
  <c r="B508" i="14"/>
  <c r="Q508" i="14"/>
  <c r="C508" i="14"/>
  <c r="D508" i="14" s="1"/>
  <c r="H441" i="15"/>
  <c r="I441" i="15" s="1"/>
  <c r="E509" i="14"/>
  <c r="AK228" i="14" l="1"/>
  <c r="AH228" i="14" s="1"/>
  <c r="AH227" i="14"/>
  <c r="B509" i="14"/>
  <c r="H442" i="15"/>
  <c r="I442" i="15" s="1"/>
  <c r="Q509" i="14"/>
  <c r="C509" i="14"/>
  <c r="D509" i="14" s="1"/>
  <c r="E510" i="14"/>
  <c r="J509" i="14"/>
  <c r="AK229" i="14" l="1"/>
  <c r="AK230" i="14" s="1"/>
  <c r="AK231" i="14" s="1"/>
  <c r="AK232" i="14" s="1"/>
  <c r="B510" i="14"/>
  <c r="Q510" i="14"/>
  <c r="E511" i="14"/>
  <c r="C510" i="14"/>
  <c r="D510" i="14" s="1"/>
  <c r="H443" i="15"/>
  <c r="I443" i="15" s="1"/>
  <c r="J510" i="14"/>
  <c r="AH229" i="14" l="1"/>
  <c r="AH231" i="14"/>
  <c r="AH230" i="14"/>
  <c r="AH232" i="14"/>
  <c r="AK233" i="14"/>
  <c r="E512" i="14"/>
  <c r="C511" i="14"/>
  <c r="D511" i="14" s="1"/>
  <c r="Q511" i="14"/>
  <c r="H444" i="15"/>
  <c r="I444" i="15" s="1"/>
  <c r="J511" i="14"/>
  <c r="B511" i="14"/>
  <c r="AH233" i="14" l="1"/>
  <c r="AK234" i="14"/>
  <c r="J512" i="14"/>
  <c r="E513" i="14"/>
  <c r="C512" i="14"/>
  <c r="D512" i="14" s="1"/>
  <c r="Q512" i="14"/>
  <c r="H445" i="15"/>
  <c r="I445" i="15" s="1"/>
  <c r="B512" i="14"/>
  <c r="AH234" i="14" l="1"/>
  <c r="AK235" i="14"/>
  <c r="E514" i="14"/>
  <c r="C513" i="14"/>
  <c r="D513" i="14" s="1"/>
  <c r="Q513" i="14"/>
  <c r="H446" i="15"/>
  <c r="I446" i="15" s="1"/>
  <c r="J513" i="14"/>
  <c r="B513" i="14"/>
  <c r="AH235" i="14" l="1"/>
  <c r="AK236" i="14"/>
  <c r="E515" i="14"/>
  <c r="C514" i="14"/>
  <c r="D514" i="14" s="1"/>
  <c r="Q514" i="14"/>
  <c r="J514" i="14"/>
  <c r="H447" i="15"/>
  <c r="I447" i="15" s="1"/>
  <c r="B514" i="14"/>
  <c r="AH236" i="14" l="1"/>
  <c r="AK237" i="14"/>
  <c r="C515" i="14"/>
  <c r="D515" i="14" s="1"/>
  <c r="H448" i="15"/>
  <c r="I448" i="15" s="1"/>
  <c r="J515" i="14"/>
  <c r="B515" i="14"/>
  <c r="Q515" i="14"/>
  <c r="E516" i="14"/>
  <c r="AH237" i="14" l="1"/>
  <c r="AK238" i="14"/>
  <c r="J516" i="14"/>
  <c r="Q516" i="14"/>
  <c r="C516" i="14"/>
  <c r="D516" i="14" s="1"/>
  <c r="B516" i="14"/>
  <c r="E517" i="14"/>
  <c r="H449" i="15"/>
  <c r="I449" i="15" s="1"/>
  <c r="AH238" i="14" l="1"/>
  <c r="Q517" i="14"/>
  <c r="H450" i="15"/>
  <c r="I450" i="15" s="1"/>
  <c r="B517" i="14"/>
  <c r="C517" i="14"/>
  <c r="D517" i="14" s="1"/>
  <c r="J517" i="14"/>
  <c r="E518" i="14"/>
  <c r="Q518" i="14" l="1"/>
  <c r="J518" i="14"/>
  <c r="H451" i="15"/>
  <c r="I451" i="15" s="1"/>
  <c r="C518" i="14"/>
  <c r="D518" i="14" s="1"/>
  <c r="B518" i="14"/>
  <c r="E519" i="14"/>
  <c r="B519" i="14" l="1"/>
  <c r="E520" i="14"/>
  <c r="H452" i="15"/>
  <c r="I452" i="15" s="1"/>
  <c r="C519" i="14"/>
  <c r="D519" i="14" s="1"/>
  <c r="Q519" i="14"/>
  <c r="J519" i="14"/>
  <c r="H453" i="15" l="1"/>
  <c r="I453" i="15" s="1"/>
  <c r="Q520" i="14"/>
  <c r="J520" i="14"/>
  <c r="C520" i="14"/>
  <c r="D520" i="14" s="1"/>
  <c r="E521" i="14"/>
  <c r="B520" i="14"/>
  <c r="B521" i="14" l="1"/>
  <c r="C521" i="14"/>
  <c r="D521" i="14" s="1"/>
  <c r="Q521" i="14"/>
  <c r="H454" i="15"/>
  <c r="I454" i="15" s="1"/>
  <c r="E522" i="14"/>
  <c r="J521" i="14"/>
  <c r="B522" i="14" l="1"/>
  <c r="Q522" i="14"/>
  <c r="J522" i="14"/>
  <c r="E523" i="14"/>
  <c r="C522" i="14"/>
  <c r="D522" i="14" s="1"/>
  <c r="H455" i="15"/>
  <c r="I455" i="15" s="1"/>
  <c r="C523" i="14" l="1"/>
  <c r="D523" i="14" s="1"/>
  <c r="J523" i="14"/>
  <c r="H456" i="15"/>
  <c r="I456" i="15" s="1"/>
  <c r="Q523" i="14"/>
  <c r="B523" i="14"/>
  <c r="E524" i="14"/>
  <c r="J524" i="14" l="1"/>
  <c r="Q524" i="14"/>
  <c r="E525" i="14"/>
  <c r="C524" i="14"/>
  <c r="D524" i="14" s="1"/>
  <c r="B524" i="14"/>
  <c r="H457" i="15"/>
  <c r="I457" i="15" s="1"/>
  <c r="H458" i="15" l="1"/>
  <c r="I458" i="15" s="1"/>
  <c r="C525" i="14"/>
  <c r="D525" i="14" s="1"/>
  <c r="E526" i="14"/>
  <c r="B525" i="14"/>
  <c r="Q525" i="14"/>
  <c r="J525" i="14"/>
  <c r="E527" i="14" l="1"/>
  <c r="Q526" i="14"/>
  <c r="J526" i="14"/>
  <c r="C526" i="14"/>
  <c r="D526" i="14" s="1"/>
  <c r="B526" i="14"/>
  <c r="H459" i="15"/>
  <c r="I459" i="15" s="1"/>
  <c r="B527" i="14" l="1"/>
  <c r="E528" i="14"/>
  <c r="C527" i="14"/>
  <c r="D527" i="14" s="1"/>
  <c r="Q527" i="14"/>
  <c r="H460" i="15"/>
  <c r="I460" i="15" s="1"/>
  <c r="J527" i="14"/>
  <c r="B528" i="14" l="1"/>
  <c r="H461" i="15"/>
  <c r="I461" i="15" s="1"/>
  <c r="J528" i="14"/>
  <c r="E529" i="14"/>
  <c r="Q528" i="14"/>
  <c r="C528" i="14"/>
  <c r="D528" i="14" s="1"/>
  <c r="E530" i="14" l="1"/>
  <c r="B529" i="14"/>
  <c r="H462" i="15"/>
  <c r="I462" i="15" s="1"/>
  <c r="C529" i="14"/>
  <c r="D529" i="14" s="1"/>
  <c r="J529" i="14"/>
  <c r="Q529" i="14"/>
  <c r="D33" i="1"/>
  <c r="J530" i="14" l="1"/>
  <c r="C530" i="14"/>
  <c r="D530" i="14" s="1"/>
  <c r="H463" i="15"/>
  <c r="I463" i="15" s="1"/>
  <c r="B530" i="14"/>
  <c r="E531" i="14"/>
  <c r="Q530" i="14"/>
  <c r="C531" i="14" l="1"/>
  <c r="D531" i="14" s="1"/>
  <c r="J531" i="14"/>
  <c r="H464" i="15"/>
  <c r="I464" i="15" s="1"/>
  <c r="B531" i="14"/>
  <c r="Q531" i="14"/>
  <c r="E532" i="14"/>
  <c r="H465" i="15" l="1"/>
  <c r="I465" i="15" s="1"/>
  <c r="E533" i="14"/>
  <c r="J532" i="14"/>
  <c r="B532" i="14"/>
  <c r="Q532" i="14"/>
  <c r="C532" i="14"/>
  <c r="D532" i="14" s="1"/>
  <c r="J533" i="14" l="1"/>
  <c r="H466" i="15"/>
  <c r="I466" i="15" s="1"/>
  <c r="C533" i="14"/>
  <c r="D533" i="14" s="1"/>
  <c r="E534" i="14"/>
  <c r="B533" i="14"/>
  <c r="Q533" i="14"/>
  <c r="C534" i="14" l="1"/>
  <c r="D534" i="14" s="1"/>
  <c r="Q534" i="14"/>
  <c r="B534" i="14"/>
  <c r="H467" i="15"/>
  <c r="I467" i="15" s="1"/>
  <c r="J534" i="14"/>
  <c r="E535" i="14"/>
  <c r="E536" i="14" l="1"/>
  <c r="B535" i="14"/>
  <c r="Q535" i="14"/>
  <c r="C535" i="14"/>
  <c r="D535" i="14" s="1"/>
  <c r="H468" i="15"/>
  <c r="I468" i="15" s="1"/>
  <c r="J535" i="14"/>
  <c r="J536" i="14" l="1"/>
  <c r="E537" i="14"/>
  <c r="H469" i="15"/>
  <c r="I469" i="15" s="1"/>
  <c r="B536" i="14"/>
  <c r="C536" i="14"/>
  <c r="D536" i="14" s="1"/>
  <c r="Q536" i="14"/>
  <c r="H470" i="15" l="1"/>
  <c r="I470" i="15" s="1"/>
  <c r="C537" i="14"/>
  <c r="D537" i="14" s="1"/>
  <c r="B537" i="14"/>
  <c r="E538" i="14"/>
  <c r="Q537" i="14"/>
  <c r="J537" i="14"/>
  <c r="H471" i="15" l="1"/>
  <c r="I471" i="15" s="1"/>
  <c r="E539" i="14"/>
  <c r="B538" i="14"/>
  <c r="Q538" i="14"/>
  <c r="J538" i="14"/>
  <c r="C538" i="14"/>
  <c r="D538" i="14" s="1"/>
  <c r="Q539" i="14" l="1"/>
  <c r="E540" i="14"/>
  <c r="B539" i="14"/>
  <c r="H472" i="15"/>
  <c r="I472" i="15" s="1"/>
  <c r="J539" i="14"/>
  <c r="C539" i="14"/>
  <c r="D539" i="14" s="1"/>
  <c r="C540" i="14" l="1"/>
  <c r="D540" i="14" s="1"/>
  <c r="J540" i="14"/>
  <c r="E541" i="14"/>
  <c r="H473" i="15"/>
  <c r="I473" i="15" s="1"/>
  <c r="B540" i="14"/>
  <c r="Q540" i="14"/>
  <c r="H474" i="15" l="1"/>
  <c r="I474" i="15" s="1"/>
  <c r="C541" i="14"/>
  <c r="D541" i="14" s="1"/>
  <c r="B541" i="14"/>
  <c r="E542" i="14"/>
  <c r="J541" i="14"/>
  <c r="Q541" i="14"/>
  <c r="C542" i="14" l="1"/>
  <c r="D542" i="14" s="1"/>
  <c r="E543" i="14"/>
  <c r="H475" i="15"/>
  <c r="I475" i="15" s="1"/>
  <c r="Q542" i="14"/>
  <c r="J542" i="14"/>
  <c r="B542" i="14"/>
  <c r="C543" i="14" l="1"/>
  <c r="D543" i="14" s="1"/>
  <c r="E544" i="14"/>
  <c r="Q543" i="14"/>
  <c r="B543" i="14"/>
  <c r="H476" i="15"/>
  <c r="I476" i="15" s="1"/>
  <c r="J543" i="14"/>
  <c r="J544" i="14" l="1"/>
  <c r="Q544" i="14"/>
  <c r="H477" i="15"/>
  <c r="I477" i="15" s="1"/>
  <c r="B544" i="14"/>
  <c r="C544" i="14"/>
  <c r="D544" i="14" s="1"/>
  <c r="E545" i="14"/>
  <c r="AE36" i="18"/>
  <c r="E36" i="18" s="1"/>
  <c r="H48" i="18" s="1"/>
  <c r="BG50" i="30" s="1"/>
  <c r="AE10" i="24"/>
  <c r="E10" i="24" s="1"/>
  <c r="G395" i="14" s="1"/>
  <c r="AE21" i="23"/>
  <c r="E21" i="23" s="1"/>
  <c r="G375" i="14" s="1"/>
  <c r="T375" i="14" s="1"/>
  <c r="AE20" i="24"/>
  <c r="E20" i="24" s="1"/>
  <c r="G405" i="14" s="1"/>
  <c r="AE14" i="24"/>
  <c r="E14" i="24" s="1"/>
  <c r="G399" i="14" s="1"/>
  <c r="AE37" i="24"/>
  <c r="E37" i="24" s="1"/>
  <c r="G422" i="14" s="1"/>
  <c r="AE32" i="24"/>
  <c r="E32" i="24" s="1"/>
  <c r="G417" i="14" s="1"/>
  <c r="AE21" i="24"/>
  <c r="E21" i="24" s="1"/>
  <c r="G406" i="14" s="1"/>
  <c r="AE34" i="24"/>
  <c r="E34" i="24" s="1"/>
  <c r="G419" i="14" s="1"/>
  <c r="AE27" i="24"/>
  <c r="E27" i="24" s="1"/>
  <c r="G412" i="14" s="1"/>
  <c r="AE30" i="24"/>
  <c r="E30" i="24" s="1"/>
  <c r="G415" i="14" s="1"/>
  <c r="AE19" i="23"/>
  <c r="E19" i="23" s="1"/>
  <c r="AE28" i="23"/>
  <c r="E28" i="23" s="1"/>
  <c r="G382" i="14" s="1"/>
  <c r="T382" i="14" s="1"/>
  <c r="AE26" i="23"/>
  <c r="E26" i="23" s="1"/>
  <c r="G380" i="14" s="1"/>
  <c r="T380" i="14" s="1"/>
  <c r="AE25" i="24"/>
  <c r="E25" i="24" s="1"/>
  <c r="G410" i="14" s="1"/>
  <c r="AE20" i="23"/>
  <c r="E20" i="23" s="1"/>
  <c r="G374" i="14" s="1"/>
  <c r="T374" i="14" s="1"/>
  <c r="AE13" i="24"/>
  <c r="E13" i="24" s="1"/>
  <c r="G398" i="14" s="1"/>
  <c r="AE38" i="23"/>
  <c r="E38" i="23" s="1"/>
  <c r="AE33" i="24"/>
  <c r="E33" i="24" s="1"/>
  <c r="G418" i="14" s="1"/>
  <c r="AE19" i="24"/>
  <c r="E19" i="24" s="1"/>
  <c r="G404" i="14" s="1"/>
  <c r="AE12" i="24"/>
  <c r="E12" i="24" s="1"/>
  <c r="G397" i="14" s="1"/>
  <c r="AE26" i="24"/>
  <c r="E26" i="24" s="1"/>
  <c r="G411" i="14" s="1"/>
  <c r="AE25" i="23"/>
  <c r="E25" i="23" s="1"/>
  <c r="G379" i="14" s="1"/>
  <c r="T379" i="14" s="1"/>
  <c r="AE30" i="23"/>
  <c r="E30" i="23" s="1"/>
  <c r="G384" i="14" s="1"/>
  <c r="T384" i="14" s="1"/>
  <c r="AE33" i="23"/>
  <c r="E33" i="23" s="1"/>
  <c r="G387" i="14" s="1"/>
  <c r="T387" i="14" s="1"/>
  <c r="AE23" i="24"/>
  <c r="E23" i="24" s="1"/>
  <c r="G408" i="14" s="1"/>
  <c r="AE22" i="24"/>
  <c r="E22" i="24" s="1"/>
  <c r="G407" i="14" s="1"/>
  <c r="AE18" i="24"/>
  <c r="E18" i="24" s="1"/>
  <c r="G403" i="14" s="1"/>
  <c r="AE28" i="24"/>
  <c r="E28" i="24" s="1"/>
  <c r="G413" i="14" s="1"/>
  <c r="AE34" i="23"/>
  <c r="E34" i="23" s="1"/>
  <c r="G388" i="14" s="1"/>
  <c r="T388" i="14" s="1"/>
  <c r="AE16" i="24"/>
  <c r="E16" i="24" s="1"/>
  <c r="G401" i="14" s="1"/>
  <c r="AE29" i="24"/>
  <c r="E29" i="24" s="1"/>
  <c r="G414" i="14" s="1"/>
  <c r="AE24" i="24"/>
  <c r="E24" i="24" s="1"/>
  <c r="G409" i="14" s="1"/>
  <c r="AE22" i="23"/>
  <c r="E22" i="23" s="1"/>
  <c r="G376" i="14" s="1"/>
  <c r="T376" i="14" s="1"/>
  <c r="AE36" i="24"/>
  <c r="E36" i="24" s="1"/>
  <c r="G421" i="14" s="1"/>
  <c r="AE29" i="23"/>
  <c r="E29" i="23" s="1"/>
  <c r="G383" i="14" s="1"/>
  <c r="T383" i="14" s="1"/>
  <c r="AE9" i="24"/>
  <c r="E9" i="24" s="1"/>
  <c r="G394" i="14" s="1"/>
  <c r="AE38" i="24"/>
  <c r="E38" i="24" s="1"/>
  <c r="G423" i="14" s="1"/>
  <c r="AE31" i="23"/>
  <c r="E31" i="23" s="1"/>
  <c r="G385" i="14" s="1"/>
  <c r="T385" i="14" s="1"/>
  <c r="AE35" i="23"/>
  <c r="E35" i="23" s="1"/>
  <c r="G389" i="14" s="1"/>
  <c r="T389" i="14" s="1"/>
  <c r="AE15" i="24"/>
  <c r="E15" i="24" s="1"/>
  <c r="G400" i="14" s="1"/>
  <c r="AE8" i="24"/>
  <c r="E8" i="24" s="1"/>
  <c r="AE23" i="23"/>
  <c r="E23" i="23" s="1"/>
  <c r="G377" i="14" s="1"/>
  <c r="T377" i="14" s="1"/>
  <c r="AE36" i="23"/>
  <c r="E36" i="23" s="1"/>
  <c r="G390" i="14" s="1"/>
  <c r="T390" i="14" s="1"/>
  <c r="AE32" i="23"/>
  <c r="E32" i="23" s="1"/>
  <c r="G386" i="14" s="1"/>
  <c r="T386" i="14" s="1"/>
  <c r="AE9" i="25"/>
  <c r="E9" i="25" s="1"/>
  <c r="G425" i="14" s="1"/>
  <c r="AE27" i="23"/>
  <c r="E27" i="23" s="1"/>
  <c r="G381" i="14" s="1"/>
  <c r="T381" i="14" s="1"/>
  <c r="AE17" i="24"/>
  <c r="E17" i="24" s="1"/>
  <c r="G402" i="14" s="1"/>
  <c r="AE24" i="23"/>
  <c r="E24" i="23" s="1"/>
  <c r="G378" i="14" s="1"/>
  <c r="T378" i="14" s="1"/>
  <c r="AE31" i="24"/>
  <c r="E31" i="24" s="1"/>
  <c r="G416" i="14" s="1"/>
  <c r="AE35" i="24"/>
  <c r="E35" i="24" s="1"/>
  <c r="G420" i="14" s="1"/>
  <c r="AE8" i="25"/>
  <c r="E8" i="25" s="1"/>
  <c r="AE11" i="24"/>
  <c r="E11" i="24" s="1"/>
  <c r="G396" i="14" s="1"/>
  <c r="AE37" i="23"/>
  <c r="E37" i="23" s="1"/>
  <c r="G391" i="14" s="1"/>
  <c r="T391" i="14" s="1"/>
  <c r="AE10" i="25"/>
  <c r="E10" i="25" s="1"/>
  <c r="G426" i="14" s="1"/>
  <c r="AE11" i="25"/>
  <c r="E11" i="25" s="1"/>
  <c r="G427" i="14" s="1"/>
  <c r="AE12" i="25"/>
  <c r="E12" i="25" s="1"/>
  <c r="G428" i="14" s="1"/>
  <c r="AE14" i="25"/>
  <c r="E14" i="25" s="1"/>
  <c r="G430" i="14" s="1"/>
  <c r="AE13" i="25"/>
  <c r="E13" i="25" s="1"/>
  <c r="G429" i="14" s="1"/>
  <c r="AE16" i="25"/>
  <c r="E16" i="25" s="1"/>
  <c r="G432" i="14" s="1"/>
  <c r="AE15" i="25"/>
  <c r="E15" i="25" s="1"/>
  <c r="G431" i="14" s="1"/>
  <c r="AE34" i="27"/>
  <c r="E34" i="27" s="1"/>
  <c r="G511" i="14" s="1"/>
  <c r="T511" i="14" s="1"/>
  <c r="AE18" i="27"/>
  <c r="E18" i="27" s="1"/>
  <c r="AE31" i="28"/>
  <c r="E31" i="28" s="1"/>
  <c r="G538" i="14" s="1"/>
  <c r="AE31" i="27"/>
  <c r="E31" i="27" s="1"/>
  <c r="G508" i="14" s="1"/>
  <c r="T508" i="14" s="1"/>
  <c r="AE34" i="28"/>
  <c r="E34" i="28" s="1"/>
  <c r="G541" i="14" s="1"/>
  <c r="AE21" i="27"/>
  <c r="E21" i="27" s="1"/>
  <c r="G498" i="14" s="1"/>
  <c r="T498" i="14" s="1"/>
  <c r="AE25" i="27"/>
  <c r="E25" i="27" s="1"/>
  <c r="G502" i="14" s="1"/>
  <c r="T502" i="14" s="1"/>
  <c r="AE14" i="28"/>
  <c r="E14" i="28" s="1"/>
  <c r="G521" i="14" s="1"/>
  <c r="AE32" i="27"/>
  <c r="E32" i="27" s="1"/>
  <c r="G509" i="14" s="1"/>
  <c r="T509" i="14" s="1"/>
  <c r="AE22" i="28"/>
  <c r="E22" i="28" s="1"/>
  <c r="G529" i="14" s="1"/>
  <c r="AE10" i="28"/>
  <c r="E10" i="28" s="1"/>
  <c r="G517" i="14" s="1"/>
  <c r="AE20" i="27"/>
  <c r="E20" i="27" s="1"/>
  <c r="G497" i="14" s="1"/>
  <c r="T497" i="14" s="1"/>
  <c r="AE36" i="27"/>
  <c r="E36" i="27" s="1"/>
  <c r="G513" i="14" s="1"/>
  <c r="T513" i="14" s="1"/>
  <c r="AE27" i="28"/>
  <c r="E27" i="28" s="1"/>
  <c r="G534" i="14" s="1"/>
  <c r="AE23" i="28"/>
  <c r="E23" i="28" s="1"/>
  <c r="G530" i="14" s="1"/>
  <c r="AE24" i="28"/>
  <c r="E24" i="28" s="1"/>
  <c r="G531" i="14" s="1"/>
  <c r="AE28" i="27"/>
  <c r="E28" i="27" s="1"/>
  <c r="G505" i="14" s="1"/>
  <c r="T505" i="14" s="1"/>
  <c r="AE15" i="28"/>
  <c r="E15" i="28" s="1"/>
  <c r="G522" i="14" s="1"/>
  <c r="AE26" i="27"/>
  <c r="E26" i="27" s="1"/>
  <c r="G503" i="14" s="1"/>
  <c r="T503" i="14" s="1"/>
  <c r="AE25" i="28"/>
  <c r="E25" i="28" s="1"/>
  <c r="G532" i="14" s="1"/>
  <c r="AE18" i="28"/>
  <c r="E18" i="28" s="1"/>
  <c r="G525" i="14" s="1"/>
  <c r="AE16" i="28"/>
  <c r="E16" i="28" s="1"/>
  <c r="G523" i="14" s="1"/>
  <c r="AE8" i="28"/>
  <c r="E8" i="28" s="1"/>
  <c r="AE33" i="28"/>
  <c r="E33" i="28" s="1"/>
  <c r="G540" i="14" s="1"/>
  <c r="AE33" i="27"/>
  <c r="E33" i="27" s="1"/>
  <c r="G510" i="14" s="1"/>
  <c r="T510" i="14" s="1"/>
  <c r="AE26" i="28"/>
  <c r="E26" i="28" s="1"/>
  <c r="G533" i="14" s="1"/>
  <c r="AE29" i="27"/>
  <c r="E29" i="27" s="1"/>
  <c r="G506" i="14" s="1"/>
  <c r="T506" i="14" s="1"/>
  <c r="AE28" i="28"/>
  <c r="E28" i="28" s="1"/>
  <c r="G535" i="14" s="1"/>
  <c r="AE35" i="27"/>
  <c r="E35" i="27" s="1"/>
  <c r="G512" i="14" s="1"/>
  <c r="T512" i="14" s="1"/>
  <c r="AE30" i="28"/>
  <c r="E30" i="28" s="1"/>
  <c r="G537" i="14" s="1"/>
  <c r="AE20" i="28"/>
  <c r="E20" i="28" s="1"/>
  <c r="G527" i="14" s="1"/>
  <c r="AE13" i="28"/>
  <c r="E13" i="28" s="1"/>
  <c r="G520" i="14" s="1"/>
  <c r="AE21" i="28"/>
  <c r="E21" i="28" s="1"/>
  <c r="G528" i="14" s="1"/>
  <c r="AE24" i="27"/>
  <c r="E24" i="27" s="1"/>
  <c r="G501" i="14" s="1"/>
  <c r="T501" i="14" s="1"/>
  <c r="AE27" i="27"/>
  <c r="E27" i="27" s="1"/>
  <c r="G504" i="14" s="1"/>
  <c r="T504" i="14" s="1"/>
  <c r="AE17" i="28"/>
  <c r="E17" i="28" s="1"/>
  <c r="G524" i="14" s="1"/>
  <c r="AE19" i="27"/>
  <c r="E19" i="27" s="1"/>
  <c r="G496" i="14" s="1"/>
  <c r="T496" i="14" s="1"/>
  <c r="AE35" i="28"/>
  <c r="E35" i="28" s="1"/>
  <c r="G542" i="14" s="1"/>
  <c r="AE32" i="28"/>
  <c r="E32" i="28" s="1"/>
  <c r="G539" i="14" s="1"/>
  <c r="AE22" i="27"/>
  <c r="E22" i="27" s="1"/>
  <c r="G499" i="14" s="1"/>
  <c r="T499" i="14" s="1"/>
  <c r="AE19" i="28"/>
  <c r="E19" i="28" s="1"/>
  <c r="G526" i="14" s="1"/>
  <c r="AE23" i="27"/>
  <c r="E23" i="27" s="1"/>
  <c r="G500" i="14" s="1"/>
  <c r="T500" i="14" s="1"/>
  <c r="AE37" i="27"/>
  <c r="E37" i="27" s="1"/>
  <c r="AE36" i="28"/>
  <c r="E36" i="28" s="1"/>
  <c r="G543" i="14" s="1"/>
  <c r="AE9" i="28"/>
  <c r="E9" i="28" s="1"/>
  <c r="G516" i="14" s="1"/>
  <c r="AE12" i="28"/>
  <c r="E12" i="28" s="1"/>
  <c r="G519" i="14" s="1"/>
  <c r="AE11" i="28"/>
  <c r="E11" i="28" s="1"/>
  <c r="G518" i="14" s="1"/>
  <c r="AE30" i="27"/>
  <c r="E30" i="27" s="1"/>
  <c r="G507" i="14" s="1"/>
  <c r="T507" i="14" s="1"/>
  <c r="AE29" i="28"/>
  <c r="E29" i="28" s="1"/>
  <c r="G536" i="14" s="1"/>
  <c r="G48" i="23" l="1"/>
  <c r="H48" i="27"/>
  <c r="BP50" i="30" s="1"/>
  <c r="H48" i="23"/>
  <c r="BL50" i="30" s="1"/>
  <c r="G48" i="27"/>
  <c r="BP54" i="30" s="1"/>
  <c r="AU18" i="30" s="1"/>
  <c r="L48" i="18"/>
  <c r="L128" i="18" s="1"/>
  <c r="G48" i="18"/>
  <c r="K48" i="18"/>
  <c r="K128" i="18" s="1"/>
  <c r="M48" i="18"/>
  <c r="M128" i="18" s="1"/>
  <c r="D124" i="29" s="1"/>
  <c r="F124" i="29" s="1"/>
  <c r="I48" i="18"/>
  <c r="I128" i="18" s="1"/>
  <c r="D123" i="29" s="1"/>
  <c r="F123" i="29" s="1"/>
  <c r="J48" i="18"/>
  <c r="J128" i="18" s="1"/>
  <c r="D122" i="29" s="1"/>
  <c r="F122" i="29" s="1"/>
  <c r="L48" i="27"/>
  <c r="L128" i="27" s="1"/>
  <c r="I48" i="27"/>
  <c r="I128" i="27" s="1"/>
  <c r="M48" i="27"/>
  <c r="M128" i="27" s="1"/>
  <c r="P124" i="29" s="1"/>
  <c r="K48" i="27"/>
  <c r="J48" i="27"/>
  <c r="L48" i="23"/>
  <c r="L128" i="23" s="1"/>
  <c r="I48" i="23"/>
  <c r="I128" i="23" s="1"/>
  <c r="J48" i="23"/>
  <c r="J128" i="23" s="1"/>
  <c r="K122" i="29" s="1"/>
  <c r="K48" i="23"/>
  <c r="K128" i="23" s="1"/>
  <c r="M48" i="23"/>
  <c r="M128" i="23" s="1"/>
  <c r="K124" i="29" s="1"/>
  <c r="P73" i="28"/>
  <c r="P70" i="28"/>
  <c r="Q70" i="28"/>
  <c r="P72" i="28"/>
  <c r="P71" i="28"/>
  <c r="Q73" i="28"/>
  <c r="Q127" i="29" s="1"/>
  <c r="R127" i="29" s="1"/>
  <c r="Q72" i="28"/>
  <c r="Q126" i="29" s="1"/>
  <c r="R126" i="29" s="1"/>
  <c r="Q71" i="28"/>
  <c r="T6" i="28"/>
  <c r="P6" i="28"/>
  <c r="S6" i="28"/>
  <c r="V6" i="28"/>
  <c r="R6" i="28"/>
  <c r="U6" i="28"/>
  <c r="Q6" i="28"/>
  <c r="P72" i="25"/>
  <c r="P71" i="25"/>
  <c r="P70" i="25"/>
  <c r="Q70" i="25"/>
  <c r="P73" i="25"/>
  <c r="Q72" i="25"/>
  <c r="M126" i="29" s="1"/>
  <c r="Q71" i="25"/>
  <c r="Q73" i="25"/>
  <c r="M127" i="29" s="1"/>
  <c r="V6" i="25"/>
  <c r="R6" i="25"/>
  <c r="U6" i="25"/>
  <c r="Q6" i="25"/>
  <c r="P6" i="25"/>
  <c r="T6" i="25"/>
  <c r="S6" i="25"/>
  <c r="P73" i="24"/>
  <c r="P70" i="24"/>
  <c r="Q70" i="24"/>
  <c r="P72" i="24"/>
  <c r="P71" i="24"/>
  <c r="Q73" i="24"/>
  <c r="L127" i="29" s="1"/>
  <c r="Q72" i="24"/>
  <c r="L126" i="29" s="1"/>
  <c r="Q71" i="24"/>
  <c r="T6" i="24"/>
  <c r="P6" i="24"/>
  <c r="S6" i="24"/>
  <c r="V6" i="24"/>
  <c r="R6" i="24"/>
  <c r="U6" i="24"/>
  <c r="Q6" i="24"/>
  <c r="AE37" i="28"/>
  <c r="E37" i="28" s="1"/>
  <c r="G544" i="14" s="1"/>
  <c r="B545" i="14"/>
  <c r="Q545" i="14"/>
  <c r="C545" i="14"/>
  <c r="J545" i="14"/>
  <c r="H478" i="15"/>
  <c r="I478" i="15" s="1"/>
  <c r="E14" i="15" s="1"/>
  <c r="G514" i="14"/>
  <c r="T514" i="14" s="1"/>
  <c r="J128" i="27"/>
  <c r="P122" i="29" s="1"/>
  <c r="G46" i="27"/>
  <c r="L46" i="27"/>
  <c r="L147" i="27" s="1"/>
  <c r="K128" i="27"/>
  <c r="H128" i="27"/>
  <c r="P120" i="29" s="1"/>
  <c r="J46" i="27"/>
  <c r="J147" i="27" s="1"/>
  <c r="M46" i="27"/>
  <c r="M147" i="27" s="1"/>
  <c r="H46" i="27"/>
  <c r="G495" i="14"/>
  <c r="T495" i="14" s="1"/>
  <c r="O199" i="27"/>
  <c r="P173" i="29" s="1"/>
  <c r="I46" i="27"/>
  <c r="I147" i="27" s="1"/>
  <c r="K46" i="27"/>
  <c r="I46" i="24"/>
  <c r="I147" i="24" s="1"/>
  <c r="G46" i="24"/>
  <c r="J46" i="24"/>
  <c r="J147" i="24" s="1"/>
  <c r="H46" i="24"/>
  <c r="M46" i="24"/>
  <c r="M147" i="24" s="1"/>
  <c r="K46" i="24"/>
  <c r="L46" i="24"/>
  <c r="L147" i="24" s="1"/>
  <c r="G393" i="14"/>
  <c r="O199" i="24"/>
  <c r="L173" i="29" s="1"/>
  <c r="G392" i="14"/>
  <c r="T392" i="14" s="1"/>
  <c r="G128" i="23"/>
  <c r="G424" i="14"/>
  <c r="G46" i="25"/>
  <c r="G128" i="25"/>
  <c r="I46" i="25"/>
  <c r="I147" i="25" s="1"/>
  <c r="M46" i="25"/>
  <c r="M147" i="25" s="1"/>
  <c r="H46" i="25"/>
  <c r="L46" i="25"/>
  <c r="L147" i="25" s="1"/>
  <c r="K46" i="25"/>
  <c r="J46" i="25"/>
  <c r="J147" i="25" s="1"/>
  <c r="O199" i="25"/>
  <c r="M173" i="29" s="1"/>
  <c r="G373" i="14"/>
  <c r="T373" i="14" s="1"/>
  <c r="M46" i="23"/>
  <c r="M147" i="23" s="1"/>
  <c r="H46" i="23"/>
  <c r="J46" i="23"/>
  <c r="J147" i="23" s="1"/>
  <c r="G46" i="23"/>
  <c r="K46" i="23"/>
  <c r="I46" i="23"/>
  <c r="I147" i="23" s="1"/>
  <c r="L46" i="23"/>
  <c r="L147" i="23" s="1"/>
  <c r="O199" i="23"/>
  <c r="K173" i="29" s="1"/>
  <c r="G515" i="14"/>
  <c r="G46" i="18"/>
  <c r="I46" i="18"/>
  <c r="G39" i="18"/>
  <c r="L39" i="18"/>
  <c r="L46" i="18"/>
  <c r="J46" i="18"/>
  <c r="K39" i="18"/>
  <c r="J39" i="18"/>
  <c r="H46" i="18"/>
  <c r="H128" i="18"/>
  <c r="D120" i="29" s="1"/>
  <c r="F120" i="29" s="1"/>
  <c r="G239" i="14"/>
  <c r="M39" i="18"/>
  <c r="K46" i="18"/>
  <c r="G371" i="1" s="1"/>
  <c r="M46" i="18"/>
  <c r="I39" i="18"/>
  <c r="H39" i="18"/>
  <c r="O199" i="18"/>
  <c r="D173" i="29" s="1"/>
  <c r="G324" i="1" l="1"/>
  <c r="V324" i="1"/>
  <c r="K123" i="29"/>
  <c r="P121" i="29"/>
  <c r="P123" i="29"/>
  <c r="D121" i="29"/>
  <c r="F121" i="29" s="1"/>
  <c r="K147" i="27"/>
  <c r="K146" i="27" s="1"/>
  <c r="AH371" i="1"/>
  <c r="K147" i="25"/>
  <c r="AB371" i="1"/>
  <c r="K147" i="24"/>
  <c r="K146" i="24" s="1"/>
  <c r="Y371" i="1"/>
  <c r="K147" i="23"/>
  <c r="K146" i="23" s="1"/>
  <c r="V371" i="1"/>
  <c r="G147" i="24"/>
  <c r="G146" i="24" s="1"/>
  <c r="Y324" i="1"/>
  <c r="G147" i="27"/>
  <c r="G146" i="27" s="1"/>
  <c r="AH324" i="1"/>
  <c r="G147" i="25"/>
  <c r="G146" i="25" s="1"/>
  <c r="AB324" i="1"/>
  <c r="H147" i="24"/>
  <c r="Y368" i="1"/>
  <c r="H147" i="27"/>
  <c r="H146" i="27" s="1"/>
  <c r="AH368" i="1"/>
  <c r="H147" i="23"/>
  <c r="H146" i="23" s="1"/>
  <c r="V368" i="1"/>
  <c r="H147" i="25"/>
  <c r="H146" i="25" s="1"/>
  <c r="AB368" i="1"/>
  <c r="P10" i="24"/>
  <c r="X10" i="24" s="1"/>
  <c r="BA10" i="24" s="1"/>
  <c r="P20" i="24"/>
  <c r="X20" i="24" s="1"/>
  <c r="BA20" i="24" s="1"/>
  <c r="P16" i="24"/>
  <c r="X16" i="24" s="1"/>
  <c r="BA16" i="24" s="1"/>
  <c r="P8" i="24"/>
  <c r="P12" i="24"/>
  <c r="X12" i="24" s="1"/>
  <c r="BA12" i="24" s="1"/>
  <c r="P14" i="24"/>
  <c r="X14" i="24" s="1"/>
  <c r="BA14" i="24" s="1"/>
  <c r="P11" i="24"/>
  <c r="X11" i="24" s="1"/>
  <c r="BA11" i="24" s="1"/>
  <c r="P17" i="24"/>
  <c r="X17" i="24" s="1"/>
  <c r="BA17" i="24" s="1"/>
  <c r="P18" i="24"/>
  <c r="X18" i="24" s="1"/>
  <c r="BA18" i="24" s="1"/>
  <c r="P13" i="24"/>
  <c r="X13" i="24" s="1"/>
  <c r="BA13" i="24" s="1"/>
  <c r="P15" i="24"/>
  <c r="X15" i="24" s="1"/>
  <c r="BA15" i="24" s="1"/>
  <c r="P9" i="24"/>
  <c r="X9" i="24" s="1"/>
  <c r="BA9" i="24" s="1"/>
  <c r="P21" i="24"/>
  <c r="X21" i="24" s="1"/>
  <c r="BA21" i="24" s="1"/>
  <c r="P19" i="24"/>
  <c r="X19" i="24" s="1"/>
  <c r="BA19" i="24" s="1"/>
  <c r="P22" i="24"/>
  <c r="X22" i="24" s="1"/>
  <c r="BA22" i="24" s="1"/>
  <c r="P23" i="24"/>
  <c r="X23" i="24" s="1"/>
  <c r="BA23" i="24" s="1"/>
  <c r="P24" i="24"/>
  <c r="X24" i="24" s="1"/>
  <c r="BA24" i="24" s="1"/>
  <c r="P25" i="24"/>
  <c r="X25" i="24" s="1"/>
  <c r="BA25" i="24" s="1"/>
  <c r="P26" i="24"/>
  <c r="X26" i="24" s="1"/>
  <c r="BA26" i="24" s="1"/>
  <c r="P27" i="24"/>
  <c r="X27" i="24" s="1"/>
  <c r="BA27" i="24" s="1"/>
  <c r="P28" i="24"/>
  <c r="X28" i="24" s="1"/>
  <c r="BA28" i="24" s="1"/>
  <c r="P29" i="24"/>
  <c r="X29" i="24" s="1"/>
  <c r="BA29" i="24" s="1"/>
  <c r="P30" i="24"/>
  <c r="X30" i="24" s="1"/>
  <c r="BA30" i="24" s="1"/>
  <c r="P31" i="24"/>
  <c r="X31" i="24" s="1"/>
  <c r="BA31" i="24" s="1"/>
  <c r="P32" i="24"/>
  <c r="X32" i="24" s="1"/>
  <c r="BA32" i="24" s="1"/>
  <c r="P33" i="24"/>
  <c r="X33" i="24" s="1"/>
  <c r="BA33" i="24" s="1"/>
  <c r="P34" i="24"/>
  <c r="X34" i="24" s="1"/>
  <c r="BA34" i="24" s="1"/>
  <c r="P35" i="24"/>
  <c r="X35" i="24" s="1"/>
  <c r="BA35" i="24" s="1"/>
  <c r="P36" i="24"/>
  <c r="X36" i="24" s="1"/>
  <c r="BA36" i="24" s="1"/>
  <c r="P37" i="24"/>
  <c r="X37" i="24" s="1"/>
  <c r="BA37" i="24" s="1"/>
  <c r="P38" i="24"/>
  <c r="X38" i="24" s="1"/>
  <c r="BA38" i="24" s="1"/>
  <c r="G147" i="23"/>
  <c r="G47" i="23"/>
  <c r="P8" i="25"/>
  <c r="P15" i="25"/>
  <c r="X15" i="25" s="1"/>
  <c r="BA15" i="25" s="1"/>
  <c r="P21" i="25"/>
  <c r="X21" i="25" s="1"/>
  <c r="BA21" i="25" s="1"/>
  <c r="P18" i="25"/>
  <c r="X18" i="25" s="1"/>
  <c r="BA18" i="25" s="1"/>
  <c r="P17" i="25"/>
  <c r="X17" i="25" s="1"/>
  <c r="BA17" i="25" s="1"/>
  <c r="P12" i="25"/>
  <c r="X12" i="25" s="1"/>
  <c r="BA12" i="25" s="1"/>
  <c r="P9" i="25"/>
  <c r="X9" i="25" s="1"/>
  <c r="BA9" i="25" s="1"/>
  <c r="P14" i="25"/>
  <c r="X14" i="25" s="1"/>
  <c r="BA14" i="25" s="1"/>
  <c r="P19" i="25"/>
  <c r="X19" i="25" s="1"/>
  <c r="BA19" i="25" s="1"/>
  <c r="P16" i="25"/>
  <c r="X16" i="25" s="1"/>
  <c r="BA16" i="25" s="1"/>
  <c r="P13" i="25"/>
  <c r="X13" i="25" s="1"/>
  <c r="BA13" i="25" s="1"/>
  <c r="P20" i="25"/>
  <c r="P10" i="25"/>
  <c r="X10" i="25" s="1"/>
  <c r="BA10" i="25" s="1"/>
  <c r="P11" i="25"/>
  <c r="X11" i="25" s="1"/>
  <c r="BA11" i="25" s="1"/>
  <c r="P22" i="25"/>
  <c r="X22" i="25" s="1"/>
  <c r="BA22" i="25" s="1"/>
  <c r="P23" i="25"/>
  <c r="X23" i="25" s="1"/>
  <c r="BA23" i="25" s="1"/>
  <c r="P24" i="25"/>
  <c r="X24" i="25" s="1"/>
  <c r="BA24" i="25" s="1"/>
  <c r="P25" i="25"/>
  <c r="X25" i="25" s="1"/>
  <c r="BA25" i="25" s="1"/>
  <c r="P26" i="25"/>
  <c r="X26" i="25" s="1"/>
  <c r="BA26" i="25" s="1"/>
  <c r="P27" i="25"/>
  <c r="X27" i="25" s="1"/>
  <c r="BA27" i="25" s="1"/>
  <c r="P28" i="25"/>
  <c r="X28" i="25" s="1"/>
  <c r="BA28" i="25" s="1"/>
  <c r="P29" i="25"/>
  <c r="X29" i="25" s="1"/>
  <c r="BA29" i="25" s="1"/>
  <c r="P30" i="25"/>
  <c r="X30" i="25" s="1"/>
  <c r="BA30" i="25" s="1"/>
  <c r="P31" i="25"/>
  <c r="X31" i="25" s="1"/>
  <c r="BA31" i="25" s="1"/>
  <c r="P32" i="25"/>
  <c r="X32" i="25" s="1"/>
  <c r="BA32" i="25" s="1"/>
  <c r="P33" i="25"/>
  <c r="X33" i="25" s="1"/>
  <c r="BA33" i="25" s="1"/>
  <c r="P34" i="25"/>
  <c r="X34" i="25" s="1"/>
  <c r="BA34" i="25" s="1"/>
  <c r="P35" i="25"/>
  <c r="X35" i="25" s="1"/>
  <c r="BA35" i="25" s="1"/>
  <c r="P36" i="25"/>
  <c r="X36" i="25" s="1"/>
  <c r="BA36" i="25" s="1"/>
  <c r="P37" i="25"/>
  <c r="X37" i="25" s="1"/>
  <c r="BA37" i="25" s="1"/>
  <c r="P16" i="28"/>
  <c r="X16" i="28" s="1"/>
  <c r="BA16" i="28" s="1"/>
  <c r="P11" i="28"/>
  <c r="X11" i="28" s="1"/>
  <c r="BA11" i="28" s="1"/>
  <c r="P10" i="28"/>
  <c r="X10" i="28" s="1"/>
  <c r="BA10" i="28" s="1"/>
  <c r="P14" i="28"/>
  <c r="P13" i="28"/>
  <c r="P20" i="28"/>
  <c r="X20" i="28" s="1"/>
  <c r="BA20" i="28" s="1"/>
  <c r="P8" i="28"/>
  <c r="P18" i="28"/>
  <c r="X18" i="28" s="1"/>
  <c r="BA18" i="28" s="1"/>
  <c r="P19" i="28"/>
  <c r="X19" i="28" s="1"/>
  <c r="BA19" i="28" s="1"/>
  <c r="P21" i="28"/>
  <c r="X21" i="28" s="1"/>
  <c r="BA21" i="28" s="1"/>
  <c r="P15" i="28"/>
  <c r="X15" i="28" s="1"/>
  <c r="BA15" i="28" s="1"/>
  <c r="P12" i="28"/>
  <c r="X12" i="28" s="1"/>
  <c r="BA12" i="28" s="1"/>
  <c r="P17" i="28"/>
  <c r="X17" i="28" s="1"/>
  <c r="BA17" i="28" s="1"/>
  <c r="P9" i="28"/>
  <c r="X9" i="28" s="1"/>
  <c r="BA9" i="28" s="1"/>
  <c r="P22" i="28"/>
  <c r="X22" i="28" s="1"/>
  <c r="BA22" i="28" s="1"/>
  <c r="P23" i="28"/>
  <c r="X23" i="28" s="1"/>
  <c r="BA23" i="28" s="1"/>
  <c r="P24" i="28"/>
  <c r="X24" i="28" s="1"/>
  <c r="BA24" i="28" s="1"/>
  <c r="P25" i="28"/>
  <c r="X25" i="28" s="1"/>
  <c r="BA25" i="28" s="1"/>
  <c r="P26" i="28"/>
  <c r="X26" i="28" s="1"/>
  <c r="BA26" i="28" s="1"/>
  <c r="P27" i="28"/>
  <c r="X27" i="28" s="1"/>
  <c r="BA27" i="28" s="1"/>
  <c r="P28" i="28"/>
  <c r="X28" i="28" s="1"/>
  <c r="BA28" i="28" s="1"/>
  <c r="P29" i="28"/>
  <c r="X29" i="28" s="1"/>
  <c r="BA29" i="28" s="1"/>
  <c r="P30" i="28"/>
  <c r="X30" i="28" s="1"/>
  <c r="BA30" i="28" s="1"/>
  <c r="P31" i="28"/>
  <c r="X31" i="28" s="1"/>
  <c r="BA31" i="28" s="1"/>
  <c r="P32" i="28"/>
  <c r="X32" i="28" s="1"/>
  <c r="BA32" i="28" s="1"/>
  <c r="P33" i="28"/>
  <c r="X33" i="28" s="1"/>
  <c r="BA33" i="28" s="1"/>
  <c r="P34" i="28"/>
  <c r="X34" i="28" s="1"/>
  <c r="BA34" i="28" s="1"/>
  <c r="P35" i="28"/>
  <c r="X35" i="28" s="1"/>
  <c r="BA35" i="28" s="1"/>
  <c r="P36" i="28"/>
  <c r="X36" i="28" s="1"/>
  <c r="BA36" i="28" s="1"/>
  <c r="P37" i="28"/>
  <c r="X37" i="28" s="1"/>
  <c r="BA37" i="28" s="1"/>
  <c r="P38" i="28"/>
  <c r="X38" i="28" s="1"/>
  <c r="BA38" i="28" s="1"/>
  <c r="L146" i="25"/>
  <c r="M146" i="23"/>
  <c r="K146" i="25"/>
  <c r="I146" i="25"/>
  <c r="L146" i="24"/>
  <c r="J146" i="24"/>
  <c r="I146" i="27"/>
  <c r="M146" i="27"/>
  <c r="L146" i="27"/>
  <c r="J146" i="27"/>
  <c r="L146" i="23"/>
  <c r="J146" i="23"/>
  <c r="M146" i="24"/>
  <c r="I146" i="24"/>
  <c r="I146" i="23"/>
  <c r="J146" i="25"/>
  <c r="M146" i="25"/>
  <c r="AJ85" i="14"/>
  <c r="AF2" i="14" s="1"/>
  <c r="AJ90" i="14"/>
  <c r="AJ86" i="14"/>
  <c r="AJ80" i="14"/>
  <c r="AJ84" i="14"/>
  <c r="AJ82" i="14"/>
  <c r="AJ88" i="14"/>
  <c r="AJ87" i="14"/>
  <c r="AJ89" i="14"/>
  <c r="AJ83" i="14"/>
  <c r="AJ81" i="14"/>
  <c r="G128" i="27"/>
  <c r="G129" i="27" s="1"/>
  <c r="M47" i="23"/>
  <c r="L47" i="23"/>
  <c r="H128" i="23"/>
  <c r="M47" i="18"/>
  <c r="M147" i="18" s="1"/>
  <c r="H47" i="18"/>
  <c r="H147" i="18" s="1"/>
  <c r="BG47" i="30"/>
  <c r="G254" i="1"/>
  <c r="H47" i="23"/>
  <c r="BL47" i="30"/>
  <c r="V254" i="1"/>
  <c r="BM47" i="30"/>
  <c r="Y254" i="1"/>
  <c r="H47" i="27"/>
  <c r="BP47" i="30"/>
  <c r="AH254" i="1"/>
  <c r="BN47" i="30"/>
  <c r="AB254" i="1"/>
  <c r="I47" i="23"/>
  <c r="Q9" i="24"/>
  <c r="Q14" i="24"/>
  <c r="Q18" i="24"/>
  <c r="Q8" i="24"/>
  <c r="AN8" i="24" s="1"/>
  <c r="Q13" i="24"/>
  <c r="Q19" i="24"/>
  <c r="Q16" i="24"/>
  <c r="Q15" i="24"/>
  <c r="Q10" i="24"/>
  <c r="Q20" i="24"/>
  <c r="Q11" i="24"/>
  <c r="Q12" i="24"/>
  <c r="Q17" i="24"/>
  <c r="Q21" i="24"/>
  <c r="Q22" i="24"/>
  <c r="Q23" i="24"/>
  <c r="Q24" i="24"/>
  <c r="Q25" i="24"/>
  <c r="Q26" i="24"/>
  <c r="Q27" i="24"/>
  <c r="Q28" i="24"/>
  <c r="Q29" i="24"/>
  <c r="Q30" i="24"/>
  <c r="Q31" i="24"/>
  <c r="Q32" i="24"/>
  <c r="Q33" i="24"/>
  <c r="Q34" i="24"/>
  <c r="Q35" i="24"/>
  <c r="Q36" i="24"/>
  <c r="Q37" i="24"/>
  <c r="Q38" i="24"/>
  <c r="Q17" i="25"/>
  <c r="Q20" i="25"/>
  <c r="Q8" i="25"/>
  <c r="AN8" i="25" s="1"/>
  <c r="Q18" i="25"/>
  <c r="Q12" i="25"/>
  <c r="Q11" i="25"/>
  <c r="Q15" i="25"/>
  <c r="Q9" i="25"/>
  <c r="Q19" i="25"/>
  <c r="Q10" i="25"/>
  <c r="Q13" i="25"/>
  <c r="Q16" i="25"/>
  <c r="Q14" i="25"/>
  <c r="Q21" i="25"/>
  <c r="Q22" i="25"/>
  <c r="Q23" i="25"/>
  <c r="Q24" i="25"/>
  <c r="Q25" i="25"/>
  <c r="Q26" i="25"/>
  <c r="Q27" i="25"/>
  <c r="Q28" i="25"/>
  <c r="Q29" i="25"/>
  <c r="Q30" i="25"/>
  <c r="Q31" i="25"/>
  <c r="Q32" i="25"/>
  <c r="Q33" i="25"/>
  <c r="Q34" i="25"/>
  <c r="Q35" i="25"/>
  <c r="Q36" i="25"/>
  <c r="Q37" i="25"/>
  <c r="Q11" i="28"/>
  <c r="Q9" i="28"/>
  <c r="Q17" i="28"/>
  <c r="Q18" i="28"/>
  <c r="Q20" i="28"/>
  <c r="Q16" i="28"/>
  <c r="Q8" i="28"/>
  <c r="AN8" i="28" s="1"/>
  <c r="Q19" i="28"/>
  <c r="Q14" i="28"/>
  <c r="Q15" i="28"/>
  <c r="Q13" i="28"/>
  <c r="Q10" i="28"/>
  <c r="Q12" i="28"/>
  <c r="Q21" i="28"/>
  <c r="Q22" i="28"/>
  <c r="Q23" i="28"/>
  <c r="Q24" i="28"/>
  <c r="Q25" i="28"/>
  <c r="Q26" i="28"/>
  <c r="Q27" i="28"/>
  <c r="Q28" i="28"/>
  <c r="Q29" i="28"/>
  <c r="Q30" i="28"/>
  <c r="Q31" i="28"/>
  <c r="Q32" i="28"/>
  <c r="Q33" i="28"/>
  <c r="Q34" i="28"/>
  <c r="Q35" i="28"/>
  <c r="Q36" i="28"/>
  <c r="Q37" i="28"/>
  <c r="Q38" i="28"/>
  <c r="M47" i="27"/>
  <c r="I47" i="18"/>
  <c r="I147" i="18" s="1"/>
  <c r="L47" i="18"/>
  <c r="L147" i="18" s="1"/>
  <c r="AU49" i="30"/>
  <c r="AF104" i="30"/>
  <c r="BP51" i="30"/>
  <c r="AU15" i="30" s="1"/>
  <c r="AF102" i="30" s="1"/>
  <c r="AH327" i="1"/>
  <c r="AN327" i="1" s="1"/>
  <c r="AH257" i="1"/>
  <c r="G47" i="27"/>
  <c r="G47" i="18"/>
  <c r="I47" i="27"/>
  <c r="J47" i="18"/>
  <c r="J147" i="18" s="1"/>
  <c r="J47" i="23"/>
  <c r="K47" i="27"/>
  <c r="AH386" i="1" s="1"/>
  <c r="V18" i="25"/>
  <c r="V10" i="25"/>
  <c r="V12" i="25"/>
  <c r="V9" i="25"/>
  <c r="V11" i="25"/>
  <c r="V20" i="25"/>
  <c r="V15" i="25"/>
  <c r="V19" i="25"/>
  <c r="V14" i="25"/>
  <c r="V16" i="25"/>
  <c r="V8" i="25"/>
  <c r="V13" i="25"/>
  <c r="V17" i="25"/>
  <c r="V21" i="25"/>
  <c r="V22" i="25"/>
  <c r="V23" i="25"/>
  <c r="V24" i="25"/>
  <c r="V25" i="25"/>
  <c r="V26" i="25"/>
  <c r="V27" i="25"/>
  <c r="V28" i="25"/>
  <c r="V29" i="25"/>
  <c r="V30" i="25"/>
  <c r="V31" i="25"/>
  <c r="V32" i="25"/>
  <c r="V33" i="25"/>
  <c r="V34" i="25"/>
  <c r="V35" i="25"/>
  <c r="V36" i="25"/>
  <c r="V37" i="25"/>
  <c r="U19" i="28"/>
  <c r="U8" i="28"/>
  <c r="AR8" i="28" s="1"/>
  <c r="U15" i="28"/>
  <c r="U20" i="28"/>
  <c r="U14" i="28"/>
  <c r="U10" i="28"/>
  <c r="U17" i="28"/>
  <c r="U9" i="28"/>
  <c r="U12" i="28"/>
  <c r="U16" i="28"/>
  <c r="U11" i="28"/>
  <c r="U18" i="28"/>
  <c r="U13" i="28"/>
  <c r="U21" i="28"/>
  <c r="U22" i="28"/>
  <c r="U23" i="28"/>
  <c r="U24" i="28"/>
  <c r="U25" i="28"/>
  <c r="U26" i="28"/>
  <c r="U27" i="28"/>
  <c r="U28" i="28"/>
  <c r="U29" i="28"/>
  <c r="U30" i="28"/>
  <c r="U31" i="28"/>
  <c r="U32" i="28"/>
  <c r="U33" i="28"/>
  <c r="U34" i="28"/>
  <c r="U35" i="28"/>
  <c r="U36" i="28"/>
  <c r="U37" i="28"/>
  <c r="U38" i="28"/>
  <c r="J47" i="27"/>
  <c r="R14" i="24"/>
  <c r="R15" i="24"/>
  <c r="R10" i="24"/>
  <c r="R11" i="24"/>
  <c r="R12" i="24"/>
  <c r="R13" i="24"/>
  <c r="R20" i="24"/>
  <c r="R16" i="24"/>
  <c r="R18" i="24"/>
  <c r="R19" i="24"/>
  <c r="R9" i="24"/>
  <c r="R8" i="24"/>
  <c r="R17" i="24"/>
  <c r="R21" i="24"/>
  <c r="R22" i="24"/>
  <c r="R23" i="24"/>
  <c r="R24" i="24"/>
  <c r="R25" i="24"/>
  <c r="R26" i="24"/>
  <c r="R27" i="24"/>
  <c r="R28" i="24"/>
  <c r="R29" i="24"/>
  <c r="R30" i="24"/>
  <c r="R31" i="24"/>
  <c r="R32" i="24"/>
  <c r="R33" i="24"/>
  <c r="R34" i="24"/>
  <c r="R35" i="24"/>
  <c r="R36" i="24"/>
  <c r="R37" i="24"/>
  <c r="R38" i="24"/>
  <c r="T20" i="24"/>
  <c r="AQ20" i="24" s="1"/>
  <c r="T10" i="24"/>
  <c r="AQ10" i="24" s="1"/>
  <c r="T18" i="24"/>
  <c r="AQ18" i="24" s="1"/>
  <c r="T13" i="24"/>
  <c r="AQ13" i="24" s="1"/>
  <c r="T19" i="24"/>
  <c r="AQ19" i="24" s="1"/>
  <c r="T17" i="24"/>
  <c r="AQ17" i="24" s="1"/>
  <c r="T15" i="24"/>
  <c r="AQ15" i="24" s="1"/>
  <c r="T14" i="24"/>
  <c r="AQ14" i="24" s="1"/>
  <c r="T16" i="24"/>
  <c r="AQ16" i="24" s="1"/>
  <c r="T8" i="24"/>
  <c r="AQ8" i="24" s="1"/>
  <c r="T9" i="24"/>
  <c r="AQ9" i="24" s="1"/>
  <c r="T12" i="24"/>
  <c r="AQ12" i="24" s="1"/>
  <c r="T11" i="24"/>
  <c r="AQ11" i="24" s="1"/>
  <c r="T21" i="24"/>
  <c r="AQ21" i="24" s="1"/>
  <c r="T22" i="24"/>
  <c r="AQ22" i="24" s="1"/>
  <c r="T23" i="24"/>
  <c r="AQ23" i="24" s="1"/>
  <c r="T24" i="24"/>
  <c r="AQ24" i="24" s="1"/>
  <c r="T25" i="24"/>
  <c r="AQ25" i="24" s="1"/>
  <c r="T26" i="24"/>
  <c r="AQ26" i="24" s="1"/>
  <c r="T27" i="24"/>
  <c r="AQ27" i="24" s="1"/>
  <c r="T28" i="24"/>
  <c r="AQ28" i="24" s="1"/>
  <c r="T29" i="24"/>
  <c r="AQ29" i="24" s="1"/>
  <c r="T30" i="24"/>
  <c r="AQ30" i="24" s="1"/>
  <c r="T31" i="24"/>
  <c r="AQ31" i="24" s="1"/>
  <c r="T32" i="24"/>
  <c r="AQ32" i="24" s="1"/>
  <c r="T33" i="24"/>
  <c r="AQ33" i="24" s="1"/>
  <c r="T34" i="24"/>
  <c r="AQ34" i="24" s="1"/>
  <c r="T35" i="24"/>
  <c r="AQ35" i="24" s="1"/>
  <c r="T36" i="24"/>
  <c r="AQ36" i="24" s="1"/>
  <c r="T37" i="24"/>
  <c r="AQ37" i="24" s="1"/>
  <c r="T38" i="24"/>
  <c r="AQ38" i="24" s="1"/>
  <c r="T16" i="25"/>
  <c r="AQ16" i="25" s="1"/>
  <c r="T13" i="25"/>
  <c r="AQ13" i="25" s="1"/>
  <c r="T9" i="25"/>
  <c r="AQ9" i="25" s="1"/>
  <c r="T20" i="25"/>
  <c r="AQ20" i="25" s="1"/>
  <c r="T14" i="25"/>
  <c r="AQ14" i="25" s="1"/>
  <c r="T8" i="25"/>
  <c r="AQ8" i="25" s="1"/>
  <c r="T19" i="25"/>
  <c r="AQ19" i="25" s="1"/>
  <c r="T17" i="25"/>
  <c r="AQ17" i="25" s="1"/>
  <c r="T12" i="25"/>
  <c r="AQ12" i="25" s="1"/>
  <c r="T10" i="25"/>
  <c r="AQ10" i="25" s="1"/>
  <c r="T18" i="25"/>
  <c r="AQ18" i="25" s="1"/>
  <c r="T15" i="25"/>
  <c r="AQ15" i="25" s="1"/>
  <c r="T11" i="25"/>
  <c r="AQ11" i="25" s="1"/>
  <c r="T21" i="25"/>
  <c r="AQ21" i="25" s="1"/>
  <c r="T22" i="25"/>
  <c r="AQ22" i="25" s="1"/>
  <c r="T23" i="25"/>
  <c r="AQ23" i="25" s="1"/>
  <c r="T24" i="25"/>
  <c r="AQ24" i="25" s="1"/>
  <c r="T25" i="25"/>
  <c r="AQ25" i="25" s="1"/>
  <c r="T26" i="25"/>
  <c r="AQ26" i="25" s="1"/>
  <c r="T27" i="25"/>
  <c r="AQ27" i="25" s="1"/>
  <c r="T28" i="25"/>
  <c r="AQ28" i="25" s="1"/>
  <c r="T29" i="25"/>
  <c r="AQ29" i="25" s="1"/>
  <c r="T30" i="25"/>
  <c r="AQ30" i="25" s="1"/>
  <c r="T31" i="25"/>
  <c r="AQ31" i="25" s="1"/>
  <c r="T32" i="25"/>
  <c r="AQ32" i="25" s="1"/>
  <c r="T33" i="25"/>
  <c r="AQ33" i="25" s="1"/>
  <c r="T34" i="25"/>
  <c r="AQ34" i="25" s="1"/>
  <c r="T35" i="25"/>
  <c r="AQ35" i="25" s="1"/>
  <c r="T36" i="25"/>
  <c r="AQ36" i="25" s="1"/>
  <c r="T37" i="25"/>
  <c r="AQ37" i="25" s="1"/>
  <c r="R11" i="25"/>
  <c r="R12" i="25"/>
  <c r="R15" i="25"/>
  <c r="R19" i="25"/>
  <c r="R20" i="25"/>
  <c r="R17" i="25"/>
  <c r="R16" i="25"/>
  <c r="R18" i="25"/>
  <c r="R14" i="25"/>
  <c r="R13" i="25"/>
  <c r="R8" i="25"/>
  <c r="R9" i="25"/>
  <c r="R10" i="25"/>
  <c r="R21" i="25"/>
  <c r="R22" i="25"/>
  <c r="R23" i="25"/>
  <c r="R24" i="25"/>
  <c r="R25" i="25"/>
  <c r="R26" i="25"/>
  <c r="R27" i="25"/>
  <c r="R28" i="25"/>
  <c r="R29" i="25"/>
  <c r="R30" i="25"/>
  <c r="R31" i="25"/>
  <c r="R32" i="25"/>
  <c r="R33" i="25"/>
  <c r="R34" i="25"/>
  <c r="R35" i="25"/>
  <c r="R36" i="25"/>
  <c r="R37" i="25"/>
  <c r="S8" i="28"/>
  <c r="AP8" i="28" s="1"/>
  <c r="CL515" i="14" s="1"/>
  <c r="S12" i="28"/>
  <c r="AP12" i="28" s="1"/>
  <c r="CL519" i="14" s="1"/>
  <c r="S11" i="28"/>
  <c r="AP11" i="28" s="1"/>
  <c r="CL518" i="14" s="1"/>
  <c r="S10" i="28"/>
  <c r="AP10" i="28" s="1"/>
  <c r="CL517" i="14" s="1"/>
  <c r="S18" i="28"/>
  <c r="AP18" i="28" s="1"/>
  <c r="CL525" i="14" s="1"/>
  <c r="S13" i="28"/>
  <c r="AP13" i="28" s="1"/>
  <c r="CL520" i="14" s="1"/>
  <c r="S19" i="28"/>
  <c r="AP19" i="28" s="1"/>
  <c r="CL526" i="14" s="1"/>
  <c r="S9" i="28"/>
  <c r="AP9" i="28" s="1"/>
  <c r="CL516" i="14" s="1"/>
  <c r="S16" i="28"/>
  <c r="AP16" i="28" s="1"/>
  <c r="CL523" i="14" s="1"/>
  <c r="S14" i="28"/>
  <c r="AP14" i="28" s="1"/>
  <c r="CL521" i="14" s="1"/>
  <c r="S20" i="28"/>
  <c r="AP20" i="28" s="1"/>
  <c r="CL527" i="14" s="1"/>
  <c r="S17" i="28"/>
  <c r="AP17" i="28" s="1"/>
  <c r="CL524" i="14" s="1"/>
  <c r="S15" i="28"/>
  <c r="AP15" i="28" s="1"/>
  <c r="CL522" i="14" s="1"/>
  <c r="S21" i="28"/>
  <c r="AP21" i="28" s="1"/>
  <c r="CL528" i="14" s="1"/>
  <c r="S22" i="28"/>
  <c r="AP22" i="28" s="1"/>
  <c r="CL529" i="14" s="1"/>
  <c r="S23" i="28"/>
  <c r="AP23" i="28" s="1"/>
  <c r="CL530" i="14" s="1"/>
  <c r="S24" i="28"/>
  <c r="AP24" i="28" s="1"/>
  <c r="CL531" i="14" s="1"/>
  <c r="S25" i="28"/>
  <c r="AP25" i="28" s="1"/>
  <c r="CL532" i="14" s="1"/>
  <c r="S26" i="28"/>
  <c r="AP26" i="28" s="1"/>
  <c r="CL533" i="14" s="1"/>
  <c r="S27" i="28"/>
  <c r="AP27" i="28" s="1"/>
  <c r="CL534" i="14" s="1"/>
  <c r="S28" i="28"/>
  <c r="AP28" i="28" s="1"/>
  <c r="CL535" i="14" s="1"/>
  <c r="S29" i="28"/>
  <c r="AP29" i="28" s="1"/>
  <c r="CL536" i="14" s="1"/>
  <c r="S30" i="28"/>
  <c r="AP30" i="28" s="1"/>
  <c r="CL537" i="14" s="1"/>
  <c r="S31" i="28"/>
  <c r="AP31" i="28" s="1"/>
  <c r="CL538" i="14" s="1"/>
  <c r="S32" i="28"/>
  <c r="AP32" i="28" s="1"/>
  <c r="CL539" i="14" s="1"/>
  <c r="S33" i="28"/>
  <c r="AP33" i="28" s="1"/>
  <c r="CL540" i="14" s="1"/>
  <c r="S34" i="28"/>
  <c r="AP34" i="28" s="1"/>
  <c r="CL541" i="14" s="1"/>
  <c r="S35" i="28"/>
  <c r="AP35" i="28" s="1"/>
  <c r="CL542" i="14" s="1"/>
  <c r="S36" i="28"/>
  <c r="AP36" i="28" s="1"/>
  <c r="CL543" i="14" s="1"/>
  <c r="S37" i="28"/>
  <c r="AP37" i="28" s="1"/>
  <c r="CL544" i="14" s="1"/>
  <c r="S38" i="28"/>
  <c r="AP38" i="28" s="1"/>
  <c r="CL545" i="14" s="1"/>
  <c r="V16" i="24"/>
  <c r="V14" i="24"/>
  <c r="V11" i="24"/>
  <c r="V18" i="24"/>
  <c r="V12" i="24"/>
  <c r="V19" i="24"/>
  <c r="V17" i="24"/>
  <c r="V9" i="24"/>
  <c r="V8" i="24"/>
  <c r="V20" i="24"/>
  <c r="V13" i="24"/>
  <c r="V10" i="24"/>
  <c r="V15" i="24"/>
  <c r="V21" i="24"/>
  <c r="V22" i="24"/>
  <c r="V23" i="24"/>
  <c r="V24" i="24"/>
  <c r="V25" i="24"/>
  <c r="V26" i="24"/>
  <c r="V27" i="24"/>
  <c r="V28" i="24"/>
  <c r="V29" i="24"/>
  <c r="V30" i="24"/>
  <c r="V31" i="24"/>
  <c r="V32" i="24"/>
  <c r="V33" i="24"/>
  <c r="V34" i="24"/>
  <c r="V35" i="24"/>
  <c r="V36" i="24"/>
  <c r="V37" i="24"/>
  <c r="V38" i="24"/>
  <c r="K47" i="23"/>
  <c r="V386" i="1" s="1"/>
  <c r="L47" i="27"/>
  <c r="S14" i="24"/>
  <c r="AP14" i="24" s="1"/>
  <c r="CL399" i="14" s="1"/>
  <c r="S17" i="24"/>
  <c r="AP17" i="24" s="1"/>
  <c r="CL402" i="14" s="1"/>
  <c r="S15" i="24"/>
  <c r="AP15" i="24" s="1"/>
  <c r="CL400" i="14" s="1"/>
  <c r="S13" i="24"/>
  <c r="AP13" i="24" s="1"/>
  <c r="CL398" i="14" s="1"/>
  <c r="S10" i="24"/>
  <c r="AP10" i="24" s="1"/>
  <c r="CL395" i="14" s="1"/>
  <c r="S16" i="24"/>
  <c r="AP16" i="24" s="1"/>
  <c r="CL401" i="14" s="1"/>
  <c r="S9" i="24"/>
  <c r="AP9" i="24" s="1"/>
  <c r="CL394" i="14" s="1"/>
  <c r="S12" i="24"/>
  <c r="AP12" i="24" s="1"/>
  <c r="CL397" i="14" s="1"/>
  <c r="S18" i="24"/>
  <c r="AP18" i="24" s="1"/>
  <c r="CL403" i="14" s="1"/>
  <c r="S20" i="24"/>
  <c r="AP20" i="24" s="1"/>
  <c r="CL405" i="14" s="1"/>
  <c r="S11" i="24"/>
  <c r="AP11" i="24" s="1"/>
  <c r="CL396" i="14" s="1"/>
  <c r="S8" i="24"/>
  <c r="AP8" i="24" s="1"/>
  <c r="CL393" i="14" s="1"/>
  <c r="S19" i="24"/>
  <c r="AP19" i="24" s="1"/>
  <c r="CL404" i="14" s="1"/>
  <c r="S21" i="24"/>
  <c r="AP21" i="24" s="1"/>
  <c r="CL406" i="14" s="1"/>
  <c r="S22" i="24"/>
  <c r="AP22" i="24" s="1"/>
  <c r="CL407" i="14" s="1"/>
  <c r="S23" i="24"/>
  <c r="AP23" i="24" s="1"/>
  <c r="CL408" i="14" s="1"/>
  <c r="S24" i="24"/>
  <c r="AP24" i="24" s="1"/>
  <c r="CL409" i="14" s="1"/>
  <c r="S25" i="24"/>
  <c r="AP25" i="24" s="1"/>
  <c r="CL410" i="14" s="1"/>
  <c r="S26" i="24"/>
  <c r="AP26" i="24" s="1"/>
  <c r="CL411" i="14" s="1"/>
  <c r="S27" i="24"/>
  <c r="AP27" i="24" s="1"/>
  <c r="CL412" i="14" s="1"/>
  <c r="S28" i="24"/>
  <c r="AP28" i="24" s="1"/>
  <c r="CL413" i="14" s="1"/>
  <c r="S29" i="24"/>
  <c r="AP29" i="24" s="1"/>
  <c r="CL414" i="14" s="1"/>
  <c r="S30" i="24"/>
  <c r="AP30" i="24" s="1"/>
  <c r="CL415" i="14" s="1"/>
  <c r="S31" i="24"/>
  <c r="AP31" i="24" s="1"/>
  <c r="CL416" i="14" s="1"/>
  <c r="S32" i="24"/>
  <c r="AP32" i="24" s="1"/>
  <c r="CL417" i="14" s="1"/>
  <c r="S33" i="24"/>
  <c r="AP33" i="24" s="1"/>
  <c r="CL418" i="14" s="1"/>
  <c r="S34" i="24"/>
  <c r="AP34" i="24" s="1"/>
  <c r="CL419" i="14" s="1"/>
  <c r="S35" i="24"/>
  <c r="AP35" i="24" s="1"/>
  <c r="CL420" i="14" s="1"/>
  <c r="S36" i="24"/>
  <c r="AP36" i="24" s="1"/>
  <c r="CL421" i="14" s="1"/>
  <c r="S37" i="24"/>
  <c r="AP37" i="24" s="1"/>
  <c r="CL422" i="14" s="1"/>
  <c r="S38" i="24"/>
  <c r="AP38" i="24" s="1"/>
  <c r="CL423" i="14" s="1"/>
  <c r="R19" i="28"/>
  <c r="R14" i="28"/>
  <c r="R8" i="28"/>
  <c r="R16" i="28"/>
  <c r="R12" i="28"/>
  <c r="R17" i="28"/>
  <c r="R20" i="28"/>
  <c r="R18" i="28"/>
  <c r="R10" i="28"/>
  <c r="R15" i="28"/>
  <c r="R13" i="28"/>
  <c r="R9" i="28"/>
  <c r="R11" i="28"/>
  <c r="R21" i="28"/>
  <c r="R22" i="28"/>
  <c r="R23" i="28"/>
  <c r="R24" i="28"/>
  <c r="R25" i="28"/>
  <c r="R26" i="28"/>
  <c r="R27" i="28"/>
  <c r="R28" i="28"/>
  <c r="R29" i="28"/>
  <c r="R30" i="28"/>
  <c r="R31" i="28"/>
  <c r="R32" i="28"/>
  <c r="R33" i="28"/>
  <c r="R34" i="28"/>
  <c r="R35" i="28"/>
  <c r="R36" i="28"/>
  <c r="R37" i="28"/>
  <c r="R38" i="28"/>
  <c r="T9" i="28"/>
  <c r="AQ9" i="28" s="1"/>
  <c r="T15" i="28"/>
  <c r="AQ15" i="28" s="1"/>
  <c r="T11" i="28"/>
  <c r="AQ11" i="28" s="1"/>
  <c r="T12" i="28"/>
  <c r="AQ12" i="28" s="1"/>
  <c r="T18" i="28"/>
  <c r="AQ18" i="28" s="1"/>
  <c r="T19" i="28"/>
  <c r="AQ19" i="28" s="1"/>
  <c r="T20" i="28"/>
  <c r="AQ20" i="28" s="1"/>
  <c r="T10" i="28"/>
  <c r="AQ10" i="28" s="1"/>
  <c r="T14" i="28"/>
  <c r="AQ14" i="28" s="1"/>
  <c r="T8" i="28"/>
  <c r="AQ8" i="28" s="1"/>
  <c r="T16" i="28"/>
  <c r="AQ16" i="28" s="1"/>
  <c r="T13" i="28"/>
  <c r="AQ13" i="28" s="1"/>
  <c r="T17" i="28"/>
  <c r="AQ17" i="28" s="1"/>
  <c r="T21" i="28"/>
  <c r="AQ21" i="28" s="1"/>
  <c r="T22" i="28"/>
  <c r="AQ22" i="28" s="1"/>
  <c r="T23" i="28"/>
  <c r="AQ23" i="28" s="1"/>
  <c r="T24" i="28"/>
  <c r="AQ24" i="28" s="1"/>
  <c r="T25" i="28"/>
  <c r="AQ25" i="28" s="1"/>
  <c r="T26" i="28"/>
  <c r="AQ26" i="28" s="1"/>
  <c r="T27" i="28"/>
  <c r="AQ27" i="28" s="1"/>
  <c r="T28" i="28"/>
  <c r="AQ28" i="28" s="1"/>
  <c r="T29" i="28"/>
  <c r="AQ29" i="28" s="1"/>
  <c r="T30" i="28"/>
  <c r="AQ30" i="28" s="1"/>
  <c r="T31" i="28"/>
  <c r="AQ31" i="28" s="1"/>
  <c r="T32" i="28"/>
  <c r="AQ32" i="28" s="1"/>
  <c r="T33" i="28"/>
  <c r="AQ33" i="28" s="1"/>
  <c r="T34" i="28"/>
  <c r="AQ34" i="28" s="1"/>
  <c r="T35" i="28"/>
  <c r="AQ35" i="28" s="1"/>
  <c r="T36" i="28"/>
  <c r="AQ36" i="28" s="1"/>
  <c r="T37" i="28"/>
  <c r="AQ37" i="28" s="1"/>
  <c r="T38" i="28"/>
  <c r="AQ38" i="28" s="1"/>
  <c r="K47" i="18"/>
  <c r="U19" i="24"/>
  <c r="U9" i="24"/>
  <c r="U12" i="24"/>
  <c r="U16" i="24"/>
  <c r="U8" i="24"/>
  <c r="AR8" i="24" s="1"/>
  <c r="U18" i="24"/>
  <c r="U17" i="24"/>
  <c r="U13" i="24"/>
  <c r="U10" i="24"/>
  <c r="U11" i="24"/>
  <c r="U14" i="24"/>
  <c r="U15" i="24"/>
  <c r="U20" i="24"/>
  <c r="U21" i="24"/>
  <c r="U22" i="24"/>
  <c r="U23" i="24"/>
  <c r="U24" i="24"/>
  <c r="U25" i="24"/>
  <c r="U26" i="24"/>
  <c r="U27" i="24"/>
  <c r="U28" i="24"/>
  <c r="U29" i="24"/>
  <c r="U30" i="24"/>
  <c r="U31" i="24"/>
  <c r="U32" i="24"/>
  <c r="U33" i="24"/>
  <c r="U34" i="24"/>
  <c r="U35" i="24"/>
  <c r="U36" i="24"/>
  <c r="U37" i="24"/>
  <c r="U38" i="24"/>
  <c r="S8" i="25"/>
  <c r="AP8" i="25" s="1"/>
  <c r="CL424" i="14" s="1"/>
  <c r="S20" i="25"/>
  <c r="AP20" i="25" s="1"/>
  <c r="CL436" i="14" s="1"/>
  <c r="S17" i="25"/>
  <c r="AP17" i="25" s="1"/>
  <c r="CL433" i="14" s="1"/>
  <c r="S19" i="25"/>
  <c r="AP19" i="25" s="1"/>
  <c r="CL435" i="14" s="1"/>
  <c r="S18" i="25"/>
  <c r="AP18" i="25" s="1"/>
  <c r="CL434" i="14" s="1"/>
  <c r="S9" i="25"/>
  <c r="AP9" i="25" s="1"/>
  <c r="CL425" i="14" s="1"/>
  <c r="S16" i="25"/>
  <c r="AP16" i="25" s="1"/>
  <c r="CL432" i="14" s="1"/>
  <c r="S13" i="25"/>
  <c r="AP13" i="25" s="1"/>
  <c r="CL429" i="14" s="1"/>
  <c r="S11" i="25"/>
  <c r="AP11" i="25" s="1"/>
  <c r="CL427" i="14" s="1"/>
  <c r="S12" i="25"/>
  <c r="AP12" i="25" s="1"/>
  <c r="CL428" i="14" s="1"/>
  <c r="S14" i="25"/>
  <c r="AP14" i="25" s="1"/>
  <c r="CL430" i="14" s="1"/>
  <c r="S15" i="25"/>
  <c r="AP15" i="25" s="1"/>
  <c r="CL431" i="14" s="1"/>
  <c r="S10" i="25"/>
  <c r="AP10" i="25" s="1"/>
  <c r="CL426" i="14" s="1"/>
  <c r="S21" i="25"/>
  <c r="AP21" i="25" s="1"/>
  <c r="CL437" i="14" s="1"/>
  <c r="S22" i="25"/>
  <c r="AP22" i="25" s="1"/>
  <c r="CL438" i="14" s="1"/>
  <c r="S23" i="25"/>
  <c r="AP23" i="25" s="1"/>
  <c r="CL439" i="14" s="1"/>
  <c r="S24" i="25"/>
  <c r="AP24" i="25" s="1"/>
  <c r="CL440" i="14" s="1"/>
  <c r="S25" i="25"/>
  <c r="AP25" i="25" s="1"/>
  <c r="CL441" i="14" s="1"/>
  <c r="S26" i="25"/>
  <c r="AP26" i="25" s="1"/>
  <c r="CL442" i="14" s="1"/>
  <c r="S27" i="25"/>
  <c r="AP27" i="25" s="1"/>
  <c r="CL443" i="14" s="1"/>
  <c r="S28" i="25"/>
  <c r="AP28" i="25" s="1"/>
  <c r="CL444" i="14" s="1"/>
  <c r="S29" i="25"/>
  <c r="AP29" i="25" s="1"/>
  <c r="CL445" i="14" s="1"/>
  <c r="S30" i="25"/>
  <c r="AP30" i="25" s="1"/>
  <c r="CL446" i="14" s="1"/>
  <c r="S31" i="25"/>
  <c r="AP31" i="25" s="1"/>
  <c r="CL447" i="14" s="1"/>
  <c r="S32" i="25"/>
  <c r="AP32" i="25" s="1"/>
  <c r="CL448" i="14" s="1"/>
  <c r="S33" i="25"/>
  <c r="AP33" i="25" s="1"/>
  <c r="CL449" i="14" s="1"/>
  <c r="S34" i="25"/>
  <c r="AP34" i="25" s="1"/>
  <c r="CL450" i="14" s="1"/>
  <c r="S35" i="25"/>
  <c r="AP35" i="25" s="1"/>
  <c r="CL451" i="14" s="1"/>
  <c r="S36" i="25"/>
  <c r="AP36" i="25" s="1"/>
  <c r="CL452" i="14" s="1"/>
  <c r="S37" i="25"/>
  <c r="AP37" i="25" s="1"/>
  <c r="CL453" i="14" s="1"/>
  <c r="U16" i="25"/>
  <c r="U15" i="25"/>
  <c r="U9" i="25"/>
  <c r="U18" i="25"/>
  <c r="U11" i="25"/>
  <c r="U8" i="25"/>
  <c r="AR8" i="25" s="1"/>
  <c r="U17" i="25"/>
  <c r="U12" i="25"/>
  <c r="U14" i="25"/>
  <c r="U20" i="25"/>
  <c r="U10" i="25"/>
  <c r="U19" i="25"/>
  <c r="U13" i="25"/>
  <c r="U21" i="25"/>
  <c r="U22" i="25"/>
  <c r="U23" i="25"/>
  <c r="U24" i="25"/>
  <c r="U25" i="25"/>
  <c r="U26" i="25"/>
  <c r="U27" i="25"/>
  <c r="U28" i="25"/>
  <c r="U29" i="25"/>
  <c r="U30" i="25"/>
  <c r="U31" i="25"/>
  <c r="U32" i="25"/>
  <c r="U33" i="25"/>
  <c r="U34" i="25"/>
  <c r="U35" i="25"/>
  <c r="U36" i="25"/>
  <c r="U37" i="25"/>
  <c r="V17" i="28"/>
  <c r="V13" i="28"/>
  <c r="V14" i="28"/>
  <c r="V10" i="28"/>
  <c r="V12" i="28"/>
  <c r="V8" i="28"/>
  <c r="V11" i="28"/>
  <c r="V16" i="28"/>
  <c r="V9" i="28"/>
  <c r="V20" i="28"/>
  <c r="V15" i="28"/>
  <c r="V18" i="28"/>
  <c r="V19" i="28"/>
  <c r="V21" i="28"/>
  <c r="V22" i="28"/>
  <c r="V23" i="28"/>
  <c r="V24" i="28"/>
  <c r="V25" i="28"/>
  <c r="V26" i="28"/>
  <c r="V27" i="28"/>
  <c r="V28" i="28"/>
  <c r="V29" i="28"/>
  <c r="V30" i="28"/>
  <c r="V31" i="28"/>
  <c r="V32" i="28"/>
  <c r="V33" i="28"/>
  <c r="V34" i="28"/>
  <c r="V35" i="28"/>
  <c r="V36" i="28"/>
  <c r="V37" i="28"/>
  <c r="V38" i="28"/>
  <c r="AU545" i="14" s="1"/>
  <c r="N126" i="29"/>
  <c r="T126" i="29" s="1"/>
  <c r="N127" i="29"/>
  <c r="T127" i="29" s="1"/>
  <c r="R73" i="25"/>
  <c r="M16" i="29"/>
  <c r="AJ19" i="25"/>
  <c r="AJ13" i="25"/>
  <c r="AJ27" i="25"/>
  <c r="AJ30" i="25"/>
  <c r="AJ35" i="25"/>
  <c r="AJ11" i="25"/>
  <c r="AJ8" i="25"/>
  <c r="AJ14" i="25"/>
  <c r="AJ12" i="25"/>
  <c r="AJ37" i="25"/>
  <c r="AJ16" i="25"/>
  <c r="AJ31" i="25"/>
  <c r="AJ10" i="25"/>
  <c r="AJ20" i="25"/>
  <c r="AJ23" i="25"/>
  <c r="AJ22" i="25"/>
  <c r="AJ32" i="25"/>
  <c r="AJ21" i="25"/>
  <c r="AJ9" i="25"/>
  <c r="AJ26" i="25"/>
  <c r="AJ36" i="25"/>
  <c r="AJ24" i="25"/>
  <c r="AJ17" i="25"/>
  <c r="AJ18" i="25"/>
  <c r="AJ28" i="25"/>
  <c r="AJ33" i="25"/>
  <c r="AJ29" i="25"/>
  <c r="AJ15" i="25"/>
  <c r="AJ25" i="25"/>
  <c r="AJ34" i="25"/>
  <c r="R71" i="24"/>
  <c r="AH20" i="24"/>
  <c r="AH18" i="24"/>
  <c r="AH34" i="24"/>
  <c r="AH29" i="24"/>
  <c r="AH9" i="24"/>
  <c r="AH31" i="24"/>
  <c r="AH37" i="24"/>
  <c r="AH11" i="24"/>
  <c r="AH24" i="24"/>
  <c r="AH22" i="24"/>
  <c r="AH8" i="24"/>
  <c r="AH17" i="24"/>
  <c r="AH23" i="24"/>
  <c r="AH38" i="24"/>
  <c r="AH16" i="24"/>
  <c r="AH30" i="24"/>
  <c r="AH33" i="24"/>
  <c r="AH19" i="24"/>
  <c r="AH35" i="24"/>
  <c r="AH12" i="24"/>
  <c r="AH28" i="24"/>
  <c r="AH10" i="24"/>
  <c r="AH26" i="24"/>
  <c r="AH13" i="24"/>
  <c r="AH25" i="24"/>
  <c r="AH27" i="24"/>
  <c r="AH36" i="24"/>
  <c r="AH32" i="24"/>
  <c r="AH14" i="24"/>
  <c r="AH21" i="24"/>
  <c r="AH15" i="24"/>
  <c r="R73" i="24"/>
  <c r="L16" i="29"/>
  <c r="AJ9" i="24"/>
  <c r="AJ25" i="24"/>
  <c r="AJ15" i="24"/>
  <c r="AJ31" i="24"/>
  <c r="AJ18" i="24"/>
  <c r="AJ32" i="24"/>
  <c r="AJ8" i="24"/>
  <c r="AJ30" i="24"/>
  <c r="AJ10" i="24"/>
  <c r="AJ13" i="24"/>
  <c r="AJ29" i="24"/>
  <c r="AJ19" i="24"/>
  <c r="AJ35" i="24"/>
  <c r="AJ14" i="24"/>
  <c r="AJ26" i="24"/>
  <c r="AJ12" i="24"/>
  <c r="AJ16" i="24"/>
  <c r="AJ24" i="24"/>
  <c r="AJ37" i="24"/>
  <c r="AJ38" i="24"/>
  <c r="AJ21" i="24"/>
  <c r="AJ27" i="24"/>
  <c r="AJ17" i="24"/>
  <c r="AJ33" i="24"/>
  <c r="AJ23" i="24"/>
  <c r="AJ22" i="24"/>
  <c r="AJ34" i="24"/>
  <c r="AJ28" i="24"/>
  <c r="AJ20" i="24"/>
  <c r="AJ36" i="24"/>
  <c r="AJ11" i="24"/>
  <c r="R70" i="28"/>
  <c r="AG25" i="28"/>
  <c r="AG9" i="28"/>
  <c r="AG27" i="28"/>
  <c r="AG34" i="28"/>
  <c r="AG14" i="28"/>
  <c r="AG32" i="28"/>
  <c r="AG16" i="28"/>
  <c r="AG11" i="28"/>
  <c r="AG26" i="28"/>
  <c r="AG37" i="28"/>
  <c r="AG21" i="28"/>
  <c r="AG19" i="28"/>
  <c r="AG30" i="28"/>
  <c r="AG10" i="28"/>
  <c r="AG28" i="28"/>
  <c r="AG12" i="28"/>
  <c r="AG33" i="28"/>
  <c r="AG17" i="28"/>
  <c r="AG15" i="28"/>
  <c r="AG22" i="28"/>
  <c r="AG24" i="28"/>
  <c r="AG8" i="28"/>
  <c r="AG31" i="28"/>
  <c r="AG29" i="28"/>
  <c r="AG13" i="28"/>
  <c r="AG35" i="28"/>
  <c r="AG38" i="28"/>
  <c r="AG18" i="28"/>
  <c r="AG36" i="28"/>
  <c r="AG20" i="28"/>
  <c r="AG23" i="28"/>
  <c r="R70" i="24"/>
  <c r="AG13" i="24"/>
  <c r="AG29" i="24"/>
  <c r="AG15" i="24"/>
  <c r="AG31" i="24"/>
  <c r="AG30" i="24"/>
  <c r="AG10" i="24"/>
  <c r="AG32" i="24"/>
  <c r="AG37" i="24"/>
  <c r="AG28" i="24"/>
  <c r="AG27" i="24"/>
  <c r="AG22" i="24"/>
  <c r="AG17" i="24"/>
  <c r="AG33" i="24"/>
  <c r="AG19" i="24"/>
  <c r="AG35" i="24"/>
  <c r="AG18" i="24"/>
  <c r="AG36" i="24"/>
  <c r="AG9" i="24"/>
  <c r="AG25" i="24"/>
  <c r="AG38" i="24"/>
  <c r="AG8" i="24"/>
  <c r="AG21" i="24"/>
  <c r="AG23" i="24"/>
  <c r="AG14" i="24"/>
  <c r="AG26" i="24"/>
  <c r="AG24" i="24"/>
  <c r="AG12" i="24"/>
  <c r="AG20" i="24"/>
  <c r="AG11" i="24"/>
  <c r="AG34" i="24"/>
  <c r="AG16" i="24"/>
  <c r="R72" i="24"/>
  <c r="L15" i="29"/>
  <c r="AI10" i="24"/>
  <c r="AI26" i="24"/>
  <c r="AI24" i="24"/>
  <c r="AI35" i="24"/>
  <c r="AI15" i="24"/>
  <c r="AI29" i="24"/>
  <c r="AI37" i="24"/>
  <c r="AI25" i="24"/>
  <c r="AI33" i="24"/>
  <c r="AI20" i="24"/>
  <c r="AI27" i="24"/>
  <c r="AI38" i="24"/>
  <c r="AI14" i="24"/>
  <c r="AI30" i="24"/>
  <c r="AI12" i="24"/>
  <c r="AI28" i="24"/>
  <c r="AI11" i="24"/>
  <c r="AI23" i="24"/>
  <c r="AI36" i="24"/>
  <c r="AI21" i="24"/>
  <c r="AI22" i="24"/>
  <c r="AI13" i="24"/>
  <c r="AI18" i="24"/>
  <c r="AI34" i="24"/>
  <c r="AI16" i="24"/>
  <c r="AI32" i="24"/>
  <c r="AI19" i="24"/>
  <c r="AI31" i="24"/>
  <c r="AI8" i="24"/>
  <c r="AI9" i="24"/>
  <c r="AI17" i="24"/>
  <c r="R70" i="25"/>
  <c r="AG15" i="25"/>
  <c r="AG21" i="25"/>
  <c r="AG10" i="25"/>
  <c r="AG19" i="25"/>
  <c r="AG25" i="25"/>
  <c r="AG11" i="25"/>
  <c r="AG17" i="25"/>
  <c r="AG14" i="25"/>
  <c r="AG31" i="25"/>
  <c r="AG30" i="25"/>
  <c r="AG26" i="25"/>
  <c r="AG35" i="25"/>
  <c r="AG16" i="25"/>
  <c r="AG27" i="25"/>
  <c r="AG33" i="25"/>
  <c r="AG36" i="25"/>
  <c r="AG29" i="25"/>
  <c r="AG12" i="25"/>
  <c r="AG32" i="25"/>
  <c r="AG34" i="25"/>
  <c r="AG23" i="25"/>
  <c r="AG37" i="25"/>
  <c r="AG8" i="25"/>
  <c r="AG13" i="25"/>
  <c r="AG24" i="25"/>
  <c r="AG9" i="25"/>
  <c r="AG28" i="25"/>
  <c r="AG22" i="25"/>
  <c r="AG20" i="25"/>
  <c r="AG18" i="25"/>
  <c r="R71" i="28"/>
  <c r="AH38" i="28"/>
  <c r="AH26" i="28"/>
  <c r="AH8" i="28"/>
  <c r="AH17" i="28"/>
  <c r="AH15" i="28"/>
  <c r="AH21" i="28"/>
  <c r="AH27" i="28"/>
  <c r="AH34" i="28"/>
  <c r="AH14" i="28"/>
  <c r="AH10" i="28"/>
  <c r="AH36" i="28"/>
  <c r="AH23" i="28"/>
  <c r="AH11" i="28"/>
  <c r="AH32" i="28"/>
  <c r="AH33" i="28"/>
  <c r="AH29" i="28"/>
  <c r="AH25" i="28"/>
  <c r="AH35" i="28"/>
  <c r="AH19" i="28"/>
  <c r="AH30" i="28"/>
  <c r="AH22" i="28"/>
  <c r="AH31" i="28"/>
  <c r="AH24" i="28"/>
  <c r="AH16" i="28"/>
  <c r="AH9" i="28"/>
  <c r="AH18" i="28"/>
  <c r="AH13" i="28"/>
  <c r="AH37" i="28"/>
  <c r="AH28" i="28"/>
  <c r="AH20" i="28"/>
  <c r="AH12" i="28"/>
  <c r="R73" i="28"/>
  <c r="Q16" i="29"/>
  <c r="R16" i="29" s="1"/>
  <c r="AJ37" i="28"/>
  <c r="AJ34" i="28"/>
  <c r="AJ25" i="28"/>
  <c r="AJ15" i="28"/>
  <c r="AJ19" i="28"/>
  <c r="AJ16" i="28"/>
  <c r="AJ33" i="28"/>
  <c r="AJ23" i="28"/>
  <c r="AJ29" i="28"/>
  <c r="AJ26" i="28"/>
  <c r="AJ30" i="28"/>
  <c r="AJ28" i="28"/>
  <c r="AJ11" i="28"/>
  <c r="AJ8" i="28"/>
  <c r="AJ38" i="28"/>
  <c r="AJ17" i="28"/>
  <c r="AJ36" i="28"/>
  <c r="AJ21" i="28"/>
  <c r="AJ18" i="28"/>
  <c r="AJ14" i="28"/>
  <c r="AJ35" i="28"/>
  <c r="AJ32" i="28"/>
  <c r="AJ9" i="28"/>
  <c r="AJ20" i="28"/>
  <c r="AJ13" i="28"/>
  <c r="AJ10" i="28"/>
  <c r="AJ31" i="28"/>
  <c r="AJ27" i="28"/>
  <c r="AJ24" i="28"/>
  <c r="AJ22" i="28"/>
  <c r="AJ12" i="28"/>
  <c r="R72" i="25"/>
  <c r="M15" i="29"/>
  <c r="AI19" i="25"/>
  <c r="AI25" i="25"/>
  <c r="AI20" i="25"/>
  <c r="AI32" i="25"/>
  <c r="AI23" i="25"/>
  <c r="AI29" i="25"/>
  <c r="AI28" i="25"/>
  <c r="AI18" i="25"/>
  <c r="AI15" i="25"/>
  <c r="AI21" i="25"/>
  <c r="AI12" i="25"/>
  <c r="AI34" i="25"/>
  <c r="AI30" i="25"/>
  <c r="AI31" i="25"/>
  <c r="AI35" i="25"/>
  <c r="AI33" i="25"/>
  <c r="AI36" i="25"/>
  <c r="AI37" i="25"/>
  <c r="AI27" i="25"/>
  <c r="AI14" i="25"/>
  <c r="AI22" i="25"/>
  <c r="AI17" i="25"/>
  <c r="AI9" i="25"/>
  <c r="AI16" i="25"/>
  <c r="AI26" i="25"/>
  <c r="AI10" i="25"/>
  <c r="AI13" i="25"/>
  <c r="AI24" i="25"/>
  <c r="AI11" i="25"/>
  <c r="AI8" i="25"/>
  <c r="R71" i="25"/>
  <c r="AH37" i="25"/>
  <c r="AH35" i="25"/>
  <c r="AH26" i="25"/>
  <c r="AH36" i="25"/>
  <c r="AH11" i="25"/>
  <c r="AH28" i="25"/>
  <c r="AH8" i="25"/>
  <c r="AH15" i="25"/>
  <c r="AH19" i="25"/>
  <c r="AH32" i="25"/>
  <c r="AH13" i="25"/>
  <c r="AH27" i="25"/>
  <c r="AH10" i="25"/>
  <c r="AH12" i="25"/>
  <c r="AH16" i="25"/>
  <c r="AH30" i="25"/>
  <c r="AH17" i="25"/>
  <c r="AH31" i="25"/>
  <c r="AH18" i="25"/>
  <c r="AH9" i="25"/>
  <c r="AH23" i="25"/>
  <c r="AH29" i="25"/>
  <c r="AH14" i="25"/>
  <c r="AH24" i="25"/>
  <c r="AH33" i="25"/>
  <c r="AH22" i="25"/>
  <c r="AH25" i="25"/>
  <c r="AH34" i="25"/>
  <c r="AH20" i="25"/>
  <c r="AH21" i="25"/>
  <c r="R72" i="28"/>
  <c r="Q15" i="29"/>
  <c r="R15" i="29" s="1"/>
  <c r="AI23" i="28"/>
  <c r="AI33" i="28"/>
  <c r="AI24" i="28"/>
  <c r="AI30" i="28"/>
  <c r="AI14" i="28"/>
  <c r="AI35" i="28"/>
  <c r="AI19" i="28"/>
  <c r="AI25" i="28"/>
  <c r="AI20" i="28"/>
  <c r="AI26" i="28"/>
  <c r="AI10" i="28"/>
  <c r="AI29" i="28"/>
  <c r="AI36" i="28"/>
  <c r="AI31" i="28"/>
  <c r="AI15" i="28"/>
  <c r="AI21" i="28"/>
  <c r="AI32" i="28"/>
  <c r="AI12" i="28"/>
  <c r="AI38" i="28"/>
  <c r="AI22" i="28"/>
  <c r="AI17" i="28"/>
  <c r="AI16" i="28"/>
  <c r="AI27" i="28"/>
  <c r="AI11" i="28"/>
  <c r="AI37" i="28"/>
  <c r="AI13" i="28"/>
  <c r="AI28" i="28"/>
  <c r="AI34" i="28"/>
  <c r="AI18" i="28"/>
  <c r="AI9" i="28"/>
  <c r="AI8" i="28"/>
  <c r="BG15" i="30"/>
  <c r="G367" i="1"/>
  <c r="G230" i="1"/>
  <c r="G262" i="1" s="1"/>
  <c r="G229" i="1"/>
  <c r="D116" i="29"/>
  <c r="L116" i="29"/>
  <c r="P116" i="29"/>
  <c r="BG18" i="30"/>
  <c r="G128" i="18"/>
  <c r="D119" i="29" s="1"/>
  <c r="K116" i="29"/>
  <c r="M116" i="29"/>
  <c r="AE38" i="28"/>
  <c r="E38" i="28" s="1"/>
  <c r="D545" i="14"/>
  <c r="U56" i="1"/>
  <c r="AA56" i="1"/>
  <c r="X56" i="1"/>
  <c r="G132" i="15"/>
  <c r="E8" i="15" s="1"/>
  <c r="I7" i="15" s="1"/>
  <c r="G124" i="15"/>
  <c r="G142" i="15"/>
  <c r="G135" i="15"/>
  <c r="G130" i="15"/>
  <c r="G144" i="15"/>
  <c r="G122" i="15"/>
  <c r="G147" i="15"/>
  <c r="G117" i="15"/>
  <c r="G131" i="15"/>
  <c r="D8" i="15" s="1"/>
  <c r="G8" i="15" s="1"/>
  <c r="G145" i="15"/>
  <c r="G123" i="15"/>
  <c r="G140" i="15"/>
  <c r="G118" i="15"/>
  <c r="G143" i="15"/>
  <c r="G164" i="15"/>
  <c r="G127" i="15"/>
  <c r="G141" i="15"/>
  <c r="G119" i="15"/>
  <c r="G136" i="15"/>
  <c r="G129" i="15"/>
  <c r="G128" i="15"/>
  <c r="G146" i="15"/>
  <c r="G165" i="15"/>
  <c r="G137" i="15"/>
  <c r="G134" i="15"/>
  <c r="G166" i="15"/>
  <c r="G125" i="15"/>
  <c r="G157" i="15"/>
  <c r="G154" i="15"/>
  <c r="G139" i="15"/>
  <c r="G163" i="15"/>
  <c r="G159" i="15"/>
  <c r="G149" i="15"/>
  <c r="G160" i="15"/>
  <c r="G153" i="15"/>
  <c r="G156" i="15"/>
  <c r="G148" i="15"/>
  <c r="G150" i="15"/>
  <c r="G152" i="15"/>
  <c r="G120" i="15"/>
  <c r="G162" i="15"/>
  <c r="G158" i="15"/>
  <c r="G133" i="15"/>
  <c r="G126" i="15"/>
  <c r="G161" i="15"/>
  <c r="G138" i="15"/>
  <c r="G121" i="15"/>
  <c r="G155" i="15"/>
  <c r="G151" i="15"/>
  <c r="G116" i="15"/>
  <c r="G167" i="15"/>
  <c r="AJ362" i="14"/>
  <c r="BL19" i="30"/>
  <c r="V232" i="1"/>
  <c r="V233" i="1"/>
  <c r="V263" i="1" s="1"/>
  <c r="V377" i="1"/>
  <c r="K62" i="29" s="1"/>
  <c r="V326" i="1"/>
  <c r="BP26" i="30"/>
  <c r="I129" i="27"/>
  <c r="P10" i="29" s="1"/>
  <c r="I122" i="27"/>
  <c r="BP35" i="30"/>
  <c r="AH372" i="1"/>
  <c r="AH244" i="1"/>
  <c r="AH328" i="1"/>
  <c r="AH245" i="1"/>
  <c r="AH267" i="1" s="1"/>
  <c r="BG27" i="30"/>
  <c r="G370" i="1"/>
  <c r="G238" i="1"/>
  <c r="G239" i="1"/>
  <c r="G265" i="1" s="1"/>
  <c r="BG26" i="30"/>
  <c r="I129" i="18"/>
  <c r="D10" i="29" s="1"/>
  <c r="F10" i="29" s="1"/>
  <c r="I122" i="18"/>
  <c r="BL26" i="30"/>
  <c r="I129" i="23"/>
  <c r="K10" i="29" s="1"/>
  <c r="I122" i="23"/>
  <c r="BL22" i="30"/>
  <c r="H122" i="23"/>
  <c r="BL42" i="30"/>
  <c r="M129" i="23"/>
  <c r="K13" i="29" s="1"/>
  <c r="M122" i="23"/>
  <c r="V403" i="1" s="1"/>
  <c r="BN31" i="30"/>
  <c r="AB241" i="1"/>
  <c r="AB242" i="1"/>
  <c r="AB266" i="1" s="1"/>
  <c r="BN19" i="30"/>
  <c r="AB326" i="1"/>
  <c r="AB377" i="1"/>
  <c r="M62" i="29" s="1"/>
  <c r="AB233" i="1"/>
  <c r="AB263" i="1" s="1"/>
  <c r="AB232" i="1"/>
  <c r="E48" i="23"/>
  <c r="I52" i="23" s="1"/>
  <c r="I56" i="23" s="1"/>
  <c r="K158" i="29" s="1"/>
  <c r="BL18" i="30"/>
  <c r="G129" i="23"/>
  <c r="G122" i="23"/>
  <c r="BM31" i="30"/>
  <c r="Y242" i="1"/>
  <c r="Y266" i="1" s="1"/>
  <c r="Y241" i="1"/>
  <c r="BM27" i="30"/>
  <c r="Y238" i="1"/>
  <c r="Y370" i="1"/>
  <c r="Y239" i="1"/>
  <c r="Y265" i="1" s="1"/>
  <c r="BP23" i="30"/>
  <c r="AH369" i="1"/>
  <c r="AH325" i="1"/>
  <c r="AH235" i="1"/>
  <c r="AH236" i="1"/>
  <c r="AH264" i="1" s="1"/>
  <c r="BP39" i="30"/>
  <c r="AH247" i="1"/>
  <c r="AH373" i="1"/>
  <c r="AH248" i="1"/>
  <c r="AH268" i="1" s="1"/>
  <c r="BP18" i="30"/>
  <c r="E48" i="27"/>
  <c r="I52" i="27" s="1"/>
  <c r="I56" i="27" s="1"/>
  <c r="P158" i="29" s="1"/>
  <c r="G122" i="27"/>
  <c r="BP15" i="30"/>
  <c r="E46" i="27"/>
  <c r="P5" i="29" s="1"/>
  <c r="AH331" i="1"/>
  <c r="P97" i="29" s="1"/>
  <c r="AH230" i="1"/>
  <c r="AH262" i="1" s="1"/>
  <c r="AH367" i="1"/>
  <c r="AH229" i="1"/>
  <c r="BG34" i="30"/>
  <c r="K129" i="18"/>
  <c r="K122" i="18"/>
  <c r="G401" i="1" s="1"/>
  <c r="E48" i="18"/>
  <c r="I52" i="18" s="1"/>
  <c r="I56" i="18" s="1"/>
  <c r="D158" i="29" s="1"/>
  <c r="BG46" i="30"/>
  <c r="AM18" i="30" s="1"/>
  <c r="G122" i="18"/>
  <c r="V242" i="1"/>
  <c r="V266" i="1" s="1"/>
  <c r="V241" i="1"/>
  <c r="BL31" i="30"/>
  <c r="BP19" i="30"/>
  <c r="AH233" i="1"/>
  <c r="AH263" i="1" s="1"/>
  <c r="AH326" i="1"/>
  <c r="AH232" i="1"/>
  <c r="AH377" i="1"/>
  <c r="P62" i="29" s="1"/>
  <c r="BG42" i="30"/>
  <c r="M129" i="18"/>
  <c r="D13" i="29" s="1"/>
  <c r="F13" i="29" s="1"/>
  <c r="M122" i="18"/>
  <c r="G403" i="1" s="1"/>
  <c r="BG38" i="30"/>
  <c r="L129" i="18"/>
  <c r="D12" i="29" s="1"/>
  <c r="F12" i="29" s="1"/>
  <c r="L122" i="18"/>
  <c r="G325" i="1"/>
  <c r="G236" i="1"/>
  <c r="G264" i="1" s="1"/>
  <c r="BG23" i="30"/>
  <c r="G369" i="1"/>
  <c r="G235" i="1"/>
  <c r="BL15" i="30"/>
  <c r="E46" i="23"/>
  <c r="K5" i="29" s="1"/>
  <c r="V230" i="1"/>
  <c r="V262" i="1" s="1"/>
  <c r="V331" i="1"/>
  <c r="K97" i="29" s="1"/>
  <c r="V367" i="1"/>
  <c r="V229" i="1"/>
  <c r="BN39" i="30"/>
  <c r="AB373" i="1"/>
  <c r="AB248" i="1"/>
  <c r="AB268" i="1" s="1"/>
  <c r="AB247" i="1"/>
  <c r="BN15" i="30"/>
  <c r="AB367" i="1"/>
  <c r="E46" i="25"/>
  <c r="M5" i="29" s="1"/>
  <c r="AB229" i="1"/>
  <c r="AB331" i="1"/>
  <c r="M97" i="29" s="1"/>
  <c r="AB230" i="1"/>
  <c r="AB262" i="1" s="1"/>
  <c r="BM35" i="30"/>
  <c r="Y328" i="1"/>
  <c r="Y372" i="1"/>
  <c r="Y245" i="1"/>
  <c r="Y267" i="1" s="1"/>
  <c r="Y244" i="1"/>
  <c r="BM23" i="30"/>
  <c r="Y369" i="1"/>
  <c r="Y325" i="1"/>
  <c r="Y236" i="1"/>
  <c r="Y264" i="1" s="1"/>
  <c r="Y235" i="1"/>
  <c r="BP27" i="30"/>
  <c r="AH370" i="1"/>
  <c r="AH238" i="1"/>
  <c r="AH239" i="1"/>
  <c r="AH265" i="1" s="1"/>
  <c r="BP42" i="30"/>
  <c r="M129" i="27"/>
  <c r="P13" i="29" s="1"/>
  <c r="M122" i="27"/>
  <c r="BP30" i="30"/>
  <c r="J129" i="27"/>
  <c r="P11" i="29" s="1"/>
  <c r="J122" i="27"/>
  <c r="AH400" i="1" s="1"/>
  <c r="BG30" i="30"/>
  <c r="J129" i="18"/>
  <c r="D11" i="29" s="1"/>
  <c r="F11" i="29" s="1"/>
  <c r="J122" i="18"/>
  <c r="G400" i="1" s="1"/>
  <c r="BL30" i="30"/>
  <c r="J129" i="23"/>
  <c r="K11" i="29" s="1"/>
  <c r="J122" i="23"/>
  <c r="V400" i="1" s="1"/>
  <c r="BN35" i="30"/>
  <c r="AB372" i="1"/>
  <c r="AB245" i="1"/>
  <c r="AB267" i="1" s="1"/>
  <c r="AB244" i="1"/>
  <c r="AB328" i="1"/>
  <c r="BN23" i="30"/>
  <c r="AB325" i="1"/>
  <c r="AB369" i="1"/>
  <c r="AB235" i="1"/>
  <c r="AB236" i="1"/>
  <c r="AB264" i="1" s="1"/>
  <c r="BL38" i="30"/>
  <c r="L129" i="23"/>
  <c r="L122" i="23"/>
  <c r="BM19" i="30"/>
  <c r="Y326" i="1"/>
  <c r="Y233" i="1"/>
  <c r="Y263" i="1" s="1"/>
  <c r="Y377" i="1"/>
  <c r="L62" i="29" s="1"/>
  <c r="Y232" i="1"/>
  <c r="BP34" i="30"/>
  <c r="K129" i="27"/>
  <c r="K122" i="27"/>
  <c r="AH401" i="1" s="1"/>
  <c r="BG22" i="30"/>
  <c r="H129" i="18"/>
  <c r="D9" i="29" s="1"/>
  <c r="F9" i="29" s="1"/>
  <c r="H122" i="18"/>
  <c r="BG39" i="30"/>
  <c r="G373" i="1"/>
  <c r="G247" i="1"/>
  <c r="G248" i="1"/>
  <c r="G268" i="1" s="1"/>
  <c r="BG19" i="30"/>
  <c r="G326" i="1"/>
  <c r="G232" i="1"/>
  <c r="G377" i="1"/>
  <c r="G233" i="1"/>
  <c r="G263" i="1" s="1"/>
  <c r="BL35" i="30"/>
  <c r="V328" i="1"/>
  <c r="V372" i="1"/>
  <c r="V244" i="1"/>
  <c r="V245" i="1"/>
  <c r="V267" i="1" s="1"/>
  <c r="BL39" i="30"/>
  <c r="V248" i="1"/>
  <c r="V268" i="1" s="1"/>
  <c r="V373" i="1"/>
  <c r="V247" i="1"/>
  <c r="G241" i="1"/>
  <c r="G242" i="1"/>
  <c r="G266" i="1" s="1"/>
  <c r="BG31" i="30"/>
  <c r="AK239" i="14"/>
  <c r="T239" i="14"/>
  <c r="BG35" i="30"/>
  <c r="G372" i="1"/>
  <c r="G328" i="1"/>
  <c r="G244" i="1"/>
  <c r="G245" i="1"/>
  <c r="G267" i="1" s="1"/>
  <c r="BG43" i="30"/>
  <c r="AM15" i="30" s="1"/>
  <c r="G331" i="1"/>
  <c r="E46" i="18"/>
  <c r="D5" i="29" s="1"/>
  <c r="F5" i="29" s="1"/>
  <c r="G368" i="1"/>
  <c r="G251" i="1"/>
  <c r="BL34" i="30"/>
  <c r="K129" i="23"/>
  <c r="K122" i="23"/>
  <c r="V401" i="1" s="1"/>
  <c r="BL23" i="30"/>
  <c r="V235" i="1"/>
  <c r="V236" i="1"/>
  <c r="V264" i="1" s="1"/>
  <c r="V369" i="1"/>
  <c r="V325" i="1"/>
  <c r="V238" i="1"/>
  <c r="BL27" i="30"/>
  <c r="V239" i="1"/>
  <c r="V265" i="1" s="1"/>
  <c r="V370" i="1"/>
  <c r="BN27" i="30"/>
  <c r="AB239" i="1"/>
  <c r="AB265" i="1" s="1"/>
  <c r="AB370" i="1"/>
  <c r="AB238" i="1"/>
  <c r="BM39" i="30"/>
  <c r="Y247" i="1"/>
  <c r="Y373" i="1"/>
  <c r="Y248" i="1"/>
  <c r="Y268" i="1" s="1"/>
  <c r="BM15" i="30"/>
  <c r="E46" i="24"/>
  <c r="L5" i="29" s="1"/>
  <c r="Y331" i="1"/>
  <c r="L97" i="29" s="1"/>
  <c r="Y230" i="1"/>
  <c r="Y262" i="1" s="1"/>
  <c r="Y229" i="1"/>
  <c r="Y367" i="1"/>
  <c r="BP31" i="30"/>
  <c r="AH241" i="1"/>
  <c r="AH242" i="1"/>
  <c r="AH266" i="1" s="1"/>
  <c r="BP22" i="30"/>
  <c r="H129" i="27"/>
  <c r="P9" i="29" s="1"/>
  <c r="H122" i="27"/>
  <c r="BP38" i="30"/>
  <c r="L129" i="27"/>
  <c r="L122" i="27"/>
  <c r="AJ485" i="14"/>
  <c r="AH398" i="1" l="1"/>
  <c r="V398" i="1"/>
  <c r="V338" i="1"/>
  <c r="V352" i="1"/>
  <c r="AH338" i="1"/>
  <c r="AS34" i="28"/>
  <c r="CN541" i="14" s="1"/>
  <c r="AU541" i="14"/>
  <c r="AS26" i="28"/>
  <c r="CN533" i="14" s="1"/>
  <c r="AU533" i="14"/>
  <c r="AS15" i="28"/>
  <c r="CN522" i="14" s="1"/>
  <c r="AU522" i="14"/>
  <c r="AS14" i="28"/>
  <c r="CN521" i="14" s="1"/>
  <c r="AU521" i="14"/>
  <c r="AS32" i="24"/>
  <c r="CN417" i="14" s="1"/>
  <c r="AU417" i="14"/>
  <c r="AS35" i="25"/>
  <c r="CN451" i="14" s="1"/>
  <c r="AU451" i="14"/>
  <c r="AS27" i="25"/>
  <c r="CN443" i="14" s="1"/>
  <c r="AU443" i="14"/>
  <c r="AS33" i="28"/>
  <c r="CN540" i="14" s="1"/>
  <c r="AU540" i="14"/>
  <c r="AS29" i="28"/>
  <c r="CN536" i="14" s="1"/>
  <c r="AU536" i="14"/>
  <c r="AS21" i="28"/>
  <c r="CN528" i="14" s="1"/>
  <c r="AU528" i="14"/>
  <c r="AS8" i="28"/>
  <c r="CN515" i="14" s="1"/>
  <c r="AU515" i="14"/>
  <c r="AS31" i="24"/>
  <c r="CN416" i="14" s="1"/>
  <c r="AU416" i="14"/>
  <c r="AS23" i="24"/>
  <c r="CN408" i="14" s="1"/>
  <c r="AU408" i="14"/>
  <c r="AS9" i="24"/>
  <c r="CN394" i="14" s="1"/>
  <c r="AU394" i="14"/>
  <c r="AS34" i="25"/>
  <c r="CN450" i="14" s="1"/>
  <c r="AU450" i="14"/>
  <c r="AS26" i="25"/>
  <c r="CN442" i="14" s="1"/>
  <c r="AU442" i="14"/>
  <c r="AS36" i="28"/>
  <c r="CN543" i="14" s="1"/>
  <c r="AU543" i="14"/>
  <c r="AS32" i="28"/>
  <c r="CN539" i="14" s="1"/>
  <c r="AU539" i="14"/>
  <c r="AS28" i="28"/>
  <c r="CN535" i="14" s="1"/>
  <c r="AU535" i="14"/>
  <c r="AS24" i="28"/>
  <c r="CN531" i="14" s="1"/>
  <c r="AU531" i="14"/>
  <c r="AS19" i="28"/>
  <c r="CN526" i="14" s="1"/>
  <c r="AU526" i="14"/>
  <c r="AS9" i="28"/>
  <c r="CN516" i="14" s="1"/>
  <c r="AU516" i="14"/>
  <c r="AS12" i="28"/>
  <c r="CN519" i="14" s="1"/>
  <c r="AU519" i="14"/>
  <c r="AS17" i="28"/>
  <c r="CN524" i="14" s="1"/>
  <c r="AU524" i="14"/>
  <c r="AS38" i="24"/>
  <c r="CN423" i="14" s="1"/>
  <c r="AU423" i="14"/>
  <c r="AS34" i="24"/>
  <c r="CN419" i="14" s="1"/>
  <c r="AU419" i="14"/>
  <c r="AS30" i="24"/>
  <c r="CN415" i="14" s="1"/>
  <c r="AU415" i="14"/>
  <c r="AS26" i="24"/>
  <c r="CN411" i="14" s="1"/>
  <c r="AU411" i="14"/>
  <c r="AS22" i="24"/>
  <c r="CN407" i="14" s="1"/>
  <c r="AU407" i="14"/>
  <c r="AS13" i="24"/>
  <c r="CN398" i="14" s="1"/>
  <c r="AU398" i="14"/>
  <c r="AS17" i="24"/>
  <c r="CN402" i="14" s="1"/>
  <c r="AU402" i="14"/>
  <c r="AS11" i="24"/>
  <c r="CN396" i="14" s="1"/>
  <c r="AU396" i="14"/>
  <c r="AS37" i="25"/>
  <c r="CN453" i="14" s="1"/>
  <c r="AU453" i="14"/>
  <c r="AS33" i="25"/>
  <c r="CN449" i="14" s="1"/>
  <c r="AU449" i="14"/>
  <c r="AS29" i="25"/>
  <c r="CN445" i="14" s="1"/>
  <c r="AU445" i="14"/>
  <c r="AS25" i="25"/>
  <c r="CN441" i="14" s="1"/>
  <c r="AU441" i="14"/>
  <c r="AS21" i="25"/>
  <c r="CN437" i="14" s="1"/>
  <c r="AU437" i="14"/>
  <c r="AS16" i="25"/>
  <c r="CN432" i="14" s="1"/>
  <c r="AU432" i="14"/>
  <c r="AS20" i="25"/>
  <c r="CN436" i="14" s="1"/>
  <c r="AU436" i="14"/>
  <c r="AS10" i="25"/>
  <c r="CN426" i="14" s="1"/>
  <c r="AU426" i="14"/>
  <c r="AS30" i="28"/>
  <c r="CN537" i="14" s="1"/>
  <c r="AU537" i="14"/>
  <c r="AS22" i="28"/>
  <c r="CN529" i="14" s="1"/>
  <c r="AU529" i="14"/>
  <c r="AS11" i="28"/>
  <c r="CN518" i="14" s="1"/>
  <c r="AU518" i="14"/>
  <c r="AS36" i="24"/>
  <c r="CN421" i="14" s="1"/>
  <c r="AU421" i="14"/>
  <c r="AS28" i="24"/>
  <c r="CN413" i="14" s="1"/>
  <c r="AU413" i="14"/>
  <c r="AS24" i="24"/>
  <c r="CN409" i="14" s="1"/>
  <c r="AU409" i="14"/>
  <c r="AS15" i="24"/>
  <c r="CN400" i="14" s="1"/>
  <c r="AU400" i="14"/>
  <c r="AS8" i="24"/>
  <c r="CN393" i="14" s="1"/>
  <c r="AU393" i="14"/>
  <c r="AS12" i="24"/>
  <c r="CN397" i="14" s="1"/>
  <c r="AU397" i="14"/>
  <c r="AS16" i="24"/>
  <c r="CN401" i="14" s="1"/>
  <c r="AU401" i="14"/>
  <c r="AS31" i="25"/>
  <c r="CN447" i="14" s="1"/>
  <c r="AU447" i="14"/>
  <c r="AS23" i="25"/>
  <c r="CN439" i="14" s="1"/>
  <c r="AU439" i="14"/>
  <c r="AS13" i="25"/>
  <c r="CN429" i="14" s="1"/>
  <c r="AU429" i="14"/>
  <c r="AS19" i="25"/>
  <c r="CN435" i="14" s="1"/>
  <c r="AU435" i="14"/>
  <c r="AS9" i="25"/>
  <c r="CN425" i="14" s="1"/>
  <c r="AU425" i="14"/>
  <c r="AS37" i="28"/>
  <c r="CN544" i="14" s="1"/>
  <c r="AU544" i="14"/>
  <c r="AS25" i="28"/>
  <c r="CN532" i="14" s="1"/>
  <c r="AU532" i="14"/>
  <c r="AS20" i="28"/>
  <c r="CN527" i="14" s="1"/>
  <c r="AU527" i="14"/>
  <c r="AS13" i="28"/>
  <c r="CN520" i="14" s="1"/>
  <c r="AU520" i="14"/>
  <c r="AS35" i="24"/>
  <c r="CN420" i="14" s="1"/>
  <c r="AU420" i="14"/>
  <c r="AS27" i="24"/>
  <c r="CN412" i="14" s="1"/>
  <c r="AU412" i="14"/>
  <c r="AS10" i="24"/>
  <c r="CN395" i="14" s="1"/>
  <c r="AU395" i="14"/>
  <c r="AS18" i="24"/>
  <c r="CN403" i="14" s="1"/>
  <c r="AU403" i="14"/>
  <c r="AS30" i="25"/>
  <c r="CN446" i="14" s="1"/>
  <c r="AU446" i="14"/>
  <c r="AS22" i="25"/>
  <c r="CN438" i="14" s="1"/>
  <c r="AU438" i="14"/>
  <c r="AS8" i="25"/>
  <c r="CN424" i="14" s="1"/>
  <c r="AU424" i="14"/>
  <c r="AS15" i="25"/>
  <c r="CN431" i="14" s="1"/>
  <c r="AU431" i="14"/>
  <c r="AS12" i="25"/>
  <c r="CN428" i="14" s="1"/>
  <c r="AU428" i="14"/>
  <c r="AS35" i="28"/>
  <c r="CN542" i="14" s="1"/>
  <c r="AU542" i="14"/>
  <c r="AS31" i="28"/>
  <c r="CN538" i="14" s="1"/>
  <c r="AU538" i="14"/>
  <c r="AS27" i="28"/>
  <c r="CN534" i="14" s="1"/>
  <c r="AU534" i="14"/>
  <c r="AS23" i="28"/>
  <c r="CN530" i="14" s="1"/>
  <c r="AU530" i="14"/>
  <c r="AS18" i="28"/>
  <c r="CN525" i="14" s="1"/>
  <c r="AU525" i="14"/>
  <c r="AS16" i="28"/>
  <c r="CN523" i="14" s="1"/>
  <c r="AU523" i="14"/>
  <c r="AS10" i="28"/>
  <c r="CN517" i="14" s="1"/>
  <c r="AU517" i="14"/>
  <c r="AS37" i="24"/>
  <c r="CN422" i="14" s="1"/>
  <c r="AU422" i="14"/>
  <c r="AS33" i="24"/>
  <c r="CN418" i="14" s="1"/>
  <c r="AU418" i="14"/>
  <c r="AS29" i="24"/>
  <c r="CN414" i="14" s="1"/>
  <c r="AU414" i="14"/>
  <c r="AS25" i="24"/>
  <c r="CN410" i="14" s="1"/>
  <c r="AU410" i="14"/>
  <c r="AS21" i="24"/>
  <c r="CN406" i="14" s="1"/>
  <c r="AU406" i="14"/>
  <c r="AS20" i="24"/>
  <c r="CN405" i="14" s="1"/>
  <c r="AU405" i="14"/>
  <c r="AS19" i="24"/>
  <c r="CN404" i="14" s="1"/>
  <c r="AU404" i="14"/>
  <c r="AS14" i="24"/>
  <c r="CN399" i="14" s="1"/>
  <c r="AU399" i="14"/>
  <c r="AS36" i="25"/>
  <c r="CN452" i="14" s="1"/>
  <c r="AU452" i="14"/>
  <c r="AS32" i="25"/>
  <c r="CN448" i="14" s="1"/>
  <c r="AU448" i="14"/>
  <c r="AS28" i="25"/>
  <c r="CN444" i="14" s="1"/>
  <c r="AU444" i="14"/>
  <c r="AS24" i="25"/>
  <c r="CN440" i="14" s="1"/>
  <c r="AU440" i="14"/>
  <c r="AS17" i="25"/>
  <c r="CN433" i="14" s="1"/>
  <c r="AU433" i="14"/>
  <c r="AS14" i="25"/>
  <c r="CN430" i="14" s="1"/>
  <c r="AU430" i="14"/>
  <c r="AS11" i="25"/>
  <c r="CN427" i="14" s="1"/>
  <c r="AU427" i="14"/>
  <c r="AS18" i="25"/>
  <c r="CN434" i="14" s="1"/>
  <c r="AU434" i="14"/>
  <c r="K119" i="29"/>
  <c r="K120" i="29"/>
  <c r="AO36" i="28"/>
  <c r="AT543" i="14"/>
  <c r="AO32" i="28"/>
  <c r="AT539" i="14"/>
  <c r="AO28" i="28"/>
  <c r="AT535" i="14"/>
  <c r="AO24" i="28"/>
  <c r="AT531" i="14"/>
  <c r="AO11" i="28"/>
  <c r="AT518" i="14"/>
  <c r="AO10" i="28"/>
  <c r="AT517" i="14"/>
  <c r="AO12" i="28"/>
  <c r="AT519" i="14"/>
  <c r="AO19" i="28"/>
  <c r="AT526" i="14"/>
  <c r="AO37" i="25"/>
  <c r="AT453" i="14"/>
  <c r="AO33" i="25"/>
  <c r="CK449" i="14" s="1"/>
  <c r="AT449" i="14"/>
  <c r="AO29" i="25"/>
  <c r="AT445" i="14"/>
  <c r="AO25" i="25"/>
  <c r="AT441" i="14"/>
  <c r="AO21" i="25"/>
  <c r="AT437" i="14"/>
  <c r="AO13" i="25"/>
  <c r="AT429" i="14"/>
  <c r="AO17" i="25"/>
  <c r="AT433" i="14"/>
  <c r="AO12" i="25"/>
  <c r="AT428" i="14"/>
  <c r="AO37" i="24"/>
  <c r="AT422" i="14"/>
  <c r="AO33" i="24"/>
  <c r="AT418" i="14"/>
  <c r="AO29" i="24"/>
  <c r="AT414" i="14"/>
  <c r="AO25" i="24"/>
  <c r="AT410" i="14"/>
  <c r="AO21" i="24"/>
  <c r="AT406" i="14"/>
  <c r="AO19" i="24"/>
  <c r="AT404" i="14"/>
  <c r="AO13" i="24"/>
  <c r="AT398" i="14"/>
  <c r="AO15" i="24"/>
  <c r="AT400" i="14"/>
  <c r="AO28" i="25"/>
  <c r="AT444" i="14"/>
  <c r="AO14" i="25"/>
  <c r="AT430" i="14"/>
  <c r="AO11" i="25"/>
  <c r="AT427" i="14"/>
  <c r="AO32" i="24"/>
  <c r="AT417" i="14"/>
  <c r="AO17" i="24"/>
  <c r="AT402" i="14"/>
  <c r="AO14" i="24"/>
  <c r="AT399" i="14"/>
  <c r="AO38" i="28"/>
  <c r="AT545" i="14"/>
  <c r="AO34" i="28"/>
  <c r="AT541" i="14"/>
  <c r="AO30" i="28"/>
  <c r="AT537" i="14"/>
  <c r="AO26" i="28"/>
  <c r="AT533" i="14"/>
  <c r="AO22" i="28"/>
  <c r="AT529" i="14"/>
  <c r="AO13" i="28"/>
  <c r="AT520" i="14"/>
  <c r="AO20" i="28"/>
  <c r="AT527" i="14"/>
  <c r="AO8" i="28"/>
  <c r="AT515" i="14"/>
  <c r="AO35" i="25"/>
  <c r="AT451" i="14"/>
  <c r="AO31" i="25"/>
  <c r="AT447" i="14"/>
  <c r="AO27" i="25"/>
  <c r="AT443" i="14"/>
  <c r="AO23" i="25"/>
  <c r="AT439" i="14"/>
  <c r="AO9" i="25"/>
  <c r="AT425" i="14"/>
  <c r="AO18" i="25"/>
  <c r="AT434" i="14"/>
  <c r="AO19" i="25"/>
  <c r="AT435" i="14"/>
  <c r="AO35" i="24"/>
  <c r="AT420" i="14"/>
  <c r="AO31" i="24"/>
  <c r="AT416" i="14"/>
  <c r="AO27" i="24"/>
  <c r="AT412" i="14"/>
  <c r="AO23" i="24"/>
  <c r="AT408" i="14"/>
  <c r="AO8" i="24"/>
  <c r="AT393" i="14"/>
  <c r="AO16" i="24"/>
  <c r="AT401" i="14"/>
  <c r="AO11" i="24"/>
  <c r="AT396" i="14"/>
  <c r="AO35" i="28"/>
  <c r="AT542" i="14"/>
  <c r="AO31" i="28"/>
  <c r="AT538" i="14"/>
  <c r="AO27" i="28"/>
  <c r="AT534" i="14"/>
  <c r="AO23" i="28"/>
  <c r="AT530" i="14"/>
  <c r="AO9" i="28"/>
  <c r="AT516" i="14"/>
  <c r="AO18" i="28"/>
  <c r="AT525" i="14"/>
  <c r="AO16" i="28"/>
  <c r="AT523" i="14"/>
  <c r="AO36" i="25"/>
  <c r="AT452" i="14"/>
  <c r="AO32" i="25"/>
  <c r="AT448" i="14"/>
  <c r="AO24" i="25"/>
  <c r="AT440" i="14"/>
  <c r="AO10" i="25"/>
  <c r="AT426" i="14"/>
  <c r="AO20" i="25"/>
  <c r="AT436" i="14"/>
  <c r="AO36" i="24"/>
  <c r="AT421" i="14"/>
  <c r="AO28" i="24"/>
  <c r="AT413" i="14"/>
  <c r="AO24" i="24"/>
  <c r="AT409" i="14"/>
  <c r="AO18" i="24"/>
  <c r="AT403" i="14"/>
  <c r="AO12" i="24"/>
  <c r="AT397" i="14"/>
  <c r="AO37" i="28"/>
  <c r="AT544" i="14"/>
  <c r="AO33" i="28"/>
  <c r="AT540" i="14"/>
  <c r="AO29" i="28"/>
  <c r="AT536" i="14"/>
  <c r="AO25" i="28"/>
  <c r="AT532" i="14"/>
  <c r="AO21" i="28"/>
  <c r="AT528" i="14"/>
  <c r="AO15" i="28"/>
  <c r="AT522" i="14"/>
  <c r="AO17" i="28"/>
  <c r="CK524" i="14" s="1"/>
  <c r="AT524" i="14"/>
  <c r="AO14" i="28"/>
  <c r="AT521" i="14"/>
  <c r="AO34" i="25"/>
  <c r="AT450" i="14"/>
  <c r="AO30" i="25"/>
  <c r="AT446" i="14"/>
  <c r="AO26" i="25"/>
  <c r="AT442" i="14"/>
  <c r="AO22" i="25"/>
  <c r="AT438" i="14"/>
  <c r="AO8" i="25"/>
  <c r="AT424" i="14"/>
  <c r="AO16" i="25"/>
  <c r="AT432" i="14"/>
  <c r="AO15" i="25"/>
  <c r="AT431" i="14"/>
  <c r="AO38" i="24"/>
  <c r="AT423" i="14"/>
  <c r="AO34" i="24"/>
  <c r="AT419" i="14"/>
  <c r="AO30" i="24"/>
  <c r="AT415" i="14"/>
  <c r="AO26" i="24"/>
  <c r="AT411" i="14"/>
  <c r="AO22" i="24"/>
  <c r="AT407" i="14"/>
  <c r="AO9" i="24"/>
  <c r="AT394" i="14"/>
  <c r="AO20" i="24"/>
  <c r="AT405" i="14"/>
  <c r="AO10" i="24"/>
  <c r="AT395" i="14"/>
  <c r="CK537" i="14"/>
  <c r="K121" i="29"/>
  <c r="P119" i="29"/>
  <c r="P128" i="29" s="1"/>
  <c r="E138" i="25"/>
  <c r="L137" i="25" s="1"/>
  <c r="E138" i="24"/>
  <c r="G142" i="24" s="1"/>
  <c r="K147" i="18"/>
  <c r="K146" i="18" s="1"/>
  <c r="G386" i="1"/>
  <c r="E147" i="25"/>
  <c r="H146" i="24"/>
  <c r="E138" i="27"/>
  <c r="I142" i="27" s="1"/>
  <c r="E147" i="24"/>
  <c r="E138" i="23"/>
  <c r="G145" i="23" s="1"/>
  <c r="G397" i="1"/>
  <c r="G352" i="1"/>
  <c r="AH355" i="1"/>
  <c r="AN355" i="1" s="1"/>
  <c r="AH352" i="1"/>
  <c r="G147" i="18"/>
  <c r="G338" i="1"/>
  <c r="E147" i="27"/>
  <c r="BP49" i="30"/>
  <c r="AH383" i="1"/>
  <c r="BL49" i="30"/>
  <c r="V383" i="1"/>
  <c r="E147" i="23"/>
  <c r="AM13" i="28"/>
  <c r="X13" i="28"/>
  <c r="BA13" i="28" s="1"/>
  <c r="G146" i="23"/>
  <c r="AM14" i="28"/>
  <c r="X14" i="28"/>
  <c r="BA14" i="28" s="1"/>
  <c r="X8" i="28"/>
  <c r="BA8" i="28" s="1"/>
  <c r="G48" i="28"/>
  <c r="X8" i="25"/>
  <c r="BA8" i="25" s="1"/>
  <c r="G48" i="25"/>
  <c r="X8" i="24"/>
  <c r="BA8" i="24" s="1"/>
  <c r="G48" i="24"/>
  <c r="J137" i="25"/>
  <c r="AM20" i="25"/>
  <c r="X20" i="25"/>
  <c r="BA20" i="25" s="1"/>
  <c r="H129" i="23"/>
  <c r="K9" i="29" s="1"/>
  <c r="AJ211" i="14"/>
  <c r="AN178" i="14"/>
  <c r="I5" i="15"/>
  <c r="F8" i="15"/>
  <c r="H8" i="15" s="1"/>
  <c r="AN177" i="14"/>
  <c r="I8" i="15"/>
  <c r="AI177" i="14"/>
  <c r="AI178" i="14" s="1"/>
  <c r="AC35" i="25"/>
  <c r="BF35" i="25" s="1"/>
  <c r="AR35" i="25"/>
  <c r="AC31" i="25"/>
  <c r="BF31" i="25" s="1"/>
  <c r="AR31" i="25"/>
  <c r="AC27" i="25"/>
  <c r="BF27" i="25" s="1"/>
  <c r="AR27" i="25"/>
  <c r="AC23" i="25"/>
  <c r="BF23" i="25" s="1"/>
  <c r="AR23" i="25"/>
  <c r="AC19" i="25"/>
  <c r="BF19" i="25" s="1"/>
  <c r="AR19" i="25"/>
  <c r="AC12" i="25"/>
  <c r="BF12" i="25" s="1"/>
  <c r="AR12" i="25"/>
  <c r="AC18" i="25"/>
  <c r="BF18" i="25" s="1"/>
  <c r="AR18" i="25"/>
  <c r="AC36" i="24"/>
  <c r="BF36" i="24" s="1"/>
  <c r="AR36" i="24"/>
  <c r="AC32" i="24"/>
  <c r="BF32" i="24" s="1"/>
  <c r="AR32" i="24"/>
  <c r="AC28" i="24"/>
  <c r="BF28" i="24" s="1"/>
  <c r="AR28" i="24"/>
  <c r="AC24" i="24"/>
  <c r="BF24" i="24" s="1"/>
  <c r="AR24" i="24"/>
  <c r="AC20" i="24"/>
  <c r="BF20" i="24" s="1"/>
  <c r="AR20" i="24"/>
  <c r="AC10" i="24"/>
  <c r="BF10" i="24" s="1"/>
  <c r="AR10" i="24"/>
  <c r="AC19" i="24"/>
  <c r="BF19" i="24" s="1"/>
  <c r="AR19" i="24"/>
  <c r="AC36" i="28"/>
  <c r="BF36" i="28" s="1"/>
  <c r="AR36" i="28"/>
  <c r="AC32" i="28"/>
  <c r="BF32" i="28" s="1"/>
  <c r="AR32" i="28"/>
  <c r="AC28" i="28"/>
  <c r="BF28" i="28" s="1"/>
  <c r="AR28" i="28"/>
  <c r="AC24" i="28"/>
  <c r="BF24" i="28" s="1"/>
  <c r="AR24" i="28"/>
  <c r="AC13" i="28"/>
  <c r="BF13" i="28" s="1"/>
  <c r="AR13" i="28"/>
  <c r="AC12" i="28"/>
  <c r="BF12" i="28" s="1"/>
  <c r="AR12" i="28"/>
  <c r="AC14" i="28"/>
  <c r="BF14" i="28" s="1"/>
  <c r="AR14" i="28"/>
  <c r="AC19" i="28"/>
  <c r="BF19" i="28" s="1"/>
  <c r="AR19" i="28"/>
  <c r="AC34" i="25"/>
  <c r="BF34" i="25" s="1"/>
  <c r="AR34" i="25"/>
  <c r="AC30" i="25"/>
  <c r="BF30" i="25" s="1"/>
  <c r="AR30" i="25"/>
  <c r="AC26" i="25"/>
  <c r="BF26" i="25" s="1"/>
  <c r="AR26" i="25"/>
  <c r="AC22" i="25"/>
  <c r="BF22" i="25" s="1"/>
  <c r="AR22" i="25"/>
  <c r="AC10" i="25"/>
  <c r="BF10" i="25" s="1"/>
  <c r="AR10" i="25"/>
  <c r="AC17" i="25"/>
  <c r="BF17" i="25" s="1"/>
  <c r="AR17" i="25"/>
  <c r="AC9" i="25"/>
  <c r="BF9" i="25" s="1"/>
  <c r="AR9" i="25"/>
  <c r="AC35" i="24"/>
  <c r="BF35" i="24" s="1"/>
  <c r="AR35" i="24"/>
  <c r="AC31" i="24"/>
  <c r="BF31" i="24" s="1"/>
  <c r="AR31" i="24"/>
  <c r="AC27" i="24"/>
  <c r="BF27" i="24" s="1"/>
  <c r="AR27" i="24"/>
  <c r="AC23" i="24"/>
  <c r="BF23" i="24" s="1"/>
  <c r="AR23" i="24"/>
  <c r="AC15" i="24"/>
  <c r="BF15" i="24" s="1"/>
  <c r="AR15" i="24"/>
  <c r="AC13" i="24"/>
  <c r="BF13" i="24" s="1"/>
  <c r="AR13" i="24"/>
  <c r="AC16" i="24"/>
  <c r="BF16" i="24" s="1"/>
  <c r="AR16" i="24"/>
  <c r="AC35" i="28"/>
  <c r="BF35" i="28" s="1"/>
  <c r="AR35" i="28"/>
  <c r="AC31" i="28"/>
  <c r="BF31" i="28" s="1"/>
  <c r="AR31" i="28"/>
  <c r="AC27" i="28"/>
  <c r="BF27" i="28" s="1"/>
  <c r="AR27" i="28"/>
  <c r="AC23" i="28"/>
  <c r="BF23" i="28" s="1"/>
  <c r="AR23" i="28"/>
  <c r="AC18" i="28"/>
  <c r="BF18" i="28" s="1"/>
  <c r="AR18" i="28"/>
  <c r="AC9" i="28"/>
  <c r="BF9" i="28" s="1"/>
  <c r="AR9" i="28"/>
  <c r="AC20" i="28"/>
  <c r="BF20" i="28" s="1"/>
  <c r="AR20" i="28"/>
  <c r="AC37" i="25"/>
  <c r="BF37" i="25" s="1"/>
  <c r="AR37" i="25"/>
  <c r="AC33" i="25"/>
  <c r="BF33" i="25" s="1"/>
  <c r="AR33" i="25"/>
  <c r="AC29" i="25"/>
  <c r="BF29" i="25" s="1"/>
  <c r="AR29" i="25"/>
  <c r="AC25" i="25"/>
  <c r="BF25" i="25" s="1"/>
  <c r="AR25" i="25"/>
  <c r="AC21" i="25"/>
  <c r="BF21" i="25" s="1"/>
  <c r="AR21" i="25"/>
  <c r="AC20" i="25"/>
  <c r="BF20" i="25" s="1"/>
  <c r="AR20" i="25"/>
  <c r="AC15" i="25"/>
  <c r="BF15" i="25" s="1"/>
  <c r="AR15" i="25"/>
  <c r="AC38" i="24"/>
  <c r="BF38" i="24" s="1"/>
  <c r="AR38" i="24"/>
  <c r="AC34" i="24"/>
  <c r="BF34" i="24" s="1"/>
  <c r="AR34" i="24"/>
  <c r="AC30" i="24"/>
  <c r="BF30" i="24" s="1"/>
  <c r="AR30" i="24"/>
  <c r="AC26" i="24"/>
  <c r="BF26" i="24" s="1"/>
  <c r="AR26" i="24"/>
  <c r="AC22" i="24"/>
  <c r="BF22" i="24" s="1"/>
  <c r="AR22" i="24"/>
  <c r="AC14" i="24"/>
  <c r="BF14" i="24" s="1"/>
  <c r="AR14" i="24"/>
  <c r="AC17" i="24"/>
  <c r="BF17" i="24" s="1"/>
  <c r="AR17" i="24"/>
  <c r="AC12" i="24"/>
  <c r="BF12" i="24" s="1"/>
  <c r="AR12" i="24"/>
  <c r="AC38" i="28"/>
  <c r="BF38" i="28" s="1"/>
  <c r="AR38" i="28"/>
  <c r="AC34" i="28"/>
  <c r="BF34" i="28" s="1"/>
  <c r="AR34" i="28"/>
  <c r="AC30" i="28"/>
  <c r="BF30" i="28" s="1"/>
  <c r="AR30" i="28"/>
  <c r="AC26" i="28"/>
  <c r="BF26" i="28" s="1"/>
  <c r="AR26" i="28"/>
  <c r="AC22" i="28"/>
  <c r="BF22" i="28" s="1"/>
  <c r="AR22" i="28"/>
  <c r="AC11" i="28"/>
  <c r="BF11" i="28" s="1"/>
  <c r="AR11" i="28"/>
  <c r="AC17" i="28"/>
  <c r="BF17" i="28" s="1"/>
  <c r="AR17" i="28"/>
  <c r="AC15" i="28"/>
  <c r="BF15" i="28" s="1"/>
  <c r="AR15" i="28"/>
  <c r="AC36" i="25"/>
  <c r="BF36" i="25" s="1"/>
  <c r="AR36" i="25"/>
  <c r="AC32" i="25"/>
  <c r="BF32" i="25" s="1"/>
  <c r="AR32" i="25"/>
  <c r="AC28" i="25"/>
  <c r="BF28" i="25" s="1"/>
  <c r="AR28" i="25"/>
  <c r="AC24" i="25"/>
  <c r="BF24" i="25" s="1"/>
  <c r="AR24" i="25"/>
  <c r="AC13" i="25"/>
  <c r="BF13" i="25" s="1"/>
  <c r="AR13" i="25"/>
  <c r="AC14" i="25"/>
  <c r="BF14" i="25" s="1"/>
  <c r="AR14" i="25"/>
  <c r="AC11" i="25"/>
  <c r="BF11" i="25" s="1"/>
  <c r="AR11" i="25"/>
  <c r="AC16" i="25"/>
  <c r="BF16" i="25" s="1"/>
  <c r="AR16" i="25"/>
  <c r="AC37" i="24"/>
  <c r="BF37" i="24" s="1"/>
  <c r="AR37" i="24"/>
  <c r="AC33" i="24"/>
  <c r="BF33" i="24" s="1"/>
  <c r="AR33" i="24"/>
  <c r="AC29" i="24"/>
  <c r="BF29" i="24" s="1"/>
  <c r="AR29" i="24"/>
  <c r="AC25" i="24"/>
  <c r="BF25" i="24" s="1"/>
  <c r="AR25" i="24"/>
  <c r="AC21" i="24"/>
  <c r="BF21" i="24" s="1"/>
  <c r="AR21" i="24"/>
  <c r="AC11" i="24"/>
  <c r="BF11" i="24" s="1"/>
  <c r="AR11" i="24"/>
  <c r="AC18" i="24"/>
  <c r="BF18" i="24" s="1"/>
  <c r="AR18" i="24"/>
  <c r="AC9" i="24"/>
  <c r="BF9" i="24" s="1"/>
  <c r="AR9" i="24"/>
  <c r="AC37" i="28"/>
  <c r="BF37" i="28" s="1"/>
  <c r="AR37" i="28"/>
  <c r="AC33" i="28"/>
  <c r="BF33" i="28" s="1"/>
  <c r="AR33" i="28"/>
  <c r="AC29" i="28"/>
  <c r="BF29" i="28" s="1"/>
  <c r="AR29" i="28"/>
  <c r="AC25" i="28"/>
  <c r="BF25" i="28" s="1"/>
  <c r="AR25" i="28"/>
  <c r="AC21" i="28"/>
  <c r="BF21" i="28" s="1"/>
  <c r="AR21" i="28"/>
  <c r="AC16" i="28"/>
  <c r="BF16" i="28" s="1"/>
  <c r="AR16" i="28"/>
  <c r="AC10" i="28"/>
  <c r="BF10" i="28" s="1"/>
  <c r="AR10" i="28"/>
  <c r="Y31" i="28"/>
  <c r="AN31" i="28"/>
  <c r="Y10" i="28"/>
  <c r="AN10" i="28"/>
  <c r="Y25" i="25"/>
  <c r="AN25" i="25"/>
  <c r="Y11" i="25"/>
  <c r="AN11" i="25"/>
  <c r="Y24" i="24"/>
  <c r="AN24" i="24"/>
  <c r="Y36" i="28"/>
  <c r="AN36" i="28"/>
  <c r="Y32" i="28"/>
  <c r="AN32" i="28"/>
  <c r="Y28" i="28"/>
  <c r="AN28" i="28"/>
  <c r="Y24" i="28"/>
  <c r="AN24" i="28"/>
  <c r="Y12" i="28"/>
  <c r="AN12" i="28"/>
  <c r="Y14" i="28"/>
  <c r="AN14" i="28"/>
  <c r="Y20" i="28"/>
  <c r="AN20" i="28"/>
  <c r="Y11" i="28"/>
  <c r="AN11" i="28"/>
  <c r="Y34" i="25"/>
  <c r="AN34" i="25"/>
  <c r="Y30" i="25"/>
  <c r="AN30" i="25"/>
  <c r="Y26" i="25"/>
  <c r="AN26" i="25"/>
  <c r="Y22" i="25"/>
  <c r="AN22" i="25"/>
  <c r="Y13" i="25"/>
  <c r="AN13" i="25"/>
  <c r="Y15" i="25"/>
  <c r="AN15" i="25"/>
  <c r="Y37" i="24"/>
  <c r="AN37" i="24"/>
  <c r="Y33" i="24"/>
  <c r="AN33" i="24"/>
  <c r="Y29" i="24"/>
  <c r="AN29" i="24"/>
  <c r="Y25" i="24"/>
  <c r="AN25" i="24"/>
  <c r="Y21" i="24"/>
  <c r="AN21" i="24"/>
  <c r="Y20" i="24"/>
  <c r="AN20" i="24"/>
  <c r="Y19" i="24"/>
  <c r="AN19" i="24"/>
  <c r="Y14" i="24"/>
  <c r="AN14" i="24"/>
  <c r="Y27" i="28"/>
  <c r="AN27" i="28"/>
  <c r="Y18" i="28"/>
  <c r="AN18" i="28"/>
  <c r="Y33" i="25"/>
  <c r="AN33" i="25"/>
  <c r="Y10" i="25"/>
  <c r="AN10" i="25"/>
  <c r="Y36" i="24"/>
  <c r="AN36" i="24"/>
  <c r="Y10" i="24"/>
  <c r="AN10" i="24"/>
  <c r="Y38" i="28"/>
  <c r="AN38" i="28"/>
  <c r="Y34" i="28"/>
  <c r="AN34" i="28"/>
  <c r="Y30" i="28"/>
  <c r="AN30" i="28"/>
  <c r="Y26" i="28"/>
  <c r="AN26" i="28"/>
  <c r="Y22" i="28"/>
  <c r="AN22" i="28"/>
  <c r="Y13" i="28"/>
  <c r="AN13" i="28"/>
  <c r="Y17" i="28"/>
  <c r="AN17" i="28"/>
  <c r="Y36" i="25"/>
  <c r="AN36" i="25"/>
  <c r="Y32" i="25"/>
  <c r="AN32" i="25"/>
  <c r="Y28" i="25"/>
  <c r="AN28" i="25"/>
  <c r="Y24" i="25"/>
  <c r="AN24" i="25"/>
  <c r="Y14" i="25"/>
  <c r="AN14" i="25"/>
  <c r="Y19" i="25"/>
  <c r="AN19" i="25"/>
  <c r="Y12" i="25"/>
  <c r="AN12" i="25"/>
  <c r="Y17" i="25"/>
  <c r="AN17" i="25"/>
  <c r="Y35" i="24"/>
  <c r="AN35" i="24"/>
  <c r="Y31" i="24"/>
  <c r="AN31" i="24"/>
  <c r="Y27" i="24"/>
  <c r="AN27" i="24"/>
  <c r="Y23" i="24"/>
  <c r="AN23" i="24"/>
  <c r="Y12" i="24"/>
  <c r="AN12" i="24"/>
  <c r="Y15" i="24"/>
  <c r="AN15" i="24"/>
  <c r="Y35" i="28"/>
  <c r="AN35" i="28"/>
  <c r="Y23" i="28"/>
  <c r="AN23" i="28"/>
  <c r="Y19" i="28"/>
  <c r="AN19" i="28"/>
  <c r="Y37" i="25"/>
  <c r="AN37" i="25"/>
  <c r="Y29" i="25"/>
  <c r="AN29" i="25"/>
  <c r="Y21" i="25"/>
  <c r="AN21" i="25"/>
  <c r="Y20" i="25"/>
  <c r="AN20" i="25"/>
  <c r="Y32" i="24"/>
  <c r="AN32" i="24"/>
  <c r="Y28" i="24"/>
  <c r="AN28" i="24"/>
  <c r="Y17" i="24"/>
  <c r="AN17" i="24"/>
  <c r="Y13" i="24"/>
  <c r="AN13" i="24"/>
  <c r="Y9" i="24"/>
  <c r="AN9" i="24"/>
  <c r="Y37" i="28"/>
  <c r="AN37" i="28"/>
  <c r="Y33" i="28"/>
  <c r="AN33" i="28"/>
  <c r="Y29" i="28"/>
  <c r="AN29" i="28"/>
  <c r="Y25" i="28"/>
  <c r="AN25" i="28"/>
  <c r="Y21" i="28"/>
  <c r="AN21" i="28"/>
  <c r="Y15" i="28"/>
  <c r="AN15" i="28"/>
  <c r="Y16" i="28"/>
  <c r="AN16" i="28"/>
  <c r="Y9" i="28"/>
  <c r="AN9" i="28"/>
  <c r="Y35" i="25"/>
  <c r="AN35" i="25"/>
  <c r="Y31" i="25"/>
  <c r="AN31" i="25"/>
  <c r="Y27" i="25"/>
  <c r="AN27" i="25"/>
  <c r="Y23" i="25"/>
  <c r="AN23" i="25"/>
  <c r="Y16" i="25"/>
  <c r="AN16" i="25"/>
  <c r="Y9" i="25"/>
  <c r="AN9" i="25"/>
  <c r="Y18" i="25"/>
  <c r="AN18" i="25"/>
  <c r="Y38" i="24"/>
  <c r="AN38" i="24"/>
  <c r="Y34" i="24"/>
  <c r="AN34" i="24"/>
  <c r="Y30" i="24"/>
  <c r="AN30" i="24"/>
  <c r="Y26" i="24"/>
  <c r="AN26" i="24"/>
  <c r="Y22" i="24"/>
  <c r="AN22" i="24"/>
  <c r="Y11" i="24"/>
  <c r="AN11" i="24"/>
  <c r="Y16" i="24"/>
  <c r="AN16" i="24"/>
  <c r="Y18" i="24"/>
  <c r="AN18" i="24"/>
  <c r="N16" i="29"/>
  <c r="T16" i="29" s="1"/>
  <c r="AB270" i="1"/>
  <c r="AB272" i="1" s="1"/>
  <c r="AB253" i="1"/>
  <c r="V253" i="1"/>
  <c r="V270" i="1"/>
  <c r="V272" i="1" s="1"/>
  <c r="BG49" i="30"/>
  <c r="G429" i="1"/>
  <c r="J429" i="1" s="1"/>
  <c r="M429" i="1" s="1"/>
  <c r="P429" i="1" s="1"/>
  <c r="S429" i="1" s="1"/>
  <c r="V429" i="1" s="1"/>
  <c r="Y253" i="1"/>
  <c r="Y270" i="1"/>
  <c r="Y272" i="1" s="1"/>
  <c r="AH403" i="1"/>
  <c r="AH270" i="1"/>
  <c r="AH253" i="1"/>
  <c r="G270" i="1"/>
  <c r="AH278" i="1" s="1"/>
  <c r="G253" i="1"/>
  <c r="Y8" i="25"/>
  <c r="H48" i="25"/>
  <c r="Y8" i="28"/>
  <c r="H48" i="28"/>
  <c r="BQ50" i="30" s="1"/>
  <c r="Y8" i="24"/>
  <c r="H48" i="24"/>
  <c r="AF116" i="30"/>
  <c r="AF122" i="30"/>
  <c r="AF119" i="30"/>
  <c r="AU48" i="30"/>
  <c r="AU46" i="30"/>
  <c r="AU47" i="30"/>
  <c r="AU44" i="30"/>
  <c r="AU45" i="30"/>
  <c r="BP53" i="30"/>
  <c r="AU17" i="30" s="1"/>
  <c r="AF103" i="30" s="1"/>
  <c r="AH341" i="1"/>
  <c r="AN341" i="1" s="1"/>
  <c r="AH430" i="1"/>
  <c r="AH271" i="1"/>
  <c r="AQ287" i="1" s="1"/>
  <c r="AH256" i="1"/>
  <c r="AF114" i="30"/>
  <c r="AF120" i="30"/>
  <c r="AF117" i="30"/>
  <c r="AD34" i="28"/>
  <c r="BG34" i="28" s="1"/>
  <c r="AD26" i="28"/>
  <c r="BG26" i="28" s="1"/>
  <c r="AD15" i="28"/>
  <c r="BG15" i="28" s="1"/>
  <c r="AD14" i="28"/>
  <c r="BG14" i="28" s="1"/>
  <c r="AS442" i="14"/>
  <c r="AA26" i="25"/>
  <c r="BD26" i="25" s="1"/>
  <c r="AS430" i="14"/>
  <c r="AA14" i="25"/>
  <c r="BD14" i="25" s="1"/>
  <c r="AB29" i="28"/>
  <c r="BE29" i="28" s="1"/>
  <c r="AB15" i="28"/>
  <c r="BE15" i="28" s="1"/>
  <c r="AR535" i="14"/>
  <c r="Z28" i="28"/>
  <c r="BC28" i="28" s="1"/>
  <c r="AR518" i="14"/>
  <c r="Z11" i="28"/>
  <c r="BC11" i="28" s="1"/>
  <c r="AR526" i="14"/>
  <c r="Z19" i="28"/>
  <c r="BC19" i="28" s="1"/>
  <c r="AS412" i="14"/>
  <c r="AA27" i="24"/>
  <c r="BD27" i="24" s="1"/>
  <c r="AS397" i="14"/>
  <c r="AA12" i="24"/>
  <c r="BD12" i="24" s="1"/>
  <c r="AD36" i="24"/>
  <c r="BG36" i="24" s="1"/>
  <c r="AD24" i="24"/>
  <c r="BG24" i="24" s="1"/>
  <c r="AD8" i="24"/>
  <c r="BG8" i="24" s="1"/>
  <c r="M48" i="24"/>
  <c r="M128" i="24" s="1"/>
  <c r="L124" i="29" s="1"/>
  <c r="AD16" i="24"/>
  <c r="BG16" i="24" s="1"/>
  <c r="AS534" i="14"/>
  <c r="AA27" i="28"/>
  <c r="BD27" i="28" s="1"/>
  <c r="AS530" i="14"/>
  <c r="AA23" i="28"/>
  <c r="BD23" i="28" s="1"/>
  <c r="AS517" i="14"/>
  <c r="AA10" i="28"/>
  <c r="BD10" i="28" s="1"/>
  <c r="AR449" i="14"/>
  <c r="Z33" i="25"/>
  <c r="BC33" i="25" s="1"/>
  <c r="AR437" i="14"/>
  <c r="Z21" i="25"/>
  <c r="BC21" i="25" s="1"/>
  <c r="AR429" i="14"/>
  <c r="Z13" i="25"/>
  <c r="BC13" i="25" s="1"/>
  <c r="AB35" i="25"/>
  <c r="BE35" i="25" s="1"/>
  <c r="AB23" i="25"/>
  <c r="BE23" i="25" s="1"/>
  <c r="AB17" i="25"/>
  <c r="BE17" i="25" s="1"/>
  <c r="AB38" i="24"/>
  <c r="BE38" i="24" s="1"/>
  <c r="AB26" i="24"/>
  <c r="BE26" i="24" s="1"/>
  <c r="AB15" i="24"/>
  <c r="BE15" i="24" s="1"/>
  <c r="AB18" i="24"/>
  <c r="BE18" i="24" s="1"/>
  <c r="AR422" i="14"/>
  <c r="Z37" i="24"/>
  <c r="BC37" i="24" s="1"/>
  <c r="AR410" i="14"/>
  <c r="Z25" i="24"/>
  <c r="BC25" i="24" s="1"/>
  <c r="AR406" i="14"/>
  <c r="Z21" i="24"/>
  <c r="BC21" i="24" s="1"/>
  <c r="AR404" i="14"/>
  <c r="Z19" i="24"/>
  <c r="BC19" i="24" s="1"/>
  <c r="AR398" i="14"/>
  <c r="Z13" i="24"/>
  <c r="BC13" i="24" s="1"/>
  <c r="AR400" i="14"/>
  <c r="Z15" i="24"/>
  <c r="BC15" i="24" s="1"/>
  <c r="AC8" i="28"/>
  <c r="BF8" i="28" s="1"/>
  <c r="L48" i="28"/>
  <c r="L128" i="28" s="1"/>
  <c r="AD31" i="25"/>
  <c r="BG31" i="25" s="1"/>
  <c r="AD27" i="25"/>
  <c r="BG27" i="25" s="1"/>
  <c r="AD23" i="25"/>
  <c r="BG23" i="25" s="1"/>
  <c r="AD13" i="25"/>
  <c r="BG13" i="25" s="1"/>
  <c r="AD19" i="25"/>
  <c r="BG19" i="25" s="1"/>
  <c r="AD9" i="25"/>
  <c r="BG9" i="25" s="1"/>
  <c r="AD37" i="28"/>
  <c r="BG37" i="28" s="1"/>
  <c r="AD33" i="28"/>
  <c r="BG33" i="28" s="1"/>
  <c r="AD29" i="28"/>
  <c r="BG29" i="28" s="1"/>
  <c r="AD25" i="28"/>
  <c r="BG25" i="28" s="1"/>
  <c r="AD21" i="28"/>
  <c r="BG21" i="28" s="1"/>
  <c r="AD20" i="28"/>
  <c r="BG20" i="28" s="1"/>
  <c r="AD8" i="28"/>
  <c r="BG8" i="28" s="1"/>
  <c r="M48" i="28"/>
  <c r="M128" i="28" s="1"/>
  <c r="Q124" i="29" s="1"/>
  <c r="R124" i="29" s="1"/>
  <c r="AD13" i="28"/>
  <c r="BG13" i="28" s="1"/>
  <c r="AS453" i="14"/>
  <c r="AA37" i="25"/>
  <c r="BD37" i="25" s="1"/>
  <c r="AS449" i="14"/>
  <c r="AA33" i="25"/>
  <c r="BD33" i="25" s="1"/>
  <c r="AS445" i="14"/>
  <c r="AA29" i="25"/>
  <c r="BD29" i="25" s="1"/>
  <c r="AS441" i="14"/>
  <c r="AA25" i="25"/>
  <c r="BD25" i="25" s="1"/>
  <c r="AS437" i="14"/>
  <c r="AA21" i="25"/>
  <c r="BD21" i="25" s="1"/>
  <c r="AS428" i="14"/>
  <c r="AA12" i="25"/>
  <c r="BD12" i="25" s="1"/>
  <c r="AS425" i="14"/>
  <c r="AA9" i="25"/>
  <c r="BD9" i="25" s="1"/>
  <c r="AS436" i="14"/>
  <c r="AA20" i="25"/>
  <c r="BD20" i="25" s="1"/>
  <c r="AC8" i="24"/>
  <c r="BF8" i="24" s="1"/>
  <c r="L48" i="24"/>
  <c r="L128" i="24" s="1"/>
  <c r="AB36" i="28"/>
  <c r="BE36" i="28" s="1"/>
  <c r="AB32" i="28"/>
  <c r="BE32" i="28" s="1"/>
  <c r="AB28" i="28"/>
  <c r="BE28" i="28" s="1"/>
  <c r="AB24" i="28"/>
  <c r="BE24" i="28" s="1"/>
  <c r="AB17" i="28"/>
  <c r="BE17" i="28" s="1"/>
  <c r="AB14" i="28"/>
  <c r="BE14" i="28" s="1"/>
  <c r="AB18" i="28"/>
  <c r="BE18" i="28" s="1"/>
  <c r="AB9" i="28"/>
  <c r="BE9" i="28" s="1"/>
  <c r="AR542" i="14"/>
  <c r="Z35" i="28"/>
  <c r="BC35" i="28" s="1"/>
  <c r="AR538" i="14"/>
  <c r="Z31" i="28"/>
  <c r="BC31" i="28" s="1"/>
  <c r="AR534" i="14"/>
  <c r="Z27" i="28"/>
  <c r="BC27" i="28" s="1"/>
  <c r="AR530" i="14"/>
  <c r="Z23" i="28"/>
  <c r="BC23" i="28" s="1"/>
  <c r="AR516" i="14"/>
  <c r="Z9" i="28"/>
  <c r="BC9" i="28" s="1"/>
  <c r="AR525" i="14"/>
  <c r="Z18" i="28"/>
  <c r="BC18" i="28" s="1"/>
  <c r="AR523" i="14"/>
  <c r="Z16" i="28"/>
  <c r="BC16" i="28" s="1"/>
  <c r="AS423" i="14"/>
  <c r="AA38" i="24"/>
  <c r="BD38" i="24" s="1"/>
  <c r="AS419" i="14"/>
  <c r="AA34" i="24"/>
  <c r="BD34" i="24" s="1"/>
  <c r="AS415" i="14"/>
  <c r="AA30" i="24"/>
  <c r="BD30" i="24" s="1"/>
  <c r="AS411" i="14"/>
  <c r="AA26" i="24"/>
  <c r="BD26" i="24" s="1"/>
  <c r="AS407" i="14"/>
  <c r="AA22" i="24"/>
  <c r="BD22" i="24" s="1"/>
  <c r="AS396" i="14"/>
  <c r="AA11" i="24"/>
  <c r="BD11" i="24" s="1"/>
  <c r="AS394" i="14"/>
  <c r="AA9" i="24"/>
  <c r="BD9" i="24" s="1"/>
  <c r="AS400" i="14"/>
  <c r="AA15" i="24"/>
  <c r="BD15" i="24" s="1"/>
  <c r="AD35" i="24"/>
  <c r="BG35" i="24" s="1"/>
  <c r="AD31" i="24"/>
  <c r="BG31" i="24" s="1"/>
  <c r="AD27" i="24"/>
  <c r="BG27" i="24" s="1"/>
  <c r="AD23" i="24"/>
  <c r="BG23" i="24" s="1"/>
  <c r="AD10" i="24"/>
  <c r="BG10" i="24" s="1"/>
  <c r="AD9" i="24"/>
  <c r="BG9" i="24" s="1"/>
  <c r="AD18" i="24"/>
  <c r="BG18" i="24" s="1"/>
  <c r="AS545" i="14"/>
  <c r="AA38" i="28"/>
  <c r="BD38" i="28" s="1"/>
  <c r="AS541" i="14"/>
  <c r="AA34" i="28"/>
  <c r="BD34" i="28" s="1"/>
  <c r="AS537" i="14"/>
  <c r="AA30" i="28"/>
  <c r="BD30" i="28" s="1"/>
  <c r="AS533" i="14"/>
  <c r="AA26" i="28"/>
  <c r="BD26" i="28" s="1"/>
  <c r="AS529" i="14"/>
  <c r="AA22" i="28"/>
  <c r="BD22" i="28" s="1"/>
  <c r="AS527" i="14"/>
  <c r="AA20" i="28"/>
  <c r="BD20" i="28" s="1"/>
  <c r="AS526" i="14"/>
  <c r="AA19" i="28"/>
  <c r="BD19" i="28" s="1"/>
  <c r="AS518" i="14"/>
  <c r="AA11" i="28"/>
  <c r="BD11" i="28" s="1"/>
  <c r="AR452" i="14"/>
  <c r="Z36" i="25"/>
  <c r="BC36" i="25" s="1"/>
  <c r="AR448" i="14"/>
  <c r="Z32" i="25"/>
  <c r="BC32" i="25" s="1"/>
  <c r="AR444" i="14"/>
  <c r="Z28" i="25"/>
  <c r="BC28" i="25" s="1"/>
  <c r="AR440" i="14"/>
  <c r="Z24" i="25"/>
  <c r="BC24" i="25" s="1"/>
  <c r="AR426" i="14"/>
  <c r="Z10" i="25"/>
  <c r="BC10" i="25" s="1"/>
  <c r="AR430" i="14"/>
  <c r="Z14" i="25"/>
  <c r="BC14" i="25" s="1"/>
  <c r="AR436" i="14"/>
  <c r="Z20" i="25"/>
  <c r="BC20" i="25" s="1"/>
  <c r="AR427" i="14"/>
  <c r="Z11" i="25"/>
  <c r="BC11" i="25" s="1"/>
  <c r="AB34" i="25"/>
  <c r="BE34" i="25" s="1"/>
  <c r="AB30" i="25"/>
  <c r="BE30" i="25" s="1"/>
  <c r="AB26" i="25"/>
  <c r="BE26" i="25" s="1"/>
  <c r="AB22" i="25"/>
  <c r="BE22" i="25" s="1"/>
  <c r="AB18" i="25"/>
  <c r="BE18" i="25" s="1"/>
  <c r="AB19" i="25"/>
  <c r="BE19" i="25" s="1"/>
  <c r="AB9" i="25"/>
  <c r="BE9" i="25" s="1"/>
  <c r="AB37" i="24"/>
  <c r="BE37" i="24" s="1"/>
  <c r="AB33" i="24"/>
  <c r="BE33" i="24" s="1"/>
  <c r="AB29" i="24"/>
  <c r="BE29" i="24" s="1"/>
  <c r="AB25" i="24"/>
  <c r="BE25" i="24" s="1"/>
  <c r="AB21" i="24"/>
  <c r="BE21" i="24" s="1"/>
  <c r="AB8" i="24"/>
  <c r="BE8" i="24" s="1"/>
  <c r="K48" i="24"/>
  <c r="K128" i="24" s="1"/>
  <c r="AB17" i="24"/>
  <c r="BE17" i="24" s="1"/>
  <c r="AB10" i="24"/>
  <c r="BE10" i="24" s="1"/>
  <c r="AR421" i="14"/>
  <c r="Z36" i="24"/>
  <c r="BC36" i="24" s="1"/>
  <c r="AR417" i="14"/>
  <c r="Z32" i="24"/>
  <c r="BC32" i="24" s="1"/>
  <c r="AR413" i="14"/>
  <c r="Z28" i="24"/>
  <c r="BC28" i="24" s="1"/>
  <c r="AR409" i="14"/>
  <c r="Z24" i="24"/>
  <c r="BC24" i="24" s="1"/>
  <c r="AR402" i="14"/>
  <c r="Z17" i="24"/>
  <c r="BC17" i="24" s="1"/>
  <c r="AR403" i="14"/>
  <c r="Z18" i="24"/>
  <c r="BC18" i="24" s="1"/>
  <c r="AR397" i="14"/>
  <c r="Z12" i="24"/>
  <c r="BC12" i="24" s="1"/>
  <c r="AR399" i="14"/>
  <c r="Z14" i="24"/>
  <c r="BC14" i="24" s="1"/>
  <c r="AD34" i="25"/>
  <c r="BG34" i="25" s="1"/>
  <c r="AD30" i="25"/>
  <c r="BG30" i="25" s="1"/>
  <c r="AD26" i="25"/>
  <c r="BG26" i="25" s="1"/>
  <c r="AD22" i="25"/>
  <c r="BG22" i="25" s="1"/>
  <c r="AD8" i="25"/>
  <c r="BG8" i="25" s="1"/>
  <c r="M48" i="25"/>
  <c r="M128" i="25" s="1"/>
  <c r="M124" i="29" s="1"/>
  <c r="AD15" i="25"/>
  <c r="BG15" i="25" s="1"/>
  <c r="AD12" i="25"/>
  <c r="BG12" i="25" s="1"/>
  <c r="AD30" i="28"/>
  <c r="BG30" i="28" s="1"/>
  <c r="AD11" i="28"/>
  <c r="BG11" i="28" s="1"/>
  <c r="AS450" i="14"/>
  <c r="AA34" i="25"/>
  <c r="BD34" i="25" s="1"/>
  <c r="AS438" i="14"/>
  <c r="AA22" i="25"/>
  <c r="BD22" i="25" s="1"/>
  <c r="AS433" i="14"/>
  <c r="AA17" i="25"/>
  <c r="BD17" i="25" s="1"/>
  <c r="AB33" i="28"/>
  <c r="BE33" i="28" s="1"/>
  <c r="AB25" i="28"/>
  <c r="BE25" i="28" s="1"/>
  <c r="AB8" i="28"/>
  <c r="BE8" i="28" s="1"/>
  <c r="K48" i="28"/>
  <c r="K128" i="28" s="1"/>
  <c r="AR539" i="14"/>
  <c r="Z32" i="28"/>
  <c r="BC32" i="28" s="1"/>
  <c r="AR531" i="14"/>
  <c r="Z24" i="28"/>
  <c r="BC24" i="28" s="1"/>
  <c r="AR519" i="14"/>
  <c r="Z12" i="28"/>
  <c r="BC12" i="28" s="1"/>
  <c r="AS420" i="14"/>
  <c r="AA35" i="24"/>
  <c r="BD35" i="24" s="1"/>
  <c r="AS408" i="14"/>
  <c r="AA23" i="24"/>
  <c r="BD23" i="24" s="1"/>
  <c r="AS398" i="14"/>
  <c r="AA13" i="24"/>
  <c r="BD13" i="24" s="1"/>
  <c r="AD32" i="24"/>
  <c r="BG32" i="24" s="1"/>
  <c r="AD15" i="24"/>
  <c r="BG15" i="24" s="1"/>
  <c r="AS542" i="14"/>
  <c r="AA35" i="28"/>
  <c r="BD35" i="28" s="1"/>
  <c r="AS524" i="14"/>
  <c r="AA17" i="28"/>
  <c r="BD17" i="28" s="1"/>
  <c r="AR453" i="14"/>
  <c r="Z37" i="25"/>
  <c r="BC37" i="25" s="1"/>
  <c r="AR441" i="14"/>
  <c r="Z25" i="25"/>
  <c r="BC25" i="25" s="1"/>
  <c r="AR428" i="14"/>
  <c r="Z12" i="25"/>
  <c r="BC12" i="25" s="1"/>
  <c r="AB27" i="25"/>
  <c r="BE27" i="25" s="1"/>
  <c r="AB15" i="25"/>
  <c r="BE15" i="25" s="1"/>
  <c r="AB30" i="24"/>
  <c r="BE30" i="24" s="1"/>
  <c r="AB22" i="24"/>
  <c r="BE22" i="24" s="1"/>
  <c r="AR414" i="14"/>
  <c r="Z29" i="24"/>
  <c r="BC29" i="24" s="1"/>
  <c r="AD35" i="25"/>
  <c r="BG35" i="25" s="1"/>
  <c r="AD36" i="28"/>
  <c r="BG36" i="28" s="1"/>
  <c r="AD32" i="28"/>
  <c r="BG32" i="28" s="1"/>
  <c r="AD28" i="28"/>
  <c r="BG28" i="28" s="1"/>
  <c r="AD24" i="28"/>
  <c r="BG24" i="28" s="1"/>
  <c r="AD19" i="28"/>
  <c r="BG19" i="28" s="1"/>
  <c r="AD9" i="28"/>
  <c r="BG9" i="28" s="1"/>
  <c r="AD12" i="28"/>
  <c r="BG12" i="28" s="1"/>
  <c r="AD17" i="28"/>
  <c r="BG17" i="28" s="1"/>
  <c r="AS452" i="14"/>
  <c r="AA36" i="25"/>
  <c r="BD36" i="25" s="1"/>
  <c r="AS448" i="14"/>
  <c r="AA32" i="25"/>
  <c r="BD32" i="25" s="1"/>
  <c r="AS444" i="14"/>
  <c r="AA28" i="25"/>
  <c r="BD28" i="25" s="1"/>
  <c r="AS440" i="14"/>
  <c r="AA24" i="25"/>
  <c r="BD24" i="25" s="1"/>
  <c r="AS426" i="14"/>
  <c r="AA10" i="25"/>
  <c r="BD10" i="25" s="1"/>
  <c r="AS427" i="14"/>
  <c r="AA11" i="25"/>
  <c r="BD11" i="25" s="1"/>
  <c r="AS434" i="14"/>
  <c r="AA18" i="25"/>
  <c r="BD18" i="25" s="1"/>
  <c r="AS424" i="14"/>
  <c r="AA8" i="25"/>
  <c r="BD8" i="25" s="1"/>
  <c r="J48" i="25"/>
  <c r="J128" i="25" s="1"/>
  <c r="M122" i="29" s="1"/>
  <c r="AB35" i="28"/>
  <c r="BE35" i="28" s="1"/>
  <c r="AB31" i="28"/>
  <c r="BE31" i="28" s="1"/>
  <c r="AB27" i="28"/>
  <c r="BE27" i="28" s="1"/>
  <c r="AB23" i="28"/>
  <c r="BE23" i="28" s="1"/>
  <c r="AB13" i="28"/>
  <c r="BE13" i="28" s="1"/>
  <c r="AB10" i="28"/>
  <c r="BE10" i="28" s="1"/>
  <c r="AB12" i="28"/>
  <c r="BE12" i="28" s="1"/>
  <c r="AR545" i="14"/>
  <c r="Z38" i="28"/>
  <c r="BC38" i="28" s="1"/>
  <c r="AR541" i="14"/>
  <c r="Z34" i="28"/>
  <c r="BC34" i="28" s="1"/>
  <c r="AR537" i="14"/>
  <c r="Z30" i="28"/>
  <c r="BC30" i="28" s="1"/>
  <c r="AR533" i="14"/>
  <c r="Z26" i="28"/>
  <c r="BC26" i="28" s="1"/>
  <c r="AR529" i="14"/>
  <c r="Z22" i="28"/>
  <c r="BC22" i="28" s="1"/>
  <c r="AR520" i="14"/>
  <c r="Z13" i="28"/>
  <c r="BC13" i="28" s="1"/>
  <c r="AR527" i="14"/>
  <c r="Z20" i="28"/>
  <c r="BC20" i="28" s="1"/>
  <c r="AR515" i="14"/>
  <c r="Z8" i="28"/>
  <c r="BC8" i="28" s="1"/>
  <c r="I48" i="28"/>
  <c r="I128" i="28" s="1"/>
  <c r="AS422" i="14"/>
  <c r="AA37" i="24"/>
  <c r="BD37" i="24" s="1"/>
  <c r="AS418" i="14"/>
  <c r="AA33" i="24"/>
  <c r="BD33" i="24" s="1"/>
  <c r="AS414" i="14"/>
  <c r="AA29" i="24"/>
  <c r="BD29" i="24" s="1"/>
  <c r="AS410" i="14"/>
  <c r="AA25" i="24"/>
  <c r="BD25" i="24" s="1"/>
  <c r="AS406" i="14"/>
  <c r="AA21" i="24"/>
  <c r="BD21" i="24" s="1"/>
  <c r="AS405" i="14"/>
  <c r="AA20" i="24"/>
  <c r="BD20" i="24" s="1"/>
  <c r="AS401" i="14"/>
  <c r="AA16" i="24"/>
  <c r="BD16" i="24" s="1"/>
  <c r="AS402" i="14"/>
  <c r="AA17" i="24"/>
  <c r="BD17" i="24" s="1"/>
  <c r="AD38" i="24"/>
  <c r="BG38" i="24" s="1"/>
  <c r="AD34" i="24"/>
  <c r="BG34" i="24" s="1"/>
  <c r="AD30" i="24"/>
  <c r="BG30" i="24" s="1"/>
  <c r="AD26" i="24"/>
  <c r="BG26" i="24" s="1"/>
  <c r="AD22" i="24"/>
  <c r="BG22" i="24" s="1"/>
  <c r="AD13" i="24"/>
  <c r="BG13" i="24" s="1"/>
  <c r="AD17" i="24"/>
  <c r="BG17" i="24" s="1"/>
  <c r="AD11" i="24"/>
  <c r="BG11" i="24" s="1"/>
  <c r="AS544" i="14"/>
  <c r="AA37" i="28"/>
  <c r="BD37" i="28" s="1"/>
  <c r="AS540" i="14"/>
  <c r="AA33" i="28"/>
  <c r="BD33" i="28" s="1"/>
  <c r="AS536" i="14"/>
  <c r="AA29" i="28"/>
  <c r="BD29" i="28" s="1"/>
  <c r="AS532" i="14"/>
  <c r="AA25" i="28"/>
  <c r="BD25" i="28" s="1"/>
  <c r="AS528" i="14"/>
  <c r="AA21" i="28"/>
  <c r="BD21" i="28" s="1"/>
  <c r="AS521" i="14"/>
  <c r="AA14" i="28"/>
  <c r="BD14" i="28" s="1"/>
  <c r="AS520" i="14"/>
  <c r="AA13" i="28"/>
  <c r="BD13" i="28" s="1"/>
  <c r="AS519" i="14"/>
  <c r="AA12" i="28"/>
  <c r="BD12" i="28" s="1"/>
  <c r="AR451" i="14"/>
  <c r="Z35" i="25"/>
  <c r="BC35" i="25" s="1"/>
  <c r="AR447" i="14"/>
  <c r="Z31" i="25"/>
  <c r="BC31" i="25" s="1"/>
  <c r="AR443" i="14"/>
  <c r="Z27" i="25"/>
  <c r="BC27" i="25" s="1"/>
  <c r="AR439" i="14"/>
  <c r="Z23" i="25"/>
  <c r="BC23" i="25" s="1"/>
  <c r="AR425" i="14"/>
  <c r="Z9" i="25"/>
  <c r="BC9" i="25" s="1"/>
  <c r="AR434" i="14"/>
  <c r="Z18" i="25"/>
  <c r="BC18" i="25" s="1"/>
  <c r="AR435" i="14"/>
  <c r="Z19" i="25"/>
  <c r="BC19" i="25" s="1"/>
  <c r="AB37" i="25"/>
  <c r="BE37" i="25" s="1"/>
  <c r="AB33" i="25"/>
  <c r="BE33" i="25" s="1"/>
  <c r="AB29" i="25"/>
  <c r="BE29" i="25" s="1"/>
  <c r="AB25" i="25"/>
  <c r="BE25" i="25" s="1"/>
  <c r="AB21" i="25"/>
  <c r="BE21" i="25" s="1"/>
  <c r="AB10" i="25"/>
  <c r="BE10" i="25" s="1"/>
  <c r="AB8" i="25"/>
  <c r="BE8" i="25" s="1"/>
  <c r="K48" i="25"/>
  <c r="K128" i="25" s="1"/>
  <c r="AB13" i="25"/>
  <c r="BE13" i="25" s="1"/>
  <c r="AB36" i="24"/>
  <c r="BE36" i="24" s="1"/>
  <c r="AB32" i="24"/>
  <c r="BE32" i="24" s="1"/>
  <c r="AB28" i="24"/>
  <c r="BE28" i="24" s="1"/>
  <c r="AB24" i="24"/>
  <c r="BE24" i="24" s="1"/>
  <c r="AB11" i="24"/>
  <c r="BE11" i="24" s="1"/>
  <c r="AB16" i="24"/>
  <c r="BE16" i="24" s="1"/>
  <c r="AB19" i="24"/>
  <c r="BE19" i="24" s="1"/>
  <c r="AB20" i="24"/>
  <c r="BE20" i="24" s="1"/>
  <c r="AR420" i="14"/>
  <c r="Z35" i="24"/>
  <c r="BC35" i="24" s="1"/>
  <c r="AR416" i="14"/>
  <c r="Z31" i="24"/>
  <c r="BC31" i="24" s="1"/>
  <c r="AR412" i="14"/>
  <c r="Z27" i="24"/>
  <c r="BC27" i="24" s="1"/>
  <c r="AR408" i="14"/>
  <c r="Z23" i="24"/>
  <c r="BC23" i="24" s="1"/>
  <c r="AR393" i="14"/>
  <c r="Z8" i="24"/>
  <c r="BC8" i="24" s="1"/>
  <c r="I48" i="24"/>
  <c r="I128" i="24" s="1"/>
  <c r="AR401" i="14"/>
  <c r="Z16" i="24"/>
  <c r="BC16" i="24" s="1"/>
  <c r="AR396" i="14"/>
  <c r="Z11" i="24"/>
  <c r="BC11" i="24" s="1"/>
  <c r="AD37" i="25"/>
  <c r="BG37" i="25" s="1"/>
  <c r="AD33" i="25"/>
  <c r="BG33" i="25" s="1"/>
  <c r="AD29" i="25"/>
  <c r="BG29" i="25" s="1"/>
  <c r="AD25" i="25"/>
  <c r="BG25" i="25" s="1"/>
  <c r="AD21" i="25"/>
  <c r="BG21" i="25" s="1"/>
  <c r="AD16" i="25"/>
  <c r="BG16" i="25" s="1"/>
  <c r="AD20" i="25"/>
  <c r="BG20" i="25" s="1"/>
  <c r="AD10" i="25"/>
  <c r="BG10" i="25" s="1"/>
  <c r="AS38" i="28"/>
  <c r="CN545" i="14" s="1"/>
  <c r="AD38" i="28"/>
  <c r="BG38" i="28" s="1"/>
  <c r="AD22" i="28"/>
  <c r="BG22" i="28" s="1"/>
  <c r="AS446" i="14"/>
  <c r="AA30" i="25"/>
  <c r="BD30" i="25" s="1"/>
  <c r="AS432" i="14"/>
  <c r="AA16" i="25"/>
  <c r="BD16" i="25" s="1"/>
  <c r="AB37" i="28"/>
  <c r="BE37" i="28" s="1"/>
  <c r="AB21" i="28"/>
  <c r="BE21" i="28" s="1"/>
  <c r="AB19" i="28"/>
  <c r="BE19" i="28" s="1"/>
  <c r="AR543" i="14"/>
  <c r="Z36" i="28"/>
  <c r="BC36" i="28" s="1"/>
  <c r="AR517" i="14"/>
  <c r="Z10" i="28"/>
  <c r="BC10" i="28" s="1"/>
  <c r="AS416" i="14"/>
  <c r="AA31" i="24"/>
  <c r="BD31" i="24" s="1"/>
  <c r="AS393" i="14"/>
  <c r="AA8" i="24"/>
  <c r="BD8" i="24" s="1"/>
  <c r="J48" i="24"/>
  <c r="J128" i="24" s="1"/>
  <c r="L122" i="29" s="1"/>
  <c r="AD28" i="24"/>
  <c r="BG28" i="24" s="1"/>
  <c r="AD12" i="24"/>
  <c r="BG12" i="24" s="1"/>
  <c r="AS538" i="14"/>
  <c r="AA31" i="28"/>
  <c r="BD31" i="28" s="1"/>
  <c r="AS516" i="14"/>
  <c r="AA9" i="28"/>
  <c r="BD9" i="28" s="1"/>
  <c r="AR445" i="14"/>
  <c r="Z29" i="25"/>
  <c r="BC29" i="25" s="1"/>
  <c r="AR433" i="14"/>
  <c r="Z17" i="25"/>
  <c r="BC17" i="25" s="1"/>
  <c r="AB31" i="25"/>
  <c r="BE31" i="25" s="1"/>
  <c r="AB20" i="25"/>
  <c r="BE20" i="25" s="1"/>
  <c r="AB34" i="24"/>
  <c r="BE34" i="24" s="1"/>
  <c r="AB9" i="24"/>
  <c r="BE9" i="24" s="1"/>
  <c r="AR418" i="14"/>
  <c r="Z33" i="24"/>
  <c r="BC33" i="24" s="1"/>
  <c r="AD35" i="28"/>
  <c r="BG35" i="28" s="1"/>
  <c r="AD31" i="28"/>
  <c r="BG31" i="28" s="1"/>
  <c r="AD27" i="28"/>
  <c r="BG27" i="28" s="1"/>
  <c r="AD23" i="28"/>
  <c r="BG23" i="28" s="1"/>
  <c r="AD18" i="28"/>
  <c r="BG18" i="28" s="1"/>
  <c r="AD16" i="28"/>
  <c r="BG16" i="28" s="1"/>
  <c r="AD10" i="28"/>
  <c r="BG10" i="28" s="1"/>
  <c r="AC8" i="25"/>
  <c r="BF8" i="25" s="1"/>
  <c r="L48" i="25"/>
  <c r="L128" i="25" s="1"/>
  <c r="AS451" i="14"/>
  <c r="AA35" i="25"/>
  <c r="BD35" i="25" s="1"/>
  <c r="AS447" i="14"/>
  <c r="AA31" i="25"/>
  <c r="BD31" i="25" s="1"/>
  <c r="AS443" i="14"/>
  <c r="AA27" i="25"/>
  <c r="BD27" i="25" s="1"/>
  <c r="AS439" i="14"/>
  <c r="AA23" i="25"/>
  <c r="BD23" i="25" s="1"/>
  <c r="AS431" i="14"/>
  <c r="AA15" i="25"/>
  <c r="BD15" i="25" s="1"/>
  <c r="AS429" i="14"/>
  <c r="AA13" i="25"/>
  <c r="BD13" i="25" s="1"/>
  <c r="AS435" i="14"/>
  <c r="AA19" i="25"/>
  <c r="BD19" i="25" s="1"/>
  <c r="AB38" i="28"/>
  <c r="BE38" i="28" s="1"/>
  <c r="AB34" i="28"/>
  <c r="BE34" i="28" s="1"/>
  <c r="AB30" i="28"/>
  <c r="BE30" i="28" s="1"/>
  <c r="AB26" i="28"/>
  <c r="BE26" i="28" s="1"/>
  <c r="AB22" i="28"/>
  <c r="BE22" i="28" s="1"/>
  <c r="AB16" i="28"/>
  <c r="BE16" i="28" s="1"/>
  <c r="AB20" i="28"/>
  <c r="BE20" i="28" s="1"/>
  <c r="AB11" i="28"/>
  <c r="BE11" i="28" s="1"/>
  <c r="AR544" i="14"/>
  <c r="Z37" i="28"/>
  <c r="BC37" i="28" s="1"/>
  <c r="AR540" i="14"/>
  <c r="Z33" i="28"/>
  <c r="BC33" i="28" s="1"/>
  <c r="AR536" i="14"/>
  <c r="Z29" i="28"/>
  <c r="BC29" i="28" s="1"/>
  <c r="AR532" i="14"/>
  <c r="Z25" i="28"/>
  <c r="BC25" i="28" s="1"/>
  <c r="AR528" i="14"/>
  <c r="Z21" i="28"/>
  <c r="BC21" i="28" s="1"/>
  <c r="AR522" i="14"/>
  <c r="Z15" i="28"/>
  <c r="BC15" i="28" s="1"/>
  <c r="AR524" i="14"/>
  <c r="Z17" i="28"/>
  <c r="BC17" i="28" s="1"/>
  <c r="AR521" i="14"/>
  <c r="Z14" i="28"/>
  <c r="BC14" i="28" s="1"/>
  <c r="AS421" i="14"/>
  <c r="AA36" i="24"/>
  <c r="BD36" i="24" s="1"/>
  <c r="AS417" i="14"/>
  <c r="AA32" i="24"/>
  <c r="BD32" i="24" s="1"/>
  <c r="AS413" i="14"/>
  <c r="AA28" i="24"/>
  <c r="BD28" i="24" s="1"/>
  <c r="AS409" i="14"/>
  <c r="AA24" i="24"/>
  <c r="BD24" i="24" s="1"/>
  <c r="AS404" i="14"/>
  <c r="AA19" i="24"/>
  <c r="BD19" i="24" s="1"/>
  <c r="AS403" i="14"/>
  <c r="AA18" i="24"/>
  <c r="BD18" i="24" s="1"/>
  <c r="AS395" i="14"/>
  <c r="AA10" i="24"/>
  <c r="BD10" i="24" s="1"/>
  <c r="AS399" i="14"/>
  <c r="AA14" i="24"/>
  <c r="BD14" i="24" s="1"/>
  <c r="AD37" i="24"/>
  <c r="BG37" i="24" s="1"/>
  <c r="AD33" i="24"/>
  <c r="BG33" i="24" s="1"/>
  <c r="AD29" i="24"/>
  <c r="BG29" i="24" s="1"/>
  <c r="AD25" i="24"/>
  <c r="BG25" i="24" s="1"/>
  <c r="AD21" i="24"/>
  <c r="BG21" i="24" s="1"/>
  <c r="AD20" i="24"/>
  <c r="BG20" i="24" s="1"/>
  <c r="AD19" i="24"/>
  <c r="BG19" i="24" s="1"/>
  <c r="AD14" i="24"/>
  <c r="BG14" i="24" s="1"/>
  <c r="AS543" i="14"/>
  <c r="AA36" i="28"/>
  <c r="BD36" i="28" s="1"/>
  <c r="AS539" i="14"/>
  <c r="AA32" i="28"/>
  <c r="BD32" i="28" s="1"/>
  <c r="AS535" i="14"/>
  <c r="AA28" i="28"/>
  <c r="BD28" i="28" s="1"/>
  <c r="AS531" i="14"/>
  <c r="AA24" i="28"/>
  <c r="BD24" i="28" s="1"/>
  <c r="AS522" i="14"/>
  <c r="AA15" i="28"/>
  <c r="BD15" i="28" s="1"/>
  <c r="AS523" i="14"/>
  <c r="AA16" i="28"/>
  <c r="BD16" i="28" s="1"/>
  <c r="AS525" i="14"/>
  <c r="AA18" i="28"/>
  <c r="BD18" i="28" s="1"/>
  <c r="AS515" i="14"/>
  <c r="AA8" i="28"/>
  <c r="BD8" i="28" s="1"/>
  <c r="J48" i="28"/>
  <c r="J128" i="28" s="1"/>
  <c r="Q122" i="29" s="1"/>
  <c r="R122" i="29" s="1"/>
  <c r="AR450" i="14"/>
  <c r="Z34" i="25"/>
  <c r="BC34" i="25" s="1"/>
  <c r="AR446" i="14"/>
  <c r="Z30" i="25"/>
  <c r="BC30" i="25" s="1"/>
  <c r="AR442" i="14"/>
  <c r="Z26" i="25"/>
  <c r="BC26" i="25" s="1"/>
  <c r="AR438" i="14"/>
  <c r="Z22" i="25"/>
  <c r="BC22" i="25" s="1"/>
  <c r="AR424" i="14"/>
  <c r="Z8" i="25"/>
  <c r="BC8" i="25" s="1"/>
  <c r="I48" i="25"/>
  <c r="I128" i="25" s="1"/>
  <c r="AR432" i="14"/>
  <c r="Z16" i="25"/>
  <c r="BC16" i="25" s="1"/>
  <c r="AR431" i="14"/>
  <c r="Z15" i="25"/>
  <c r="BC15" i="25" s="1"/>
  <c r="AB36" i="25"/>
  <c r="BE36" i="25" s="1"/>
  <c r="AB32" i="25"/>
  <c r="BE32" i="25" s="1"/>
  <c r="AB28" i="25"/>
  <c r="BE28" i="25" s="1"/>
  <c r="AB24" i="25"/>
  <c r="BE24" i="25" s="1"/>
  <c r="AB11" i="25"/>
  <c r="BE11" i="25" s="1"/>
  <c r="AB12" i="25"/>
  <c r="BE12" i="25" s="1"/>
  <c r="AB14" i="25"/>
  <c r="BE14" i="25" s="1"/>
  <c r="AB16" i="25"/>
  <c r="BE16" i="25" s="1"/>
  <c r="AB35" i="24"/>
  <c r="BE35" i="24" s="1"/>
  <c r="AB31" i="24"/>
  <c r="BE31" i="24" s="1"/>
  <c r="AB27" i="24"/>
  <c r="BE27" i="24" s="1"/>
  <c r="AB23" i="24"/>
  <c r="BE23" i="24" s="1"/>
  <c r="AB12" i="24"/>
  <c r="BE12" i="24" s="1"/>
  <c r="AB14" i="24"/>
  <c r="BE14" i="24" s="1"/>
  <c r="AB13" i="24"/>
  <c r="BE13" i="24" s="1"/>
  <c r="AR423" i="14"/>
  <c r="Z38" i="24"/>
  <c r="BC38" i="24" s="1"/>
  <c r="AR419" i="14"/>
  <c r="Z34" i="24"/>
  <c r="BC34" i="24" s="1"/>
  <c r="AR415" i="14"/>
  <c r="Z30" i="24"/>
  <c r="BC30" i="24" s="1"/>
  <c r="AR411" i="14"/>
  <c r="Z26" i="24"/>
  <c r="BC26" i="24" s="1"/>
  <c r="AR407" i="14"/>
  <c r="Z22" i="24"/>
  <c r="BC22" i="24" s="1"/>
  <c r="AR394" i="14"/>
  <c r="Z9" i="24"/>
  <c r="BC9" i="24" s="1"/>
  <c r="AR405" i="14"/>
  <c r="Z20" i="24"/>
  <c r="BC20" i="24" s="1"/>
  <c r="AR395" i="14"/>
  <c r="Z10" i="24"/>
  <c r="BC10" i="24" s="1"/>
  <c r="AD36" i="25"/>
  <c r="BG36" i="25" s="1"/>
  <c r="AD32" i="25"/>
  <c r="BG32" i="25" s="1"/>
  <c r="AD28" i="25"/>
  <c r="BG28" i="25" s="1"/>
  <c r="AD24" i="25"/>
  <c r="BG24" i="25" s="1"/>
  <c r="AD17" i="25"/>
  <c r="BG17" i="25" s="1"/>
  <c r="AD14" i="25"/>
  <c r="BG14" i="25" s="1"/>
  <c r="AD11" i="25"/>
  <c r="BG11" i="25" s="1"/>
  <c r="AD18" i="25"/>
  <c r="BG18" i="25" s="1"/>
  <c r="AX8" i="28"/>
  <c r="BB515" i="14"/>
  <c r="AW515" i="14" s="1"/>
  <c r="AX38" i="28"/>
  <c r="BB545" i="14"/>
  <c r="AW545" i="14" s="1"/>
  <c r="AX24" i="28"/>
  <c r="BB531" i="14"/>
  <c r="AW531" i="14" s="1"/>
  <c r="AW24" i="25"/>
  <c r="BA440" i="14"/>
  <c r="AQ440" i="14" s="1"/>
  <c r="AW36" i="25"/>
  <c r="BA452" i="14"/>
  <c r="AQ452" i="14" s="1"/>
  <c r="BB438" i="14"/>
  <c r="AW438" i="14" s="1"/>
  <c r="AX22" i="25"/>
  <c r="AX15" i="25"/>
  <c r="BB431" i="14"/>
  <c r="AW431" i="14" s="1"/>
  <c r="AY10" i="28"/>
  <c r="BC517" i="14"/>
  <c r="AX517" i="14" s="1"/>
  <c r="AY8" i="28"/>
  <c r="BC515" i="14"/>
  <c r="AX515" i="14" s="1"/>
  <c r="AW12" i="28"/>
  <c r="BA519" i="14"/>
  <c r="AQ519" i="14" s="1"/>
  <c r="AW33" i="28"/>
  <c r="BA540" i="14"/>
  <c r="AQ540" i="14" s="1"/>
  <c r="AW8" i="28"/>
  <c r="BA515" i="14"/>
  <c r="AQ515" i="14" s="1"/>
  <c r="AF12" i="25"/>
  <c r="AV12" i="25"/>
  <c r="AZ428" i="14"/>
  <c r="AP428" i="14" s="1"/>
  <c r="BB417" i="14"/>
  <c r="AW417" i="14" s="1"/>
  <c r="AX32" i="24"/>
  <c r="AX23" i="24"/>
  <c r="BB408" i="14"/>
  <c r="AW408" i="14" s="1"/>
  <c r="BB411" i="14"/>
  <c r="AW411" i="14" s="1"/>
  <c r="AX26" i="24"/>
  <c r="AV14" i="24"/>
  <c r="AZ399" i="14"/>
  <c r="AP399" i="14" s="1"/>
  <c r="AF14" i="24"/>
  <c r="AF37" i="24"/>
  <c r="AV37" i="24"/>
  <c r="AZ422" i="14"/>
  <c r="AP422" i="14" s="1"/>
  <c r="AF18" i="28"/>
  <c r="AZ525" i="14"/>
  <c r="AP525" i="14" s="1"/>
  <c r="AV18" i="28"/>
  <c r="AF22" i="28"/>
  <c r="AV22" i="28"/>
  <c r="AZ529" i="14"/>
  <c r="AP529" i="14" s="1"/>
  <c r="AV11" i="28"/>
  <c r="AF11" i="28"/>
  <c r="AZ518" i="14"/>
  <c r="AP518" i="14" s="1"/>
  <c r="AY20" i="24"/>
  <c r="BC405" i="14"/>
  <c r="AX405" i="14" s="1"/>
  <c r="AY21" i="24"/>
  <c r="BC406" i="14"/>
  <c r="AX406" i="14" s="1"/>
  <c r="BC420" i="14"/>
  <c r="AX420" i="14" s="1"/>
  <c r="AY35" i="24"/>
  <c r="AY18" i="24"/>
  <c r="BC403" i="14"/>
  <c r="AX403" i="14" s="1"/>
  <c r="AW21" i="24"/>
  <c r="BA406" i="14"/>
  <c r="AQ406" i="14" s="1"/>
  <c r="AW10" i="24"/>
  <c r="BA395" i="14"/>
  <c r="AQ395" i="14" s="1"/>
  <c r="AW38" i="24"/>
  <c r="BA423" i="14"/>
  <c r="AQ423" i="14" s="1"/>
  <c r="AW31" i="24"/>
  <c r="BA416" i="14"/>
  <c r="AQ416" i="14" s="1"/>
  <c r="BC450" i="14"/>
  <c r="AX450" i="14" s="1"/>
  <c r="AY34" i="25"/>
  <c r="BC440" i="14"/>
  <c r="AX440" i="14" s="1"/>
  <c r="AY24" i="25"/>
  <c r="AY20" i="25"/>
  <c r="BC436" i="14"/>
  <c r="AX436" i="14" s="1"/>
  <c r="BC427" i="14"/>
  <c r="AX427" i="14" s="1"/>
  <c r="AY11" i="25"/>
  <c r="BB516" i="14"/>
  <c r="AW516" i="14" s="1"/>
  <c r="AX9" i="28"/>
  <c r="AX13" i="28"/>
  <c r="BB520" i="14"/>
  <c r="AW520" i="14" s="1"/>
  <c r="BB523" i="14"/>
  <c r="AW523" i="14" s="1"/>
  <c r="AX16" i="28"/>
  <c r="AX12" i="28"/>
  <c r="BB519" i="14"/>
  <c r="AW519" i="14" s="1"/>
  <c r="BB538" i="14"/>
  <c r="AW538" i="14" s="1"/>
  <c r="AX31" i="28"/>
  <c r="AX26" i="28"/>
  <c r="BB533" i="14"/>
  <c r="AW533" i="14" s="1"/>
  <c r="BB542" i="14"/>
  <c r="AW542" i="14" s="1"/>
  <c r="AX35" i="28"/>
  <c r="BB540" i="14"/>
  <c r="AW540" i="14" s="1"/>
  <c r="AX33" i="28"/>
  <c r="AW25" i="25"/>
  <c r="BA441" i="14"/>
  <c r="AQ441" i="14" s="1"/>
  <c r="AW14" i="25"/>
  <c r="BA430" i="14"/>
  <c r="AQ430" i="14" s="1"/>
  <c r="AW18" i="25"/>
  <c r="BA434" i="14"/>
  <c r="AQ434" i="14" s="1"/>
  <c r="AW16" i="25"/>
  <c r="BA432" i="14"/>
  <c r="AQ432" i="14" s="1"/>
  <c r="AW13" i="25"/>
  <c r="BA429" i="14"/>
  <c r="AQ429" i="14" s="1"/>
  <c r="BA424" i="14"/>
  <c r="AQ424" i="14" s="1"/>
  <c r="AW8" i="25"/>
  <c r="AW26" i="25"/>
  <c r="BA442" i="14"/>
  <c r="AQ442" i="14" s="1"/>
  <c r="BB440" i="14"/>
  <c r="AW440" i="14" s="1"/>
  <c r="AX24" i="25"/>
  <c r="AX16" i="25"/>
  <c r="BB432" i="14"/>
  <c r="AW432" i="14" s="1"/>
  <c r="BB430" i="14"/>
  <c r="AW430" i="14" s="1"/>
  <c r="AX14" i="25"/>
  <c r="BB449" i="14"/>
  <c r="AW449" i="14" s="1"/>
  <c r="AX33" i="25"/>
  <c r="AX34" i="25"/>
  <c r="BB450" i="14"/>
  <c r="AW450" i="14" s="1"/>
  <c r="AX18" i="25"/>
  <c r="BB434" i="14"/>
  <c r="AW434" i="14" s="1"/>
  <c r="BB448" i="14"/>
  <c r="AW448" i="14" s="1"/>
  <c r="AX32" i="25"/>
  <c r="AY24" i="28"/>
  <c r="BC531" i="14"/>
  <c r="AX531" i="14" s="1"/>
  <c r="BC520" i="14"/>
  <c r="AX520" i="14" s="1"/>
  <c r="AY13" i="28"/>
  <c r="BC542" i="14"/>
  <c r="AX542" i="14" s="1"/>
  <c r="AY35" i="28"/>
  <c r="AY36" i="28"/>
  <c r="BC543" i="14"/>
  <c r="AX543" i="14" s="1"/>
  <c r="AY11" i="28"/>
  <c r="BC518" i="14"/>
  <c r="AX518" i="14" s="1"/>
  <c r="BC536" i="14"/>
  <c r="AX536" i="14" s="1"/>
  <c r="AY29" i="28"/>
  <c r="AY19" i="28"/>
  <c r="BC526" i="14"/>
  <c r="AX526" i="14" s="1"/>
  <c r="BC544" i="14"/>
  <c r="AX544" i="14" s="1"/>
  <c r="AY37" i="28"/>
  <c r="AW20" i="28"/>
  <c r="BA527" i="14"/>
  <c r="AQ527" i="14" s="1"/>
  <c r="AW18" i="28"/>
  <c r="BA525" i="14"/>
  <c r="AQ525" i="14" s="1"/>
  <c r="BA538" i="14"/>
  <c r="AQ538" i="14" s="1"/>
  <c r="AW31" i="28"/>
  <c r="AW35" i="28"/>
  <c r="BA542" i="14"/>
  <c r="AQ542" i="14" s="1"/>
  <c r="BA539" i="14"/>
  <c r="AQ539" i="14" s="1"/>
  <c r="AW32" i="28"/>
  <c r="BA517" i="14"/>
  <c r="AQ517" i="14" s="1"/>
  <c r="AW10" i="28"/>
  <c r="BA528" i="14"/>
  <c r="AQ528" i="14" s="1"/>
  <c r="AW21" i="28"/>
  <c r="AW26" i="28"/>
  <c r="BA533" i="14"/>
  <c r="AQ533" i="14" s="1"/>
  <c r="AZ436" i="14"/>
  <c r="AP436" i="14" s="1"/>
  <c r="AF20" i="25"/>
  <c r="AV20" i="25"/>
  <c r="AV24" i="25"/>
  <c r="AF24" i="25"/>
  <c r="AZ440" i="14"/>
  <c r="AP440" i="14" s="1"/>
  <c r="AZ439" i="14"/>
  <c r="AP439" i="14" s="1"/>
  <c r="AV23" i="25"/>
  <c r="AF23" i="25"/>
  <c r="AZ445" i="14"/>
  <c r="AP445" i="14" s="1"/>
  <c r="AF29" i="25"/>
  <c r="AV29" i="25"/>
  <c r="AV16" i="25"/>
  <c r="AZ432" i="14"/>
  <c r="AP432" i="14" s="1"/>
  <c r="AF16" i="25"/>
  <c r="AZ447" i="14"/>
  <c r="AP447" i="14" s="1"/>
  <c r="AV31" i="25"/>
  <c r="AF31" i="25"/>
  <c r="AF25" i="25"/>
  <c r="AZ441" i="14"/>
  <c r="AP441" i="14" s="1"/>
  <c r="AV25" i="25"/>
  <c r="AZ431" i="14"/>
  <c r="AP431" i="14" s="1"/>
  <c r="AF15" i="25"/>
  <c r="AV15" i="25"/>
  <c r="AX8" i="24"/>
  <c r="BB393" i="14"/>
  <c r="AW393" i="14" s="1"/>
  <c r="AX16" i="24"/>
  <c r="BB401" i="14"/>
  <c r="AW401" i="14" s="1"/>
  <c r="BB407" i="14"/>
  <c r="AW407" i="14" s="1"/>
  <c r="AX22" i="24"/>
  <c r="BB396" i="14"/>
  <c r="AW396" i="14" s="1"/>
  <c r="AX11" i="24"/>
  <c r="BB399" i="14"/>
  <c r="AW399" i="14" s="1"/>
  <c r="AX14" i="24"/>
  <c r="AX33" i="24"/>
  <c r="BB418" i="14"/>
  <c r="AW418" i="14" s="1"/>
  <c r="BB400" i="14"/>
  <c r="AW400" i="14" s="1"/>
  <c r="AX15" i="24"/>
  <c r="AX10" i="24"/>
  <c r="BB395" i="14"/>
  <c r="AW395" i="14" s="1"/>
  <c r="AZ401" i="14"/>
  <c r="AP401" i="14" s="1"/>
  <c r="AF16" i="24"/>
  <c r="AV16" i="24"/>
  <c r="AF12" i="24"/>
  <c r="AZ397" i="14"/>
  <c r="AP397" i="14" s="1"/>
  <c r="AV12" i="24"/>
  <c r="AF23" i="24"/>
  <c r="AV23" i="24"/>
  <c r="AZ408" i="14"/>
  <c r="AP408" i="14" s="1"/>
  <c r="AZ410" i="14"/>
  <c r="AP410" i="14" s="1"/>
  <c r="AV25" i="24"/>
  <c r="AF25" i="24"/>
  <c r="AV35" i="24"/>
  <c r="AZ420" i="14"/>
  <c r="AP420" i="14" s="1"/>
  <c r="AF35" i="24"/>
  <c r="AZ407" i="14"/>
  <c r="AP407" i="14" s="1"/>
  <c r="AF22" i="24"/>
  <c r="AV22" i="24"/>
  <c r="AF32" i="24"/>
  <c r="AZ417" i="14"/>
  <c r="AP417" i="14" s="1"/>
  <c r="AV32" i="24"/>
  <c r="AF15" i="24"/>
  <c r="AV15" i="24"/>
  <c r="AZ400" i="14"/>
  <c r="AP400" i="14" s="1"/>
  <c r="AZ530" i="14"/>
  <c r="AP530" i="14" s="1"/>
  <c r="AF23" i="28"/>
  <c r="AV23" i="28"/>
  <c r="AV38" i="28"/>
  <c r="AZ545" i="14"/>
  <c r="AP545" i="14" s="1"/>
  <c r="AF38" i="28"/>
  <c r="AZ538" i="14"/>
  <c r="AP538" i="14" s="1"/>
  <c r="AF31" i="28"/>
  <c r="AV31" i="28"/>
  <c r="AZ522" i="14"/>
  <c r="AP522" i="14" s="1"/>
  <c r="AF15" i="28"/>
  <c r="AV15" i="28"/>
  <c r="AV28" i="28"/>
  <c r="AF28" i="28"/>
  <c r="AZ535" i="14"/>
  <c r="AP535" i="14" s="1"/>
  <c r="AZ528" i="14"/>
  <c r="AP528" i="14" s="1"/>
  <c r="AF21" i="28"/>
  <c r="AV21" i="28"/>
  <c r="AF16" i="28"/>
  <c r="AZ523" i="14"/>
  <c r="AP523" i="14" s="1"/>
  <c r="AV16" i="28"/>
  <c r="AF27" i="28"/>
  <c r="AZ534" i="14"/>
  <c r="AP534" i="14" s="1"/>
  <c r="AV27" i="28"/>
  <c r="AY28" i="24"/>
  <c r="BC413" i="14"/>
  <c r="AX413" i="14" s="1"/>
  <c r="BC418" i="14"/>
  <c r="AX418" i="14" s="1"/>
  <c r="AY33" i="24"/>
  <c r="AY38" i="24"/>
  <c r="BC423" i="14"/>
  <c r="AX423" i="14" s="1"/>
  <c r="BC397" i="14"/>
  <c r="AX397" i="14" s="1"/>
  <c r="AY12" i="24"/>
  <c r="AY19" i="24"/>
  <c r="BC404" i="14"/>
  <c r="AX404" i="14" s="1"/>
  <c r="AY30" i="24"/>
  <c r="BC415" i="14"/>
  <c r="AX415" i="14" s="1"/>
  <c r="BC416" i="14"/>
  <c r="AX416" i="14" s="1"/>
  <c r="AY31" i="24"/>
  <c r="AW14" i="24"/>
  <c r="BA399" i="14"/>
  <c r="AQ399" i="14" s="1"/>
  <c r="BA410" i="14"/>
  <c r="AQ410" i="14" s="1"/>
  <c r="AW25" i="24"/>
  <c r="AW28" i="24"/>
  <c r="BA413" i="14"/>
  <c r="AQ413" i="14" s="1"/>
  <c r="AW33" i="24"/>
  <c r="BA418" i="14"/>
  <c r="AQ418" i="14" s="1"/>
  <c r="AW23" i="24"/>
  <c r="BA408" i="14"/>
  <c r="AQ408" i="14" s="1"/>
  <c r="BA409" i="14"/>
  <c r="AQ409" i="14" s="1"/>
  <c r="AW24" i="24"/>
  <c r="AW9" i="24"/>
  <c r="BA394" i="14"/>
  <c r="AQ394" i="14" s="1"/>
  <c r="AW20" i="24"/>
  <c r="BA405" i="14"/>
  <c r="AQ405" i="14" s="1"/>
  <c r="BC441" i="14"/>
  <c r="AX441" i="14" s="1"/>
  <c r="AY25" i="25"/>
  <c r="AY28" i="25"/>
  <c r="BC444" i="14"/>
  <c r="AX444" i="14" s="1"/>
  <c r="AY36" i="25"/>
  <c r="BC452" i="14"/>
  <c r="AX452" i="14" s="1"/>
  <c r="BC448" i="14"/>
  <c r="AX448" i="14" s="1"/>
  <c r="AY32" i="25"/>
  <c r="BC426" i="14"/>
  <c r="AX426" i="14" s="1"/>
  <c r="AY10" i="25"/>
  <c r="AY12" i="25"/>
  <c r="BC428" i="14"/>
  <c r="AX428" i="14" s="1"/>
  <c r="BC451" i="14"/>
  <c r="AX451" i="14" s="1"/>
  <c r="AY35" i="25"/>
  <c r="BC435" i="14"/>
  <c r="AX435" i="14" s="1"/>
  <c r="AY19" i="25"/>
  <c r="F116" i="29"/>
  <c r="D170" i="29"/>
  <c r="D2" i="29" s="1"/>
  <c r="D113" i="29" s="1"/>
  <c r="BB534" i="14"/>
  <c r="AW534" i="14" s="1"/>
  <c r="AX27" i="28"/>
  <c r="AX10" i="28"/>
  <c r="BB517" i="14"/>
  <c r="AW517" i="14" s="1"/>
  <c r="BA425" i="14"/>
  <c r="AQ425" i="14" s="1"/>
  <c r="AW9" i="25"/>
  <c r="AW15" i="25"/>
  <c r="BA431" i="14"/>
  <c r="AQ431" i="14" s="1"/>
  <c r="BB442" i="14"/>
  <c r="AW442" i="14" s="1"/>
  <c r="AX26" i="25"/>
  <c r="BB439" i="14"/>
  <c r="AW439" i="14" s="1"/>
  <c r="AX23" i="25"/>
  <c r="AY32" i="28"/>
  <c r="BC539" i="14"/>
  <c r="AX539" i="14" s="1"/>
  <c r="BC533" i="14"/>
  <c r="AX533" i="14" s="1"/>
  <c r="AY26" i="28"/>
  <c r="BA520" i="14"/>
  <c r="AQ520" i="14" s="1"/>
  <c r="AW13" i="28"/>
  <c r="AW36" i="28"/>
  <c r="BA543" i="14"/>
  <c r="AQ543" i="14" s="1"/>
  <c r="AZ434" i="14"/>
  <c r="AP434" i="14" s="1"/>
  <c r="AV18" i="25"/>
  <c r="AF18" i="25"/>
  <c r="AF27" i="25"/>
  <c r="AV27" i="25"/>
  <c r="AZ443" i="14"/>
  <c r="AP443" i="14" s="1"/>
  <c r="AF21" i="25"/>
  <c r="AZ437" i="14"/>
  <c r="AP437" i="14" s="1"/>
  <c r="AV21" i="25"/>
  <c r="BB415" i="14"/>
  <c r="AW415" i="14" s="1"/>
  <c r="AX30" i="24"/>
  <c r="AV18" i="24"/>
  <c r="AZ403" i="14"/>
  <c r="AP403" i="14" s="1"/>
  <c r="AF18" i="24"/>
  <c r="AV31" i="24"/>
  <c r="AF31" i="24"/>
  <c r="AZ416" i="14"/>
  <c r="AP416" i="14" s="1"/>
  <c r="AF29" i="28"/>
  <c r="AV29" i="28"/>
  <c r="AZ536" i="14"/>
  <c r="AP536" i="14" s="1"/>
  <c r="AV12" i="28"/>
  <c r="AZ519" i="14"/>
  <c r="AP519" i="14" s="1"/>
  <c r="AF12" i="28"/>
  <c r="AZ541" i="14"/>
  <c r="AP541" i="14" s="1"/>
  <c r="AV34" i="28"/>
  <c r="AF34" i="28"/>
  <c r="BC408" i="14"/>
  <c r="AX408" i="14" s="1"/>
  <c r="AY23" i="24"/>
  <c r="BC401" i="14"/>
  <c r="AX401" i="14" s="1"/>
  <c r="AY16" i="24"/>
  <c r="BC395" i="14"/>
  <c r="AX395" i="14" s="1"/>
  <c r="AY10" i="24"/>
  <c r="AY9" i="24"/>
  <c r="BC394" i="14"/>
  <c r="AX394" i="14" s="1"/>
  <c r="AW27" i="24"/>
  <c r="BA412" i="14"/>
  <c r="AQ412" i="14" s="1"/>
  <c r="BA404" i="14"/>
  <c r="AQ404" i="14" s="1"/>
  <c r="AW19" i="24"/>
  <c r="BA407" i="14"/>
  <c r="AQ407" i="14" s="1"/>
  <c r="AW22" i="24"/>
  <c r="AW18" i="24"/>
  <c r="BA403" i="14"/>
  <c r="AQ403" i="14" s="1"/>
  <c r="AY33" i="25"/>
  <c r="BC449" i="14"/>
  <c r="AX449" i="14" s="1"/>
  <c r="BC437" i="14"/>
  <c r="AX437" i="14" s="1"/>
  <c r="AY21" i="25"/>
  <c r="BC429" i="14"/>
  <c r="AX429" i="14" s="1"/>
  <c r="AY13" i="25"/>
  <c r="M170" i="29"/>
  <c r="M2" i="29" s="1"/>
  <c r="M113" i="29" s="1"/>
  <c r="P170" i="29"/>
  <c r="P2" i="29" s="1"/>
  <c r="P113" i="29" s="1"/>
  <c r="AX18" i="28"/>
  <c r="BB525" i="14"/>
  <c r="AW525" i="14" s="1"/>
  <c r="AX37" i="28"/>
  <c r="BB544" i="14"/>
  <c r="AW544" i="14" s="1"/>
  <c r="BB524" i="14"/>
  <c r="AW524" i="14" s="1"/>
  <c r="AX17" i="28"/>
  <c r="AX32" i="28"/>
  <c r="BB539" i="14"/>
  <c r="AW539" i="14" s="1"/>
  <c r="AX36" i="28"/>
  <c r="BB543" i="14"/>
  <c r="AW543" i="14" s="1"/>
  <c r="AX20" i="28"/>
  <c r="BB527" i="14"/>
  <c r="AW527" i="14" s="1"/>
  <c r="AX14" i="28"/>
  <c r="BB521" i="14"/>
  <c r="AW521" i="14" s="1"/>
  <c r="BB530" i="14"/>
  <c r="AW530" i="14" s="1"/>
  <c r="AX23" i="28"/>
  <c r="BA437" i="14"/>
  <c r="AQ437" i="14" s="1"/>
  <c r="AW21" i="25"/>
  <c r="BA438" i="14"/>
  <c r="AQ438" i="14" s="1"/>
  <c r="AW22" i="25"/>
  <c r="BA445" i="14"/>
  <c r="AQ445" i="14" s="1"/>
  <c r="AW29" i="25"/>
  <c r="BA447" i="14"/>
  <c r="AQ447" i="14" s="1"/>
  <c r="AW31" i="25"/>
  <c r="BA428" i="14"/>
  <c r="AQ428" i="14" s="1"/>
  <c r="AW12" i="25"/>
  <c r="AW32" i="25"/>
  <c r="BA448" i="14"/>
  <c r="AQ448" i="14" s="1"/>
  <c r="AW28" i="25"/>
  <c r="BA444" i="14"/>
  <c r="AQ444" i="14" s="1"/>
  <c r="BA451" i="14"/>
  <c r="AQ451" i="14" s="1"/>
  <c r="AW35" i="25"/>
  <c r="AX13" i="25"/>
  <c r="BB429" i="14"/>
  <c r="AW429" i="14" s="1"/>
  <c r="BB425" i="14"/>
  <c r="AW425" i="14" s="1"/>
  <c r="AX9" i="25"/>
  <c r="BB443" i="14"/>
  <c r="AW443" i="14" s="1"/>
  <c r="AX27" i="25"/>
  <c r="AX35" i="25"/>
  <c r="BB451" i="14"/>
  <c r="AW451" i="14" s="1"/>
  <c r="AX12" i="25"/>
  <c r="BB428" i="14"/>
  <c r="AW428" i="14" s="1"/>
  <c r="AX28" i="25"/>
  <c r="BB444" i="14"/>
  <c r="AW444" i="14" s="1"/>
  <c r="AX20" i="25"/>
  <c r="BB436" i="14"/>
  <c r="AW436" i="14" s="1"/>
  <c r="AY27" i="28"/>
  <c r="BC534" i="14"/>
  <c r="AX534" i="14" s="1"/>
  <c r="AY20" i="28"/>
  <c r="BC527" i="14"/>
  <c r="AX527" i="14" s="1"/>
  <c r="BC521" i="14"/>
  <c r="AX521" i="14" s="1"/>
  <c r="AY14" i="28"/>
  <c r="AY17" i="28"/>
  <c r="BC524" i="14"/>
  <c r="AX524" i="14" s="1"/>
  <c r="BC535" i="14"/>
  <c r="AX535" i="14" s="1"/>
  <c r="AY28" i="28"/>
  <c r="AY23" i="28"/>
  <c r="BC530" i="14"/>
  <c r="AX530" i="14" s="1"/>
  <c r="AY15" i="28"/>
  <c r="BC522" i="14"/>
  <c r="AX522" i="14" s="1"/>
  <c r="BA535" i="14"/>
  <c r="AQ535" i="14" s="1"/>
  <c r="AW28" i="28"/>
  <c r="AW9" i="28"/>
  <c r="BA516" i="14"/>
  <c r="AQ516" i="14" s="1"/>
  <c r="BA529" i="14"/>
  <c r="AQ529" i="14" s="1"/>
  <c r="AW22" i="28"/>
  <c r="BA532" i="14"/>
  <c r="AQ532" i="14" s="1"/>
  <c r="AW25" i="28"/>
  <c r="AW11" i="28"/>
  <c r="BA518" i="14"/>
  <c r="AQ518" i="14" s="1"/>
  <c r="BA521" i="14"/>
  <c r="AQ521" i="14" s="1"/>
  <c r="AW14" i="28"/>
  <c r="BA522" i="14"/>
  <c r="AQ522" i="14" s="1"/>
  <c r="AW15" i="28"/>
  <c r="BA545" i="14"/>
  <c r="AQ545" i="14" s="1"/>
  <c r="AW38" i="28"/>
  <c r="AF22" i="25"/>
  <c r="AV22" i="25"/>
  <c r="AZ438" i="14"/>
  <c r="AP438" i="14" s="1"/>
  <c r="AV13" i="25"/>
  <c r="AZ429" i="14"/>
  <c r="AP429" i="14" s="1"/>
  <c r="AF13" i="25"/>
  <c r="AV34" i="25"/>
  <c r="AZ450" i="14"/>
  <c r="AP450" i="14" s="1"/>
  <c r="AF34" i="25"/>
  <c r="AV36" i="25"/>
  <c r="AF36" i="25"/>
  <c r="AZ452" i="14"/>
  <c r="AP452" i="14" s="1"/>
  <c r="AF35" i="25"/>
  <c r="AV35" i="25"/>
  <c r="AZ451" i="14"/>
  <c r="AP451" i="14" s="1"/>
  <c r="AV14" i="25"/>
  <c r="AF14" i="25"/>
  <c r="AZ430" i="14"/>
  <c r="AP430" i="14" s="1"/>
  <c r="AF19" i="25"/>
  <c r="AZ435" i="14"/>
  <c r="AP435" i="14" s="1"/>
  <c r="AV19" i="25"/>
  <c r="AX31" i="24"/>
  <c r="BB416" i="14"/>
  <c r="AW416" i="14" s="1"/>
  <c r="AX34" i="24"/>
  <c r="BB419" i="14"/>
  <c r="AW419" i="14" s="1"/>
  <c r="BB406" i="14"/>
  <c r="AW406" i="14" s="1"/>
  <c r="AX21" i="24"/>
  <c r="BB413" i="14"/>
  <c r="AW413" i="14" s="1"/>
  <c r="AX28" i="24"/>
  <c r="AX38" i="24"/>
  <c r="BB423" i="14"/>
  <c r="AW423" i="14" s="1"/>
  <c r="BB410" i="14"/>
  <c r="AW410" i="14" s="1"/>
  <c r="AX25" i="24"/>
  <c r="BB420" i="14"/>
  <c r="AW420" i="14" s="1"/>
  <c r="AX35" i="24"/>
  <c r="N15" i="29"/>
  <c r="T15" i="29" s="1"/>
  <c r="AF34" i="24"/>
  <c r="AZ419" i="14"/>
  <c r="AP419" i="14" s="1"/>
  <c r="AV34" i="24"/>
  <c r="AZ409" i="14"/>
  <c r="AP409" i="14" s="1"/>
  <c r="AF24" i="24"/>
  <c r="AV24" i="24"/>
  <c r="AZ406" i="14"/>
  <c r="AP406" i="14" s="1"/>
  <c r="AV21" i="24"/>
  <c r="AF21" i="24"/>
  <c r="AV9" i="24"/>
  <c r="AF9" i="24"/>
  <c r="AZ394" i="14"/>
  <c r="AP394" i="14" s="1"/>
  <c r="AZ404" i="14"/>
  <c r="AP404" i="14" s="1"/>
  <c r="AF19" i="24"/>
  <c r="AV19" i="24"/>
  <c r="AV27" i="24"/>
  <c r="AZ412" i="14"/>
  <c r="AP412" i="14" s="1"/>
  <c r="AF27" i="24"/>
  <c r="AZ395" i="14"/>
  <c r="AP395" i="14" s="1"/>
  <c r="AF10" i="24"/>
  <c r="AV10" i="24"/>
  <c r="AV29" i="24"/>
  <c r="AF29" i="24"/>
  <c r="AZ414" i="14"/>
  <c r="AP414" i="14" s="1"/>
  <c r="AF20" i="28"/>
  <c r="AV20" i="28"/>
  <c r="AZ527" i="14"/>
  <c r="AP527" i="14" s="1"/>
  <c r="AF35" i="28"/>
  <c r="AZ542" i="14"/>
  <c r="AP542" i="14" s="1"/>
  <c r="AV35" i="28"/>
  <c r="AZ515" i="14"/>
  <c r="AP515" i="14" s="1"/>
  <c r="AV8" i="28"/>
  <c r="AF8" i="28"/>
  <c r="AF17" i="28"/>
  <c r="AV17" i="28"/>
  <c r="AZ524" i="14"/>
  <c r="AP524" i="14" s="1"/>
  <c r="AV10" i="28"/>
  <c r="AZ517" i="14"/>
  <c r="AP517" i="14" s="1"/>
  <c r="AF10" i="28"/>
  <c r="AF37" i="28"/>
  <c r="AZ544" i="14"/>
  <c r="AP544" i="14" s="1"/>
  <c r="AV37" i="28"/>
  <c r="AZ539" i="14"/>
  <c r="AP539" i="14" s="1"/>
  <c r="AV32" i="28"/>
  <c r="AF32" i="28"/>
  <c r="AZ516" i="14"/>
  <c r="AP516" i="14" s="1"/>
  <c r="AF9" i="28"/>
  <c r="AV9" i="28"/>
  <c r="AY11" i="24"/>
  <c r="BC396" i="14"/>
  <c r="AX396" i="14" s="1"/>
  <c r="BC419" i="14"/>
  <c r="AX419" i="14" s="1"/>
  <c r="AY34" i="24"/>
  <c r="AY17" i="24"/>
  <c r="BC402" i="14"/>
  <c r="AX402" i="14" s="1"/>
  <c r="AY37" i="24"/>
  <c r="BC422" i="14"/>
  <c r="AX422" i="14" s="1"/>
  <c r="BC411" i="14"/>
  <c r="AX411" i="14" s="1"/>
  <c r="AY26" i="24"/>
  <c r="BC414" i="14"/>
  <c r="AX414" i="14" s="1"/>
  <c r="AY29" i="24"/>
  <c r="AY8" i="24"/>
  <c r="BC393" i="14"/>
  <c r="AX393" i="14" s="1"/>
  <c r="AY15" i="24"/>
  <c r="BC400" i="14"/>
  <c r="AX400" i="14" s="1"/>
  <c r="AW32" i="24"/>
  <c r="BA417" i="14"/>
  <c r="AQ417" i="14" s="1"/>
  <c r="BA398" i="14"/>
  <c r="AQ398" i="14" s="1"/>
  <c r="AW13" i="24"/>
  <c r="BA397" i="14"/>
  <c r="AQ397" i="14" s="1"/>
  <c r="AW12" i="24"/>
  <c r="AW30" i="24"/>
  <c r="BA415" i="14"/>
  <c r="AQ415" i="14" s="1"/>
  <c r="BA402" i="14"/>
  <c r="AQ402" i="14" s="1"/>
  <c r="AW17" i="24"/>
  <c r="AW11" i="24"/>
  <c r="BA396" i="14"/>
  <c r="AQ396" i="14" s="1"/>
  <c r="AW29" i="24"/>
  <c r="BA414" i="14"/>
  <c r="AQ414" i="14" s="1"/>
  <c r="BC431" i="14"/>
  <c r="AX431" i="14" s="1"/>
  <c r="AY15" i="25"/>
  <c r="BC434" i="14"/>
  <c r="AX434" i="14" s="1"/>
  <c r="AY18" i="25"/>
  <c r="BC442" i="14"/>
  <c r="AX442" i="14" s="1"/>
  <c r="AY26" i="25"/>
  <c r="BC438" i="14"/>
  <c r="AX438" i="14" s="1"/>
  <c r="AY22" i="25"/>
  <c r="AY31" i="25"/>
  <c r="BC447" i="14"/>
  <c r="AX447" i="14" s="1"/>
  <c r="BC430" i="14"/>
  <c r="AX430" i="14" s="1"/>
  <c r="AY14" i="25"/>
  <c r="BC446" i="14"/>
  <c r="AX446" i="14" s="1"/>
  <c r="AY30" i="25"/>
  <c r="AX28" i="28"/>
  <c r="BB535" i="14"/>
  <c r="AW535" i="14" s="1"/>
  <c r="AX15" i="28"/>
  <c r="BB522" i="14"/>
  <c r="AW522" i="14" s="1"/>
  <c r="AX19" i="28"/>
  <c r="BB526" i="14"/>
  <c r="AW526" i="14" s="1"/>
  <c r="AW34" i="25"/>
  <c r="BA450" i="14"/>
  <c r="AQ450" i="14" s="1"/>
  <c r="AW30" i="25"/>
  <c r="BA446" i="14"/>
  <c r="AQ446" i="14" s="1"/>
  <c r="AW27" i="25"/>
  <c r="BA443" i="14"/>
  <c r="AQ443" i="14" s="1"/>
  <c r="BB427" i="14"/>
  <c r="AW427" i="14" s="1"/>
  <c r="AX11" i="25"/>
  <c r="AX36" i="25"/>
  <c r="BB452" i="14"/>
  <c r="AW452" i="14" s="1"/>
  <c r="BB446" i="14"/>
  <c r="AW446" i="14" s="1"/>
  <c r="AX30" i="25"/>
  <c r="BB435" i="14"/>
  <c r="AW435" i="14" s="1"/>
  <c r="AX19" i="25"/>
  <c r="AY22" i="28"/>
  <c r="BC529" i="14"/>
  <c r="AX529" i="14" s="1"/>
  <c r="AY21" i="28"/>
  <c r="BC528" i="14"/>
  <c r="AX528" i="14" s="1"/>
  <c r="AY16" i="28"/>
  <c r="BC523" i="14"/>
  <c r="AX523" i="14" s="1"/>
  <c r="BC541" i="14"/>
  <c r="AX541" i="14" s="1"/>
  <c r="AY34" i="28"/>
  <c r="AW24" i="28"/>
  <c r="BA531" i="14"/>
  <c r="AQ531" i="14" s="1"/>
  <c r="BA526" i="14"/>
  <c r="AQ526" i="14" s="1"/>
  <c r="AW19" i="28"/>
  <c r="BA534" i="14"/>
  <c r="AQ534" i="14" s="1"/>
  <c r="AW27" i="28"/>
  <c r="AF9" i="25"/>
  <c r="AV9" i="25"/>
  <c r="AZ425" i="14"/>
  <c r="AP425" i="14" s="1"/>
  <c r="AV37" i="25"/>
  <c r="AZ453" i="14"/>
  <c r="AP453" i="14" s="1"/>
  <c r="AF37" i="25"/>
  <c r="AF30" i="25"/>
  <c r="AV30" i="25"/>
  <c r="AZ446" i="14"/>
  <c r="AP446" i="14" s="1"/>
  <c r="AF11" i="25"/>
  <c r="AV11" i="25"/>
  <c r="AZ427" i="14"/>
  <c r="AP427" i="14" s="1"/>
  <c r="AX9" i="24"/>
  <c r="BB394" i="14"/>
  <c r="AW394" i="14" s="1"/>
  <c r="AX13" i="24"/>
  <c r="BB398" i="14"/>
  <c r="AW398" i="14" s="1"/>
  <c r="BB405" i="14"/>
  <c r="AW405" i="14" s="1"/>
  <c r="AX20" i="24"/>
  <c r="AX29" i="24"/>
  <c r="BB414" i="14"/>
  <c r="AW414" i="14" s="1"/>
  <c r="AZ405" i="14"/>
  <c r="AP405" i="14" s="1"/>
  <c r="AF20" i="24"/>
  <c r="AV20" i="24"/>
  <c r="AF38" i="24"/>
  <c r="AZ423" i="14"/>
  <c r="AP423" i="14" s="1"/>
  <c r="AV38" i="24"/>
  <c r="AV17" i="24"/>
  <c r="AF17" i="24"/>
  <c r="AZ402" i="14"/>
  <c r="AP402" i="14" s="1"/>
  <c r="AZ526" i="14"/>
  <c r="AP526" i="14" s="1"/>
  <c r="AV19" i="28"/>
  <c r="AF19" i="28"/>
  <c r="AY37" i="25"/>
  <c r="BC453" i="14"/>
  <c r="AX453" i="14" s="1"/>
  <c r="K170" i="29"/>
  <c r="K2" i="29" s="1"/>
  <c r="K113" i="29" s="1"/>
  <c r="L170" i="29"/>
  <c r="L2" i="29" s="1"/>
  <c r="L113" i="29" s="1"/>
  <c r="AX34" i="28"/>
  <c r="BB541" i="14"/>
  <c r="AW541" i="14" s="1"/>
  <c r="AX11" i="28"/>
  <c r="BB518" i="14"/>
  <c r="AW518" i="14" s="1"/>
  <c r="AX22" i="28"/>
  <c r="BB529" i="14"/>
  <c r="AW529" i="14" s="1"/>
  <c r="BB528" i="14"/>
  <c r="AW528" i="14" s="1"/>
  <c r="AX21" i="28"/>
  <c r="BB536" i="14"/>
  <c r="AW536" i="14" s="1"/>
  <c r="AX29" i="28"/>
  <c r="BB532" i="14"/>
  <c r="AW532" i="14" s="1"/>
  <c r="AX25" i="28"/>
  <c r="AX30" i="28"/>
  <c r="BB537" i="14"/>
  <c r="AW537" i="14" s="1"/>
  <c r="AW20" i="25"/>
  <c r="BA436" i="14"/>
  <c r="AQ436" i="14" s="1"/>
  <c r="AW33" i="25"/>
  <c r="BA449" i="14"/>
  <c r="AQ449" i="14" s="1"/>
  <c r="BA439" i="14"/>
  <c r="AQ439" i="14" s="1"/>
  <c r="AW23" i="25"/>
  <c r="AW17" i="25"/>
  <c r="BA433" i="14"/>
  <c r="AQ433" i="14" s="1"/>
  <c r="AW10" i="25"/>
  <c r="BA426" i="14"/>
  <c r="AQ426" i="14" s="1"/>
  <c r="BA435" i="14"/>
  <c r="AQ435" i="14" s="1"/>
  <c r="AW19" i="25"/>
  <c r="BA427" i="14"/>
  <c r="AQ427" i="14" s="1"/>
  <c r="AW11" i="25"/>
  <c r="AW37" i="25"/>
  <c r="BA453" i="14"/>
  <c r="AQ453" i="14" s="1"/>
  <c r="AX8" i="25"/>
  <c r="BB424" i="14"/>
  <c r="AW424" i="14" s="1"/>
  <c r="BB426" i="14"/>
  <c r="AW426" i="14" s="1"/>
  <c r="AX10" i="25"/>
  <c r="AX17" i="25"/>
  <c r="BB433" i="14"/>
  <c r="AW433" i="14" s="1"/>
  <c r="BB453" i="14"/>
  <c r="AW453" i="14" s="1"/>
  <c r="AX37" i="25"/>
  <c r="BB447" i="14"/>
  <c r="AW447" i="14" s="1"/>
  <c r="AX31" i="25"/>
  <c r="BB437" i="14"/>
  <c r="AW437" i="14" s="1"/>
  <c r="AX21" i="25"/>
  <c r="AX29" i="25"/>
  <c r="BB445" i="14"/>
  <c r="AW445" i="14" s="1"/>
  <c r="AX25" i="25"/>
  <c r="BB441" i="14"/>
  <c r="AW441" i="14" s="1"/>
  <c r="AY12" i="28"/>
  <c r="BC519" i="14"/>
  <c r="AX519" i="14" s="1"/>
  <c r="AY31" i="28"/>
  <c r="BC538" i="14"/>
  <c r="AX538" i="14" s="1"/>
  <c r="AY9" i="28"/>
  <c r="BC516" i="14"/>
  <c r="AX516" i="14" s="1"/>
  <c r="BC525" i="14"/>
  <c r="AX525" i="14" s="1"/>
  <c r="AY18" i="28"/>
  <c r="AY38" i="28"/>
  <c r="BC545" i="14"/>
  <c r="AX545" i="14" s="1"/>
  <c r="BC537" i="14"/>
  <c r="AX537" i="14" s="1"/>
  <c r="AY30" i="28"/>
  <c r="BC540" i="14"/>
  <c r="AX540" i="14" s="1"/>
  <c r="AY33" i="28"/>
  <c r="BC532" i="14"/>
  <c r="AX532" i="14" s="1"/>
  <c r="AY25" i="28"/>
  <c r="BA544" i="14"/>
  <c r="AQ544" i="14" s="1"/>
  <c r="AW37" i="28"/>
  <c r="AW16" i="28"/>
  <c r="BA523" i="14"/>
  <c r="AQ523" i="14" s="1"/>
  <c r="BA537" i="14"/>
  <c r="AQ537" i="14" s="1"/>
  <c r="AW30" i="28"/>
  <c r="BA536" i="14"/>
  <c r="AQ536" i="14" s="1"/>
  <c r="AW29" i="28"/>
  <c r="BA530" i="14"/>
  <c r="AQ530" i="14" s="1"/>
  <c r="AW23" i="28"/>
  <c r="BA541" i="14"/>
  <c r="AQ541" i="14" s="1"/>
  <c r="AW34" i="28"/>
  <c r="BA524" i="14"/>
  <c r="AQ524" i="14" s="1"/>
  <c r="AW17" i="28"/>
  <c r="AZ444" i="14"/>
  <c r="AP444" i="14" s="1"/>
  <c r="AF28" i="25"/>
  <c r="AV28" i="25"/>
  <c r="AZ424" i="14"/>
  <c r="AP424" i="14" s="1"/>
  <c r="AV8" i="25"/>
  <c r="AF8" i="25"/>
  <c r="AF32" i="25"/>
  <c r="AZ448" i="14"/>
  <c r="AP448" i="14" s="1"/>
  <c r="AV32" i="25"/>
  <c r="AZ449" i="14"/>
  <c r="AP449" i="14" s="1"/>
  <c r="AV33" i="25"/>
  <c r="AF33" i="25"/>
  <c r="AZ442" i="14"/>
  <c r="AP442" i="14" s="1"/>
  <c r="AF26" i="25"/>
  <c r="AV26" i="25"/>
  <c r="AZ433" i="14"/>
  <c r="AP433" i="14" s="1"/>
  <c r="AF17" i="25"/>
  <c r="AV17" i="25"/>
  <c r="AF10" i="25"/>
  <c r="AZ426" i="14"/>
  <c r="AP426" i="14" s="1"/>
  <c r="AV10" i="25"/>
  <c r="AX17" i="24"/>
  <c r="BB402" i="14"/>
  <c r="AW402" i="14" s="1"/>
  <c r="AX19" i="24"/>
  <c r="BB404" i="14"/>
  <c r="AW404" i="14" s="1"/>
  <c r="BB403" i="14"/>
  <c r="AW403" i="14" s="1"/>
  <c r="AX18" i="24"/>
  <c r="BB421" i="14"/>
  <c r="AW421" i="14" s="1"/>
  <c r="AX36" i="24"/>
  <c r="AX12" i="24"/>
  <c r="BB397" i="14"/>
  <c r="AW397" i="14" s="1"/>
  <c r="BB412" i="14"/>
  <c r="AW412" i="14" s="1"/>
  <c r="AX27" i="24"/>
  <c r="AX37" i="24"/>
  <c r="BB422" i="14"/>
  <c r="AW422" i="14" s="1"/>
  <c r="AX24" i="24"/>
  <c r="BB409" i="14"/>
  <c r="AW409" i="14" s="1"/>
  <c r="AZ396" i="14"/>
  <c r="AP396" i="14" s="1"/>
  <c r="AF11" i="24"/>
  <c r="AV11" i="24"/>
  <c r="AV26" i="24"/>
  <c r="AZ411" i="14"/>
  <c r="AP411" i="14" s="1"/>
  <c r="AF26" i="24"/>
  <c r="AV8" i="24"/>
  <c r="AZ393" i="14"/>
  <c r="AP393" i="14" s="1"/>
  <c r="AF8" i="24"/>
  <c r="AV36" i="24"/>
  <c r="AZ421" i="14"/>
  <c r="AP421" i="14" s="1"/>
  <c r="AF36" i="24"/>
  <c r="AZ418" i="14"/>
  <c r="AP418" i="14" s="1"/>
  <c r="AV33" i="24"/>
  <c r="AF33" i="24"/>
  <c r="AF28" i="24"/>
  <c r="AZ413" i="14"/>
  <c r="AP413" i="14" s="1"/>
  <c r="AV28" i="24"/>
  <c r="AF30" i="24"/>
  <c r="AZ415" i="14"/>
  <c r="AP415" i="14" s="1"/>
  <c r="AV30" i="24"/>
  <c r="AF13" i="24"/>
  <c r="AV13" i="24"/>
  <c r="AZ398" i="14"/>
  <c r="AP398" i="14" s="1"/>
  <c r="AV36" i="28"/>
  <c r="AZ543" i="14"/>
  <c r="AP543" i="14" s="1"/>
  <c r="AF36" i="28"/>
  <c r="AV13" i="28"/>
  <c r="AF13" i="28"/>
  <c r="AZ520" i="14"/>
  <c r="AP520" i="14" s="1"/>
  <c r="AV24" i="28"/>
  <c r="AF24" i="28"/>
  <c r="AZ531" i="14"/>
  <c r="AP531" i="14" s="1"/>
  <c r="AZ540" i="14"/>
  <c r="AP540" i="14" s="1"/>
  <c r="AV33" i="28"/>
  <c r="AF33" i="28"/>
  <c r="AZ537" i="14"/>
  <c r="AP537" i="14" s="1"/>
  <c r="AF30" i="28"/>
  <c r="AV30" i="28"/>
  <c r="AZ533" i="14"/>
  <c r="AP533" i="14" s="1"/>
  <c r="AV26" i="28"/>
  <c r="AF26" i="28"/>
  <c r="AF14" i="28"/>
  <c r="AV14" i="28"/>
  <c r="AZ521" i="14"/>
  <c r="AP521" i="14" s="1"/>
  <c r="AF25" i="28"/>
  <c r="AZ532" i="14"/>
  <c r="AP532" i="14" s="1"/>
  <c r="AV25" i="28"/>
  <c r="AY36" i="24"/>
  <c r="BC421" i="14"/>
  <c r="AX421" i="14" s="1"/>
  <c r="BC407" i="14"/>
  <c r="AX407" i="14" s="1"/>
  <c r="AY22" i="24"/>
  <c r="BC412" i="14"/>
  <c r="AX412" i="14" s="1"/>
  <c r="AY27" i="24"/>
  <c r="AY24" i="24"/>
  <c r="BC409" i="14"/>
  <c r="AX409" i="14" s="1"/>
  <c r="AY14" i="24"/>
  <c r="BC399" i="14"/>
  <c r="AX399" i="14" s="1"/>
  <c r="BC398" i="14"/>
  <c r="AX398" i="14" s="1"/>
  <c r="AY13" i="24"/>
  <c r="AY32" i="24"/>
  <c r="BC417" i="14"/>
  <c r="AX417" i="14" s="1"/>
  <c r="BC410" i="14"/>
  <c r="AX410" i="14" s="1"/>
  <c r="AY25" i="24"/>
  <c r="AW15" i="24"/>
  <c r="BA400" i="14"/>
  <c r="AQ400" i="14" s="1"/>
  <c r="BA421" i="14"/>
  <c r="AQ421" i="14" s="1"/>
  <c r="AW36" i="24"/>
  <c r="BA411" i="14"/>
  <c r="AQ411" i="14" s="1"/>
  <c r="AW26" i="24"/>
  <c r="BA420" i="14"/>
  <c r="AQ420" i="14" s="1"/>
  <c r="AW35" i="24"/>
  <c r="BA401" i="14"/>
  <c r="AQ401" i="14" s="1"/>
  <c r="AW16" i="24"/>
  <c r="AW8" i="24"/>
  <c r="BA393" i="14"/>
  <c r="AQ393" i="14" s="1"/>
  <c r="BA422" i="14"/>
  <c r="AQ422" i="14" s="1"/>
  <c r="AW37" i="24"/>
  <c r="BA419" i="14"/>
  <c r="AQ419" i="14" s="1"/>
  <c r="AW34" i="24"/>
  <c r="BC445" i="14"/>
  <c r="AX445" i="14" s="1"/>
  <c r="AY29" i="25"/>
  <c r="BC433" i="14"/>
  <c r="AX433" i="14" s="1"/>
  <c r="AY17" i="25"/>
  <c r="BC425" i="14"/>
  <c r="AX425" i="14" s="1"/>
  <c r="AY9" i="25"/>
  <c r="AY23" i="25"/>
  <c r="BC439" i="14"/>
  <c r="AX439" i="14" s="1"/>
  <c r="BC432" i="14"/>
  <c r="AX432" i="14" s="1"/>
  <c r="AY16" i="25"/>
  <c r="AY8" i="25"/>
  <c r="BC424" i="14"/>
  <c r="AX424" i="14" s="1"/>
  <c r="BC443" i="14"/>
  <c r="AX443" i="14" s="1"/>
  <c r="AY27" i="25"/>
  <c r="K117" i="29"/>
  <c r="G129" i="18"/>
  <c r="D8" i="29" s="1"/>
  <c r="F8" i="29" s="1"/>
  <c r="P117" i="29"/>
  <c r="N116" i="29"/>
  <c r="F119" i="29"/>
  <c r="D128" i="29"/>
  <c r="F128" i="29" s="1"/>
  <c r="B287" i="1"/>
  <c r="G7" i="23" s="1"/>
  <c r="G39" i="23" s="1"/>
  <c r="G311" i="1"/>
  <c r="AU277" i="1"/>
  <c r="G7" i="22" s="1"/>
  <c r="G39" i="22" s="1"/>
  <c r="AZ277" i="1"/>
  <c r="AL277" i="1"/>
  <c r="G7" i="21" s="1"/>
  <c r="G39" i="21" s="1"/>
  <c r="AQ277" i="1"/>
  <c r="AH277" i="1"/>
  <c r="AC277" i="1"/>
  <c r="G7" i="20" s="1"/>
  <c r="G39" i="20" s="1"/>
  <c r="BG17" i="30"/>
  <c r="G382" i="1"/>
  <c r="D117" i="29"/>
  <c r="F117" i="29" s="1"/>
  <c r="G421" i="1"/>
  <c r="J421" i="1" s="1"/>
  <c r="M421" i="1" s="1"/>
  <c r="K12" i="29"/>
  <c r="P8" i="29"/>
  <c r="P12" i="29"/>
  <c r="G545" i="14"/>
  <c r="G46" i="28"/>
  <c r="O199" i="28"/>
  <c r="Q173" i="29" s="1"/>
  <c r="M46" i="28"/>
  <c r="I46" i="28"/>
  <c r="G128" i="28"/>
  <c r="L46" i="28"/>
  <c r="K46" i="28"/>
  <c r="AK371" i="1" s="1"/>
  <c r="AN371" i="1" s="1"/>
  <c r="H46" i="28"/>
  <c r="H128" i="28"/>
  <c r="J46" i="28"/>
  <c r="G65" i="1"/>
  <c r="Y65" i="1"/>
  <c r="Y64" i="1"/>
  <c r="G61" i="1"/>
  <c r="G63" i="1"/>
  <c r="G62" i="1"/>
  <c r="G64" i="1"/>
  <c r="G66" i="1"/>
  <c r="Y63" i="1"/>
  <c r="Y62" i="1"/>
  <c r="Y66" i="1"/>
  <c r="Y61" i="1"/>
  <c r="V332" i="1"/>
  <c r="AH378" i="1"/>
  <c r="G250" i="1"/>
  <c r="G269" i="1"/>
  <c r="BP29" i="30"/>
  <c r="J49" i="27"/>
  <c r="AH385" i="1"/>
  <c r="BG25" i="30"/>
  <c r="G339" i="1"/>
  <c r="I49" i="18"/>
  <c r="G384" i="1"/>
  <c r="G423" i="1"/>
  <c r="BP21" i="30"/>
  <c r="AH340" i="1"/>
  <c r="H49" i="27"/>
  <c r="AH392" i="1"/>
  <c r="P63" i="29" s="1"/>
  <c r="G291" i="1"/>
  <c r="K291" i="1"/>
  <c r="K7" i="24" s="1"/>
  <c r="K39" i="24" s="1"/>
  <c r="G398" i="1"/>
  <c r="G359" i="1"/>
  <c r="G49" i="27"/>
  <c r="BP17" i="30"/>
  <c r="AH382" i="1"/>
  <c r="AH345" i="1"/>
  <c r="P98" i="29" s="1"/>
  <c r="E47" i="27"/>
  <c r="AQ289" i="1"/>
  <c r="AU289" i="1"/>
  <c r="I7" i="28" s="1"/>
  <c r="I39" i="28" s="1"/>
  <c r="R49" i="30"/>
  <c r="H146" i="18"/>
  <c r="M49" i="18"/>
  <c r="BG41" i="30"/>
  <c r="G388" i="1"/>
  <c r="G427" i="1"/>
  <c r="AC289" i="1"/>
  <c r="I7" i="26" s="1"/>
  <c r="I39" i="26" s="1"/>
  <c r="AH289" i="1"/>
  <c r="AL289" i="1"/>
  <c r="I7" i="27" s="1"/>
  <c r="I39" i="27" s="1"/>
  <c r="Y289" i="1"/>
  <c r="AB332" i="1"/>
  <c r="AU290" i="1"/>
  <c r="J7" i="28" s="1"/>
  <c r="J39" i="28" s="1"/>
  <c r="AQ290" i="1"/>
  <c r="Y287" i="1"/>
  <c r="AC287" i="1"/>
  <c r="AH287" i="1"/>
  <c r="AL287" i="1"/>
  <c r="AL293" i="1"/>
  <c r="M7" i="27" s="1"/>
  <c r="M39" i="27" s="1"/>
  <c r="Y293" i="1"/>
  <c r="AC293" i="1"/>
  <c r="M7" i="26" s="1"/>
  <c r="M39" i="26" s="1"/>
  <c r="AH293" i="1"/>
  <c r="V378" i="1"/>
  <c r="N5" i="29"/>
  <c r="G356" i="1"/>
  <c r="G402" i="1"/>
  <c r="K49" i="23"/>
  <c r="BL33" i="30"/>
  <c r="AU287" i="1"/>
  <c r="AC288" i="1"/>
  <c r="H7" i="26" s="1"/>
  <c r="H39" i="26" s="1"/>
  <c r="J146" i="18"/>
  <c r="J49" i="18"/>
  <c r="BG29" i="30"/>
  <c r="G385" i="1"/>
  <c r="G424" i="1"/>
  <c r="AH353" i="1"/>
  <c r="AH399" i="1"/>
  <c r="AC290" i="1"/>
  <c r="J7" i="26" s="1"/>
  <c r="J39" i="26" s="1"/>
  <c r="Y290" i="1"/>
  <c r="AH290" i="1"/>
  <c r="AL290" i="1"/>
  <c r="J7" i="27" s="1"/>
  <c r="J39" i="27" s="1"/>
  <c r="K290" i="1"/>
  <c r="J7" i="24" s="1"/>
  <c r="J39" i="24" s="1"/>
  <c r="G290" i="1"/>
  <c r="BL25" i="30"/>
  <c r="V339" i="1"/>
  <c r="I49" i="23"/>
  <c r="V384" i="1"/>
  <c r="D97" i="29"/>
  <c r="F97" i="29" s="1"/>
  <c r="G342" i="1"/>
  <c r="BG37" i="30"/>
  <c r="L49" i="18"/>
  <c r="G387" i="1"/>
  <c r="G426" i="1"/>
  <c r="T289" i="1"/>
  <c r="I7" i="25" s="1"/>
  <c r="I39" i="25" s="1"/>
  <c r="P289" i="1"/>
  <c r="P290" i="1"/>
  <c r="T290" i="1"/>
  <c r="J7" i="25" s="1"/>
  <c r="J39" i="25" s="1"/>
  <c r="AH402" i="1"/>
  <c r="AH356" i="1"/>
  <c r="BL41" i="30"/>
  <c r="M49" i="23"/>
  <c r="V388" i="1"/>
  <c r="G312" i="1"/>
  <c r="AU278" i="1"/>
  <c r="AQ278" i="1"/>
  <c r="V402" i="1"/>
  <c r="V356" i="1"/>
  <c r="AC292" i="1"/>
  <c r="L7" i="26" s="1"/>
  <c r="L39" i="26" s="1"/>
  <c r="AL292" i="1"/>
  <c r="L7" i="27" s="1"/>
  <c r="L39" i="27" s="1"/>
  <c r="AH292" i="1"/>
  <c r="Y292" i="1"/>
  <c r="Y332" i="1"/>
  <c r="AB378" i="1"/>
  <c r="BL17" i="30"/>
  <c r="V345" i="1"/>
  <c r="K98" i="29" s="1"/>
  <c r="G49" i="23"/>
  <c r="E47" i="23"/>
  <c r="V382" i="1"/>
  <c r="G313" i="1"/>
  <c r="T279" i="1"/>
  <c r="I7" i="19" s="1"/>
  <c r="I39" i="19" s="1"/>
  <c r="AH279" i="1"/>
  <c r="AZ279" i="1"/>
  <c r="AU279" i="1"/>
  <c r="I7" i="22" s="1"/>
  <c r="I39" i="22" s="1"/>
  <c r="AQ279" i="1"/>
  <c r="P279" i="1"/>
  <c r="AC279" i="1"/>
  <c r="Y279" i="1"/>
  <c r="AL279" i="1"/>
  <c r="I7" i="21" s="1"/>
  <c r="I39" i="21" s="1"/>
  <c r="B289" i="1"/>
  <c r="I7" i="23" s="1"/>
  <c r="I39" i="23" s="1"/>
  <c r="AM49" i="30"/>
  <c r="Z104" i="30"/>
  <c r="AH397" i="1"/>
  <c r="AH359" i="1"/>
  <c r="P99" i="29" s="1"/>
  <c r="AQ293" i="1"/>
  <c r="AU293" i="1"/>
  <c r="M7" i="28" s="1"/>
  <c r="M39" i="28" s="1"/>
  <c r="AH332" i="1"/>
  <c r="G399" i="1"/>
  <c r="G353" i="1"/>
  <c r="G314" i="1"/>
  <c r="AZ280" i="1"/>
  <c r="B290" i="1"/>
  <c r="J7" i="23" s="1"/>
  <c r="J39" i="23" s="1"/>
  <c r="P280" i="1"/>
  <c r="AU280" i="1"/>
  <c r="J7" i="22" s="1"/>
  <c r="J39" i="22" s="1"/>
  <c r="AQ280" i="1"/>
  <c r="AL280" i="1"/>
  <c r="J7" i="21" s="1"/>
  <c r="J39" i="21" s="1"/>
  <c r="AH280" i="1"/>
  <c r="T280" i="1"/>
  <c r="J7" i="19" s="1"/>
  <c r="J39" i="19" s="1"/>
  <c r="Y280" i="1"/>
  <c r="AC280" i="1"/>
  <c r="J7" i="20" s="1"/>
  <c r="J39" i="20" s="1"/>
  <c r="AH354" i="1"/>
  <c r="AH407" i="1"/>
  <c r="P64" i="29" s="1"/>
  <c r="K49" i="27"/>
  <c r="BP33" i="30"/>
  <c r="M146" i="18"/>
  <c r="P292" i="1"/>
  <c r="T292" i="1"/>
  <c r="L7" i="25" s="1"/>
  <c r="L39" i="25" s="1"/>
  <c r="K287" i="1"/>
  <c r="G287" i="1"/>
  <c r="I146" i="18"/>
  <c r="M49" i="27"/>
  <c r="AH388" i="1"/>
  <c r="BP41" i="30"/>
  <c r="V397" i="1"/>
  <c r="V359" i="1"/>
  <c r="K99" i="29" s="1"/>
  <c r="V354" i="1"/>
  <c r="V407" i="1"/>
  <c r="K64" i="29" s="1"/>
  <c r="AQ292" i="1"/>
  <c r="AU292" i="1"/>
  <c r="L7" i="28" s="1"/>
  <c r="L39" i="28" s="1"/>
  <c r="V340" i="1"/>
  <c r="V392" i="1"/>
  <c r="K63" i="29" s="1"/>
  <c r="BL21" i="30"/>
  <c r="H49" i="23"/>
  <c r="G49" i="18"/>
  <c r="G383" i="1"/>
  <c r="E47" i="18"/>
  <c r="BG45" i="30"/>
  <c r="AM17" i="30" s="1"/>
  <c r="Z103" i="30" s="1"/>
  <c r="G345" i="1"/>
  <c r="G428" i="1"/>
  <c r="K292" i="1"/>
  <c r="L7" i="24" s="1"/>
  <c r="L39" i="24" s="1"/>
  <c r="G292" i="1"/>
  <c r="T287" i="1"/>
  <c r="P287" i="1"/>
  <c r="K289" i="1"/>
  <c r="I7" i="24" s="1"/>
  <c r="I39" i="24" s="1"/>
  <c r="G289" i="1"/>
  <c r="G378" i="1"/>
  <c r="G315" i="1"/>
  <c r="Y281" i="1"/>
  <c r="AQ281" i="1"/>
  <c r="AH281" i="1"/>
  <c r="AU281" i="1"/>
  <c r="K7" i="22" s="1"/>
  <c r="K39" i="22" s="1"/>
  <c r="AC281" i="1"/>
  <c r="K7" i="20" s="1"/>
  <c r="K39" i="20" s="1"/>
  <c r="AL281" i="1"/>
  <c r="K7" i="21" s="1"/>
  <c r="K39" i="21" s="1"/>
  <c r="AZ281" i="1"/>
  <c r="B291" i="1"/>
  <c r="K7" i="23" s="1"/>
  <c r="K39" i="23" s="1"/>
  <c r="P281" i="1"/>
  <c r="T281" i="1"/>
  <c r="K7" i="19" s="1"/>
  <c r="K39" i="19" s="1"/>
  <c r="V342" i="1"/>
  <c r="V387" i="1"/>
  <c r="L49" i="23"/>
  <c r="BL37" i="30"/>
  <c r="G317" i="1"/>
  <c r="AU283" i="1"/>
  <c r="M7" i="22" s="1"/>
  <c r="M39" i="22" s="1"/>
  <c r="AQ283" i="1"/>
  <c r="AL283" i="1"/>
  <c r="M7" i="21" s="1"/>
  <c r="M39" i="21" s="1"/>
  <c r="Y283" i="1"/>
  <c r="B293" i="1"/>
  <c r="M7" i="23" s="1"/>
  <c r="M39" i="23" s="1"/>
  <c r="AZ283" i="1"/>
  <c r="P283" i="1"/>
  <c r="AC283" i="1"/>
  <c r="M7" i="20" s="1"/>
  <c r="M39" i="20" s="1"/>
  <c r="T283" i="1"/>
  <c r="M7" i="19" s="1"/>
  <c r="M39" i="19" s="1"/>
  <c r="AH283" i="1"/>
  <c r="AQ291" i="1"/>
  <c r="AU291" i="1"/>
  <c r="K7" i="28" s="1"/>
  <c r="K39" i="28" s="1"/>
  <c r="Y378" i="1"/>
  <c r="P293" i="1"/>
  <c r="T293" i="1"/>
  <c r="M7" i="25" s="1"/>
  <c r="M39" i="25" s="1"/>
  <c r="BL29" i="30"/>
  <c r="J49" i="23"/>
  <c r="V385" i="1"/>
  <c r="G316" i="1"/>
  <c r="P282" i="1"/>
  <c r="AC282" i="1"/>
  <c r="L7" i="20" s="1"/>
  <c r="L39" i="20" s="1"/>
  <c r="B292" i="1"/>
  <c r="L7" i="23" s="1"/>
  <c r="L39" i="23" s="1"/>
  <c r="AQ282" i="1"/>
  <c r="AZ282" i="1"/>
  <c r="AU282" i="1"/>
  <c r="L7" i="22" s="1"/>
  <c r="L39" i="22" s="1"/>
  <c r="T282" i="1"/>
  <c r="L7" i="19" s="1"/>
  <c r="L39" i="19" s="1"/>
  <c r="AH282" i="1"/>
  <c r="Y282" i="1"/>
  <c r="AL282" i="1"/>
  <c r="L7" i="21" s="1"/>
  <c r="L39" i="21" s="1"/>
  <c r="L146" i="18"/>
  <c r="AK240" i="14"/>
  <c r="AH239" i="14"/>
  <c r="AL239" i="14" s="1"/>
  <c r="K49" i="18"/>
  <c r="BG33" i="30"/>
  <c r="G425" i="1"/>
  <c r="G293" i="1"/>
  <c r="K293" i="1"/>
  <c r="M7" i="24" s="1"/>
  <c r="M39" i="24" s="1"/>
  <c r="D62" i="29"/>
  <c r="F62" i="29" s="1"/>
  <c r="G340" i="1"/>
  <c r="H49" i="18"/>
  <c r="G392" i="1"/>
  <c r="BG21" i="30"/>
  <c r="G422" i="1"/>
  <c r="G407" i="1"/>
  <c r="G354" i="1"/>
  <c r="N97" i="29"/>
  <c r="G332" i="1"/>
  <c r="AU288" i="1"/>
  <c r="H7" i="28" s="1"/>
  <c r="H39" i="28" s="1"/>
  <c r="F158" i="29"/>
  <c r="BP25" i="30"/>
  <c r="AH339" i="1"/>
  <c r="I49" i="27"/>
  <c r="AH384" i="1"/>
  <c r="P291" i="1"/>
  <c r="T291" i="1"/>
  <c r="K7" i="25" s="1"/>
  <c r="K39" i="25" s="1"/>
  <c r="N62" i="29"/>
  <c r="Y291" i="1"/>
  <c r="AH291" i="1"/>
  <c r="AL291" i="1"/>
  <c r="K7" i="27" s="1"/>
  <c r="K39" i="27" s="1"/>
  <c r="AC291" i="1"/>
  <c r="K7" i="26" s="1"/>
  <c r="K39" i="26" s="1"/>
  <c r="V353" i="1"/>
  <c r="V399" i="1"/>
  <c r="AH342" i="1"/>
  <c r="L49" i="27"/>
  <c r="AH387" i="1"/>
  <c r="BP37" i="30"/>
  <c r="AK368" i="1" l="1"/>
  <c r="AN368" i="1" s="1"/>
  <c r="L123" i="29"/>
  <c r="CK401" i="14"/>
  <c r="CK407" i="14"/>
  <c r="CK415" i="14"/>
  <c r="CK423" i="14"/>
  <c r="CK425" i="14"/>
  <c r="CK516" i="14"/>
  <c r="CK522" i="14"/>
  <c r="CK532" i="14"/>
  <c r="CK540" i="14"/>
  <c r="CK402" i="14"/>
  <c r="CK437" i="14"/>
  <c r="CK453" i="14"/>
  <c r="CK408" i="14"/>
  <c r="CK416" i="14"/>
  <c r="CK433" i="14"/>
  <c r="CK435" i="14"/>
  <c r="CK448" i="14"/>
  <c r="CK529" i="14"/>
  <c r="CK545" i="14"/>
  <c r="CK421" i="14"/>
  <c r="CK534" i="14"/>
  <c r="CK406" i="14"/>
  <c r="CK414" i="14"/>
  <c r="CK422" i="14"/>
  <c r="CK527" i="14"/>
  <c r="CK519" i="14"/>
  <c r="CK535" i="14"/>
  <c r="CK543" i="14"/>
  <c r="CK427" i="14"/>
  <c r="CK403" i="14"/>
  <c r="CK396" i="14"/>
  <c r="CK411" i="14"/>
  <c r="CK419" i="14"/>
  <c r="CK432" i="14"/>
  <c r="CK443" i="14"/>
  <c r="CK451" i="14"/>
  <c r="CK523" i="14"/>
  <c r="CK528" i="14"/>
  <c r="CK536" i="14"/>
  <c r="CK544" i="14"/>
  <c r="CK398" i="14"/>
  <c r="CK413" i="14"/>
  <c r="CK445" i="14"/>
  <c r="CK526" i="14"/>
  <c r="CK542" i="14"/>
  <c r="CK397" i="14"/>
  <c r="CK412" i="14"/>
  <c r="CK420" i="14"/>
  <c r="CK444" i="14"/>
  <c r="CK520" i="14"/>
  <c r="CK533" i="14"/>
  <c r="CK541" i="14"/>
  <c r="CK395" i="14"/>
  <c r="CK426" i="14"/>
  <c r="CK525" i="14"/>
  <c r="CK399" i="14"/>
  <c r="CK405" i="14"/>
  <c r="CK410" i="14"/>
  <c r="CK418" i="14"/>
  <c r="CK438" i="14"/>
  <c r="CK446" i="14"/>
  <c r="CK518" i="14"/>
  <c r="CK521" i="14"/>
  <c r="CK531" i="14"/>
  <c r="CK539" i="14"/>
  <c r="CK409" i="14"/>
  <c r="CK538" i="14"/>
  <c r="AK324" i="1"/>
  <c r="AN324" i="1" s="1"/>
  <c r="B324" i="1" s="1"/>
  <c r="B338" i="1" s="1"/>
  <c r="CK434" i="14"/>
  <c r="CK436" i="14"/>
  <c r="CK428" i="14"/>
  <c r="CK430" i="14"/>
  <c r="CK452" i="14"/>
  <c r="CK431" i="14"/>
  <c r="CK441" i="14"/>
  <c r="N124" i="29"/>
  <c r="T124" i="29" s="1"/>
  <c r="K128" i="29"/>
  <c r="CM411" i="14"/>
  <c r="CM431" i="14"/>
  <c r="CM394" i="14"/>
  <c r="CM419" i="14"/>
  <c r="CK439" i="14"/>
  <c r="CK447" i="14"/>
  <c r="CK394" i="14"/>
  <c r="CK417" i="14"/>
  <c r="CK530" i="14"/>
  <c r="CK400" i="14"/>
  <c r="CK440" i="14"/>
  <c r="CK404" i="14"/>
  <c r="CK429" i="14"/>
  <c r="CK442" i="14"/>
  <c r="CK450" i="14"/>
  <c r="CK517" i="14"/>
  <c r="M123" i="29"/>
  <c r="M141" i="24"/>
  <c r="CM405" i="14"/>
  <c r="CM407" i="14"/>
  <c r="CM415" i="14"/>
  <c r="CM423" i="14"/>
  <c r="CM432" i="14"/>
  <c r="CM438" i="14"/>
  <c r="CM446" i="14"/>
  <c r="CM521" i="14"/>
  <c r="CM522" i="14"/>
  <c r="CM532" i="14"/>
  <c r="CM540" i="14"/>
  <c r="CM397" i="14"/>
  <c r="CM409" i="14"/>
  <c r="CM421" i="14"/>
  <c r="CM426" i="14"/>
  <c r="CM448" i="14"/>
  <c r="CM523" i="14"/>
  <c r="CM516" i="14"/>
  <c r="CM534" i="14"/>
  <c r="CM542" i="14"/>
  <c r="CM401" i="14"/>
  <c r="CM408" i="14"/>
  <c r="CM416" i="14"/>
  <c r="CM435" i="14"/>
  <c r="CM425" i="14"/>
  <c r="CM443" i="14"/>
  <c r="CM451" i="14"/>
  <c r="CM527" i="14"/>
  <c r="CM529" i="14"/>
  <c r="CM537" i="14"/>
  <c r="CM545" i="14"/>
  <c r="CM402" i="14"/>
  <c r="CM427" i="14"/>
  <c r="CM444" i="14"/>
  <c r="CM398" i="14"/>
  <c r="CM406" i="14"/>
  <c r="CM414" i="14"/>
  <c r="CM422" i="14"/>
  <c r="CM433" i="14"/>
  <c r="CM437" i="14"/>
  <c r="CM445" i="14"/>
  <c r="CM453" i="14"/>
  <c r="CM519" i="14"/>
  <c r="CM518" i="14"/>
  <c r="CM535" i="14"/>
  <c r="CM543" i="14"/>
  <c r="CM395" i="14"/>
  <c r="CM442" i="14"/>
  <c r="CM450" i="14"/>
  <c r="CM524" i="14"/>
  <c r="CM528" i="14"/>
  <c r="CM536" i="14"/>
  <c r="CM544" i="14"/>
  <c r="CM403" i="14"/>
  <c r="CM413" i="14"/>
  <c r="CM436" i="14"/>
  <c r="CM440" i="14"/>
  <c r="CM452" i="14"/>
  <c r="CM525" i="14"/>
  <c r="CM530" i="14"/>
  <c r="CM538" i="14"/>
  <c r="CM396" i="14"/>
  <c r="CM412" i="14"/>
  <c r="CM420" i="14"/>
  <c r="CM434" i="14"/>
  <c r="CM439" i="14"/>
  <c r="CM447" i="14"/>
  <c r="CM520" i="14"/>
  <c r="CM533" i="14"/>
  <c r="CM541" i="14"/>
  <c r="CM399" i="14"/>
  <c r="CM417" i="14"/>
  <c r="CM430" i="14"/>
  <c r="CM400" i="14"/>
  <c r="CM404" i="14"/>
  <c r="CM410" i="14"/>
  <c r="CM418" i="14"/>
  <c r="CM428" i="14"/>
  <c r="CM429" i="14"/>
  <c r="CM441" i="14"/>
  <c r="CM449" i="14"/>
  <c r="CM526" i="14"/>
  <c r="CM517" i="14"/>
  <c r="CM531" i="14"/>
  <c r="CM539" i="14"/>
  <c r="Q119" i="29"/>
  <c r="R119" i="29" s="1"/>
  <c r="Q120" i="29"/>
  <c r="R120" i="29" s="1"/>
  <c r="M138" i="24"/>
  <c r="H140" i="25"/>
  <c r="CK424" i="14"/>
  <c r="CM424" i="14"/>
  <c r="Q121" i="29"/>
  <c r="R121" i="29" s="1"/>
  <c r="Q123" i="29"/>
  <c r="R123" i="29" s="1"/>
  <c r="CK393" i="14"/>
  <c r="CM393" i="14"/>
  <c r="CK515" i="14"/>
  <c r="CM515" i="14"/>
  <c r="H144" i="25"/>
  <c r="L142" i="25"/>
  <c r="I144" i="25"/>
  <c r="J143" i="25"/>
  <c r="L138" i="25"/>
  <c r="M138" i="25"/>
  <c r="J144" i="25"/>
  <c r="K138" i="25"/>
  <c r="I137" i="25"/>
  <c r="J142" i="25"/>
  <c r="H140" i="27"/>
  <c r="G143" i="24"/>
  <c r="M143" i="24"/>
  <c r="G139" i="24"/>
  <c r="G140" i="24"/>
  <c r="L140" i="24"/>
  <c r="J140" i="24"/>
  <c r="I138" i="24"/>
  <c r="J139" i="24"/>
  <c r="G144" i="24"/>
  <c r="I145" i="24"/>
  <c r="K140" i="24"/>
  <c r="J143" i="24"/>
  <c r="K141" i="24"/>
  <c r="G142" i="27"/>
  <c r="G141" i="24"/>
  <c r="L144" i="24"/>
  <c r="K144" i="24"/>
  <c r="M142" i="24"/>
  <c r="H142" i="24"/>
  <c r="L139" i="24"/>
  <c r="J138" i="24"/>
  <c r="M139" i="24"/>
  <c r="H137" i="24"/>
  <c r="L137" i="24"/>
  <c r="K145" i="24"/>
  <c r="I140" i="24"/>
  <c r="H145" i="24"/>
  <c r="K142" i="24"/>
  <c r="L143" i="24"/>
  <c r="H141" i="24"/>
  <c r="M144" i="24"/>
  <c r="G145" i="24"/>
  <c r="G137" i="24"/>
  <c r="L141" i="24"/>
  <c r="K137" i="24"/>
  <c r="I144" i="24"/>
  <c r="G138" i="24"/>
  <c r="L142" i="24"/>
  <c r="K138" i="24"/>
  <c r="M140" i="24"/>
  <c r="H143" i="24"/>
  <c r="J142" i="24"/>
  <c r="M145" i="24"/>
  <c r="I139" i="24"/>
  <c r="H144" i="24"/>
  <c r="I141" i="24"/>
  <c r="J144" i="24"/>
  <c r="L138" i="24"/>
  <c r="J141" i="24"/>
  <c r="M137" i="24"/>
  <c r="H139" i="24"/>
  <c r="J137" i="24"/>
  <c r="I143" i="24"/>
  <c r="L145" i="24"/>
  <c r="K143" i="24"/>
  <c r="I142" i="24"/>
  <c r="H140" i="24"/>
  <c r="J145" i="24"/>
  <c r="H138" i="24"/>
  <c r="I137" i="24"/>
  <c r="K139" i="24"/>
  <c r="I140" i="25"/>
  <c r="L140" i="25"/>
  <c r="K144" i="25"/>
  <c r="G144" i="25"/>
  <c r="L139" i="25"/>
  <c r="G140" i="25"/>
  <c r="K139" i="25"/>
  <c r="H138" i="25"/>
  <c r="M144" i="25"/>
  <c r="I141" i="25"/>
  <c r="M139" i="25"/>
  <c r="I145" i="25"/>
  <c r="I143" i="25"/>
  <c r="J138" i="25"/>
  <c r="I139" i="25"/>
  <c r="G143" i="25"/>
  <c r="L141" i="25"/>
  <c r="J139" i="25"/>
  <c r="H143" i="25"/>
  <c r="H139" i="25"/>
  <c r="J141" i="25"/>
  <c r="G137" i="25"/>
  <c r="J141" i="27"/>
  <c r="K137" i="25"/>
  <c r="L145" i="25"/>
  <c r="I142" i="25"/>
  <c r="G142" i="25"/>
  <c r="M137" i="25"/>
  <c r="K145" i="25"/>
  <c r="H142" i="25"/>
  <c r="L143" i="25"/>
  <c r="G145" i="25"/>
  <c r="L144" i="25"/>
  <c r="G138" i="25"/>
  <c r="H141" i="25"/>
  <c r="M141" i="25"/>
  <c r="K141" i="25"/>
  <c r="J145" i="25"/>
  <c r="M137" i="27"/>
  <c r="M142" i="27"/>
  <c r="H138" i="27"/>
  <c r="K143" i="25"/>
  <c r="H137" i="25"/>
  <c r="I138" i="25"/>
  <c r="H145" i="25"/>
  <c r="G141" i="25"/>
  <c r="M142" i="25"/>
  <c r="K140" i="25"/>
  <c r="K142" i="25"/>
  <c r="G139" i="25"/>
  <c r="J140" i="25"/>
  <c r="M145" i="25"/>
  <c r="M140" i="25"/>
  <c r="M138" i="27"/>
  <c r="I140" i="27"/>
  <c r="M141" i="27"/>
  <c r="M143" i="25"/>
  <c r="K139" i="27"/>
  <c r="E138" i="18"/>
  <c r="G138" i="18" s="1"/>
  <c r="J139" i="27"/>
  <c r="L140" i="27"/>
  <c r="K142" i="27"/>
  <c r="H143" i="27"/>
  <c r="I145" i="27"/>
  <c r="L145" i="27"/>
  <c r="I143" i="27"/>
  <c r="L137" i="27"/>
  <c r="J138" i="27"/>
  <c r="M140" i="27"/>
  <c r="L144" i="27"/>
  <c r="G139" i="27"/>
  <c r="L138" i="27"/>
  <c r="G140" i="27"/>
  <c r="K145" i="27"/>
  <c r="G143" i="27"/>
  <c r="H139" i="27"/>
  <c r="K137" i="27"/>
  <c r="H141" i="27"/>
  <c r="H137" i="27"/>
  <c r="G146" i="18"/>
  <c r="M139" i="27"/>
  <c r="L141" i="27"/>
  <c r="I138" i="27"/>
  <c r="L139" i="27"/>
  <c r="I139" i="27"/>
  <c r="M144" i="27"/>
  <c r="J137" i="27"/>
  <c r="L143" i="27"/>
  <c r="J143" i="27"/>
  <c r="G144" i="27"/>
  <c r="K140" i="27"/>
  <c r="K141" i="27"/>
  <c r="I137" i="27"/>
  <c r="H145" i="27"/>
  <c r="K138" i="27"/>
  <c r="K143" i="27"/>
  <c r="M143" i="27"/>
  <c r="J140" i="27"/>
  <c r="M145" i="27"/>
  <c r="J145" i="27"/>
  <c r="I141" i="27"/>
  <c r="L142" i="27"/>
  <c r="J142" i="27"/>
  <c r="J144" i="27"/>
  <c r="I144" i="27"/>
  <c r="G141" i="27"/>
  <c r="H142" i="27"/>
  <c r="K144" i="27"/>
  <c r="G137" i="27"/>
  <c r="G145" i="27"/>
  <c r="G138" i="27"/>
  <c r="H144" i="27"/>
  <c r="I143" i="23"/>
  <c r="L143" i="23"/>
  <c r="M145" i="23"/>
  <c r="L138" i="23"/>
  <c r="J145" i="23"/>
  <c r="G138" i="23"/>
  <c r="L140" i="23"/>
  <c r="I138" i="23"/>
  <c r="G137" i="23"/>
  <c r="J141" i="23"/>
  <c r="M140" i="23"/>
  <c r="J142" i="23"/>
  <c r="M142" i="23"/>
  <c r="G143" i="23"/>
  <c r="E147" i="18"/>
  <c r="B352" i="1"/>
  <c r="K139" i="23"/>
  <c r="L139" i="23"/>
  <c r="H137" i="23"/>
  <c r="M137" i="23"/>
  <c r="L145" i="23"/>
  <c r="H144" i="23"/>
  <c r="G139" i="23"/>
  <c r="L142" i="23"/>
  <c r="I145" i="23"/>
  <c r="J137" i="23"/>
  <c r="K141" i="23"/>
  <c r="J144" i="23"/>
  <c r="L144" i="23"/>
  <c r="I141" i="23"/>
  <c r="K137" i="23"/>
  <c r="L137" i="23"/>
  <c r="H138" i="23"/>
  <c r="K138" i="23"/>
  <c r="M138" i="23"/>
  <c r="L141" i="23"/>
  <c r="H143" i="23"/>
  <c r="K144" i="23"/>
  <c r="J140" i="23"/>
  <c r="H139" i="23"/>
  <c r="I139" i="23"/>
  <c r="K140" i="23"/>
  <c r="I137" i="23"/>
  <c r="I142" i="23"/>
  <c r="K143" i="23"/>
  <c r="H140" i="23"/>
  <c r="J138" i="23"/>
  <c r="G140" i="23"/>
  <c r="M144" i="23"/>
  <c r="J143" i="23"/>
  <c r="I144" i="23"/>
  <c r="G144" i="23"/>
  <c r="K142" i="23"/>
  <c r="J139" i="23"/>
  <c r="I140" i="23"/>
  <c r="H141" i="23"/>
  <c r="M143" i="23"/>
  <c r="K145" i="23"/>
  <c r="G142" i="23"/>
  <c r="M141" i="23"/>
  <c r="H145" i="23"/>
  <c r="H142" i="23"/>
  <c r="M139" i="23"/>
  <c r="G141" i="23"/>
  <c r="G47" i="28"/>
  <c r="G128" i="24"/>
  <c r="G129" i="24" s="1"/>
  <c r="G47" i="24"/>
  <c r="BM18" i="30"/>
  <c r="G122" i="24"/>
  <c r="G47" i="25"/>
  <c r="G129" i="25"/>
  <c r="G122" i="25"/>
  <c r="BN18" i="30"/>
  <c r="K8" i="29"/>
  <c r="K17" i="29" s="1"/>
  <c r="AN286" i="14"/>
  <c r="AN200" i="14"/>
  <c r="AN544" i="14"/>
  <c r="AN471" i="14"/>
  <c r="AN385" i="14"/>
  <c r="AN186" i="14"/>
  <c r="AN528" i="14"/>
  <c r="AN449" i="14"/>
  <c r="AN354" i="14"/>
  <c r="AN273" i="14"/>
  <c r="AN512" i="14"/>
  <c r="AN428" i="14"/>
  <c r="AN332" i="14"/>
  <c r="AN192" i="14"/>
  <c r="AN496" i="14"/>
  <c r="AN407" i="14"/>
  <c r="AN311" i="14"/>
  <c r="AN187" i="14"/>
  <c r="AN540" i="14"/>
  <c r="AN524" i="14"/>
  <c r="AN508" i="14"/>
  <c r="AN487" i="14"/>
  <c r="AN465" i="14"/>
  <c r="AN444" i="14"/>
  <c r="AN423" i="14"/>
  <c r="AN401" i="14"/>
  <c r="AN380" i="14"/>
  <c r="AN369" i="14"/>
  <c r="AN348" i="14"/>
  <c r="AN327" i="14"/>
  <c r="AN306" i="14"/>
  <c r="AN247" i="14"/>
  <c r="AN253" i="14"/>
  <c r="AN280" i="14"/>
  <c r="AN263" i="14"/>
  <c r="AN258" i="14"/>
  <c r="AN536" i="14"/>
  <c r="AN520" i="14"/>
  <c r="AN504" i="14"/>
  <c r="AN481" i="14"/>
  <c r="AN460" i="14"/>
  <c r="AN439" i="14"/>
  <c r="AN417" i="14"/>
  <c r="AN396" i="14"/>
  <c r="AN375" i="14"/>
  <c r="AN364" i="14"/>
  <c r="AN343" i="14"/>
  <c r="AN322" i="14"/>
  <c r="AN296" i="14"/>
  <c r="AN205" i="14"/>
  <c r="AN233" i="14"/>
  <c r="AN236" i="14"/>
  <c r="AN223" i="14"/>
  <c r="AN230" i="14"/>
  <c r="AN532" i="14"/>
  <c r="AN516" i="14"/>
  <c r="AN500" i="14"/>
  <c r="AN476" i="14"/>
  <c r="AN455" i="14"/>
  <c r="AN433" i="14"/>
  <c r="AN412" i="14"/>
  <c r="AN391" i="14"/>
  <c r="AN371" i="14"/>
  <c r="AN359" i="14"/>
  <c r="AN338" i="14"/>
  <c r="AN316" i="14"/>
  <c r="AN252" i="14"/>
  <c r="AN297" i="14"/>
  <c r="AN207" i="14"/>
  <c r="AN206" i="14"/>
  <c r="AN182" i="14"/>
  <c r="AN195" i="14"/>
  <c r="AN180" i="14"/>
  <c r="AN208" i="14"/>
  <c r="AN226" i="14"/>
  <c r="AN246" i="14"/>
  <c r="AN270" i="14"/>
  <c r="AN290" i="14"/>
  <c r="AN183" i="14"/>
  <c r="AN217" i="14"/>
  <c r="AN243" i="14"/>
  <c r="AN271" i="14"/>
  <c r="AN299" i="14"/>
  <c r="AN198" i="14"/>
  <c r="AN240" i="14"/>
  <c r="AN272" i="14"/>
  <c r="AN304" i="14"/>
  <c r="AN190" i="14"/>
  <c r="AN211" i="14"/>
  <c r="AN229" i="14"/>
  <c r="AN245" i="14"/>
  <c r="AN261" i="14"/>
  <c r="AN277" i="14"/>
  <c r="AN293" i="14"/>
  <c r="AN181" i="14"/>
  <c r="AN227" i="14"/>
  <c r="AN255" i="14"/>
  <c r="AN291" i="14"/>
  <c r="AN232" i="14"/>
  <c r="AN268" i="14"/>
  <c r="AN300" i="14"/>
  <c r="AN305" i="14"/>
  <c r="AN309" i="14"/>
  <c r="AN313" i="14"/>
  <c r="AN317" i="14"/>
  <c r="AN321" i="14"/>
  <c r="AN325" i="14"/>
  <c r="AN329" i="14"/>
  <c r="AN333" i="14"/>
  <c r="AN337" i="14"/>
  <c r="AN341" i="14"/>
  <c r="AN345" i="14"/>
  <c r="AN349" i="14"/>
  <c r="AN353" i="14"/>
  <c r="AN357" i="14"/>
  <c r="AN361" i="14"/>
  <c r="AN365" i="14"/>
  <c r="AN370" i="14"/>
  <c r="AN374" i="14"/>
  <c r="AN378" i="14"/>
  <c r="AN382" i="14"/>
  <c r="AN386" i="14"/>
  <c r="AN390" i="14"/>
  <c r="AN394" i="14"/>
  <c r="AN398" i="14"/>
  <c r="AN402" i="14"/>
  <c r="AN406" i="14"/>
  <c r="AN410" i="14"/>
  <c r="AN414" i="14"/>
  <c r="AN418" i="14"/>
  <c r="AN422" i="14"/>
  <c r="AN426" i="14"/>
  <c r="AN430" i="14"/>
  <c r="AN434" i="14"/>
  <c r="AN438" i="14"/>
  <c r="AN442" i="14"/>
  <c r="AN446" i="14"/>
  <c r="AN450" i="14"/>
  <c r="AN454" i="14"/>
  <c r="AN458" i="14"/>
  <c r="AN462" i="14"/>
  <c r="AN466" i="14"/>
  <c r="AN470" i="14"/>
  <c r="AN474" i="14"/>
  <c r="AN478" i="14"/>
  <c r="AN482" i="14"/>
  <c r="AN486" i="14"/>
  <c r="AN490" i="14"/>
  <c r="AN491" i="14"/>
  <c r="AN543" i="14"/>
  <c r="AN539" i="14"/>
  <c r="AN535" i="14"/>
  <c r="AN531" i="14"/>
  <c r="AN527" i="14"/>
  <c r="AN523" i="14"/>
  <c r="AN519" i="14"/>
  <c r="AN515" i="14"/>
  <c r="AN511" i="14"/>
  <c r="AN507" i="14"/>
  <c r="AN503" i="14"/>
  <c r="AN499" i="14"/>
  <c r="AN495" i="14"/>
  <c r="AN492" i="14"/>
  <c r="AN485" i="14"/>
  <c r="AN480" i="14"/>
  <c r="AN475" i="14"/>
  <c r="AN469" i="14"/>
  <c r="AN464" i="14"/>
  <c r="AN459" i="14"/>
  <c r="AN453" i="14"/>
  <c r="AN448" i="14"/>
  <c r="AN443" i="14"/>
  <c r="AN437" i="14"/>
  <c r="AN432" i="14"/>
  <c r="AN427" i="14"/>
  <c r="AN421" i="14"/>
  <c r="AN416" i="14"/>
  <c r="AN411" i="14"/>
  <c r="AN405" i="14"/>
  <c r="AN400" i="14"/>
  <c r="AN395" i="14"/>
  <c r="AN389" i="14"/>
  <c r="AN384" i="14"/>
  <c r="AN379" i="14"/>
  <c r="AN373" i="14"/>
  <c r="AN368" i="14"/>
  <c r="AN363" i="14"/>
  <c r="AN358" i="14"/>
  <c r="AN352" i="14"/>
  <c r="AN347" i="14"/>
  <c r="AN342" i="14"/>
  <c r="AN336" i="14"/>
  <c r="AN331" i="14"/>
  <c r="AN326" i="14"/>
  <c r="AN320" i="14"/>
  <c r="AN315" i="14"/>
  <c r="AN310" i="14"/>
  <c r="AN284" i="14"/>
  <c r="AN244" i="14"/>
  <c r="AN283" i="14"/>
  <c r="AN239" i="14"/>
  <c r="AN197" i="14"/>
  <c r="AN289" i="14"/>
  <c r="AN269" i="14"/>
  <c r="AN249" i="14"/>
  <c r="AN225" i="14"/>
  <c r="AN203" i="14"/>
  <c r="AN191" i="14"/>
  <c r="AN264" i="14"/>
  <c r="AN228" i="14"/>
  <c r="AN202" i="14"/>
  <c r="AN295" i="14"/>
  <c r="AN259" i="14"/>
  <c r="AN219" i="14"/>
  <c r="AN303" i="14"/>
  <c r="AN278" i="14"/>
  <c r="AN254" i="14"/>
  <c r="AN222" i="14"/>
  <c r="AN196" i="14"/>
  <c r="AN542" i="14"/>
  <c r="AN538" i="14"/>
  <c r="AN534" i="14"/>
  <c r="AN530" i="14"/>
  <c r="AN526" i="14"/>
  <c r="AN522" i="14"/>
  <c r="AN518" i="14"/>
  <c r="AN514" i="14"/>
  <c r="AN510" i="14"/>
  <c r="AN506" i="14"/>
  <c r="AN502" i="14"/>
  <c r="AN498" i="14"/>
  <c r="AN494" i="14"/>
  <c r="AN489" i="14"/>
  <c r="AN484" i="14"/>
  <c r="AN479" i="14"/>
  <c r="AN473" i="14"/>
  <c r="AN468" i="14"/>
  <c r="AN463" i="14"/>
  <c r="AN457" i="14"/>
  <c r="AN452" i="14"/>
  <c r="AN447" i="14"/>
  <c r="AN441" i="14"/>
  <c r="AN436" i="14"/>
  <c r="AN431" i="14"/>
  <c r="AN425" i="14"/>
  <c r="AN420" i="14"/>
  <c r="AN415" i="14"/>
  <c r="AN409" i="14"/>
  <c r="AN404" i="14"/>
  <c r="AN399" i="14"/>
  <c r="AN393" i="14"/>
  <c r="AN388" i="14"/>
  <c r="AN383" i="14"/>
  <c r="AN377" i="14"/>
  <c r="AN372" i="14"/>
  <c r="AN367" i="14"/>
  <c r="AN362" i="14"/>
  <c r="AN356" i="14"/>
  <c r="AN351" i="14"/>
  <c r="AN346" i="14"/>
  <c r="AN340" i="14"/>
  <c r="AN335" i="14"/>
  <c r="AN330" i="14"/>
  <c r="AN324" i="14"/>
  <c r="AN319" i="14"/>
  <c r="AN314" i="14"/>
  <c r="AN308" i="14"/>
  <c r="AN276" i="14"/>
  <c r="AN224" i="14"/>
  <c r="AN275" i="14"/>
  <c r="AN235" i="14"/>
  <c r="AN184" i="14"/>
  <c r="AN285" i="14"/>
  <c r="AN265" i="14"/>
  <c r="AN241" i="14"/>
  <c r="AN221" i="14"/>
  <c r="AN199" i="14"/>
  <c r="AN292" i="14"/>
  <c r="AN256" i="14"/>
  <c r="AN220" i="14"/>
  <c r="AN185" i="14"/>
  <c r="AN287" i="14"/>
  <c r="AN251" i="14"/>
  <c r="AN209" i="14"/>
  <c r="AN302" i="14"/>
  <c r="AN274" i="14"/>
  <c r="AN242" i="14"/>
  <c r="AN216" i="14"/>
  <c r="AN193" i="14"/>
  <c r="AN545" i="14"/>
  <c r="AN541" i="14"/>
  <c r="AN537" i="14"/>
  <c r="AN533" i="14"/>
  <c r="AN529" i="14"/>
  <c r="AN525" i="14"/>
  <c r="AN521" i="14"/>
  <c r="AN517" i="14"/>
  <c r="AN513" i="14"/>
  <c r="AN509" i="14"/>
  <c r="AN505" i="14"/>
  <c r="AN501" i="14"/>
  <c r="AN497" i="14"/>
  <c r="AN493" i="14"/>
  <c r="AN488" i="14"/>
  <c r="AN483" i="14"/>
  <c r="AN477" i="14"/>
  <c r="AN472" i="14"/>
  <c r="AN467" i="14"/>
  <c r="AN461" i="14"/>
  <c r="AN456" i="14"/>
  <c r="AN451" i="14"/>
  <c r="AN445" i="14"/>
  <c r="AN440" i="14"/>
  <c r="AN435" i="14"/>
  <c r="AN429" i="14"/>
  <c r="AN424" i="14"/>
  <c r="AN419" i="14"/>
  <c r="AN413" i="14"/>
  <c r="AN408" i="14"/>
  <c r="AN403" i="14"/>
  <c r="AN397" i="14"/>
  <c r="AN392" i="14"/>
  <c r="AN387" i="14"/>
  <c r="AN381" i="14"/>
  <c r="AN376" i="14"/>
  <c r="AN366" i="14"/>
  <c r="AN360" i="14"/>
  <c r="AN355" i="14"/>
  <c r="AN350" i="14"/>
  <c r="AN344" i="14"/>
  <c r="AN339" i="14"/>
  <c r="AN334" i="14"/>
  <c r="AN328" i="14"/>
  <c r="AN323" i="14"/>
  <c r="AN318" i="14"/>
  <c r="AN312" i="14"/>
  <c r="AN307" i="14"/>
  <c r="AN260" i="14"/>
  <c r="AN214" i="14"/>
  <c r="AN267" i="14"/>
  <c r="AN213" i="14"/>
  <c r="AN301" i="14"/>
  <c r="AN281" i="14"/>
  <c r="AN257" i="14"/>
  <c r="AN237" i="14"/>
  <c r="AN215" i="14"/>
  <c r="AN189" i="14"/>
  <c r="AN288" i="14"/>
  <c r="AN248" i="14"/>
  <c r="AN210" i="14"/>
  <c r="AN188" i="14"/>
  <c r="AN279" i="14"/>
  <c r="AN231" i="14"/>
  <c r="AN201" i="14"/>
  <c r="AN294" i="14"/>
  <c r="AN262" i="14"/>
  <c r="AN238" i="14"/>
  <c r="AN212" i="14"/>
  <c r="AN194" i="14"/>
  <c r="AN298" i="14"/>
  <c r="AN282" i="14"/>
  <c r="AN266" i="14"/>
  <c r="AN250" i="14"/>
  <c r="AN234" i="14"/>
  <c r="AN218" i="14"/>
  <c r="AN204" i="14"/>
  <c r="AI329" i="14"/>
  <c r="CG329" i="14" s="1"/>
  <c r="CF329" i="14" s="1"/>
  <c r="AI334" i="14"/>
  <c r="CG334" i="14" s="1"/>
  <c r="CF334" i="14" s="1"/>
  <c r="AI429" i="14"/>
  <c r="AI185" i="14"/>
  <c r="CG185" i="14" s="1"/>
  <c r="CF185" i="14" s="1"/>
  <c r="AI432" i="14"/>
  <c r="AI198" i="14"/>
  <c r="CG198" i="14" s="1"/>
  <c r="CF198" i="14" s="1"/>
  <c r="AI297" i="14"/>
  <c r="CG297" i="14" s="1"/>
  <c r="AI492" i="14"/>
  <c r="CG492" i="14" s="1"/>
  <c r="CF492" i="14" s="1"/>
  <c r="AI224" i="14"/>
  <c r="CG224" i="14" s="1"/>
  <c r="CF224" i="14" s="1"/>
  <c r="AI400" i="14"/>
  <c r="AI459" i="14"/>
  <c r="CG459" i="14" s="1"/>
  <c r="CF459" i="14" s="1"/>
  <c r="AI486" i="14"/>
  <c r="CG486" i="14" s="1"/>
  <c r="CF486" i="14" s="1"/>
  <c r="AI405" i="14"/>
  <c r="AI401" i="14"/>
  <c r="AI196" i="14"/>
  <c r="CG196" i="14" s="1"/>
  <c r="CF196" i="14" s="1"/>
  <c r="AI368" i="14"/>
  <c r="CG368" i="14" s="1"/>
  <c r="CF368" i="14" s="1"/>
  <c r="AI309" i="14"/>
  <c r="CG309" i="14" s="1"/>
  <c r="CF309" i="14" s="1"/>
  <c r="AI454" i="14"/>
  <c r="CG454" i="14" s="1"/>
  <c r="CF454" i="14" s="1"/>
  <c r="AI394" i="14"/>
  <c r="AI364" i="14"/>
  <c r="CG364" i="14" s="1"/>
  <c r="CF364" i="14" s="1"/>
  <c r="AI468" i="14"/>
  <c r="CG468" i="14" s="1"/>
  <c r="CF468" i="14" s="1"/>
  <c r="AI460" i="14"/>
  <c r="CG460" i="14" s="1"/>
  <c r="CF460" i="14" s="1"/>
  <c r="AI274" i="14"/>
  <c r="CG274" i="14" s="1"/>
  <c r="CF274" i="14" s="1"/>
  <c r="AI396" i="14"/>
  <c r="AI278" i="14"/>
  <c r="CG278" i="14" s="1"/>
  <c r="CF278" i="14" s="1"/>
  <c r="AI506" i="14"/>
  <c r="CG506" i="14" s="1"/>
  <c r="CF506" i="14" s="1"/>
  <c r="AI213" i="14"/>
  <c r="CG213" i="14" s="1"/>
  <c r="AI256" i="14"/>
  <c r="CG256" i="14" s="1"/>
  <c r="CF256" i="14" s="1"/>
  <c r="AI260" i="14"/>
  <c r="CG260" i="14" s="1"/>
  <c r="CF260" i="14" s="1"/>
  <c r="AI439" i="14"/>
  <c r="AI200" i="14"/>
  <c r="CG200" i="14" s="1"/>
  <c r="CF200" i="14" s="1"/>
  <c r="AI236" i="14"/>
  <c r="CG236" i="14" s="1"/>
  <c r="CF236" i="14" s="1"/>
  <c r="AI199" i="14"/>
  <c r="CG199" i="14" s="1"/>
  <c r="CF199" i="14" s="1"/>
  <c r="AI383" i="14"/>
  <c r="CG383" i="14" s="1"/>
  <c r="CF383" i="14" s="1"/>
  <c r="AI446" i="14"/>
  <c r="AI473" i="14"/>
  <c r="CG473" i="14" s="1"/>
  <c r="CF473" i="14" s="1"/>
  <c r="AI519" i="14"/>
  <c r="AI511" i="14"/>
  <c r="CG511" i="14" s="1"/>
  <c r="CF511" i="14" s="1"/>
  <c r="AI427" i="14"/>
  <c r="AI205" i="14"/>
  <c r="CG205" i="14" s="1"/>
  <c r="CF205" i="14" s="1"/>
  <c r="AI216" i="14"/>
  <c r="CG216" i="14" s="1"/>
  <c r="AI495" i="14"/>
  <c r="CG495" i="14" s="1"/>
  <c r="CF495" i="14" s="1"/>
  <c r="AI438" i="14"/>
  <c r="AI344" i="14"/>
  <c r="CG344" i="14" s="1"/>
  <c r="CF344" i="14" s="1"/>
  <c r="AI441" i="14"/>
  <c r="AI245" i="14"/>
  <c r="CG245" i="14" s="1"/>
  <c r="CF245" i="14" s="1"/>
  <c r="AI507" i="14"/>
  <c r="CG507" i="14" s="1"/>
  <c r="CF507" i="14" s="1"/>
  <c r="AI412" i="14"/>
  <c r="AI263" i="14"/>
  <c r="CG263" i="14" s="1"/>
  <c r="CF263" i="14" s="1"/>
  <c r="AI302" i="14"/>
  <c r="CG302" i="14" s="1"/>
  <c r="AI440" i="14"/>
  <c r="AI315" i="14"/>
  <c r="AI279" i="14"/>
  <c r="CG279" i="14" s="1"/>
  <c r="CF279" i="14" s="1"/>
  <c r="AI276" i="14"/>
  <c r="CG276" i="14" s="1"/>
  <c r="CF276" i="14" s="1"/>
  <c r="AI345" i="14"/>
  <c r="CG345" i="14" s="1"/>
  <c r="CF345" i="14" s="1"/>
  <c r="AI420" i="14"/>
  <c r="AI509" i="14"/>
  <c r="CG509" i="14" s="1"/>
  <c r="CF509" i="14" s="1"/>
  <c r="AI190" i="14"/>
  <c r="CG190" i="14" s="1"/>
  <c r="CF190" i="14" s="1"/>
  <c r="AI494" i="14"/>
  <c r="CG494" i="14" s="1"/>
  <c r="CF494" i="14" s="1"/>
  <c r="AI433" i="14"/>
  <c r="AI338" i="14"/>
  <c r="CG338" i="14" s="1"/>
  <c r="CF338" i="14" s="1"/>
  <c r="AI273" i="14"/>
  <c r="CG273" i="14" s="1"/>
  <c r="CF273" i="14" s="1"/>
  <c r="AI417" i="14"/>
  <c r="AI434" i="14"/>
  <c r="AI544" i="14"/>
  <c r="AI188" i="14"/>
  <c r="CG188" i="14" s="1"/>
  <c r="CF188" i="14" s="1"/>
  <c r="AI404" i="14"/>
  <c r="AI521" i="14"/>
  <c r="AI282" i="14"/>
  <c r="CG282" i="14" s="1"/>
  <c r="CF282" i="14" s="1"/>
  <c r="AI284" i="14"/>
  <c r="CG284" i="14" s="1"/>
  <c r="CF284" i="14" s="1"/>
  <c r="AI218" i="14"/>
  <c r="CG218" i="14" s="1"/>
  <c r="AI463" i="14"/>
  <c r="CG463" i="14" s="1"/>
  <c r="CF463" i="14" s="1"/>
  <c r="AI408" i="14"/>
  <c r="AI237" i="14"/>
  <c r="CG237" i="14" s="1"/>
  <c r="CF237" i="14" s="1"/>
  <c r="AI180" i="14"/>
  <c r="CG180" i="14" s="1"/>
  <c r="CF180" i="14" s="1"/>
  <c r="AI207" i="14"/>
  <c r="CG207" i="14" s="1"/>
  <c r="CF207" i="14" s="1"/>
  <c r="AI299" i="14"/>
  <c r="AI402" i="14"/>
  <c r="AI500" i="14"/>
  <c r="CG500" i="14" s="1"/>
  <c r="CF500" i="14" s="1"/>
  <c r="AI271" i="14"/>
  <c r="CG271" i="14" s="1"/>
  <c r="CF271" i="14" s="1"/>
  <c r="AI332" i="14"/>
  <c r="CG332" i="14" s="1"/>
  <c r="CF332" i="14" s="1"/>
  <c r="AI524" i="14"/>
  <c r="AI416" i="14"/>
  <c r="AI458" i="14"/>
  <c r="CG458" i="14" s="1"/>
  <c r="CF458" i="14" s="1"/>
  <c r="AI474" i="14"/>
  <c r="CG474" i="14" s="1"/>
  <c r="CF474" i="14" s="1"/>
  <c r="AI300" i="14"/>
  <c r="CG300" i="14" s="1"/>
  <c r="AI471" i="14"/>
  <c r="CG471" i="14" s="1"/>
  <c r="CF471" i="14" s="1"/>
  <c r="AI283" i="14"/>
  <c r="CG283" i="14" s="1"/>
  <c r="CF283" i="14" s="1"/>
  <c r="AI225" i="14"/>
  <c r="CG225" i="14" s="1"/>
  <c r="CF225" i="14" s="1"/>
  <c r="AI457" i="14"/>
  <c r="CG457" i="14" s="1"/>
  <c r="CF457" i="14" s="1"/>
  <c r="AI211" i="14"/>
  <c r="CG211" i="14" s="1"/>
  <c r="CF211" i="14" s="1"/>
  <c r="AI242" i="14"/>
  <c r="CG242" i="14" s="1"/>
  <c r="CF242" i="14" s="1"/>
  <c r="AI515" i="14"/>
  <c r="AI311" i="14"/>
  <c r="CG311" i="14" s="1"/>
  <c r="CF311" i="14" s="1"/>
  <c r="AI228" i="14"/>
  <c r="CG228" i="14" s="1"/>
  <c r="CF228" i="14" s="1"/>
  <c r="AI444" i="14"/>
  <c r="AI366" i="14"/>
  <c r="CG366" i="14" s="1"/>
  <c r="CF366" i="14" s="1"/>
  <c r="AI423" i="14"/>
  <c r="AI187" i="14"/>
  <c r="CG187" i="14" s="1"/>
  <c r="CF187" i="14" s="1"/>
  <c r="AI184" i="14"/>
  <c r="CG184" i="14" s="1"/>
  <c r="CF184" i="14" s="1"/>
  <c r="AI215" i="14"/>
  <c r="CG215" i="14" s="1"/>
  <c r="AI392" i="14"/>
  <c r="CG392" i="14" s="1"/>
  <c r="CF392" i="14" s="1"/>
  <c r="AI192" i="14"/>
  <c r="CG192" i="14" s="1"/>
  <c r="CF192" i="14" s="1"/>
  <c r="AI318" i="14"/>
  <c r="CG318" i="14" s="1"/>
  <c r="CF318" i="14" s="1"/>
  <c r="AI204" i="14"/>
  <c r="CG204" i="14" s="1"/>
  <c r="CF204" i="14" s="1"/>
  <c r="AI229" i="14"/>
  <c r="CG229" i="14" s="1"/>
  <c r="CF229" i="14" s="1"/>
  <c r="AI418" i="14"/>
  <c r="CG315" i="14"/>
  <c r="CF315" i="14" s="1"/>
  <c r="CG299" i="14"/>
  <c r="AI451" i="14"/>
  <c r="AI369" i="14"/>
  <c r="CG369" i="14" s="1"/>
  <c r="CF369" i="14" s="1"/>
  <c r="AI518" i="14"/>
  <c r="AI410" i="14"/>
  <c r="AI313" i="14"/>
  <c r="CG313" i="14" s="1"/>
  <c r="CF313" i="14" s="1"/>
  <c r="AI375" i="14"/>
  <c r="CG375" i="14" s="1"/>
  <c r="CF375" i="14" s="1"/>
  <c r="AI371" i="14"/>
  <c r="CG371" i="14" s="1"/>
  <c r="CF371" i="14" s="1"/>
  <c r="AI496" i="14"/>
  <c r="CG496" i="14" s="1"/>
  <c r="CF496" i="14" s="1"/>
  <c r="AI346" i="14"/>
  <c r="CG346" i="14" s="1"/>
  <c r="CF346" i="14" s="1"/>
  <c r="AI540" i="14"/>
  <c r="AI483" i="14"/>
  <c r="CG483" i="14" s="1"/>
  <c r="CF483" i="14" s="1"/>
  <c r="AI377" i="14"/>
  <c r="CG377" i="14" s="1"/>
  <c r="CF377" i="14" s="1"/>
  <c r="AI197" i="14"/>
  <c r="CG197" i="14" s="1"/>
  <c r="CF197" i="14" s="1"/>
  <c r="AI501" i="14"/>
  <c r="CG501" i="14" s="1"/>
  <c r="CF501" i="14" s="1"/>
  <c r="AI374" i="14"/>
  <c r="CG374" i="14" s="1"/>
  <c r="CF374" i="14" s="1"/>
  <c r="AI247" i="14"/>
  <c r="CG247" i="14" s="1"/>
  <c r="CF247" i="14" s="1"/>
  <c r="AI258" i="14"/>
  <c r="CG258" i="14" s="1"/>
  <c r="CF258" i="14" s="1"/>
  <c r="AI321" i="14"/>
  <c r="CG321" i="14" s="1"/>
  <c r="CF321" i="14" s="1"/>
  <c r="AI354" i="14"/>
  <c r="CG354" i="14" s="1"/>
  <c r="CF354" i="14" s="1"/>
  <c r="AI447" i="14"/>
  <c r="AI487" i="14"/>
  <c r="CG487" i="14" s="1"/>
  <c r="CF487" i="14" s="1"/>
  <c r="AI407" i="14"/>
  <c r="AI466" i="14"/>
  <c r="CG466" i="14" s="1"/>
  <c r="CF466" i="14" s="1"/>
  <c r="AI406" i="14"/>
  <c r="AI341" i="14"/>
  <c r="CG341" i="14" s="1"/>
  <c r="CF341" i="14" s="1"/>
  <c r="AI327" i="14"/>
  <c r="CG327" i="14" s="1"/>
  <c r="CF327" i="14" s="1"/>
  <c r="AI389" i="14"/>
  <c r="CG389" i="14" s="1"/>
  <c r="CF389" i="14" s="1"/>
  <c r="AI373" i="14"/>
  <c r="CG373" i="14" s="1"/>
  <c r="CF373" i="14" s="1"/>
  <c r="AI517" i="14"/>
  <c r="AI397" i="14"/>
  <c r="AI243" i="14"/>
  <c r="CG243" i="14" s="1"/>
  <c r="CF243" i="14" s="1"/>
  <c r="AI490" i="14"/>
  <c r="CG490" i="14" s="1"/>
  <c r="CF490" i="14" s="1"/>
  <c r="AI390" i="14"/>
  <c r="CG390" i="14" s="1"/>
  <c r="CF390" i="14" s="1"/>
  <c r="AI195" i="14"/>
  <c r="CG195" i="14" s="1"/>
  <c r="CF195" i="14" s="1"/>
  <c r="AI538" i="14"/>
  <c r="AI387" i="14"/>
  <c r="CG387" i="14" s="1"/>
  <c r="CF387" i="14" s="1"/>
  <c r="AI293" i="14"/>
  <c r="CG293" i="14" s="1"/>
  <c r="AI191" i="14"/>
  <c r="CG191" i="14" s="1"/>
  <c r="CF191" i="14" s="1"/>
  <c r="AI308" i="14"/>
  <c r="CG308" i="14" s="1"/>
  <c r="CF308" i="14" s="1"/>
  <c r="AI384" i="14"/>
  <c r="CG384" i="14" s="1"/>
  <c r="CF384" i="14" s="1"/>
  <c r="AI453" i="14"/>
  <c r="AI530" i="14"/>
  <c r="AI435" i="14"/>
  <c r="AI479" i="14"/>
  <c r="CG479" i="14" s="1"/>
  <c r="CF479" i="14" s="1"/>
  <c r="AI419" i="14"/>
  <c r="AI348" i="14"/>
  <c r="CG348" i="14" s="1"/>
  <c r="CF348" i="14" s="1"/>
  <c r="AI477" i="14"/>
  <c r="CG477" i="14" s="1"/>
  <c r="CF477" i="14" s="1"/>
  <c r="AI502" i="14"/>
  <c r="CG502" i="14" s="1"/>
  <c r="CF502" i="14" s="1"/>
  <c r="AI303" i="14"/>
  <c r="CG303" i="14" s="1"/>
  <c r="AI537" i="14"/>
  <c r="AI316" i="14"/>
  <c r="CG316" i="14" s="1"/>
  <c r="CF316" i="14" s="1"/>
  <c r="AI310" i="14"/>
  <c r="CG310" i="14" s="1"/>
  <c r="CF310" i="14" s="1"/>
  <c r="AI464" i="14"/>
  <c r="CG464" i="14" s="1"/>
  <c r="CF464" i="14" s="1"/>
  <c r="AI220" i="14"/>
  <c r="CG220" i="14" s="1"/>
  <c r="CF220" i="14" s="1"/>
  <c r="AI324" i="14"/>
  <c r="CG324" i="14" s="1"/>
  <c r="CF324" i="14" s="1"/>
  <c r="AI469" i="14"/>
  <c r="CG469" i="14" s="1"/>
  <c r="CF469" i="14" s="1"/>
  <c r="AI239" i="14"/>
  <c r="CG239" i="14" s="1"/>
  <c r="CF239" i="14" s="1"/>
  <c r="AI360" i="14"/>
  <c r="CG360" i="14" s="1"/>
  <c r="CF360" i="14" s="1"/>
  <c r="AI254" i="14"/>
  <c r="CG254" i="14" s="1"/>
  <c r="CF254" i="14" s="1"/>
  <c r="AI499" i="14"/>
  <c r="CG499" i="14" s="1"/>
  <c r="CF499" i="14" s="1"/>
  <c r="AI498" i="14"/>
  <c r="CG498" i="14" s="1"/>
  <c r="CF498" i="14" s="1"/>
  <c r="AI505" i="14"/>
  <c r="CG505" i="14" s="1"/>
  <c r="CF505" i="14" s="1"/>
  <c r="AI208" i="14"/>
  <c r="CG208" i="14" s="1"/>
  <c r="CF208" i="14" s="1"/>
  <c r="AI430" i="14"/>
  <c r="AI251" i="14"/>
  <c r="CG251" i="14" s="1"/>
  <c r="CF251" i="14" s="1"/>
  <c r="AI367" i="14"/>
  <c r="CG367" i="14" s="1"/>
  <c r="CF367" i="14" s="1"/>
  <c r="AI231" i="14"/>
  <c r="CG231" i="14" s="1"/>
  <c r="CF231" i="14" s="1"/>
  <c r="AI399" i="14"/>
  <c r="AI516" i="14"/>
  <c r="AI193" i="14"/>
  <c r="CG193" i="14" s="1"/>
  <c r="CF193" i="14" s="1"/>
  <c r="AI337" i="14"/>
  <c r="CG337" i="14" s="1"/>
  <c r="CF337" i="14" s="1"/>
  <c r="AI363" i="14"/>
  <c r="CG363" i="14" s="1"/>
  <c r="CF363" i="14" s="1"/>
  <c r="AI409" i="14"/>
  <c r="AI244" i="14"/>
  <c r="CG244" i="14" s="1"/>
  <c r="CF244" i="14" s="1"/>
  <c r="AI241" i="14"/>
  <c r="CG241" i="14" s="1"/>
  <c r="CF241" i="14" s="1"/>
  <c r="AI531" i="14"/>
  <c r="AI365" i="14"/>
  <c r="CG365" i="14" s="1"/>
  <c r="CF365" i="14" s="1"/>
  <c r="AI294" i="14"/>
  <c r="CG294" i="14" s="1"/>
  <c r="AI526" i="14"/>
  <c r="AI255" i="14"/>
  <c r="CG255" i="14" s="1"/>
  <c r="CF255" i="14" s="1"/>
  <c r="AI527" i="14"/>
  <c r="AI270" i="14"/>
  <c r="CG270" i="14" s="1"/>
  <c r="CF270" i="14" s="1"/>
  <c r="AI238" i="14"/>
  <c r="CG238" i="14" s="1"/>
  <c r="CF238" i="14" s="1"/>
  <c r="AI513" i="14"/>
  <c r="CG513" i="14" s="1"/>
  <c r="CF513" i="14" s="1"/>
  <c r="AI257" i="14"/>
  <c r="CG257" i="14" s="1"/>
  <c r="CF257" i="14" s="1"/>
  <c r="AI522" i="14"/>
  <c r="AI266" i="14"/>
  <c r="CG266" i="14" s="1"/>
  <c r="CF266" i="14" s="1"/>
  <c r="AI370" i="14"/>
  <c r="CG370" i="14" s="1"/>
  <c r="CF370" i="14" s="1"/>
  <c r="AI181" i="14"/>
  <c r="CG181" i="14" s="1"/>
  <c r="CF181" i="14" s="1"/>
  <c r="AI470" i="14"/>
  <c r="CG470" i="14" s="1"/>
  <c r="CF470" i="14" s="1"/>
  <c r="AI328" i="14"/>
  <c r="CG328" i="14" s="1"/>
  <c r="CF328" i="14" s="1"/>
  <c r="AI272" i="14"/>
  <c r="CG272" i="14" s="1"/>
  <c r="CF272" i="14" s="1"/>
  <c r="AI536" i="14"/>
  <c r="AI503" i="14"/>
  <c r="CG503" i="14" s="1"/>
  <c r="CF503" i="14" s="1"/>
  <c r="AI533" i="14"/>
  <c r="AI386" i="14"/>
  <c r="CG386" i="14" s="1"/>
  <c r="CF386" i="14" s="1"/>
  <c r="AI442" i="14"/>
  <c r="AI325" i="14"/>
  <c r="CG325" i="14" s="1"/>
  <c r="CF325" i="14" s="1"/>
  <c r="AI291" i="14"/>
  <c r="CG291" i="14" s="1"/>
  <c r="AI253" i="14"/>
  <c r="CG253" i="14" s="1"/>
  <c r="CF253" i="14" s="1"/>
  <c r="AI314" i="14"/>
  <c r="CG314" i="14" s="1"/>
  <c r="CF314" i="14" s="1"/>
  <c r="AI393" i="14"/>
  <c r="AI443" i="14"/>
  <c r="AI349" i="14"/>
  <c r="CG349" i="14" s="1"/>
  <c r="CF349" i="14" s="1"/>
  <c r="AI226" i="14"/>
  <c r="CG226" i="14" s="1"/>
  <c r="CF226" i="14" s="1"/>
  <c r="AI478" i="14"/>
  <c r="CG478" i="14" s="1"/>
  <c r="CF478" i="14" s="1"/>
  <c r="AI352" i="14"/>
  <c r="CG352" i="14" s="1"/>
  <c r="CF352" i="14" s="1"/>
  <c r="AI221" i="14"/>
  <c r="CG221" i="14" s="1"/>
  <c r="CF221" i="14" s="1"/>
  <c r="AI182" i="14"/>
  <c r="CG182" i="14" s="1"/>
  <c r="CF182" i="14" s="1"/>
  <c r="AI448" i="14"/>
  <c r="AI250" i="14"/>
  <c r="CG250" i="14" s="1"/>
  <c r="CF250" i="14" s="1"/>
  <c r="AI542" i="14"/>
  <c r="AI355" i="14"/>
  <c r="CG355" i="14" s="1"/>
  <c r="CF355" i="14" s="1"/>
  <c r="AI339" i="14"/>
  <c r="CG339" i="14" s="1"/>
  <c r="CF339" i="14" s="1"/>
  <c r="AI267" i="14"/>
  <c r="CG267" i="14" s="1"/>
  <c r="CF267" i="14" s="1"/>
  <c r="AI489" i="14"/>
  <c r="CG489" i="14" s="1"/>
  <c r="CF489" i="14" s="1"/>
  <c r="AI335" i="14"/>
  <c r="CG335" i="14" s="1"/>
  <c r="CF335" i="14" s="1"/>
  <c r="AI210" i="14"/>
  <c r="CG210" i="14" s="1"/>
  <c r="CF210" i="14" s="1"/>
  <c r="AI491" i="14"/>
  <c r="CG491" i="14" s="1"/>
  <c r="CF491" i="14" s="1"/>
  <c r="AI304" i="14"/>
  <c r="CG304" i="14" s="1"/>
  <c r="CF304" i="14" s="1"/>
  <c r="AI248" i="14"/>
  <c r="CG248" i="14" s="1"/>
  <c r="CF248" i="14" s="1"/>
  <c r="AI379" i="14"/>
  <c r="CG379" i="14" s="1"/>
  <c r="CF379" i="14" s="1"/>
  <c r="AI275" i="14"/>
  <c r="CG275" i="14" s="1"/>
  <c r="CF275" i="14" s="1"/>
  <c r="AI289" i="14"/>
  <c r="CG289" i="14" s="1"/>
  <c r="AI488" i="14"/>
  <c r="CG488" i="14" s="1"/>
  <c r="CF488" i="14" s="1"/>
  <c r="AI285" i="14"/>
  <c r="CG285" i="14" s="1"/>
  <c r="CF285" i="14" s="1"/>
  <c r="AI510" i="14"/>
  <c r="CG510" i="14" s="1"/>
  <c r="CF510" i="14" s="1"/>
  <c r="AI209" i="14"/>
  <c r="CG209" i="14" s="1"/>
  <c r="CF209" i="14" s="1"/>
  <c r="AI388" i="14"/>
  <c r="CG388" i="14" s="1"/>
  <c r="CF388" i="14" s="1"/>
  <c r="AI504" i="14"/>
  <c r="CG504" i="14" s="1"/>
  <c r="CF504" i="14" s="1"/>
  <c r="AI381" i="14"/>
  <c r="CG381" i="14" s="1"/>
  <c r="CF381" i="14" s="1"/>
  <c r="AI264" i="14"/>
  <c r="CG264" i="14" s="1"/>
  <c r="CF264" i="14" s="1"/>
  <c r="AI398" i="14"/>
  <c r="AI323" i="14"/>
  <c r="CG323" i="14" s="1"/>
  <c r="CF323" i="14" s="1"/>
  <c r="AI431" i="14"/>
  <c r="AI305" i="14"/>
  <c r="CG305" i="14" s="1"/>
  <c r="CF305" i="14" s="1"/>
  <c r="AI222" i="14"/>
  <c r="CG222" i="14" s="1"/>
  <c r="CF222" i="14" s="1"/>
  <c r="AI485" i="14"/>
  <c r="CG485" i="14" s="1"/>
  <c r="CF485" i="14" s="1"/>
  <c r="AI319" i="14"/>
  <c r="CG319" i="14" s="1"/>
  <c r="CF319" i="14" s="1"/>
  <c r="AI428" i="14"/>
  <c r="AI330" i="14"/>
  <c r="CG330" i="14" s="1"/>
  <c r="CF330" i="14" s="1"/>
  <c r="AI333" i="14"/>
  <c r="CG333" i="14" s="1"/>
  <c r="CF333" i="14" s="1"/>
  <c r="AI320" i="14"/>
  <c r="CG320" i="14" s="1"/>
  <c r="CF320" i="14" s="1"/>
  <c r="AI462" i="14"/>
  <c r="CG462" i="14" s="1"/>
  <c r="CF462" i="14" s="1"/>
  <c r="AI514" i="14"/>
  <c r="CG514" i="14" s="1"/>
  <c r="CF514" i="14" s="1"/>
  <c r="AI411" i="14"/>
  <c r="AI227" i="14"/>
  <c r="CG227" i="14" s="1"/>
  <c r="CF227" i="14" s="1"/>
  <c r="AI296" i="14"/>
  <c r="CG296" i="14" s="1"/>
  <c r="AI472" i="14"/>
  <c r="CG472" i="14" s="1"/>
  <c r="CF472" i="14" s="1"/>
  <c r="AI456" i="14"/>
  <c r="CG456" i="14" s="1"/>
  <c r="CF456" i="14" s="1"/>
  <c r="AI452" i="14"/>
  <c r="AI235" i="14"/>
  <c r="CG235" i="14" s="1"/>
  <c r="CF235" i="14" s="1"/>
  <c r="AI306" i="14"/>
  <c r="CG306" i="14" s="1"/>
  <c r="CF306" i="14" s="1"/>
  <c r="AI528" i="14"/>
  <c r="AI232" i="14"/>
  <c r="CG232" i="14" s="1"/>
  <c r="CF232" i="14" s="1"/>
  <c r="AI484" i="14"/>
  <c r="CG484" i="14" s="1"/>
  <c r="CF484" i="14" s="1"/>
  <c r="AI189" i="14"/>
  <c r="CG189" i="14" s="1"/>
  <c r="CF189" i="14" s="1"/>
  <c r="AI288" i="14"/>
  <c r="CG288" i="14" s="1"/>
  <c r="CF288" i="14" s="1"/>
  <c r="AI262" i="14"/>
  <c r="CG262" i="14" s="1"/>
  <c r="CF262" i="14" s="1"/>
  <c r="AI436" i="14"/>
  <c r="AI541" i="14"/>
  <c r="AI214" i="14"/>
  <c r="CG214" i="14" s="1"/>
  <c r="AI292" i="14"/>
  <c r="CG292" i="14" s="1"/>
  <c r="AI331" i="14"/>
  <c r="CG331" i="14" s="1"/>
  <c r="CF331" i="14" s="1"/>
  <c r="AI449" i="14"/>
  <c r="AI415" i="14"/>
  <c r="AI230" i="14"/>
  <c r="CG230" i="14" s="1"/>
  <c r="CF230" i="14" s="1"/>
  <c r="AI265" i="14"/>
  <c r="CG265" i="14" s="1"/>
  <c r="CF265" i="14" s="1"/>
  <c r="AI535" i="14"/>
  <c r="AI340" i="14"/>
  <c r="CG340" i="14" s="1"/>
  <c r="CF340" i="14" s="1"/>
  <c r="AI545" i="14"/>
  <c r="AI476" i="14"/>
  <c r="CG476" i="14" s="1"/>
  <c r="CF476" i="14" s="1"/>
  <c r="AI350" i="14"/>
  <c r="CG350" i="14" s="1"/>
  <c r="CF350" i="14" s="1"/>
  <c r="AI312" i="14"/>
  <c r="CG312" i="14" s="1"/>
  <c r="CF312" i="14" s="1"/>
  <c r="AI217" i="14"/>
  <c r="CG217" i="14" s="1"/>
  <c r="AI186" i="14"/>
  <c r="CG186" i="14" s="1"/>
  <c r="CF186" i="14" s="1"/>
  <c r="AI252" i="14"/>
  <c r="CG252" i="14" s="1"/>
  <c r="CF252" i="14" s="1"/>
  <c r="AI326" i="14"/>
  <c r="CG326" i="14" s="1"/>
  <c r="CF326" i="14" s="1"/>
  <c r="AI497" i="14"/>
  <c r="CG497" i="14" s="1"/>
  <c r="CF497" i="14" s="1"/>
  <c r="AI382" i="14"/>
  <c r="CG382" i="14" s="1"/>
  <c r="CF382" i="14" s="1"/>
  <c r="AI403" i="14"/>
  <c r="AI249" i="14"/>
  <c r="CG249" i="14" s="1"/>
  <c r="CF249" i="14" s="1"/>
  <c r="AI342" i="14"/>
  <c r="CG342" i="14" s="1"/>
  <c r="CF342" i="14" s="1"/>
  <c r="AI358" i="14"/>
  <c r="CG358" i="14" s="1"/>
  <c r="CF358" i="14" s="1"/>
  <c r="AI482" i="14"/>
  <c r="CG482" i="14" s="1"/>
  <c r="CF482" i="14" s="1"/>
  <c r="AI347" i="14"/>
  <c r="CG347" i="14" s="1"/>
  <c r="CF347" i="14" s="1"/>
  <c r="AI493" i="14"/>
  <c r="CG493" i="14" s="1"/>
  <c r="CF493" i="14" s="1"/>
  <c r="AI539" i="14"/>
  <c r="AI376" i="14"/>
  <c r="CG376" i="14" s="1"/>
  <c r="CF376" i="14" s="1"/>
  <c r="AI395" i="14"/>
  <c r="AI361" i="14"/>
  <c r="CG361" i="14" s="1"/>
  <c r="CF361" i="14" s="1"/>
  <c r="AI534" i="14"/>
  <c r="AI391" i="14"/>
  <c r="CG391" i="14" s="1"/>
  <c r="CF391" i="14" s="1"/>
  <c r="AI336" i="14"/>
  <c r="CG336" i="14" s="1"/>
  <c r="CF336" i="14" s="1"/>
  <c r="AI523" i="14"/>
  <c r="AI183" i="14"/>
  <c r="CG183" i="14" s="1"/>
  <c r="CF183" i="14" s="1"/>
  <c r="AI223" i="14"/>
  <c r="CG223" i="14" s="1"/>
  <c r="CF223" i="14" s="1"/>
  <c r="AI380" i="14"/>
  <c r="CG380" i="14" s="1"/>
  <c r="CF380" i="14" s="1"/>
  <c r="AI322" i="14"/>
  <c r="CG322" i="14" s="1"/>
  <c r="CF322" i="14" s="1"/>
  <c r="AI290" i="14"/>
  <c r="CG290" i="14" s="1"/>
  <c r="AI445" i="14"/>
  <c r="AI525" i="14"/>
  <c r="AI212" i="14"/>
  <c r="CG212" i="14" s="1"/>
  <c r="AI261" i="14"/>
  <c r="CG261" i="14" s="1"/>
  <c r="CF261" i="14" s="1"/>
  <c r="AI353" i="14"/>
  <c r="CG353" i="14" s="1"/>
  <c r="CF353" i="14" s="1"/>
  <c r="AI259" i="14"/>
  <c r="CG259" i="14" s="1"/>
  <c r="CF259" i="14" s="1"/>
  <c r="AI481" i="14"/>
  <c r="CG481" i="14" s="1"/>
  <c r="CF481" i="14" s="1"/>
  <c r="AI202" i="14"/>
  <c r="CG202" i="14" s="1"/>
  <c r="CF202" i="14" s="1"/>
  <c r="AI203" i="14"/>
  <c r="CG203" i="14" s="1"/>
  <c r="CF203" i="14" s="1"/>
  <c r="AI512" i="14"/>
  <c r="CG512" i="14" s="1"/>
  <c r="CF512" i="14" s="1"/>
  <c r="AI385" i="14"/>
  <c r="CG385" i="14" s="1"/>
  <c r="CF385" i="14" s="1"/>
  <c r="AI295" i="14"/>
  <c r="CG295" i="14" s="1"/>
  <c r="AI437" i="14"/>
  <c r="AI317" i="14"/>
  <c r="CG317" i="14" s="1"/>
  <c r="CF317" i="14" s="1"/>
  <c r="AI455" i="14"/>
  <c r="CG455" i="14" s="1"/>
  <c r="CF455" i="14" s="1"/>
  <c r="AI246" i="14"/>
  <c r="CG246" i="14" s="1"/>
  <c r="CF246" i="14" s="1"/>
  <c r="AI269" i="14"/>
  <c r="CG269" i="14" s="1"/>
  <c r="CF269" i="14" s="1"/>
  <c r="AI378" i="14"/>
  <c r="CG378" i="14" s="1"/>
  <c r="CF378" i="14" s="1"/>
  <c r="AI351" i="14"/>
  <c r="CG351" i="14" s="1"/>
  <c r="CF351" i="14" s="1"/>
  <c r="AI362" i="14"/>
  <c r="CG362" i="14" s="1"/>
  <c r="CF362" i="14" s="1"/>
  <c r="AI301" i="14"/>
  <c r="CG301" i="14" s="1"/>
  <c r="AI467" i="14"/>
  <c r="CG467" i="14" s="1"/>
  <c r="CF467" i="14" s="1"/>
  <c r="AI426" i="14"/>
  <c r="AI461" i="14"/>
  <c r="CG461" i="14" s="1"/>
  <c r="CF461" i="14" s="1"/>
  <c r="AI357" i="14"/>
  <c r="CG357" i="14" s="1"/>
  <c r="CF357" i="14" s="1"/>
  <c r="AI277" i="14"/>
  <c r="CG277" i="14" s="1"/>
  <c r="CF277" i="14" s="1"/>
  <c r="AI233" i="14"/>
  <c r="CG233" i="14" s="1"/>
  <c r="CF233" i="14" s="1"/>
  <c r="AI287" i="14"/>
  <c r="CG287" i="14" s="1"/>
  <c r="CF287" i="14" s="1"/>
  <c r="AI421" i="14"/>
  <c r="AI532" i="14"/>
  <c r="AI298" i="14"/>
  <c r="CG298" i="14" s="1"/>
  <c r="AI372" i="14"/>
  <c r="CG372" i="14" s="1"/>
  <c r="CF372" i="14" s="1"/>
  <c r="AI356" i="14"/>
  <c r="CG356" i="14" s="1"/>
  <c r="CF356" i="14" s="1"/>
  <c r="AI520" i="14"/>
  <c r="AI424" i="14"/>
  <c r="AI425" i="14"/>
  <c r="AI206" i="14"/>
  <c r="CG206" i="14" s="1"/>
  <c r="CF206" i="14" s="1"/>
  <c r="AI422" i="14"/>
  <c r="AI286" i="14"/>
  <c r="CG286" i="14" s="1"/>
  <c r="CF286" i="14" s="1"/>
  <c r="AI234" i="14"/>
  <c r="CG234" i="14" s="1"/>
  <c r="CF234" i="14" s="1"/>
  <c r="AI359" i="14"/>
  <c r="CG359" i="14" s="1"/>
  <c r="CF359" i="14" s="1"/>
  <c r="AI529" i="14"/>
  <c r="AI475" i="14"/>
  <c r="CG475" i="14" s="1"/>
  <c r="CF475" i="14" s="1"/>
  <c r="AI343" i="14"/>
  <c r="CG343" i="14" s="1"/>
  <c r="CF343" i="14" s="1"/>
  <c r="AI194" i="14"/>
  <c r="CG194" i="14" s="1"/>
  <c r="CF194" i="14" s="1"/>
  <c r="AI450" i="14"/>
  <c r="AI201" i="14"/>
  <c r="CG201" i="14" s="1"/>
  <c r="CF201" i="14" s="1"/>
  <c r="AI281" i="14"/>
  <c r="CG281" i="14" s="1"/>
  <c r="CF281" i="14" s="1"/>
  <c r="AI480" i="14"/>
  <c r="CG480" i="14" s="1"/>
  <c r="CF480" i="14" s="1"/>
  <c r="AI307" i="14"/>
  <c r="CG307" i="14" s="1"/>
  <c r="CF307" i="14" s="1"/>
  <c r="AI280" i="14"/>
  <c r="CG280" i="14" s="1"/>
  <c r="CF280" i="14" s="1"/>
  <c r="AI219" i="14"/>
  <c r="CG219" i="14" s="1"/>
  <c r="AI543" i="14"/>
  <c r="AI413" i="14"/>
  <c r="AI268" i="14"/>
  <c r="CG268" i="14" s="1"/>
  <c r="CF268" i="14" s="1"/>
  <c r="AI414" i="14"/>
  <c r="AI240" i="14"/>
  <c r="CG240" i="14" s="1"/>
  <c r="CF240" i="14" s="1"/>
  <c r="AI508" i="14"/>
  <c r="CG508" i="14" s="1"/>
  <c r="CF508" i="14" s="1"/>
  <c r="AI465" i="14"/>
  <c r="CG465" i="14" s="1"/>
  <c r="CF465" i="14" s="1"/>
  <c r="N122" i="29"/>
  <c r="T122" i="29" s="1"/>
  <c r="J47" i="28"/>
  <c r="BM50" i="30"/>
  <c r="H128" i="24"/>
  <c r="BN50" i="30"/>
  <c r="H128" i="25"/>
  <c r="BB8" i="24"/>
  <c r="BP393" i="14" s="1"/>
  <c r="AL8" i="24"/>
  <c r="BB8" i="25"/>
  <c r="BP424" i="14" s="1"/>
  <c r="AL8" i="25"/>
  <c r="BB16" i="24"/>
  <c r="BP401" i="14" s="1"/>
  <c r="AL16" i="24"/>
  <c r="BB22" i="24"/>
  <c r="BP407" i="14" s="1"/>
  <c r="AL22" i="24"/>
  <c r="BB30" i="24"/>
  <c r="BP415" i="14" s="1"/>
  <c r="AL30" i="24"/>
  <c r="BB38" i="24"/>
  <c r="BP423" i="14" s="1"/>
  <c r="AL38" i="24"/>
  <c r="BB9" i="25"/>
  <c r="BP425" i="14" s="1"/>
  <c r="AL9" i="25"/>
  <c r="BB23" i="25"/>
  <c r="BP439" i="14" s="1"/>
  <c r="AL23" i="25"/>
  <c r="BB31" i="25"/>
  <c r="BP447" i="14" s="1"/>
  <c r="AL31" i="25"/>
  <c r="BB9" i="28"/>
  <c r="BP516" i="14" s="1"/>
  <c r="AL9" i="28"/>
  <c r="BB15" i="28"/>
  <c r="BP522" i="14" s="1"/>
  <c r="AL15" i="28"/>
  <c r="BB25" i="28"/>
  <c r="BP532" i="14" s="1"/>
  <c r="AL25" i="28"/>
  <c r="BB33" i="28"/>
  <c r="BP540" i="14" s="1"/>
  <c r="AL33" i="28"/>
  <c r="BB9" i="24"/>
  <c r="BP394" i="14" s="1"/>
  <c r="AL9" i="24"/>
  <c r="BB17" i="24"/>
  <c r="BP402" i="14" s="1"/>
  <c r="AL17" i="24"/>
  <c r="BB32" i="24"/>
  <c r="BP417" i="14" s="1"/>
  <c r="AL32" i="24"/>
  <c r="BB21" i="25"/>
  <c r="BP437" i="14" s="1"/>
  <c r="AL21" i="25"/>
  <c r="BB37" i="25"/>
  <c r="BP453" i="14" s="1"/>
  <c r="AL37" i="25"/>
  <c r="BB23" i="28"/>
  <c r="BP530" i="14" s="1"/>
  <c r="AL23" i="28"/>
  <c r="BB15" i="24"/>
  <c r="BP400" i="14" s="1"/>
  <c r="AL15" i="24"/>
  <c r="BB23" i="24"/>
  <c r="BP408" i="14" s="1"/>
  <c r="AL23" i="24"/>
  <c r="BB31" i="24"/>
  <c r="BP416" i="14" s="1"/>
  <c r="AL31" i="24"/>
  <c r="BB17" i="25"/>
  <c r="BP433" i="14" s="1"/>
  <c r="AL17" i="25"/>
  <c r="BB19" i="25"/>
  <c r="BP435" i="14" s="1"/>
  <c r="AL19" i="25"/>
  <c r="BB24" i="25"/>
  <c r="BP440" i="14" s="1"/>
  <c r="AL24" i="25"/>
  <c r="BB32" i="25"/>
  <c r="BP448" i="14" s="1"/>
  <c r="AL32" i="25"/>
  <c r="BB17" i="28"/>
  <c r="BP524" i="14" s="1"/>
  <c r="AL17" i="28"/>
  <c r="BB22" i="28"/>
  <c r="BP529" i="14" s="1"/>
  <c r="AL22" i="28"/>
  <c r="BB30" i="28"/>
  <c r="BP537" i="14" s="1"/>
  <c r="AL30" i="28"/>
  <c r="BB38" i="28"/>
  <c r="BP545" i="14" s="1"/>
  <c r="AL38" i="28"/>
  <c r="BB36" i="24"/>
  <c r="BP421" i="14" s="1"/>
  <c r="AL36" i="24"/>
  <c r="BB33" i="25"/>
  <c r="BP449" i="14" s="1"/>
  <c r="AL33" i="25"/>
  <c r="BB27" i="28"/>
  <c r="BP534" i="14" s="1"/>
  <c r="AL27" i="28"/>
  <c r="BB19" i="24"/>
  <c r="BP404" i="14" s="1"/>
  <c r="AL19" i="24"/>
  <c r="BB21" i="24"/>
  <c r="BP406" i="14" s="1"/>
  <c r="AL21" i="24"/>
  <c r="BB29" i="24"/>
  <c r="BP414" i="14" s="1"/>
  <c r="AL29" i="24"/>
  <c r="BB37" i="24"/>
  <c r="BP422" i="14" s="1"/>
  <c r="AL37" i="24"/>
  <c r="BB13" i="25"/>
  <c r="BP429" i="14" s="1"/>
  <c r="AL13" i="25"/>
  <c r="BB26" i="25"/>
  <c r="BP442" i="14" s="1"/>
  <c r="AL26" i="25"/>
  <c r="BB34" i="25"/>
  <c r="BP450" i="14" s="1"/>
  <c r="AL34" i="25"/>
  <c r="BB20" i="28"/>
  <c r="BP527" i="14" s="1"/>
  <c r="AL20" i="28"/>
  <c r="BB12" i="28"/>
  <c r="BP519" i="14" s="1"/>
  <c r="AL12" i="28"/>
  <c r="BB28" i="28"/>
  <c r="BP535" i="14" s="1"/>
  <c r="AL28" i="28"/>
  <c r="BB36" i="28"/>
  <c r="BP543" i="14" s="1"/>
  <c r="AL36" i="28"/>
  <c r="BB11" i="25"/>
  <c r="BP427" i="14" s="1"/>
  <c r="AL11" i="25"/>
  <c r="BB10" i="28"/>
  <c r="BP517" i="14" s="1"/>
  <c r="AL10" i="28"/>
  <c r="BB8" i="28"/>
  <c r="BY515" i="14" s="1"/>
  <c r="AL8" i="28"/>
  <c r="BB18" i="24"/>
  <c r="BP403" i="14" s="1"/>
  <c r="AL18" i="24"/>
  <c r="BB11" i="24"/>
  <c r="BP396" i="14" s="1"/>
  <c r="AL11" i="24"/>
  <c r="BB26" i="24"/>
  <c r="BP411" i="14" s="1"/>
  <c r="AL26" i="24"/>
  <c r="BB34" i="24"/>
  <c r="BP419" i="14" s="1"/>
  <c r="AL34" i="24"/>
  <c r="BB18" i="25"/>
  <c r="BP434" i="14" s="1"/>
  <c r="AL18" i="25"/>
  <c r="BB16" i="25"/>
  <c r="BP432" i="14" s="1"/>
  <c r="AL16" i="25"/>
  <c r="BB27" i="25"/>
  <c r="BP443" i="14" s="1"/>
  <c r="AL27" i="25"/>
  <c r="BB35" i="25"/>
  <c r="BP451" i="14" s="1"/>
  <c r="AL35" i="25"/>
  <c r="BB16" i="28"/>
  <c r="BP523" i="14" s="1"/>
  <c r="AL16" i="28"/>
  <c r="BB21" i="28"/>
  <c r="BP528" i="14" s="1"/>
  <c r="AL21" i="28"/>
  <c r="BB29" i="28"/>
  <c r="BP536" i="14" s="1"/>
  <c r="AL29" i="28"/>
  <c r="BB37" i="28"/>
  <c r="BP544" i="14" s="1"/>
  <c r="AL37" i="28"/>
  <c r="BB13" i="24"/>
  <c r="BP398" i="14" s="1"/>
  <c r="AL13" i="24"/>
  <c r="BB28" i="24"/>
  <c r="BP413" i="14" s="1"/>
  <c r="AL28" i="24"/>
  <c r="BB20" i="25"/>
  <c r="BP436" i="14" s="1"/>
  <c r="AL20" i="25"/>
  <c r="BB29" i="25"/>
  <c r="BP445" i="14" s="1"/>
  <c r="AL29" i="25"/>
  <c r="BB19" i="28"/>
  <c r="BP526" i="14" s="1"/>
  <c r="AL19" i="28"/>
  <c r="BB35" i="28"/>
  <c r="BP542" i="14" s="1"/>
  <c r="AL35" i="28"/>
  <c r="BB12" i="24"/>
  <c r="BP397" i="14" s="1"/>
  <c r="AL12" i="24"/>
  <c r="BB27" i="24"/>
  <c r="BP412" i="14" s="1"/>
  <c r="AL27" i="24"/>
  <c r="BB35" i="24"/>
  <c r="BP420" i="14" s="1"/>
  <c r="AL35" i="24"/>
  <c r="BB12" i="25"/>
  <c r="BP428" i="14" s="1"/>
  <c r="AL12" i="25"/>
  <c r="BB14" i="25"/>
  <c r="BP430" i="14" s="1"/>
  <c r="AL14" i="25"/>
  <c r="BB28" i="25"/>
  <c r="BP444" i="14" s="1"/>
  <c r="AL28" i="25"/>
  <c r="BB36" i="25"/>
  <c r="BP452" i="14" s="1"/>
  <c r="AL36" i="25"/>
  <c r="BB13" i="28"/>
  <c r="BP520" i="14" s="1"/>
  <c r="AL13" i="28"/>
  <c r="BB26" i="28"/>
  <c r="BP533" i="14" s="1"/>
  <c r="AL26" i="28"/>
  <c r="BB34" i="28"/>
  <c r="BP541" i="14" s="1"/>
  <c r="AL34" i="28"/>
  <c r="BB10" i="24"/>
  <c r="BP395" i="14" s="1"/>
  <c r="AL10" i="24"/>
  <c r="BB10" i="25"/>
  <c r="BP426" i="14" s="1"/>
  <c r="AL10" i="25"/>
  <c r="BB18" i="28"/>
  <c r="BP525" i="14" s="1"/>
  <c r="AL18" i="28"/>
  <c r="BB14" i="24"/>
  <c r="BP399" i="14" s="1"/>
  <c r="AL14" i="24"/>
  <c r="BB20" i="24"/>
  <c r="BP405" i="14" s="1"/>
  <c r="AL20" i="24"/>
  <c r="BB25" i="24"/>
  <c r="BP410" i="14" s="1"/>
  <c r="AL25" i="24"/>
  <c r="BB33" i="24"/>
  <c r="BP418" i="14" s="1"/>
  <c r="AL33" i="24"/>
  <c r="BB15" i="25"/>
  <c r="BP431" i="14" s="1"/>
  <c r="AL15" i="25"/>
  <c r="BB22" i="25"/>
  <c r="BP438" i="14" s="1"/>
  <c r="AL22" i="25"/>
  <c r="BB30" i="25"/>
  <c r="BP446" i="14" s="1"/>
  <c r="AL30" i="25"/>
  <c r="BB11" i="28"/>
  <c r="BP518" i="14" s="1"/>
  <c r="AL11" i="28"/>
  <c r="BB14" i="28"/>
  <c r="BP521" i="14" s="1"/>
  <c r="AL14" i="28"/>
  <c r="BB24" i="28"/>
  <c r="BP531" i="14" s="1"/>
  <c r="AL24" i="28"/>
  <c r="BB32" i="28"/>
  <c r="BP539" i="14" s="1"/>
  <c r="AL32" i="28"/>
  <c r="BB24" i="24"/>
  <c r="BP409" i="14" s="1"/>
  <c r="AL24" i="24"/>
  <c r="BB25" i="25"/>
  <c r="BP441" i="14" s="1"/>
  <c r="AL25" i="25"/>
  <c r="BB31" i="28"/>
  <c r="BP538" i="14" s="1"/>
  <c r="AL31" i="28"/>
  <c r="BP515" i="14"/>
  <c r="CV424" i="14"/>
  <c r="CQ424" i="14" s="1"/>
  <c r="CS393" i="14"/>
  <c r="CI393" i="14" s="1"/>
  <c r="CU409" i="14"/>
  <c r="CP409" i="14" s="1"/>
  <c r="CU404" i="14"/>
  <c r="CP404" i="14" s="1"/>
  <c r="CT524" i="14"/>
  <c r="CJ524" i="14" s="1"/>
  <c r="CT530" i="14"/>
  <c r="CJ530" i="14" s="1"/>
  <c r="CT537" i="14"/>
  <c r="CJ537" i="14" s="1"/>
  <c r="CT544" i="14"/>
  <c r="CJ544" i="14" s="1"/>
  <c r="CV540" i="14"/>
  <c r="CQ540" i="14" s="1"/>
  <c r="CU447" i="14"/>
  <c r="CP447" i="14" s="1"/>
  <c r="CT427" i="14"/>
  <c r="CJ427" i="14" s="1"/>
  <c r="CU532" i="14"/>
  <c r="CP532" i="14" s="1"/>
  <c r="CU528" i="14"/>
  <c r="CP528" i="14" s="1"/>
  <c r="CU446" i="14"/>
  <c r="CP446" i="14" s="1"/>
  <c r="CU427" i="14"/>
  <c r="CP427" i="14" s="1"/>
  <c r="CT402" i="14"/>
  <c r="CJ402" i="14" s="1"/>
  <c r="CS544" i="14"/>
  <c r="CI544" i="14" s="1"/>
  <c r="CS527" i="14"/>
  <c r="CI527" i="14" s="1"/>
  <c r="CS414" i="14"/>
  <c r="CI414" i="14" s="1"/>
  <c r="CS394" i="14"/>
  <c r="CI394" i="14" s="1"/>
  <c r="CS409" i="14"/>
  <c r="CI409" i="14" s="1"/>
  <c r="CU416" i="14"/>
  <c r="CP416" i="14" s="1"/>
  <c r="CS451" i="14"/>
  <c r="CI451" i="14" s="1"/>
  <c r="CT529" i="14"/>
  <c r="CJ529" i="14" s="1"/>
  <c r="CT535" i="14"/>
  <c r="CJ535" i="14" s="1"/>
  <c r="CU524" i="14"/>
  <c r="CP524" i="14" s="1"/>
  <c r="CT407" i="14"/>
  <c r="CJ407" i="14" s="1"/>
  <c r="CV395" i="14"/>
  <c r="CQ395" i="14" s="1"/>
  <c r="CV408" i="14"/>
  <c r="CQ408" i="14" s="1"/>
  <c r="CS403" i="14"/>
  <c r="CI403" i="14" s="1"/>
  <c r="CV533" i="14"/>
  <c r="CQ533" i="14" s="1"/>
  <c r="CU439" i="14"/>
  <c r="CP439" i="14" s="1"/>
  <c r="CV451" i="14"/>
  <c r="CQ451" i="14" s="1"/>
  <c r="CV441" i="14"/>
  <c r="CQ441" i="14" s="1"/>
  <c r="CV397" i="14"/>
  <c r="CQ397" i="14" s="1"/>
  <c r="CV418" i="14"/>
  <c r="CQ418" i="14" s="1"/>
  <c r="CS534" i="14"/>
  <c r="CI534" i="14" s="1"/>
  <c r="CS522" i="14"/>
  <c r="CI522" i="14" s="1"/>
  <c r="CS545" i="14"/>
  <c r="CI545" i="14" s="1"/>
  <c r="CS408" i="14"/>
  <c r="CI408" i="14" s="1"/>
  <c r="CU396" i="14"/>
  <c r="CP396" i="14" s="1"/>
  <c r="CS431" i="14"/>
  <c r="CI431" i="14" s="1"/>
  <c r="CS445" i="14"/>
  <c r="CI445" i="14" s="1"/>
  <c r="CS439" i="14"/>
  <c r="CI439" i="14" s="1"/>
  <c r="CS440" i="14"/>
  <c r="CI440" i="14" s="1"/>
  <c r="CT517" i="14"/>
  <c r="CJ517" i="14" s="1"/>
  <c r="CV544" i="14"/>
  <c r="CQ544" i="14" s="1"/>
  <c r="CV536" i="14"/>
  <c r="CQ536" i="14" s="1"/>
  <c r="CV520" i="14"/>
  <c r="CQ520" i="14" s="1"/>
  <c r="CU448" i="14"/>
  <c r="CP448" i="14" s="1"/>
  <c r="CU430" i="14"/>
  <c r="CP430" i="14" s="1"/>
  <c r="CU440" i="14"/>
  <c r="CP440" i="14" s="1"/>
  <c r="CT424" i="14"/>
  <c r="CJ424" i="14" s="1"/>
  <c r="CU540" i="14"/>
  <c r="CP540" i="14" s="1"/>
  <c r="CV427" i="14"/>
  <c r="CQ427" i="14" s="1"/>
  <c r="CV440" i="14"/>
  <c r="CQ440" i="14" s="1"/>
  <c r="CS529" i="14"/>
  <c r="CI529" i="14" s="1"/>
  <c r="CU438" i="14"/>
  <c r="CP438" i="14" s="1"/>
  <c r="CV425" i="14"/>
  <c r="CQ425" i="14" s="1"/>
  <c r="CV412" i="14"/>
  <c r="CQ412" i="14" s="1"/>
  <c r="CS413" i="14"/>
  <c r="CI413" i="14" s="1"/>
  <c r="CS418" i="14"/>
  <c r="CI418" i="14" s="1"/>
  <c r="CS421" i="14"/>
  <c r="CI421" i="14" s="1"/>
  <c r="CU403" i="14"/>
  <c r="CP403" i="14" s="1"/>
  <c r="CV545" i="14"/>
  <c r="CQ545" i="14" s="1"/>
  <c r="CV516" i="14"/>
  <c r="CQ516" i="14" s="1"/>
  <c r="CV519" i="14"/>
  <c r="CQ519" i="14" s="1"/>
  <c r="CU445" i="14"/>
  <c r="CP445" i="14" s="1"/>
  <c r="CT426" i="14"/>
  <c r="CJ426" i="14" s="1"/>
  <c r="CS402" i="14"/>
  <c r="CI402" i="14" s="1"/>
  <c r="CS405" i="14"/>
  <c r="CI405" i="14" s="1"/>
  <c r="CU398" i="14"/>
  <c r="CP398" i="14" s="1"/>
  <c r="CS427" i="14"/>
  <c r="CI427" i="14" s="1"/>
  <c r="CV523" i="14"/>
  <c r="CQ523" i="14" s="1"/>
  <c r="CT446" i="14"/>
  <c r="CJ446" i="14" s="1"/>
  <c r="CT414" i="14"/>
  <c r="CJ414" i="14" s="1"/>
  <c r="CT417" i="14"/>
  <c r="CJ417" i="14" s="1"/>
  <c r="CV393" i="14"/>
  <c r="CQ393" i="14" s="1"/>
  <c r="CV402" i="14"/>
  <c r="CQ402" i="14" s="1"/>
  <c r="CS517" i="14"/>
  <c r="CI517" i="14" s="1"/>
  <c r="CS435" i="14"/>
  <c r="CI435" i="14" s="1"/>
  <c r="CT518" i="14"/>
  <c r="CJ518" i="14" s="1"/>
  <c r="CV530" i="14"/>
  <c r="CQ530" i="14" s="1"/>
  <c r="CV524" i="14"/>
  <c r="CQ524" i="14" s="1"/>
  <c r="CV527" i="14"/>
  <c r="CQ527" i="14" s="1"/>
  <c r="CU436" i="14"/>
  <c r="CP436" i="14" s="1"/>
  <c r="CU428" i="14"/>
  <c r="CP428" i="14" s="1"/>
  <c r="CU429" i="14"/>
  <c r="CP429" i="14" s="1"/>
  <c r="CT444" i="14"/>
  <c r="CJ444" i="14" s="1"/>
  <c r="CV449" i="14"/>
  <c r="CQ449" i="14" s="1"/>
  <c r="CT412" i="14"/>
  <c r="CJ412" i="14" s="1"/>
  <c r="CS536" i="14"/>
  <c r="CI536" i="14" s="1"/>
  <c r="CT394" i="14"/>
  <c r="CJ394" i="14" s="1"/>
  <c r="CT408" i="14"/>
  <c r="CJ408" i="14" s="1"/>
  <c r="CT413" i="14"/>
  <c r="CJ413" i="14" s="1"/>
  <c r="CT399" i="14"/>
  <c r="CJ399" i="14" s="1"/>
  <c r="CV415" i="14"/>
  <c r="CQ415" i="14" s="1"/>
  <c r="CS436" i="14"/>
  <c r="CI436" i="14" s="1"/>
  <c r="CT533" i="14"/>
  <c r="CJ533" i="14" s="1"/>
  <c r="CT542" i="14"/>
  <c r="CJ542" i="14" s="1"/>
  <c r="CT525" i="14"/>
  <c r="CJ525" i="14" s="1"/>
  <c r="CV543" i="14"/>
  <c r="CQ543" i="14" s="1"/>
  <c r="CU450" i="14"/>
  <c r="CP450" i="14" s="1"/>
  <c r="CU519" i="14"/>
  <c r="CP519" i="14" s="1"/>
  <c r="CU520" i="14"/>
  <c r="CP520" i="14" s="1"/>
  <c r="CT416" i="14"/>
  <c r="CJ416" i="14" s="1"/>
  <c r="CT395" i="14"/>
  <c r="CJ395" i="14" s="1"/>
  <c r="CV403" i="14"/>
  <c r="CQ403" i="14" s="1"/>
  <c r="CV406" i="14"/>
  <c r="CQ406" i="14" s="1"/>
  <c r="CT515" i="14"/>
  <c r="CJ515" i="14" s="1"/>
  <c r="CT519" i="14"/>
  <c r="CJ519" i="14" s="1"/>
  <c r="CV517" i="14"/>
  <c r="CQ517" i="14" s="1"/>
  <c r="CU545" i="14"/>
  <c r="CP545" i="14" s="1"/>
  <c r="CT400" i="14"/>
  <c r="CJ400" i="14" s="1"/>
  <c r="CV417" i="14"/>
  <c r="CQ417" i="14" s="1"/>
  <c r="CV399" i="14"/>
  <c r="CQ399" i="14" s="1"/>
  <c r="CV421" i="14"/>
  <c r="CQ421" i="14" s="1"/>
  <c r="CS533" i="14"/>
  <c r="CI533" i="14" s="1"/>
  <c r="CS543" i="14"/>
  <c r="CI543" i="14" s="1"/>
  <c r="CS415" i="14"/>
  <c r="CI415" i="14" s="1"/>
  <c r="CU422" i="14"/>
  <c r="CP422" i="14" s="1"/>
  <c r="CU397" i="14"/>
  <c r="CP397" i="14" s="1"/>
  <c r="CU402" i="14"/>
  <c r="CP402" i="14" s="1"/>
  <c r="CS433" i="14"/>
  <c r="CI433" i="14" s="1"/>
  <c r="CT541" i="14"/>
  <c r="CJ541" i="14" s="1"/>
  <c r="CT536" i="14"/>
  <c r="CJ536" i="14" s="1"/>
  <c r="CV532" i="14"/>
  <c r="CQ532" i="14" s="1"/>
  <c r="CV537" i="14"/>
  <c r="CQ537" i="14" s="1"/>
  <c r="CV525" i="14"/>
  <c r="CQ525" i="14" s="1"/>
  <c r="CU437" i="14"/>
  <c r="CP437" i="14" s="1"/>
  <c r="CU453" i="14"/>
  <c r="CP453" i="14" s="1"/>
  <c r="CU426" i="14"/>
  <c r="CP426" i="14" s="1"/>
  <c r="CT435" i="14"/>
  <c r="CJ435" i="14" s="1"/>
  <c r="CU536" i="14"/>
  <c r="CP536" i="14" s="1"/>
  <c r="CS423" i="14"/>
  <c r="CI423" i="14" s="1"/>
  <c r="CU405" i="14"/>
  <c r="CP405" i="14" s="1"/>
  <c r="CS425" i="14"/>
  <c r="CI425" i="14" s="1"/>
  <c r="CT526" i="14"/>
  <c r="CJ526" i="14" s="1"/>
  <c r="CV541" i="14"/>
  <c r="CQ541" i="14" s="1"/>
  <c r="CU435" i="14"/>
  <c r="CP435" i="14" s="1"/>
  <c r="CV446" i="14"/>
  <c r="CQ446" i="14" s="1"/>
  <c r="CV442" i="14"/>
  <c r="CQ442" i="14" s="1"/>
  <c r="CV431" i="14"/>
  <c r="CQ431" i="14" s="1"/>
  <c r="CT398" i="14"/>
  <c r="CJ398" i="14" s="1"/>
  <c r="CV414" i="14"/>
  <c r="CQ414" i="14" s="1"/>
  <c r="CV419" i="14"/>
  <c r="CQ419" i="14" s="1"/>
  <c r="CS516" i="14"/>
  <c r="CI516" i="14" s="1"/>
  <c r="CS539" i="14"/>
  <c r="CI539" i="14" s="1"/>
  <c r="CS515" i="14"/>
  <c r="CI515" i="14" s="1"/>
  <c r="CS412" i="14"/>
  <c r="CI412" i="14" s="1"/>
  <c r="CS406" i="14"/>
  <c r="CI406" i="14" s="1"/>
  <c r="CU419" i="14"/>
  <c r="CP419" i="14" s="1"/>
  <c r="CS430" i="14"/>
  <c r="CI430" i="14" s="1"/>
  <c r="CS429" i="14"/>
  <c r="CI429" i="14" s="1"/>
  <c r="CT545" i="14"/>
  <c r="CJ545" i="14" s="1"/>
  <c r="CT521" i="14"/>
  <c r="CJ521" i="14" s="1"/>
  <c r="CT532" i="14"/>
  <c r="CJ532" i="14" s="1"/>
  <c r="CV535" i="14"/>
  <c r="CQ535" i="14" s="1"/>
  <c r="CV521" i="14"/>
  <c r="CQ521" i="14" s="1"/>
  <c r="CU425" i="14"/>
  <c r="CP425" i="14" s="1"/>
  <c r="CT451" i="14"/>
  <c r="CJ451" i="14" s="1"/>
  <c r="CT447" i="14"/>
  <c r="CJ447" i="14" s="1"/>
  <c r="CT438" i="14"/>
  <c r="CJ438" i="14" s="1"/>
  <c r="CU530" i="14"/>
  <c r="CP530" i="14" s="1"/>
  <c r="CV437" i="14"/>
  <c r="CQ437" i="14" s="1"/>
  <c r="CT404" i="14"/>
  <c r="CJ404" i="14" s="1"/>
  <c r="CV401" i="14"/>
  <c r="CQ401" i="14" s="1"/>
  <c r="CS434" i="14"/>
  <c r="CI434" i="14" s="1"/>
  <c r="CT520" i="14"/>
  <c r="CJ520" i="14" s="1"/>
  <c r="CU442" i="14"/>
  <c r="CP442" i="14" s="1"/>
  <c r="CT425" i="14"/>
  <c r="CJ425" i="14" s="1"/>
  <c r="CU534" i="14"/>
  <c r="CP534" i="14" s="1"/>
  <c r="CV435" i="14"/>
  <c r="CQ435" i="14" s="1"/>
  <c r="CV448" i="14"/>
  <c r="CQ448" i="14" s="1"/>
  <c r="CT409" i="14"/>
  <c r="CJ409" i="14" s="1"/>
  <c r="CT410" i="14"/>
  <c r="CJ410" i="14" s="1"/>
  <c r="CV416" i="14"/>
  <c r="CQ416" i="14" s="1"/>
  <c r="CS528" i="14"/>
  <c r="CI528" i="14" s="1"/>
  <c r="CS407" i="14"/>
  <c r="CI407" i="14" s="1"/>
  <c r="CS397" i="14"/>
  <c r="CI397" i="14" s="1"/>
  <c r="CU400" i="14"/>
  <c r="CP400" i="14" s="1"/>
  <c r="CU399" i="14"/>
  <c r="CP399" i="14" s="1"/>
  <c r="CU407" i="14"/>
  <c r="CP407" i="14" s="1"/>
  <c r="CT528" i="14"/>
  <c r="CJ528" i="14" s="1"/>
  <c r="CT539" i="14"/>
  <c r="CJ539" i="14" s="1"/>
  <c r="CT538" i="14"/>
  <c r="CJ538" i="14" s="1"/>
  <c r="CV542" i="14"/>
  <c r="CQ542" i="14" s="1"/>
  <c r="CU449" i="14"/>
  <c r="CP449" i="14" s="1"/>
  <c r="CU542" i="14"/>
  <c r="CP542" i="14" s="1"/>
  <c r="CU538" i="14"/>
  <c r="CP538" i="14" s="1"/>
  <c r="CU523" i="14"/>
  <c r="CP523" i="14" s="1"/>
  <c r="CU516" i="14"/>
  <c r="CP516" i="14" s="1"/>
  <c r="CV450" i="14"/>
  <c r="CQ450" i="14" s="1"/>
  <c r="CV420" i="14"/>
  <c r="CQ420" i="14" s="1"/>
  <c r="CS518" i="14"/>
  <c r="CI518" i="14" s="1"/>
  <c r="CS525" i="14"/>
  <c r="CI525" i="14" s="1"/>
  <c r="CS422" i="14"/>
  <c r="CI422" i="14" s="1"/>
  <c r="CS399" i="14"/>
  <c r="CI399" i="14" s="1"/>
  <c r="CU408" i="14"/>
  <c r="CP408" i="14" s="1"/>
  <c r="CS428" i="14"/>
  <c r="CI428" i="14" s="1"/>
  <c r="CV439" i="14"/>
  <c r="CQ439" i="14" s="1"/>
  <c r="CT393" i="14"/>
  <c r="CJ393" i="14" s="1"/>
  <c r="CV409" i="14"/>
  <c r="CQ409" i="14" s="1"/>
  <c r="CS537" i="14"/>
  <c r="CI537" i="14" s="1"/>
  <c r="CS540" i="14"/>
  <c r="CI540" i="14" s="1"/>
  <c r="CS531" i="14"/>
  <c r="CI531" i="14" s="1"/>
  <c r="CS398" i="14"/>
  <c r="CI398" i="14" s="1"/>
  <c r="CS396" i="14"/>
  <c r="CI396" i="14" s="1"/>
  <c r="CT439" i="14"/>
  <c r="CJ439" i="14" s="1"/>
  <c r="CS446" i="14"/>
  <c r="CI446" i="14" s="1"/>
  <c r="CS453" i="14"/>
  <c r="CI453" i="14" s="1"/>
  <c r="CT534" i="14"/>
  <c r="CJ534" i="14" s="1"/>
  <c r="CV430" i="14"/>
  <c r="CQ430" i="14" s="1"/>
  <c r="CV438" i="14"/>
  <c r="CQ438" i="14" s="1"/>
  <c r="CV434" i="14"/>
  <c r="CQ434" i="14" s="1"/>
  <c r="CT397" i="14"/>
  <c r="CJ397" i="14" s="1"/>
  <c r="CV411" i="14"/>
  <c r="CQ411" i="14" s="1"/>
  <c r="CS542" i="14"/>
  <c r="CI542" i="14" s="1"/>
  <c r="CU423" i="14"/>
  <c r="CP423" i="14" s="1"/>
  <c r="CS452" i="14"/>
  <c r="CI452" i="14" s="1"/>
  <c r="CS438" i="14"/>
  <c r="CI438" i="14" s="1"/>
  <c r="CT522" i="14"/>
  <c r="CJ522" i="14" s="1"/>
  <c r="CU443" i="14"/>
  <c r="CP443" i="14" s="1"/>
  <c r="CT428" i="14"/>
  <c r="CJ428" i="14" s="1"/>
  <c r="CT445" i="14"/>
  <c r="CJ445" i="14" s="1"/>
  <c r="CT437" i="14"/>
  <c r="CJ437" i="14" s="1"/>
  <c r="CV429" i="14"/>
  <c r="CQ429" i="14" s="1"/>
  <c r="CV426" i="14"/>
  <c r="CQ426" i="14" s="1"/>
  <c r="CV443" i="14"/>
  <c r="CQ443" i="14" s="1"/>
  <c r="CV432" i="14"/>
  <c r="CQ432" i="14" s="1"/>
  <c r="CV445" i="14"/>
  <c r="CQ445" i="14" s="1"/>
  <c r="CT422" i="14"/>
  <c r="CJ422" i="14" s="1"/>
  <c r="CT401" i="14"/>
  <c r="CJ401" i="14" s="1"/>
  <c r="CT411" i="14"/>
  <c r="CJ411" i="14" s="1"/>
  <c r="CS442" i="14"/>
  <c r="CI442" i="14" s="1"/>
  <c r="CS449" i="14"/>
  <c r="CI449" i="14" s="1"/>
  <c r="CS444" i="14"/>
  <c r="CI444" i="14" s="1"/>
  <c r="CU433" i="14"/>
  <c r="CP433" i="14" s="1"/>
  <c r="CU424" i="14"/>
  <c r="CP424" i="14" s="1"/>
  <c r="CT436" i="14"/>
  <c r="CJ436" i="14" s="1"/>
  <c r="CU518" i="14"/>
  <c r="CP518" i="14" s="1"/>
  <c r="CS526" i="14"/>
  <c r="CI526" i="14" s="1"/>
  <c r="CU414" i="14"/>
  <c r="CP414" i="14" s="1"/>
  <c r="CT531" i="14"/>
  <c r="CJ531" i="14" s="1"/>
  <c r="CV529" i="14"/>
  <c r="CQ529" i="14" s="1"/>
  <c r="CU526" i="14"/>
  <c r="CP526" i="14" s="1"/>
  <c r="CU535" i="14"/>
  <c r="CP535" i="14" s="1"/>
  <c r="CV396" i="14"/>
  <c r="CQ396" i="14" s="1"/>
  <c r="CS395" i="14"/>
  <c r="CI395" i="14" s="1"/>
  <c r="CU410" i="14"/>
  <c r="CP410" i="14" s="1"/>
  <c r="CU413" i="14"/>
  <c r="CP413" i="14" s="1"/>
  <c r="CU521" i="14"/>
  <c r="CP521" i="14" s="1"/>
  <c r="CU543" i="14"/>
  <c r="CP543" i="14" s="1"/>
  <c r="CU525" i="14"/>
  <c r="CP525" i="14" s="1"/>
  <c r="CS416" i="14"/>
  <c r="CI416" i="14" s="1"/>
  <c r="CU415" i="14"/>
  <c r="CP415" i="14" s="1"/>
  <c r="CT543" i="14"/>
  <c r="CJ543" i="14" s="1"/>
  <c r="CT431" i="14"/>
  <c r="CJ431" i="14" s="1"/>
  <c r="CU517" i="14"/>
  <c r="CP517" i="14" s="1"/>
  <c r="CV452" i="14"/>
  <c r="CQ452" i="14" s="1"/>
  <c r="CS530" i="14"/>
  <c r="CI530" i="14" s="1"/>
  <c r="CS400" i="14"/>
  <c r="CI400" i="14" s="1"/>
  <c r="CS410" i="14"/>
  <c r="CI410" i="14" s="1"/>
  <c r="CS401" i="14"/>
  <c r="CI401" i="14" s="1"/>
  <c r="CU395" i="14"/>
  <c r="CP395" i="14" s="1"/>
  <c r="CU418" i="14"/>
  <c r="CP418" i="14" s="1"/>
  <c r="CU401" i="14"/>
  <c r="CP401" i="14" s="1"/>
  <c r="CT432" i="14"/>
  <c r="CJ432" i="14" s="1"/>
  <c r="CT430" i="14"/>
  <c r="CJ430" i="14" s="1"/>
  <c r="CU533" i="14"/>
  <c r="CP533" i="14" s="1"/>
  <c r="CT440" i="14"/>
  <c r="CJ440" i="14" s="1"/>
  <c r="CV433" i="14"/>
  <c r="CQ433" i="14" s="1"/>
  <c r="CT419" i="14"/>
  <c r="CJ419" i="14" s="1"/>
  <c r="CT420" i="14"/>
  <c r="CJ420" i="14" s="1"/>
  <c r="CT421" i="14"/>
  <c r="CJ421" i="14" s="1"/>
  <c r="CV410" i="14"/>
  <c r="CQ410" i="14" s="1"/>
  <c r="CV398" i="14"/>
  <c r="CQ398" i="14" s="1"/>
  <c r="CV407" i="14"/>
  <c r="CQ407" i="14" s="1"/>
  <c r="CS532" i="14"/>
  <c r="CI532" i="14" s="1"/>
  <c r="CS521" i="14"/>
  <c r="CI521" i="14" s="1"/>
  <c r="CS520" i="14"/>
  <c r="CI520" i="14" s="1"/>
  <c r="CS411" i="14"/>
  <c r="CI411" i="14" s="1"/>
  <c r="CU412" i="14"/>
  <c r="CP412" i="14" s="1"/>
  <c r="CU421" i="14"/>
  <c r="CP421" i="14" s="1"/>
  <c r="CS426" i="14"/>
  <c r="CI426" i="14" s="1"/>
  <c r="CS448" i="14"/>
  <c r="CI448" i="14" s="1"/>
  <c r="CS424" i="14"/>
  <c r="CI424" i="14" s="1"/>
  <c r="CT523" i="14"/>
  <c r="CJ523" i="14" s="1"/>
  <c r="CV538" i="14"/>
  <c r="CQ538" i="14" s="1"/>
  <c r="CU441" i="14"/>
  <c r="CP441" i="14" s="1"/>
  <c r="CT453" i="14"/>
  <c r="CJ453" i="14" s="1"/>
  <c r="CT433" i="14"/>
  <c r="CJ433" i="14" s="1"/>
  <c r="CT449" i="14"/>
  <c r="CJ449" i="14" s="1"/>
  <c r="CU537" i="14"/>
  <c r="CP537" i="14" s="1"/>
  <c r="CU529" i="14"/>
  <c r="CP529" i="14" s="1"/>
  <c r="CU541" i="14"/>
  <c r="CP541" i="14" s="1"/>
  <c r="CV453" i="14"/>
  <c r="CQ453" i="14" s="1"/>
  <c r="CU394" i="14"/>
  <c r="CP394" i="14" s="1"/>
  <c r="CV528" i="14"/>
  <c r="CQ528" i="14" s="1"/>
  <c r="CU452" i="14"/>
  <c r="CP452" i="14" s="1"/>
  <c r="CT443" i="14"/>
  <c r="CJ443" i="14" s="1"/>
  <c r="CT450" i="14"/>
  <c r="CJ450" i="14" s="1"/>
  <c r="CU522" i="14"/>
  <c r="CP522" i="14" s="1"/>
  <c r="CV447" i="14"/>
  <c r="CQ447" i="14" s="1"/>
  <c r="CT396" i="14"/>
  <c r="CJ396" i="14" s="1"/>
  <c r="CT415" i="14"/>
  <c r="CJ415" i="14" s="1"/>
  <c r="CV400" i="14"/>
  <c r="CQ400" i="14" s="1"/>
  <c r="CV422" i="14"/>
  <c r="CQ422" i="14" s="1"/>
  <c r="CS524" i="14"/>
  <c r="CI524" i="14" s="1"/>
  <c r="CS404" i="14"/>
  <c r="CI404" i="14" s="1"/>
  <c r="CS419" i="14"/>
  <c r="CI419" i="14" s="1"/>
  <c r="CU420" i="14"/>
  <c r="CP420" i="14" s="1"/>
  <c r="CU406" i="14"/>
  <c r="CP406" i="14" s="1"/>
  <c r="CS450" i="14"/>
  <c r="CI450" i="14" s="1"/>
  <c r="CT516" i="14"/>
  <c r="CJ516" i="14" s="1"/>
  <c r="CV522" i="14"/>
  <c r="CQ522" i="14" s="1"/>
  <c r="CV534" i="14"/>
  <c r="CQ534" i="14" s="1"/>
  <c r="CU444" i="14"/>
  <c r="CP444" i="14" s="1"/>
  <c r="CU451" i="14"/>
  <c r="CP451" i="14" s="1"/>
  <c r="CT448" i="14"/>
  <c r="CJ448" i="14" s="1"/>
  <c r="CU527" i="14"/>
  <c r="CP527" i="14" s="1"/>
  <c r="CU539" i="14"/>
  <c r="CP539" i="14" s="1"/>
  <c r="CU544" i="14"/>
  <c r="CP544" i="14" s="1"/>
  <c r="CT403" i="14"/>
  <c r="CJ403" i="14" s="1"/>
  <c r="CV394" i="14"/>
  <c r="CQ394" i="14" s="1"/>
  <c r="CS541" i="14"/>
  <c r="CI541" i="14" s="1"/>
  <c r="CS519" i="14"/>
  <c r="CI519" i="14" s="1"/>
  <c r="CS437" i="14"/>
  <c r="CI437" i="14" s="1"/>
  <c r="CS443" i="14"/>
  <c r="CI443" i="14" s="1"/>
  <c r="CV539" i="14"/>
  <c r="CQ539" i="14" s="1"/>
  <c r="CV428" i="14"/>
  <c r="CQ428" i="14" s="1"/>
  <c r="CV444" i="14"/>
  <c r="CQ444" i="14" s="1"/>
  <c r="CT405" i="14"/>
  <c r="CJ405" i="14" s="1"/>
  <c r="CT418" i="14"/>
  <c r="CJ418" i="14" s="1"/>
  <c r="CV404" i="14"/>
  <c r="CQ404" i="14" s="1"/>
  <c r="CV423" i="14"/>
  <c r="CQ423" i="14" s="1"/>
  <c r="CV413" i="14"/>
  <c r="CQ413" i="14" s="1"/>
  <c r="CS523" i="14"/>
  <c r="CI523" i="14" s="1"/>
  <c r="CS535" i="14"/>
  <c r="CI535" i="14" s="1"/>
  <c r="CS538" i="14"/>
  <c r="CI538" i="14" s="1"/>
  <c r="CS417" i="14"/>
  <c r="CI417" i="14" s="1"/>
  <c r="CS420" i="14"/>
  <c r="CI420" i="14" s="1"/>
  <c r="CU393" i="14"/>
  <c r="CP393" i="14" s="1"/>
  <c r="CS441" i="14"/>
  <c r="CI441" i="14" s="1"/>
  <c r="CS447" i="14"/>
  <c r="CI447" i="14" s="1"/>
  <c r="CS432" i="14"/>
  <c r="CI432" i="14" s="1"/>
  <c r="CT527" i="14"/>
  <c r="CJ527" i="14" s="1"/>
  <c r="CV526" i="14"/>
  <c r="CQ526" i="14" s="1"/>
  <c r="CV518" i="14"/>
  <c r="CQ518" i="14" s="1"/>
  <c r="CV531" i="14"/>
  <c r="CQ531" i="14" s="1"/>
  <c r="CU434" i="14"/>
  <c r="CP434" i="14" s="1"/>
  <c r="CU432" i="14"/>
  <c r="CP432" i="14" s="1"/>
  <c r="CT442" i="14"/>
  <c r="CJ442" i="14" s="1"/>
  <c r="CT429" i="14"/>
  <c r="CJ429" i="14" s="1"/>
  <c r="CT434" i="14"/>
  <c r="CJ434" i="14" s="1"/>
  <c r="CT441" i="14"/>
  <c r="CJ441" i="14" s="1"/>
  <c r="CV436" i="14"/>
  <c r="CQ436" i="14" s="1"/>
  <c r="CT423" i="14"/>
  <c r="CJ423" i="14" s="1"/>
  <c r="CT406" i="14"/>
  <c r="CJ406" i="14" s="1"/>
  <c r="CV405" i="14"/>
  <c r="CQ405" i="14" s="1"/>
  <c r="CU411" i="14"/>
  <c r="CP411" i="14" s="1"/>
  <c r="CU417" i="14"/>
  <c r="CP417" i="14" s="1"/>
  <c r="CT540" i="14"/>
  <c r="CJ540" i="14" s="1"/>
  <c r="CV515" i="14"/>
  <c r="CQ515" i="14" s="1"/>
  <c r="CU431" i="14"/>
  <c r="CP431" i="14" s="1"/>
  <c r="CT452" i="14"/>
  <c r="CJ452" i="14" s="1"/>
  <c r="CU531" i="14"/>
  <c r="CP531" i="14" s="1"/>
  <c r="CU515" i="14"/>
  <c r="CP515" i="14" s="1"/>
  <c r="AC278" i="1"/>
  <c r="H7" i="20" s="1"/>
  <c r="H39" i="20" s="1"/>
  <c r="T288" i="1"/>
  <c r="H7" i="25" s="1"/>
  <c r="H39" i="25" s="1"/>
  <c r="Y288" i="1"/>
  <c r="Y294" i="1" s="1"/>
  <c r="K288" i="1"/>
  <c r="H7" i="24" s="1"/>
  <c r="H39" i="24" s="1"/>
  <c r="AZ278" i="1"/>
  <c r="AZ284" i="1" s="1"/>
  <c r="Y278" i="1"/>
  <c r="P278" i="1"/>
  <c r="T278" i="1"/>
  <c r="H7" i="19" s="1"/>
  <c r="H39" i="19" s="1"/>
  <c r="AL278" i="1"/>
  <c r="H7" i="21" s="1"/>
  <c r="H39" i="21" s="1"/>
  <c r="B288" i="1"/>
  <c r="H7" i="23" s="1"/>
  <c r="H39" i="23" s="1"/>
  <c r="G272" i="1"/>
  <c r="G273" i="1" s="1"/>
  <c r="AQ49" i="30"/>
  <c r="AQ288" i="1"/>
  <c r="AQ294" i="1" s="1"/>
  <c r="G288" i="1"/>
  <c r="G294" i="1" s="1"/>
  <c r="AL288" i="1"/>
  <c r="H7" i="27" s="1"/>
  <c r="H39" i="27" s="1"/>
  <c r="BQ47" i="30"/>
  <c r="AQ15" i="30" s="1"/>
  <c r="AC102" i="30" s="1"/>
  <c r="AK254" i="1"/>
  <c r="P288" i="1"/>
  <c r="P294" i="1" s="1"/>
  <c r="AH288" i="1"/>
  <c r="AH294" i="1" s="1"/>
  <c r="G319" i="1"/>
  <c r="J319" i="1" s="1"/>
  <c r="M319" i="1" s="1"/>
  <c r="P319" i="1" s="1"/>
  <c r="S319" i="1" s="1"/>
  <c r="V319" i="1" s="1"/>
  <c r="Y319" i="1" s="1"/>
  <c r="AB319" i="1" s="1"/>
  <c r="AE319" i="1" s="1"/>
  <c r="AH319" i="1" s="1"/>
  <c r="H47" i="28"/>
  <c r="H47" i="24"/>
  <c r="Y383" i="1" s="1"/>
  <c r="BM22" i="30"/>
  <c r="H122" i="24"/>
  <c r="H47" i="25"/>
  <c r="AB383" i="1" s="1"/>
  <c r="H122" i="25"/>
  <c r="BN22" i="30"/>
  <c r="AH272" i="1"/>
  <c r="K47" i="28"/>
  <c r="AK386" i="1" s="1"/>
  <c r="M47" i="28"/>
  <c r="AN271" i="1"/>
  <c r="AH320" i="1"/>
  <c r="AK430" i="1"/>
  <c r="AN430" i="1" s="1"/>
  <c r="AF121" i="30"/>
  <c r="AF118" i="30"/>
  <c r="AF115" i="30"/>
  <c r="L47" i="28"/>
  <c r="K47" i="25"/>
  <c r="AB386" i="1" s="1"/>
  <c r="K129" i="25"/>
  <c r="K122" i="25"/>
  <c r="AB401" i="1" s="1"/>
  <c r="BN34" i="30"/>
  <c r="J129" i="25"/>
  <c r="M11" i="29" s="1"/>
  <c r="BN30" i="30"/>
  <c r="J122" i="25"/>
  <c r="AB400" i="1" s="1"/>
  <c r="J47" i="25"/>
  <c r="M122" i="25"/>
  <c r="M47" i="25"/>
  <c r="BN42" i="30"/>
  <c r="M129" i="25"/>
  <c r="M13" i="29" s="1"/>
  <c r="L122" i="24"/>
  <c r="L47" i="24"/>
  <c r="BM38" i="30"/>
  <c r="L129" i="24"/>
  <c r="L12" i="29" s="1"/>
  <c r="BN38" i="30"/>
  <c r="L129" i="25"/>
  <c r="M12" i="29" s="1"/>
  <c r="L122" i="25"/>
  <c r="L47" i="25"/>
  <c r="I47" i="28"/>
  <c r="I47" i="25"/>
  <c r="I122" i="25"/>
  <c r="I129" i="25"/>
  <c r="M10" i="29" s="1"/>
  <c r="E48" i="25"/>
  <c r="I52" i="25" s="1"/>
  <c r="I56" i="25" s="1"/>
  <c r="M158" i="29" s="1"/>
  <c r="BN26" i="30"/>
  <c r="J129" i="24"/>
  <c r="L11" i="29" s="1"/>
  <c r="J47" i="24"/>
  <c r="J122" i="24"/>
  <c r="Y400" i="1" s="1"/>
  <c r="BM30" i="30"/>
  <c r="I47" i="24"/>
  <c r="E48" i="24"/>
  <c r="I52" i="24" s="1"/>
  <c r="I56" i="24" s="1"/>
  <c r="L158" i="29" s="1"/>
  <c r="I129" i="24"/>
  <c r="L10" i="29" s="1"/>
  <c r="BM26" i="30"/>
  <c r="I122" i="24"/>
  <c r="K47" i="24"/>
  <c r="Y386" i="1" s="1"/>
  <c r="BM34" i="30"/>
  <c r="K129" i="24"/>
  <c r="K122" i="24"/>
  <c r="Y401" i="1" s="1"/>
  <c r="M129" i="24"/>
  <c r="L13" i="29" s="1"/>
  <c r="N13" i="29" s="1"/>
  <c r="M47" i="24"/>
  <c r="M122" i="24"/>
  <c r="BM42" i="30"/>
  <c r="AY521" i="14"/>
  <c r="AO521" i="14" s="1"/>
  <c r="AU14" i="28"/>
  <c r="AU36" i="28"/>
  <c r="AY543" i="14"/>
  <c r="AO543" i="14" s="1"/>
  <c r="AU27" i="24"/>
  <c r="AY412" i="14"/>
  <c r="AO412" i="14" s="1"/>
  <c r="AU31" i="24"/>
  <c r="AY416" i="14"/>
  <c r="AO416" i="14" s="1"/>
  <c r="AY410" i="14"/>
  <c r="AO410" i="14" s="1"/>
  <c r="AU25" i="24"/>
  <c r="AU25" i="28"/>
  <c r="AY532" i="14"/>
  <c r="AO532" i="14" s="1"/>
  <c r="AY533" i="14"/>
  <c r="AO533" i="14" s="1"/>
  <c r="AU26" i="28"/>
  <c r="AU30" i="28"/>
  <c r="AY537" i="14"/>
  <c r="AO537" i="14" s="1"/>
  <c r="AY398" i="14"/>
  <c r="AO398" i="14" s="1"/>
  <c r="AU13" i="24"/>
  <c r="AU26" i="24"/>
  <c r="AY411" i="14"/>
  <c r="AO411" i="14" s="1"/>
  <c r="AY396" i="14"/>
  <c r="AO396" i="14" s="1"/>
  <c r="AU11" i="24"/>
  <c r="AY426" i="14"/>
  <c r="AO426" i="14" s="1"/>
  <c r="AU10" i="25"/>
  <c r="AY448" i="14"/>
  <c r="AO448" i="14" s="1"/>
  <c r="AU32" i="25"/>
  <c r="AU30" i="25"/>
  <c r="AY446" i="14"/>
  <c r="AO446" i="14" s="1"/>
  <c r="AY539" i="14"/>
  <c r="AO539" i="14" s="1"/>
  <c r="AU32" i="28"/>
  <c r="AY515" i="14"/>
  <c r="AO515" i="14" s="1"/>
  <c r="AU8" i="28"/>
  <c r="AY527" i="14"/>
  <c r="AO527" i="14" s="1"/>
  <c r="AU20" i="28"/>
  <c r="AU21" i="24"/>
  <c r="AY406" i="14"/>
  <c r="AO406" i="14" s="1"/>
  <c r="AU24" i="24"/>
  <c r="AY409" i="14"/>
  <c r="AO409" i="14" s="1"/>
  <c r="AY419" i="14"/>
  <c r="AO419" i="14" s="1"/>
  <c r="AU34" i="24"/>
  <c r="AY430" i="14"/>
  <c r="AO430" i="14" s="1"/>
  <c r="AU14" i="25"/>
  <c r="AU35" i="25"/>
  <c r="AY451" i="14"/>
  <c r="AO451" i="14" s="1"/>
  <c r="AY450" i="14"/>
  <c r="AO450" i="14" s="1"/>
  <c r="AU34" i="25"/>
  <c r="AU22" i="25"/>
  <c r="AY438" i="14"/>
  <c r="AO438" i="14" s="1"/>
  <c r="AY519" i="14"/>
  <c r="AO519" i="14" s="1"/>
  <c r="AU12" i="28"/>
  <c r="AY437" i="14"/>
  <c r="AO437" i="14" s="1"/>
  <c r="AU21" i="25"/>
  <c r="AY434" i="14"/>
  <c r="AO434" i="14" s="1"/>
  <c r="AU18" i="25"/>
  <c r="AY523" i="14"/>
  <c r="AO523" i="14" s="1"/>
  <c r="AU16" i="28"/>
  <c r="AU15" i="28"/>
  <c r="AY522" i="14"/>
  <c r="AO522" i="14" s="1"/>
  <c r="AY417" i="14"/>
  <c r="AO417" i="14" s="1"/>
  <c r="AU32" i="24"/>
  <c r="AU35" i="24"/>
  <c r="AY420" i="14"/>
  <c r="AO420" i="14" s="1"/>
  <c r="AY408" i="14"/>
  <c r="AO408" i="14" s="1"/>
  <c r="AU23" i="24"/>
  <c r="AY431" i="14"/>
  <c r="AO431" i="14" s="1"/>
  <c r="AU15" i="25"/>
  <c r="AY441" i="14"/>
  <c r="AO441" i="14" s="1"/>
  <c r="AU25" i="25"/>
  <c r="AY432" i="14"/>
  <c r="AO432" i="14" s="1"/>
  <c r="AU16" i="25"/>
  <c r="AU29" i="25"/>
  <c r="AY445" i="14"/>
  <c r="AO445" i="14" s="1"/>
  <c r="AY518" i="14"/>
  <c r="AO518" i="14" s="1"/>
  <c r="AU11" i="28"/>
  <c r="AU22" i="28"/>
  <c r="AY529" i="14"/>
  <c r="AO529" i="14" s="1"/>
  <c r="AU30" i="24"/>
  <c r="AY415" i="14"/>
  <c r="AO415" i="14" s="1"/>
  <c r="AU33" i="24"/>
  <c r="AY418" i="14"/>
  <c r="AO418" i="14" s="1"/>
  <c r="AY449" i="14"/>
  <c r="AO449" i="14" s="1"/>
  <c r="AU33" i="25"/>
  <c r="AU19" i="28"/>
  <c r="AY526" i="14"/>
  <c r="AO526" i="14" s="1"/>
  <c r="AU17" i="24"/>
  <c r="AY402" i="14"/>
  <c r="AO402" i="14" s="1"/>
  <c r="AU38" i="24"/>
  <c r="AY423" i="14"/>
  <c r="AO423" i="14" s="1"/>
  <c r="AU17" i="28"/>
  <c r="AY524" i="14"/>
  <c r="AO524" i="14" s="1"/>
  <c r="AY404" i="14"/>
  <c r="AO404" i="14" s="1"/>
  <c r="AU19" i="24"/>
  <c r="AY429" i="14"/>
  <c r="AO429" i="14" s="1"/>
  <c r="AU13" i="25"/>
  <c r="AY443" i="14"/>
  <c r="AO443" i="14" s="1"/>
  <c r="AU27" i="25"/>
  <c r="AU31" i="28"/>
  <c r="AY538" i="14"/>
  <c r="AO538" i="14" s="1"/>
  <c r="AY397" i="14"/>
  <c r="AO397" i="14" s="1"/>
  <c r="AU12" i="24"/>
  <c r="AY525" i="14"/>
  <c r="AO525" i="14" s="1"/>
  <c r="AU18" i="28"/>
  <c r="AU14" i="24"/>
  <c r="AY399" i="14"/>
  <c r="AO399" i="14" s="1"/>
  <c r="AY520" i="14"/>
  <c r="AO520" i="14" s="1"/>
  <c r="AU13" i="28"/>
  <c r="AY393" i="14"/>
  <c r="AO393" i="14" s="1"/>
  <c r="AU8" i="24"/>
  <c r="AU26" i="25"/>
  <c r="AY442" i="14"/>
  <c r="AO442" i="14" s="1"/>
  <c r="AU8" i="25"/>
  <c r="AY424" i="14"/>
  <c r="AO424" i="14" s="1"/>
  <c r="AY444" i="14"/>
  <c r="AO444" i="14" s="1"/>
  <c r="AU28" i="25"/>
  <c r="AY405" i="14"/>
  <c r="AO405" i="14" s="1"/>
  <c r="AU20" i="24"/>
  <c r="AY427" i="14"/>
  <c r="AO427" i="14" s="1"/>
  <c r="AU11" i="25"/>
  <c r="AU37" i="25"/>
  <c r="AY453" i="14"/>
  <c r="AO453" i="14" s="1"/>
  <c r="AY544" i="14"/>
  <c r="AO544" i="14" s="1"/>
  <c r="AU37" i="28"/>
  <c r="AY542" i="14"/>
  <c r="AO542" i="14" s="1"/>
  <c r="AU35" i="28"/>
  <c r="AU10" i="24"/>
  <c r="AY395" i="14"/>
  <c r="AO395" i="14" s="1"/>
  <c r="AY541" i="14"/>
  <c r="AO541" i="14" s="1"/>
  <c r="AU34" i="28"/>
  <c r="AY536" i="14"/>
  <c r="AO536" i="14" s="1"/>
  <c r="AU29" i="28"/>
  <c r="AU18" i="24"/>
  <c r="AY403" i="14"/>
  <c r="AO403" i="14" s="1"/>
  <c r="AU27" i="28"/>
  <c r="AY534" i="14"/>
  <c r="AO534" i="14" s="1"/>
  <c r="AY535" i="14"/>
  <c r="AO535" i="14" s="1"/>
  <c r="AU28" i="28"/>
  <c r="AY545" i="14"/>
  <c r="AO545" i="14" s="1"/>
  <c r="AU38" i="28"/>
  <c r="AU23" i="28"/>
  <c r="AY530" i="14"/>
  <c r="AO530" i="14" s="1"/>
  <c r="AU15" i="24"/>
  <c r="AY400" i="14"/>
  <c r="AO400" i="14" s="1"/>
  <c r="AU16" i="24"/>
  <c r="AY401" i="14"/>
  <c r="AO401" i="14" s="1"/>
  <c r="AU31" i="25"/>
  <c r="AY447" i="14"/>
  <c r="AO447" i="14" s="1"/>
  <c r="AU20" i="25"/>
  <c r="AY436" i="14"/>
  <c r="AO436" i="14" s="1"/>
  <c r="AY540" i="14"/>
  <c r="AO540" i="14" s="1"/>
  <c r="AU33" i="28"/>
  <c r="AU24" i="28"/>
  <c r="AY531" i="14"/>
  <c r="AO531" i="14" s="1"/>
  <c r="AU28" i="24"/>
  <c r="AY413" i="14"/>
  <c r="AO413" i="14" s="1"/>
  <c r="AU36" i="24"/>
  <c r="AY421" i="14"/>
  <c r="AO421" i="14" s="1"/>
  <c r="AU17" i="25"/>
  <c r="AY433" i="14"/>
  <c r="AO433" i="14" s="1"/>
  <c r="AY425" i="14"/>
  <c r="AO425" i="14" s="1"/>
  <c r="AU9" i="25"/>
  <c r="AU9" i="28"/>
  <c r="AY516" i="14"/>
  <c r="AO516" i="14" s="1"/>
  <c r="AU10" i="28"/>
  <c r="AY517" i="14"/>
  <c r="AO517" i="14" s="1"/>
  <c r="AY414" i="14"/>
  <c r="AO414" i="14" s="1"/>
  <c r="AU29" i="24"/>
  <c r="AU9" i="24"/>
  <c r="AY394" i="14"/>
  <c r="AO394" i="14" s="1"/>
  <c r="AU19" i="25"/>
  <c r="AY435" i="14"/>
  <c r="AO435" i="14" s="1"/>
  <c r="AU36" i="25"/>
  <c r="AY452" i="14"/>
  <c r="AO452" i="14" s="1"/>
  <c r="AY528" i="14"/>
  <c r="AO528" i="14" s="1"/>
  <c r="AU21" i="28"/>
  <c r="AY407" i="14"/>
  <c r="AO407" i="14" s="1"/>
  <c r="AU22" i="24"/>
  <c r="AY439" i="14"/>
  <c r="AO439" i="14" s="1"/>
  <c r="AU23" i="25"/>
  <c r="AY440" i="14"/>
  <c r="AO440" i="14" s="1"/>
  <c r="AU24" i="25"/>
  <c r="AU37" i="24"/>
  <c r="AY422" i="14"/>
  <c r="AO422" i="14" s="1"/>
  <c r="AY428" i="14"/>
  <c r="AO428" i="14" s="1"/>
  <c r="AU12" i="25"/>
  <c r="D17" i="29"/>
  <c r="F17" i="29" s="1"/>
  <c r="Q116" i="29"/>
  <c r="G183" i="20"/>
  <c r="P421" i="1"/>
  <c r="J311" i="1"/>
  <c r="G107" i="18"/>
  <c r="H107" i="18" s="1"/>
  <c r="I107" i="18" s="1"/>
  <c r="D107" i="18" s="1"/>
  <c r="P17" i="29"/>
  <c r="AK245" i="1"/>
  <c r="AK267" i="1" s="1"/>
  <c r="AK372" i="1"/>
  <c r="AN372" i="1" s="1"/>
  <c r="L147" i="28"/>
  <c r="AK328" i="1"/>
  <c r="AN328" i="1" s="1"/>
  <c r="BQ35" i="30"/>
  <c r="AD15" i="30" s="1"/>
  <c r="T102" i="30" s="1"/>
  <c r="AK244" i="1"/>
  <c r="AK229" i="1"/>
  <c r="AK331" i="1"/>
  <c r="AK367" i="1"/>
  <c r="E46" i="28"/>
  <c r="Q5" i="29" s="1"/>
  <c r="R5" i="29" s="1"/>
  <c r="T5" i="29" s="1"/>
  <c r="G147" i="28"/>
  <c r="AK230" i="1"/>
  <c r="AK262" i="1" s="1"/>
  <c r="BQ15" i="30"/>
  <c r="J15" i="30" s="1"/>
  <c r="E102" i="30" s="1"/>
  <c r="BQ22" i="30"/>
  <c r="H129" i="28"/>
  <c r="Q9" i="29" s="1"/>
  <c r="R9" i="29" s="1"/>
  <c r="H122" i="28"/>
  <c r="BQ31" i="30"/>
  <c r="Z15" i="30" s="1"/>
  <c r="Q102" i="30" s="1"/>
  <c r="AK241" i="1"/>
  <c r="K147" i="28"/>
  <c r="AK242" i="1"/>
  <c r="AK266" i="1" s="1"/>
  <c r="BQ39" i="30"/>
  <c r="AH15" i="30" s="1"/>
  <c r="W102" i="30" s="1"/>
  <c r="M173" i="2" s="1"/>
  <c r="AK247" i="1"/>
  <c r="AK248" i="1"/>
  <c r="AK268" i="1" s="1"/>
  <c r="AK373" i="1"/>
  <c r="AN373" i="1" s="1"/>
  <c r="M147" i="28"/>
  <c r="M129" i="28"/>
  <c r="Q13" i="29" s="1"/>
  <c r="R13" i="29" s="1"/>
  <c r="M122" i="28"/>
  <c r="AK403" i="1" s="1"/>
  <c r="BQ42" i="30"/>
  <c r="I129" i="28"/>
  <c r="Q10" i="29" s="1"/>
  <c r="R10" i="29" s="1"/>
  <c r="I122" i="28"/>
  <c r="BQ26" i="30"/>
  <c r="J122" i="28"/>
  <c r="AK400" i="1" s="1"/>
  <c r="BQ30" i="30"/>
  <c r="J129" i="28"/>
  <c r="Q11" i="29" s="1"/>
  <c r="R11" i="29" s="1"/>
  <c r="G129" i="28"/>
  <c r="E48" i="28"/>
  <c r="I52" i="28" s="1"/>
  <c r="I56" i="28" s="1"/>
  <c r="Q158" i="29" s="1"/>
  <c r="G122" i="28"/>
  <c r="BQ18" i="30"/>
  <c r="K122" i="28"/>
  <c r="AK401" i="1" s="1"/>
  <c r="K129" i="28"/>
  <c r="BQ34" i="30"/>
  <c r="BQ27" i="30"/>
  <c r="V15" i="30" s="1"/>
  <c r="N102" i="30" s="1"/>
  <c r="N117" i="30" s="1"/>
  <c r="AK239" i="1"/>
  <c r="AK265" i="1" s="1"/>
  <c r="AK238" i="1"/>
  <c r="AK370" i="1"/>
  <c r="AN370" i="1" s="1"/>
  <c r="J147" i="28"/>
  <c r="AK233" i="1"/>
  <c r="AK263" i="1" s="1"/>
  <c r="H147" i="28"/>
  <c r="BQ19" i="30"/>
  <c r="N15" i="30" s="1"/>
  <c r="H102" i="30" s="1"/>
  <c r="AK232" i="1"/>
  <c r="AK377" i="1"/>
  <c r="AK326" i="1"/>
  <c r="AN326" i="1" s="1"/>
  <c r="AK369" i="1"/>
  <c r="AN369" i="1" s="1"/>
  <c r="AK236" i="1"/>
  <c r="AK264" i="1" s="1"/>
  <c r="I147" i="28"/>
  <c r="BQ23" i="30"/>
  <c r="R15" i="30" s="1"/>
  <c r="K102" i="30" s="1"/>
  <c r="I173" i="2" s="1"/>
  <c r="AK325" i="1"/>
  <c r="AK235" i="1"/>
  <c r="BQ38" i="30"/>
  <c r="L129" i="28"/>
  <c r="L122" i="28"/>
  <c r="CD239" i="14"/>
  <c r="CE239" i="14"/>
  <c r="R56" i="1"/>
  <c r="AF56" i="1" s="1"/>
  <c r="V360" i="1"/>
  <c r="AH284" i="1"/>
  <c r="G333" i="1"/>
  <c r="J333" i="1" s="1"/>
  <c r="M333" i="1" s="1"/>
  <c r="P333" i="1" s="1"/>
  <c r="S333" i="1" s="1"/>
  <c r="V333" i="1" s="1"/>
  <c r="Y333" i="1" s="1"/>
  <c r="AB333" i="1" s="1"/>
  <c r="AE333" i="1" s="1"/>
  <c r="AH333" i="1" s="1"/>
  <c r="AH240" i="14"/>
  <c r="J315" i="1"/>
  <c r="K182" i="18"/>
  <c r="G111" i="18"/>
  <c r="H111" i="18" s="1"/>
  <c r="I111" i="18" s="1"/>
  <c r="D111" i="18" s="1"/>
  <c r="G7" i="25"/>
  <c r="G39" i="25" s="1"/>
  <c r="D98" i="29"/>
  <c r="F98" i="29" s="1"/>
  <c r="V408" i="1"/>
  <c r="Z116" i="30"/>
  <c r="Z122" i="30"/>
  <c r="Z119" i="30"/>
  <c r="AQ284" i="1"/>
  <c r="H7" i="22"/>
  <c r="H39" i="22" s="1"/>
  <c r="AU284" i="1"/>
  <c r="R48" i="30"/>
  <c r="R47" i="30"/>
  <c r="R44" i="30"/>
  <c r="R46" i="30"/>
  <c r="R45" i="30"/>
  <c r="AH346" i="1"/>
  <c r="D63" i="29"/>
  <c r="F63" i="29" s="1"/>
  <c r="J425" i="1"/>
  <c r="K183" i="18"/>
  <c r="AK241" i="14"/>
  <c r="V49" i="30"/>
  <c r="Z118" i="30"/>
  <c r="Z115" i="30"/>
  <c r="Z121" i="30"/>
  <c r="G7" i="24"/>
  <c r="G39" i="24" s="1"/>
  <c r="J314" i="1"/>
  <c r="J182" i="18"/>
  <c r="G110" i="18"/>
  <c r="H110" i="18" s="1"/>
  <c r="I110" i="18" s="1"/>
  <c r="D110" i="18" s="1"/>
  <c r="AH408" i="1"/>
  <c r="AM48" i="30"/>
  <c r="AM44" i="30"/>
  <c r="AM46" i="30"/>
  <c r="AM47" i="30"/>
  <c r="AM45" i="30"/>
  <c r="V393" i="1"/>
  <c r="J312" i="1"/>
  <c r="G108" i="18"/>
  <c r="H108" i="18" s="1"/>
  <c r="I108" i="18" s="1"/>
  <c r="D108" i="18" s="1"/>
  <c r="H182" i="18"/>
  <c r="J426" i="1"/>
  <c r="L183" i="18"/>
  <c r="AH360" i="1"/>
  <c r="G7" i="26"/>
  <c r="G39" i="26" s="1"/>
  <c r="AC294" i="1"/>
  <c r="J427" i="1"/>
  <c r="M183" i="18"/>
  <c r="P6" i="29"/>
  <c r="H52" i="27"/>
  <c r="H56" i="27" s="1"/>
  <c r="P153" i="29" s="1"/>
  <c r="G346" i="1"/>
  <c r="AD49" i="30"/>
  <c r="D64" i="29"/>
  <c r="F64" i="29" s="1"/>
  <c r="J316" i="1"/>
  <c r="G112" i="18"/>
  <c r="H112" i="18" s="1"/>
  <c r="I112" i="18" s="1"/>
  <c r="D112" i="18" s="1"/>
  <c r="L182" i="18"/>
  <c r="D6" i="29"/>
  <c r="H52" i="18"/>
  <c r="H56" i="18" s="1"/>
  <c r="D153" i="29" s="1"/>
  <c r="G360" i="1"/>
  <c r="J49" i="30"/>
  <c r="AH49" i="30"/>
  <c r="J313" i="1"/>
  <c r="G109" i="18"/>
  <c r="H109" i="18" s="1"/>
  <c r="I109" i="18" s="1"/>
  <c r="D109" i="18" s="1"/>
  <c r="I182" i="18"/>
  <c r="H52" i="23"/>
  <c r="H56" i="23" s="1"/>
  <c r="K153" i="29" s="1"/>
  <c r="K6" i="29"/>
  <c r="V346" i="1"/>
  <c r="J424" i="1"/>
  <c r="J183" i="18"/>
  <c r="D99" i="29"/>
  <c r="F99" i="29" s="1"/>
  <c r="J423" i="1"/>
  <c r="I183" i="18"/>
  <c r="AN269" i="1"/>
  <c r="Y277" i="1"/>
  <c r="P277" i="1"/>
  <c r="G318" i="1"/>
  <c r="T277" i="1"/>
  <c r="J422" i="1"/>
  <c r="H183" i="19" s="1"/>
  <c r="H183" i="18"/>
  <c r="G431" i="1"/>
  <c r="J317" i="1"/>
  <c r="G113" i="18"/>
  <c r="H113" i="18" s="1"/>
  <c r="I113" i="18" s="1"/>
  <c r="D113" i="18" s="1"/>
  <c r="M182" i="18"/>
  <c r="G379" i="1"/>
  <c r="J379" i="1" s="1"/>
  <c r="M379" i="1" s="1"/>
  <c r="P379" i="1" s="1"/>
  <c r="S379" i="1" s="1"/>
  <c r="V379" i="1" s="1"/>
  <c r="Y379" i="1" s="1"/>
  <c r="AB379" i="1" s="1"/>
  <c r="AE379" i="1" s="1"/>
  <c r="AH379" i="1" s="1"/>
  <c r="G183" i="18"/>
  <c r="J428" i="1"/>
  <c r="G393" i="1"/>
  <c r="Z49" i="30"/>
  <c r="I7" i="20"/>
  <c r="I39" i="20" s="1"/>
  <c r="G7" i="28"/>
  <c r="G39" i="28" s="1"/>
  <c r="AU294" i="1"/>
  <c r="G7" i="27"/>
  <c r="G39" i="27" s="1"/>
  <c r="N49" i="30"/>
  <c r="AH393" i="1"/>
  <c r="G408" i="1"/>
  <c r="N123" i="29" l="1"/>
  <c r="Y398" i="1"/>
  <c r="AK398" i="1"/>
  <c r="AB398" i="1"/>
  <c r="AB338" i="1"/>
  <c r="AK338" i="1"/>
  <c r="AK352" i="1"/>
  <c r="Y338" i="1"/>
  <c r="T123" i="29"/>
  <c r="T13" i="29"/>
  <c r="N12" i="29"/>
  <c r="Q128" i="29"/>
  <c r="R128" i="29" s="1"/>
  <c r="L119" i="29"/>
  <c r="L120" i="29"/>
  <c r="M119" i="29"/>
  <c r="M120" i="29"/>
  <c r="L121" i="29"/>
  <c r="M121" i="29"/>
  <c r="K141" i="18"/>
  <c r="L138" i="18"/>
  <c r="M141" i="18"/>
  <c r="AN386" i="1"/>
  <c r="L144" i="18"/>
  <c r="J139" i="18"/>
  <c r="K143" i="18"/>
  <c r="L140" i="18"/>
  <c r="M139" i="18"/>
  <c r="H141" i="18"/>
  <c r="J141" i="18"/>
  <c r="I143" i="18"/>
  <c r="H138" i="18"/>
  <c r="K139" i="18"/>
  <c r="I137" i="18"/>
  <c r="G144" i="18"/>
  <c r="H142" i="18"/>
  <c r="K145" i="18"/>
  <c r="I141" i="18"/>
  <c r="L141" i="18"/>
  <c r="K144" i="18"/>
  <c r="L137" i="18"/>
  <c r="H137" i="18"/>
  <c r="K142" i="18"/>
  <c r="I144" i="18"/>
  <c r="G145" i="18"/>
  <c r="J145" i="18"/>
  <c r="I142" i="18"/>
  <c r="K138" i="18"/>
  <c r="K137" i="18"/>
  <c r="L143" i="18"/>
  <c r="G143" i="18"/>
  <c r="J142" i="18"/>
  <c r="M137" i="18"/>
  <c r="I139" i="18"/>
  <c r="G139" i="18"/>
  <c r="M144" i="18"/>
  <c r="G142" i="18"/>
  <c r="J143" i="18"/>
  <c r="M143" i="18"/>
  <c r="I138" i="18"/>
  <c r="G137" i="18"/>
  <c r="J144" i="18"/>
  <c r="J138" i="18"/>
  <c r="L145" i="18"/>
  <c r="M140" i="18"/>
  <c r="G140" i="18"/>
  <c r="H140" i="18"/>
  <c r="J137" i="18"/>
  <c r="M142" i="18"/>
  <c r="L139" i="18"/>
  <c r="H144" i="18"/>
  <c r="I145" i="18"/>
  <c r="G141" i="18"/>
  <c r="J140" i="18"/>
  <c r="M138" i="18"/>
  <c r="L142" i="18"/>
  <c r="H143" i="18"/>
  <c r="K140" i="18"/>
  <c r="M145" i="18"/>
  <c r="H145" i="18"/>
  <c r="H139" i="18"/>
  <c r="I140" i="18"/>
  <c r="BY521" i="14"/>
  <c r="BY395" i="14"/>
  <c r="BY529" i="14"/>
  <c r="BY543" i="14"/>
  <c r="BY405" i="14"/>
  <c r="BY411" i="14"/>
  <c r="AN401" i="1"/>
  <c r="BY409" i="14"/>
  <c r="BY419" i="14"/>
  <c r="BY452" i="14"/>
  <c r="BY404" i="14"/>
  <c r="BY425" i="14"/>
  <c r="BY433" i="14"/>
  <c r="BY525" i="14"/>
  <c r="BY453" i="14"/>
  <c r="BY423" i="14"/>
  <c r="BY518" i="14"/>
  <c r="BY397" i="14"/>
  <c r="BY429" i="14"/>
  <c r="BY398" i="14"/>
  <c r="BY407" i="14"/>
  <c r="BY394" i="14"/>
  <c r="BY434" i="14"/>
  <c r="BY532" i="14"/>
  <c r="BY417" i="14"/>
  <c r="BY544" i="14"/>
  <c r="BY447" i="14"/>
  <c r="BY421" i="14"/>
  <c r="BY424" i="14"/>
  <c r="BY527" i="14"/>
  <c r="BY400" i="14"/>
  <c r="BY441" i="14"/>
  <c r="BY427" i="14"/>
  <c r="BY408" i="14"/>
  <c r="BY448" i="14"/>
  <c r="BY435" i="14"/>
  <c r="BY531" i="14"/>
  <c r="BY523" i="14"/>
  <c r="BY412" i="14"/>
  <c r="BY449" i="14"/>
  <c r="BY439" i="14"/>
  <c r="BY436" i="14"/>
  <c r="BY431" i="14"/>
  <c r="BY533" i="14"/>
  <c r="BY420" i="14"/>
  <c r="BY535" i="14"/>
  <c r="BY413" i="14"/>
  <c r="BY517" i="14"/>
  <c r="BY516" i="14"/>
  <c r="BY536" i="14"/>
  <c r="BY415" i="14"/>
  <c r="BY414" i="14"/>
  <c r="BY438" i="14"/>
  <c r="BY545" i="14"/>
  <c r="BY528" i="14"/>
  <c r="BY422" i="14"/>
  <c r="BY393" i="14"/>
  <c r="BY542" i="14"/>
  <c r="BY444" i="14"/>
  <c r="BY399" i="14"/>
  <c r="BY520" i="14"/>
  <c r="BY442" i="14"/>
  <c r="BY524" i="14"/>
  <c r="BY437" i="14"/>
  <c r="BY428" i="14"/>
  <c r="BY396" i="14"/>
  <c r="BY410" i="14"/>
  <c r="BY539" i="14"/>
  <c r="BY530" i="14"/>
  <c r="BY540" i="14"/>
  <c r="BY446" i="14"/>
  <c r="BY519" i="14"/>
  <c r="BY426" i="14"/>
  <c r="BY418" i="14"/>
  <c r="BY534" i="14"/>
  <c r="BY401" i="14"/>
  <c r="BY537" i="14"/>
  <c r="BY406" i="14"/>
  <c r="BY522" i="14"/>
  <c r="BY416" i="14"/>
  <c r="BY451" i="14"/>
  <c r="BY402" i="14"/>
  <c r="BY538" i="14"/>
  <c r="BY440" i="14"/>
  <c r="BY443" i="14"/>
  <c r="BY403" i="14"/>
  <c r="BY526" i="14"/>
  <c r="BY432" i="14"/>
  <c r="BY541" i="14"/>
  <c r="BY450" i="14"/>
  <c r="BY445" i="14"/>
  <c r="BY430" i="14"/>
  <c r="AB397" i="1"/>
  <c r="AB352" i="1"/>
  <c r="Y397" i="1"/>
  <c r="Y352" i="1"/>
  <c r="BQ49" i="30"/>
  <c r="AK383" i="1"/>
  <c r="AN383" i="1" s="1"/>
  <c r="J18" i="30"/>
  <c r="E104" i="30" s="1"/>
  <c r="E119" i="30" s="1"/>
  <c r="G49" i="25"/>
  <c r="AB382" i="1"/>
  <c r="BN17" i="30"/>
  <c r="BM17" i="30"/>
  <c r="G49" i="24"/>
  <c r="Y382" i="1"/>
  <c r="G116" i="18"/>
  <c r="H116" i="18" s="1"/>
  <c r="I116" i="18" s="1"/>
  <c r="D116" i="18" s="1"/>
  <c r="E138" i="28"/>
  <c r="G141" i="28" s="1"/>
  <c r="G173" i="20"/>
  <c r="G172" i="20" s="1"/>
  <c r="AM502" i="14"/>
  <c r="AM228" i="14"/>
  <c r="CC228" i="14" s="1"/>
  <c r="AM225" i="14"/>
  <c r="CC225" i="14" s="1"/>
  <c r="AM386" i="14"/>
  <c r="AM370" i="14"/>
  <c r="AM321" i="14"/>
  <c r="AM305" i="14"/>
  <c r="AM272" i="14"/>
  <c r="AM290" i="14"/>
  <c r="AM476" i="14"/>
  <c r="AM327" i="14"/>
  <c r="AM187" i="14"/>
  <c r="CC187" i="14" s="1"/>
  <c r="AM192" i="14"/>
  <c r="CC192" i="14" s="1"/>
  <c r="AM186" i="14"/>
  <c r="CC186" i="14" s="1"/>
  <c r="AM200" i="14"/>
  <c r="CC200" i="14" s="1"/>
  <c r="AM279" i="14"/>
  <c r="AM368" i="14"/>
  <c r="AM364" i="14"/>
  <c r="AM282" i="14"/>
  <c r="AM199" i="14"/>
  <c r="CC199" i="14" s="1"/>
  <c r="AM224" i="14"/>
  <c r="CC224" i="14" s="1"/>
  <c r="AM468" i="14"/>
  <c r="AM489" i="14"/>
  <c r="AM234" i="14"/>
  <c r="CC234" i="14" s="1"/>
  <c r="AM298" i="14"/>
  <c r="AM262" i="14"/>
  <c r="AM288" i="14"/>
  <c r="AM267" i="14"/>
  <c r="AM312" i="14"/>
  <c r="AM381" i="14"/>
  <c r="AM467" i="14"/>
  <c r="AM505" i="14"/>
  <c r="AM209" i="14"/>
  <c r="CC209" i="14" s="1"/>
  <c r="AM220" i="14"/>
  <c r="CC220" i="14" s="1"/>
  <c r="AM221" i="14"/>
  <c r="CC221" i="14" s="1"/>
  <c r="AM184" i="14"/>
  <c r="CC184" i="14" s="1"/>
  <c r="AM324" i="14"/>
  <c r="AM367" i="14"/>
  <c r="AM389" i="14"/>
  <c r="AM475" i="14"/>
  <c r="AM466" i="14"/>
  <c r="AM337" i="14"/>
  <c r="AM291" i="14"/>
  <c r="AM271" i="14"/>
  <c r="AM208" i="14"/>
  <c r="CC208" i="14" s="1"/>
  <c r="AM316" i="14"/>
  <c r="AM230" i="14"/>
  <c r="CC230" i="14" s="1"/>
  <c r="AM205" i="14"/>
  <c r="CC205" i="14" s="1"/>
  <c r="AM257" i="14"/>
  <c r="AM334" i="14"/>
  <c r="AM355" i="14"/>
  <c r="AM488" i="14"/>
  <c r="AM276" i="14"/>
  <c r="AM346" i="14"/>
  <c r="AM383" i="14"/>
  <c r="AM222" i="14"/>
  <c r="CC222" i="14" s="1"/>
  <c r="AM197" i="14"/>
  <c r="CC197" i="14" s="1"/>
  <c r="AM284" i="14"/>
  <c r="AM326" i="14"/>
  <c r="AM347" i="14"/>
  <c r="AM495" i="14"/>
  <c r="AM511" i="14"/>
  <c r="AM482" i="14"/>
  <c r="AM353" i="14"/>
  <c r="AM293" i="14"/>
  <c r="AM229" i="14"/>
  <c r="CC229" i="14" s="1"/>
  <c r="AM206" i="14"/>
  <c r="CC206" i="14" s="1"/>
  <c r="AM391" i="14"/>
  <c r="AM280" i="14"/>
  <c r="AM487" i="14"/>
  <c r="AM273" i="14"/>
  <c r="AM250" i="14"/>
  <c r="AM194" i="14"/>
  <c r="CC194" i="14" s="1"/>
  <c r="AM294" i="14"/>
  <c r="AM188" i="14"/>
  <c r="CC188" i="14" s="1"/>
  <c r="AM189" i="14"/>
  <c r="CC189" i="14" s="1"/>
  <c r="AM281" i="14"/>
  <c r="AM318" i="14"/>
  <c r="AM339" i="14"/>
  <c r="AM360" i="14"/>
  <c r="AM387" i="14"/>
  <c r="AM472" i="14"/>
  <c r="AM493" i="14"/>
  <c r="AM509" i="14"/>
  <c r="AM242" i="14"/>
  <c r="AM251" i="14"/>
  <c r="AM256" i="14"/>
  <c r="AM241" i="14"/>
  <c r="AM235" i="14"/>
  <c r="CC235" i="14" s="1"/>
  <c r="AM308" i="14"/>
  <c r="AM330" i="14"/>
  <c r="AM351" i="14"/>
  <c r="AM354" i="14"/>
  <c r="AM388" i="14"/>
  <c r="AM473" i="14"/>
  <c r="AM478" i="14"/>
  <c r="AM506" i="14"/>
  <c r="AM254" i="14"/>
  <c r="AM259" i="14"/>
  <c r="AM264" i="14"/>
  <c r="AM249" i="14"/>
  <c r="AM239" i="14"/>
  <c r="CC239" i="14" s="1"/>
  <c r="AM310" i="14"/>
  <c r="AM331" i="14"/>
  <c r="AM352" i="14"/>
  <c r="AM373" i="14"/>
  <c r="AM459" i="14"/>
  <c r="AM480" i="14"/>
  <c r="AM499" i="14"/>
  <c r="AM491" i="14"/>
  <c r="AM462" i="14"/>
  <c r="AM382" i="14"/>
  <c r="AM365" i="14"/>
  <c r="AM349" i="14"/>
  <c r="AM333" i="14"/>
  <c r="AM317" i="14"/>
  <c r="AM300" i="14"/>
  <c r="AM255" i="14"/>
  <c r="AM277" i="14"/>
  <c r="AM211" i="14"/>
  <c r="CC211" i="14" s="1"/>
  <c r="AM240" i="14"/>
  <c r="CC240" i="14" s="1"/>
  <c r="AM243" i="14"/>
  <c r="AM270" i="14"/>
  <c r="AM180" i="14"/>
  <c r="CC180" i="14" s="1"/>
  <c r="AM207" i="14"/>
  <c r="CC207" i="14" s="1"/>
  <c r="AM338" i="14"/>
  <c r="AM500" i="14"/>
  <c r="AM223" i="14"/>
  <c r="CC223" i="14" s="1"/>
  <c r="AM296" i="14"/>
  <c r="AM375" i="14"/>
  <c r="AM460" i="14"/>
  <c r="AM253" i="14"/>
  <c r="AM348" i="14"/>
  <c r="AM508" i="14"/>
  <c r="AM311" i="14"/>
  <c r="AM332" i="14"/>
  <c r="AM385" i="14"/>
  <c r="AM286" i="14"/>
  <c r="AM204" i="14"/>
  <c r="CC204" i="14" s="1"/>
  <c r="AM266" i="14"/>
  <c r="AM201" i="14"/>
  <c r="CC201" i="14" s="1"/>
  <c r="AM210" i="14"/>
  <c r="CC210" i="14" s="1"/>
  <c r="AM301" i="14"/>
  <c r="AM260" i="14"/>
  <c r="AM323" i="14"/>
  <c r="AM344" i="14"/>
  <c r="AM366" i="14"/>
  <c r="AM392" i="14"/>
  <c r="AM456" i="14"/>
  <c r="AM477" i="14"/>
  <c r="AM497" i="14"/>
  <c r="AM513" i="14"/>
  <c r="AM274" i="14"/>
  <c r="AM287" i="14"/>
  <c r="AM292" i="14"/>
  <c r="AM265" i="14"/>
  <c r="AM275" i="14"/>
  <c r="AM314" i="14"/>
  <c r="AM335" i="14"/>
  <c r="AM356" i="14"/>
  <c r="AM372" i="14"/>
  <c r="AM457" i="14"/>
  <c r="AM479" i="14"/>
  <c r="AM494" i="14"/>
  <c r="AM510" i="14"/>
  <c r="AM278" i="14"/>
  <c r="AM295" i="14"/>
  <c r="AM191" i="14"/>
  <c r="CC191" i="14" s="1"/>
  <c r="AM269" i="14"/>
  <c r="AM283" i="14"/>
  <c r="AM315" i="14"/>
  <c r="AM336" i="14"/>
  <c r="AM358" i="14"/>
  <c r="AM379" i="14"/>
  <c r="AM464" i="14"/>
  <c r="AM485" i="14"/>
  <c r="AM503" i="14"/>
  <c r="AM490" i="14"/>
  <c r="AM474" i="14"/>
  <c r="AM458" i="14"/>
  <c r="AM378" i="14"/>
  <c r="AM361" i="14"/>
  <c r="AM345" i="14"/>
  <c r="AM329" i="14"/>
  <c r="AM313" i="14"/>
  <c r="AM268" i="14"/>
  <c r="AM227" i="14"/>
  <c r="CC227" i="14" s="1"/>
  <c r="AM261" i="14"/>
  <c r="AM190" i="14"/>
  <c r="CC190" i="14" s="1"/>
  <c r="AM198" i="14"/>
  <c r="CC198" i="14" s="1"/>
  <c r="AM246" i="14"/>
  <c r="AM195" i="14"/>
  <c r="CC195" i="14" s="1"/>
  <c r="AM297" i="14"/>
  <c r="AM359" i="14"/>
  <c r="AM236" i="14"/>
  <c r="CC236" i="14" s="1"/>
  <c r="AM322" i="14"/>
  <c r="AM481" i="14"/>
  <c r="AM258" i="14"/>
  <c r="AM247" i="14"/>
  <c r="AM369" i="14"/>
  <c r="AM471" i="14"/>
  <c r="AM238" i="14"/>
  <c r="CC238" i="14" s="1"/>
  <c r="AM231" i="14"/>
  <c r="CC231" i="14" s="1"/>
  <c r="AM248" i="14"/>
  <c r="AM237" i="14"/>
  <c r="CC237" i="14" s="1"/>
  <c r="AM307" i="14"/>
  <c r="AM328" i="14"/>
  <c r="AM350" i="14"/>
  <c r="AM376" i="14"/>
  <c r="AM461" i="14"/>
  <c r="AM483" i="14"/>
  <c r="AM501" i="14"/>
  <c r="AM193" i="14"/>
  <c r="CC193" i="14" s="1"/>
  <c r="AM302" i="14"/>
  <c r="AM185" i="14"/>
  <c r="CC185" i="14" s="1"/>
  <c r="AM285" i="14"/>
  <c r="AM319" i="14"/>
  <c r="AM340" i="14"/>
  <c r="AM362" i="14"/>
  <c r="AM377" i="14"/>
  <c r="AM463" i="14"/>
  <c r="AM484" i="14"/>
  <c r="AM498" i="14"/>
  <c r="AM514" i="14"/>
  <c r="AM196" i="14"/>
  <c r="CC196" i="14" s="1"/>
  <c r="AM303" i="14"/>
  <c r="AM202" i="14"/>
  <c r="CC202" i="14" s="1"/>
  <c r="AM203" i="14"/>
  <c r="CC203" i="14" s="1"/>
  <c r="AM289" i="14"/>
  <c r="AM244" i="14"/>
  <c r="AM320" i="14"/>
  <c r="AM342" i="14"/>
  <c r="AM363" i="14"/>
  <c r="AM384" i="14"/>
  <c r="AM469" i="14"/>
  <c r="AM492" i="14"/>
  <c r="AM507" i="14"/>
  <c r="AM486" i="14"/>
  <c r="AM470" i="14"/>
  <c r="AM454" i="14"/>
  <c r="AM390" i="14"/>
  <c r="AM374" i="14"/>
  <c r="AM357" i="14"/>
  <c r="AM341" i="14"/>
  <c r="AM325" i="14"/>
  <c r="AM309" i="14"/>
  <c r="AM232" i="14"/>
  <c r="CC232" i="14" s="1"/>
  <c r="AM181" i="14"/>
  <c r="CC181" i="14" s="1"/>
  <c r="AM245" i="14"/>
  <c r="AM304" i="14"/>
  <c r="AM299" i="14"/>
  <c r="AM183" i="14"/>
  <c r="CC183" i="14" s="1"/>
  <c r="AM226" i="14"/>
  <c r="CC226" i="14" s="1"/>
  <c r="AM182" i="14"/>
  <c r="CC182" i="14" s="1"/>
  <c r="AM252" i="14"/>
  <c r="AM371" i="14"/>
  <c r="AM455" i="14"/>
  <c r="AM233" i="14"/>
  <c r="CC233" i="14" s="1"/>
  <c r="AM343" i="14"/>
  <c r="AM504" i="14"/>
  <c r="AM263" i="14"/>
  <c r="AM306" i="14"/>
  <c r="AM380" i="14"/>
  <c r="AM465" i="14"/>
  <c r="AM496" i="14"/>
  <c r="AM512" i="14"/>
  <c r="R50" i="14"/>
  <c r="CC241" i="14"/>
  <c r="M160" i="18"/>
  <c r="M159" i="18" s="1"/>
  <c r="K160" i="18"/>
  <c r="I160" i="18"/>
  <c r="L160" i="18"/>
  <c r="L159" i="18" s="1"/>
  <c r="H160" i="18"/>
  <c r="H159" i="18" s="1"/>
  <c r="J160" i="18"/>
  <c r="AM212" i="14"/>
  <c r="CC212" i="14" s="1"/>
  <c r="CF212" i="14"/>
  <c r="AM217" i="14"/>
  <c r="CC217" i="14" s="1"/>
  <c r="CF217" i="14"/>
  <c r="AM214" i="14"/>
  <c r="CC214" i="14" s="1"/>
  <c r="CF214" i="14"/>
  <c r="AM215" i="14"/>
  <c r="CC215" i="14" s="1"/>
  <c r="CF215" i="14"/>
  <c r="AM219" i="14"/>
  <c r="CC219" i="14" s="1"/>
  <c r="CF219" i="14"/>
  <c r="AM216" i="14"/>
  <c r="CC216" i="14" s="1"/>
  <c r="CF216" i="14"/>
  <c r="AM218" i="14"/>
  <c r="CC218" i="14" s="1"/>
  <c r="CF218" i="14"/>
  <c r="AM213" i="14"/>
  <c r="CC213" i="14" s="1"/>
  <c r="CF213" i="14"/>
  <c r="AQ18" i="30"/>
  <c r="AC104" i="30" s="1"/>
  <c r="AC119" i="30" s="1"/>
  <c r="H129" i="24"/>
  <c r="L8" i="29" s="1"/>
  <c r="M117" i="29"/>
  <c r="AL284" i="1"/>
  <c r="H129" i="25"/>
  <c r="M8" i="29" s="1"/>
  <c r="BM49" i="30"/>
  <c r="L117" i="29"/>
  <c r="K294" i="1"/>
  <c r="Y284" i="1"/>
  <c r="T294" i="1"/>
  <c r="AC284" i="1"/>
  <c r="B294" i="1"/>
  <c r="P284" i="1"/>
  <c r="G321" i="1"/>
  <c r="AL294" i="1"/>
  <c r="N18" i="30"/>
  <c r="H104" i="30" s="1"/>
  <c r="H119" i="30" s="1"/>
  <c r="G115" i="18"/>
  <c r="H115" i="18" s="1"/>
  <c r="I115" i="18" s="1"/>
  <c r="D115" i="18" s="1"/>
  <c r="BN49" i="30"/>
  <c r="Y429" i="1"/>
  <c r="AB429" i="1" s="1"/>
  <c r="AE429" i="1" s="1"/>
  <c r="AH429" i="1" s="1"/>
  <c r="AK429" i="1" s="1"/>
  <c r="AN429" i="1" s="1"/>
  <c r="H182" i="19"/>
  <c r="H160" i="19" s="1"/>
  <c r="AK270" i="1"/>
  <c r="AK272" i="1" s="1"/>
  <c r="AN272" i="1" s="1"/>
  <c r="AK253" i="1"/>
  <c r="AC120" i="30"/>
  <c r="AC114" i="30"/>
  <c r="AC117" i="30"/>
  <c r="AQ48" i="30"/>
  <c r="AQ44" i="30"/>
  <c r="AQ45" i="30"/>
  <c r="AQ47" i="30"/>
  <c r="AQ46" i="30"/>
  <c r="H49" i="25"/>
  <c r="BN21" i="30"/>
  <c r="BM21" i="30"/>
  <c r="H49" i="24"/>
  <c r="AD18" i="30"/>
  <c r="T104" i="30" s="1"/>
  <c r="T119" i="30" s="1"/>
  <c r="N11" i="29"/>
  <c r="T11" i="29" s="1"/>
  <c r="AK320" i="1"/>
  <c r="R18" i="30"/>
  <c r="K104" i="30" s="1"/>
  <c r="K116" i="30" s="1"/>
  <c r="V18" i="30"/>
  <c r="N104" i="30" s="1"/>
  <c r="N119" i="30" s="1"/>
  <c r="N158" i="29"/>
  <c r="Y392" i="1"/>
  <c r="L63" i="29" s="1"/>
  <c r="Y340" i="1"/>
  <c r="BM33" i="30"/>
  <c r="K49" i="24"/>
  <c r="BM29" i="30"/>
  <c r="Y385" i="1"/>
  <c r="J49" i="24"/>
  <c r="AB342" i="1"/>
  <c r="L49" i="25"/>
  <c r="AB387" i="1"/>
  <c r="BN37" i="30"/>
  <c r="AB353" i="1"/>
  <c r="AB399" i="1"/>
  <c r="AB356" i="1"/>
  <c r="AB402" i="1"/>
  <c r="AB407" i="1"/>
  <c r="M64" i="29" s="1"/>
  <c r="AB354" i="1"/>
  <c r="Z18" i="30"/>
  <c r="Q104" i="30" s="1"/>
  <c r="Q122" i="30" s="1"/>
  <c r="Y403" i="1"/>
  <c r="Y359" i="1"/>
  <c r="L99" i="29" s="1"/>
  <c r="AB384" i="1"/>
  <c r="BN25" i="30"/>
  <c r="AB339" i="1"/>
  <c r="E47" i="25"/>
  <c r="I49" i="25"/>
  <c r="Y342" i="1"/>
  <c r="BM37" i="30"/>
  <c r="L49" i="24"/>
  <c r="Y387" i="1"/>
  <c r="BN41" i="30"/>
  <c r="AB388" i="1"/>
  <c r="M49" i="25"/>
  <c r="AB345" i="1"/>
  <c r="M98" i="29" s="1"/>
  <c r="BN29" i="30"/>
  <c r="J49" i="25"/>
  <c r="AB385" i="1"/>
  <c r="Y354" i="1"/>
  <c r="Y407" i="1"/>
  <c r="L64" i="29" s="1"/>
  <c r="Y353" i="1"/>
  <c r="Y399" i="1"/>
  <c r="BM25" i="30"/>
  <c r="I49" i="24"/>
  <c r="Y384" i="1"/>
  <c r="E47" i="24"/>
  <c r="Y339" i="1"/>
  <c r="AN400" i="1"/>
  <c r="AH18" i="30"/>
  <c r="W104" i="30" s="1"/>
  <c r="W122" i="30" s="1"/>
  <c r="M49" i="24"/>
  <c r="Y388" i="1"/>
  <c r="Y345" i="1"/>
  <c r="L98" i="29" s="1"/>
  <c r="BM41" i="30"/>
  <c r="N10" i="29"/>
  <c r="T10" i="29" s="1"/>
  <c r="Y356" i="1"/>
  <c r="Y402" i="1"/>
  <c r="AB403" i="1"/>
  <c r="AB359" i="1"/>
  <c r="M99" i="29" s="1"/>
  <c r="K49" i="25"/>
  <c r="AB340" i="1"/>
  <c r="BN33" i="30"/>
  <c r="AB392" i="1"/>
  <c r="M63" i="29" s="1"/>
  <c r="E15" i="30"/>
  <c r="R116" i="29"/>
  <c r="T116" i="29" s="1"/>
  <c r="BB15" i="30" s="1"/>
  <c r="Q170" i="29"/>
  <c r="Q2" i="29" s="1"/>
  <c r="Q113" i="29" s="1"/>
  <c r="CR422" i="14"/>
  <c r="CW422" i="14"/>
  <c r="CG528" i="14"/>
  <c r="CF528" i="14" s="1"/>
  <c r="CG540" i="14"/>
  <c r="CF540" i="14" s="1"/>
  <c r="CR447" i="14"/>
  <c r="CW447" i="14"/>
  <c r="CW400" i="14"/>
  <c r="CR400" i="14"/>
  <c r="CG544" i="14"/>
  <c r="CF544" i="14" s="1"/>
  <c r="CG525" i="14"/>
  <c r="CF525" i="14" s="1"/>
  <c r="CR524" i="14"/>
  <c r="CW524" i="14"/>
  <c r="CG422" i="14"/>
  <c r="CF422" i="14" s="1"/>
  <c r="CR439" i="14"/>
  <c r="CW439" i="14"/>
  <c r="CR528" i="14"/>
  <c r="CW528" i="14"/>
  <c r="CG435" i="14"/>
  <c r="CF435" i="14" s="1"/>
  <c r="CR414" i="14"/>
  <c r="CW414" i="14"/>
  <c r="CG516" i="14"/>
  <c r="CF516" i="14" s="1"/>
  <c r="CG433" i="14"/>
  <c r="CF433" i="14" s="1"/>
  <c r="CG413" i="14"/>
  <c r="CF413" i="14" s="1"/>
  <c r="CR540" i="14"/>
  <c r="CW540" i="14"/>
  <c r="CG447" i="14"/>
  <c r="CF447" i="14" s="1"/>
  <c r="CG400" i="14"/>
  <c r="CF400" i="14" s="1"/>
  <c r="CR545" i="14"/>
  <c r="CW545" i="14"/>
  <c r="CG534" i="14"/>
  <c r="CF534" i="14" s="1"/>
  <c r="CR536" i="14"/>
  <c r="CW536" i="14"/>
  <c r="CG395" i="14"/>
  <c r="CF395" i="14" s="1"/>
  <c r="CR544" i="14"/>
  <c r="CW544" i="14"/>
  <c r="CW427" i="14"/>
  <c r="CR427" i="14"/>
  <c r="CR444" i="14"/>
  <c r="CW444" i="14"/>
  <c r="CG442" i="14"/>
  <c r="CF442" i="14" s="1"/>
  <c r="CR520" i="14"/>
  <c r="CW520" i="14"/>
  <c r="CW525" i="14"/>
  <c r="CR525" i="14"/>
  <c r="CG538" i="14"/>
  <c r="CF538" i="14" s="1"/>
  <c r="CW429" i="14"/>
  <c r="CR429" i="14"/>
  <c r="CG524" i="14"/>
  <c r="CF524" i="14" s="1"/>
  <c r="CG402" i="14"/>
  <c r="CF402" i="14" s="1"/>
  <c r="CR449" i="14"/>
  <c r="CW449" i="14"/>
  <c r="CG415" i="14"/>
  <c r="CF415" i="14" s="1"/>
  <c r="CR529" i="14"/>
  <c r="CW529" i="14"/>
  <c r="CR445" i="14"/>
  <c r="CW445" i="14"/>
  <c r="CG441" i="14"/>
  <c r="CF441" i="14" s="1"/>
  <c r="CG408" i="14"/>
  <c r="CF408" i="14" s="1"/>
  <c r="CG417" i="14"/>
  <c r="CF417" i="14" s="1"/>
  <c r="CG523" i="14"/>
  <c r="CF523" i="14" s="1"/>
  <c r="CG437" i="14"/>
  <c r="CF437" i="14" s="1"/>
  <c r="CR438" i="14"/>
  <c r="CW438" i="14"/>
  <c r="CR451" i="14"/>
  <c r="CW451" i="14"/>
  <c r="CG419" i="14"/>
  <c r="CF419" i="14" s="1"/>
  <c r="CR406" i="14"/>
  <c r="CW406" i="14"/>
  <c r="CG515" i="14"/>
  <c r="CF515" i="14" s="1"/>
  <c r="CR446" i="14"/>
  <c r="CW446" i="14"/>
  <c r="CG426" i="14"/>
  <c r="CF426" i="14" s="1"/>
  <c r="CR411" i="14"/>
  <c r="CW411" i="14"/>
  <c r="CR537" i="14"/>
  <c r="CW537" i="14"/>
  <c r="CR532" i="14"/>
  <c r="CW532" i="14"/>
  <c r="CG416" i="14"/>
  <c r="CF416" i="14" s="1"/>
  <c r="CG543" i="14"/>
  <c r="CF543" i="14" s="1"/>
  <c r="CG439" i="14"/>
  <c r="CF439" i="14" s="1"/>
  <c r="CR435" i="14"/>
  <c r="CW435" i="14"/>
  <c r="CR516" i="14"/>
  <c r="CW516" i="14"/>
  <c r="CR413" i="14"/>
  <c r="CW413" i="14"/>
  <c r="CG545" i="14"/>
  <c r="CF545" i="14" s="1"/>
  <c r="CR534" i="14"/>
  <c r="CW534" i="14"/>
  <c r="CR395" i="14"/>
  <c r="CW395" i="14"/>
  <c r="CG427" i="14"/>
  <c r="CF427" i="14" s="1"/>
  <c r="CG520" i="14"/>
  <c r="CF520" i="14" s="1"/>
  <c r="CG429" i="14"/>
  <c r="CF429" i="14" s="1"/>
  <c r="CG449" i="14"/>
  <c r="CF449" i="14" s="1"/>
  <c r="CR415" i="14"/>
  <c r="CW415" i="14"/>
  <c r="CR518" i="14"/>
  <c r="CW518" i="14"/>
  <c r="CR432" i="14"/>
  <c r="CW432" i="14"/>
  <c r="CR431" i="14"/>
  <c r="CW431" i="14"/>
  <c r="CG420" i="14"/>
  <c r="CF420" i="14" s="1"/>
  <c r="CG522" i="14"/>
  <c r="CF522" i="14" s="1"/>
  <c r="CR434" i="14"/>
  <c r="CW434" i="14"/>
  <c r="CW519" i="14"/>
  <c r="CR519" i="14"/>
  <c r="CR450" i="14"/>
  <c r="CW450" i="14"/>
  <c r="CR430" i="14"/>
  <c r="CW430" i="14"/>
  <c r="CG409" i="14"/>
  <c r="CF409" i="14" s="1"/>
  <c r="CR527" i="14"/>
  <c r="CW527" i="14"/>
  <c r="CR539" i="14"/>
  <c r="CW539" i="14"/>
  <c r="CR448" i="14"/>
  <c r="CW448" i="14"/>
  <c r="CR396" i="14"/>
  <c r="CW396" i="14"/>
  <c r="CR398" i="14"/>
  <c r="CW398" i="14"/>
  <c r="CR533" i="14"/>
  <c r="CW533" i="14"/>
  <c r="CR543" i="14"/>
  <c r="CW543" i="14"/>
  <c r="CR428" i="14"/>
  <c r="CW428" i="14"/>
  <c r="CR440" i="14"/>
  <c r="CW440" i="14"/>
  <c r="CR407" i="14"/>
  <c r="CW407" i="14"/>
  <c r="CG452" i="14"/>
  <c r="CF452" i="14" s="1"/>
  <c r="CG394" i="14"/>
  <c r="CF394" i="14" s="1"/>
  <c r="CG517" i="14"/>
  <c r="CF517" i="14" s="1"/>
  <c r="CR425" i="14"/>
  <c r="CW425" i="14"/>
  <c r="CG421" i="14"/>
  <c r="CF421" i="14" s="1"/>
  <c r="CG531" i="14"/>
  <c r="CF531" i="14" s="1"/>
  <c r="CG436" i="14"/>
  <c r="CF436" i="14" s="1"/>
  <c r="CG401" i="14"/>
  <c r="CF401" i="14" s="1"/>
  <c r="CG530" i="14"/>
  <c r="CF530" i="14" s="1"/>
  <c r="CR535" i="14"/>
  <c r="CW535" i="14"/>
  <c r="CG403" i="14"/>
  <c r="CF403" i="14" s="1"/>
  <c r="CW541" i="14"/>
  <c r="CR541" i="14"/>
  <c r="CR542" i="14"/>
  <c r="CW542" i="14"/>
  <c r="CG453" i="14"/>
  <c r="CF453" i="14" s="1"/>
  <c r="CW405" i="14"/>
  <c r="CR405" i="14"/>
  <c r="CG424" i="14"/>
  <c r="CF424" i="14" s="1"/>
  <c r="CR393" i="14"/>
  <c r="CW393" i="14"/>
  <c r="CG399" i="14"/>
  <c r="CF399" i="14" s="1"/>
  <c r="CR397" i="14"/>
  <c r="CW397" i="14"/>
  <c r="CR443" i="14"/>
  <c r="CW443" i="14"/>
  <c r="CR404" i="14"/>
  <c r="CW404" i="14"/>
  <c r="CG423" i="14"/>
  <c r="CF423" i="14" s="1"/>
  <c r="CG526" i="14"/>
  <c r="CF526" i="14" s="1"/>
  <c r="CG418" i="14"/>
  <c r="CF418" i="14" s="1"/>
  <c r="CG518" i="14"/>
  <c r="CF518" i="14" s="1"/>
  <c r="CG432" i="14"/>
  <c r="CF432" i="14" s="1"/>
  <c r="CG431" i="14"/>
  <c r="CF431" i="14" s="1"/>
  <c r="CR420" i="14"/>
  <c r="CW420" i="14"/>
  <c r="CR522" i="14"/>
  <c r="CW522" i="14"/>
  <c r="CG434" i="14"/>
  <c r="CF434" i="14" s="1"/>
  <c r="CG519" i="14"/>
  <c r="CF519" i="14" s="1"/>
  <c r="CG450" i="14"/>
  <c r="CF450" i="14" s="1"/>
  <c r="CG430" i="14"/>
  <c r="CF430" i="14" s="1"/>
  <c r="CR409" i="14"/>
  <c r="CW409" i="14"/>
  <c r="CG527" i="14"/>
  <c r="CF527" i="14" s="1"/>
  <c r="CG539" i="14"/>
  <c r="CF539" i="14" s="1"/>
  <c r="CG448" i="14"/>
  <c r="CF448" i="14" s="1"/>
  <c r="CG396" i="14"/>
  <c r="CF396" i="14" s="1"/>
  <c r="CG398" i="14"/>
  <c r="CF398" i="14" s="1"/>
  <c r="CG533" i="14"/>
  <c r="CF533" i="14" s="1"/>
  <c r="CR410" i="14"/>
  <c r="CW410" i="14"/>
  <c r="CG412" i="14"/>
  <c r="CF412" i="14" s="1"/>
  <c r="CR521" i="14"/>
  <c r="CW521" i="14"/>
  <c r="CG414" i="14"/>
  <c r="CF414" i="14" s="1"/>
  <c r="CR433" i="14"/>
  <c r="CW433" i="14"/>
  <c r="CG536" i="14"/>
  <c r="CF536" i="14" s="1"/>
  <c r="CG444" i="14"/>
  <c r="CF444" i="14" s="1"/>
  <c r="CW442" i="14"/>
  <c r="CR442" i="14"/>
  <c r="CR538" i="14"/>
  <c r="CW538" i="14"/>
  <c r="CR402" i="14"/>
  <c r="CW402" i="14"/>
  <c r="CR416" i="14"/>
  <c r="CW416" i="14"/>
  <c r="CG428" i="14"/>
  <c r="CF428" i="14" s="1"/>
  <c r="CG440" i="14"/>
  <c r="CF440" i="14" s="1"/>
  <c r="CG407" i="14"/>
  <c r="CF407" i="14" s="1"/>
  <c r="CR452" i="14"/>
  <c r="CW452" i="14"/>
  <c r="CR394" i="14"/>
  <c r="CW394" i="14"/>
  <c r="CR517" i="14"/>
  <c r="CW517" i="14"/>
  <c r="CG425" i="14"/>
  <c r="CF425" i="14" s="1"/>
  <c r="CW421" i="14"/>
  <c r="CR421" i="14"/>
  <c r="CR531" i="14"/>
  <c r="CW531" i="14"/>
  <c r="CR436" i="14"/>
  <c r="CW436" i="14"/>
  <c r="CR401" i="14"/>
  <c r="CW401" i="14"/>
  <c r="CR530" i="14"/>
  <c r="CW530" i="14"/>
  <c r="CG535" i="14"/>
  <c r="CF535" i="14" s="1"/>
  <c r="CR403" i="14"/>
  <c r="CW403" i="14"/>
  <c r="CG541" i="14"/>
  <c r="CF541" i="14" s="1"/>
  <c r="CG542" i="14"/>
  <c r="CF542" i="14" s="1"/>
  <c r="CR453" i="14"/>
  <c r="CW453" i="14"/>
  <c r="CG405" i="14"/>
  <c r="CF405" i="14" s="1"/>
  <c r="CR424" i="14"/>
  <c r="CW424" i="14"/>
  <c r="CG393" i="14"/>
  <c r="CR399" i="14"/>
  <c r="CW399" i="14"/>
  <c r="CG397" i="14"/>
  <c r="CF397" i="14" s="1"/>
  <c r="CG443" i="14"/>
  <c r="CF443" i="14" s="1"/>
  <c r="CG404" i="14"/>
  <c r="CF404" i="14" s="1"/>
  <c r="CR423" i="14"/>
  <c r="CW423" i="14"/>
  <c r="CR526" i="14"/>
  <c r="CW526" i="14"/>
  <c r="CW418" i="14"/>
  <c r="CR418" i="14"/>
  <c r="CG529" i="14"/>
  <c r="CF529" i="14" s="1"/>
  <c r="CG445" i="14"/>
  <c r="CF445" i="14" s="1"/>
  <c r="CR441" i="14"/>
  <c r="CW441" i="14"/>
  <c r="CR408" i="14"/>
  <c r="CW408" i="14"/>
  <c r="CR417" i="14"/>
  <c r="CW417" i="14"/>
  <c r="CR523" i="14"/>
  <c r="CW523" i="14"/>
  <c r="CR437" i="14"/>
  <c r="CW437" i="14"/>
  <c r="CG438" i="14"/>
  <c r="CF438" i="14" s="1"/>
  <c r="CG451" i="14"/>
  <c r="CF451" i="14" s="1"/>
  <c r="CR419" i="14"/>
  <c r="CW419" i="14"/>
  <c r="CG406" i="14"/>
  <c r="CF406" i="14" s="1"/>
  <c r="CR515" i="14"/>
  <c r="CW515" i="14"/>
  <c r="CG446" i="14"/>
  <c r="CF446" i="14" s="1"/>
  <c r="CR426" i="14"/>
  <c r="CW426" i="14"/>
  <c r="CG411" i="14"/>
  <c r="CF411" i="14" s="1"/>
  <c r="CG537" i="14"/>
  <c r="CF537" i="14" s="1"/>
  <c r="CG532" i="14"/>
  <c r="CF532" i="14" s="1"/>
  <c r="CG410" i="14"/>
  <c r="CF410" i="14" s="1"/>
  <c r="CR412" i="14"/>
  <c r="CW412" i="14"/>
  <c r="CG521" i="14"/>
  <c r="CF521" i="14" s="1"/>
  <c r="H117" i="30"/>
  <c r="Q117" i="29"/>
  <c r="R117" i="29" s="1"/>
  <c r="G107" i="19"/>
  <c r="H107" i="19" s="1"/>
  <c r="I107" i="19" s="1"/>
  <c r="D107" i="19" s="1"/>
  <c r="M311" i="1"/>
  <c r="S421" i="1"/>
  <c r="G183" i="21"/>
  <c r="Q8" i="29"/>
  <c r="R8" i="29" s="1"/>
  <c r="Q12" i="29"/>
  <c r="R12" i="29" s="1"/>
  <c r="T117" i="30"/>
  <c r="L173" i="2"/>
  <c r="L172" i="2" s="1"/>
  <c r="T120" i="30"/>
  <c r="H120" i="30"/>
  <c r="T114" i="30"/>
  <c r="I184" i="18"/>
  <c r="K114" i="30"/>
  <c r="H114" i="30"/>
  <c r="H173" i="2"/>
  <c r="H172" i="2" s="1"/>
  <c r="W120" i="30"/>
  <c r="Q120" i="30"/>
  <c r="K173" i="2"/>
  <c r="K172" i="2" s="1"/>
  <c r="Q117" i="30"/>
  <c r="W114" i="30"/>
  <c r="Q114" i="30"/>
  <c r="W117" i="30"/>
  <c r="K120" i="30"/>
  <c r="N120" i="30"/>
  <c r="J173" i="2"/>
  <c r="J172" i="2" s="1"/>
  <c r="AK356" i="1"/>
  <c r="AK402" i="1"/>
  <c r="AK332" i="1"/>
  <c r="AN332" i="1" s="1"/>
  <c r="AN325" i="1"/>
  <c r="B325" i="1" s="1"/>
  <c r="AK384" i="1"/>
  <c r="BQ25" i="30"/>
  <c r="AK339" i="1"/>
  <c r="I49" i="28"/>
  <c r="Q62" i="29"/>
  <c r="R62" i="29" s="1"/>
  <c r="T62" i="29" s="1"/>
  <c r="AN377" i="1"/>
  <c r="AZ288" i="1"/>
  <c r="AN263" i="1"/>
  <c r="AZ290" i="1"/>
  <c r="AN265" i="1"/>
  <c r="R158" i="29"/>
  <c r="T158" i="29"/>
  <c r="G146" i="28"/>
  <c r="E147" i="28"/>
  <c r="AK388" i="1"/>
  <c r="BQ41" i="30"/>
  <c r="M49" i="28"/>
  <c r="AZ291" i="1"/>
  <c r="AN266" i="1"/>
  <c r="BQ33" i="30"/>
  <c r="K49" i="28"/>
  <c r="L146" i="28"/>
  <c r="N114" i="30"/>
  <c r="I146" i="28"/>
  <c r="BQ29" i="30"/>
  <c r="J49" i="28"/>
  <c r="AK385" i="1"/>
  <c r="AK399" i="1"/>
  <c r="AK353" i="1"/>
  <c r="AZ293" i="1"/>
  <c r="AN268" i="1"/>
  <c r="Z102" i="30" s="1"/>
  <c r="K146" i="28"/>
  <c r="AK407" i="1"/>
  <c r="AK354" i="1"/>
  <c r="AZ287" i="1"/>
  <c r="AN262" i="1"/>
  <c r="AK378" i="1"/>
  <c r="AN378" i="1" s="1"/>
  <c r="AN367" i="1"/>
  <c r="B367" i="1" s="1"/>
  <c r="J146" i="28"/>
  <c r="K117" i="30"/>
  <c r="AN264" i="1"/>
  <c r="AZ289" i="1"/>
  <c r="AK340" i="1"/>
  <c r="BQ21" i="30"/>
  <c r="H49" i="28"/>
  <c r="AK392" i="1"/>
  <c r="H146" i="28"/>
  <c r="AK359" i="1"/>
  <c r="AK397" i="1"/>
  <c r="M146" i="28"/>
  <c r="AK382" i="1"/>
  <c r="AK345" i="1"/>
  <c r="G49" i="28"/>
  <c r="E47" i="28"/>
  <c r="BQ17" i="30"/>
  <c r="Q97" i="29"/>
  <c r="R97" i="29" s="1"/>
  <c r="T97" i="29" s="1"/>
  <c r="AN331" i="1"/>
  <c r="AK342" i="1"/>
  <c r="L49" i="28"/>
  <c r="BQ37" i="30"/>
  <c r="AK387" i="1"/>
  <c r="AZ292" i="1"/>
  <c r="AN267" i="1"/>
  <c r="M172" i="2"/>
  <c r="I172" i="2"/>
  <c r="H184" i="18"/>
  <c r="K184" i="18"/>
  <c r="G7" i="19"/>
  <c r="G39" i="19" s="1"/>
  <c r="T284" i="1"/>
  <c r="M423" i="1"/>
  <c r="I183" i="19"/>
  <c r="D112" i="29"/>
  <c r="F6" i="29"/>
  <c r="AD48" i="30"/>
  <c r="AD44" i="30"/>
  <c r="AD46" i="30"/>
  <c r="AD45" i="30"/>
  <c r="AD47" i="30"/>
  <c r="P112" i="29"/>
  <c r="E39" i="18"/>
  <c r="L78" i="18" s="1"/>
  <c r="M78" i="18" s="1"/>
  <c r="J273" i="1"/>
  <c r="E7" i="19"/>
  <c r="L77" i="19" s="1"/>
  <c r="M314" i="1"/>
  <c r="G110" i="19"/>
  <c r="H110" i="19" s="1"/>
  <c r="I110" i="19" s="1"/>
  <c r="D110" i="19" s="1"/>
  <c r="J182" i="19"/>
  <c r="V48" i="30"/>
  <c r="V47" i="30"/>
  <c r="V45" i="30"/>
  <c r="V46" i="30"/>
  <c r="V44" i="30"/>
  <c r="M428" i="1"/>
  <c r="P428" i="1" s="1"/>
  <c r="S428" i="1" s="1"/>
  <c r="V428" i="1" s="1"/>
  <c r="Y428" i="1" s="1"/>
  <c r="AB428" i="1" s="1"/>
  <c r="AE428" i="1" s="1"/>
  <c r="AH428" i="1" s="1"/>
  <c r="AK428" i="1" s="1"/>
  <c r="G183" i="19"/>
  <c r="AH48" i="30"/>
  <c r="AH44" i="30"/>
  <c r="AH46" i="30"/>
  <c r="AH45" i="30"/>
  <c r="AH47" i="30"/>
  <c r="E183" i="18"/>
  <c r="N48" i="30"/>
  <c r="N45" i="30"/>
  <c r="N47" i="30"/>
  <c r="N46" i="30"/>
  <c r="N44" i="30"/>
  <c r="G114" i="18"/>
  <c r="H114" i="18" s="1"/>
  <c r="I114" i="18" s="1"/>
  <c r="D114" i="18" s="1"/>
  <c r="G182" i="18"/>
  <c r="J318" i="1"/>
  <c r="G115" i="19" s="1"/>
  <c r="H115" i="19" s="1"/>
  <c r="I115" i="19" s="1"/>
  <c r="D115" i="19" s="1"/>
  <c r="J184" i="18"/>
  <c r="K112" i="29"/>
  <c r="M313" i="1"/>
  <c r="G109" i="19"/>
  <c r="H109" i="19" s="1"/>
  <c r="I109" i="19" s="1"/>
  <c r="D109" i="19" s="1"/>
  <c r="I182" i="19"/>
  <c r="G361" i="1"/>
  <c r="J361" i="1" s="1"/>
  <c r="M361" i="1" s="1"/>
  <c r="P361" i="1" s="1"/>
  <c r="S361" i="1" s="1"/>
  <c r="V361" i="1" s="1"/>
  <c r="M316" i="1"/>
  <c r="G112" i="19"/>
  <c r="H112" i="19" s="1"/>
  <c r="I112" i="19" s="1"/>
  <c r="D112" i="19" s="1"/>
  <c r="L182" i="19"/>
  <c r="L184" i="18"/>
  <c r="AH241" i="14"/>
  <c r="AK242" i="14"/>
  <c r="M315" i="1"/>
  <c r="G111" i="19"/>
  <c r="H111" i="19" s="1"/>
  <c r="I111" i="19" s="1"/>
  <c r="D111" i="19" s="1"/>
  <c r="K182" i="19"/>
  <c r="G409" i="1"/>
  <c r="J409" i="1" s="1"/>
  <c r="M409" i="1" s="1"/>
  <c r="P409" i="1" s="1"/>
  <c r="S409" i="1" s="1"/>
  <c r="V409" i="1" s="1"/>
  <c r="F153" i="29"/>
  <c r="M427" i="1"/>
  <c r="M183" i="19"/>
  <c r="G394" i="1"/>
  <c r="J394" i="1" s="1"/>
  <c r="M394" i="1" s="1"/>
  <c r="P394" i="1" s="1"/>
  <c r="S394" i="1" s="1"/>
  <c r="V394" i="1" s="1"/>
  <c r="G173" i="2"/>
  <c r="E117" i="30"/>
  <c r="E114" i="30"/>
  <c r="E120" i="30"/>
  <c r="Z48" i="30"/>
  <c r="Z47" i="30"/>
  <c r="Z44" i="30"/>
  <c r="Z46" i="30"/>
  <c r="M317" i="1"/>
  <c r="G113" i="19"/>
  <c r="H113" i="19" s="1"/>
  <c r="I113" i="19" s="1"/>
  <c r="D113" i="19" s="1"/>
  <c r="M182" i="19"/>
  <c r="M422" i="1"/>
  <c r="J431" i="1"/>
  <c r="M424" i="1"/>
  <c r="J183" i="19"/>
  <c r="AZ49" i="30"/>
  <c r="Z45" i="30" s="1"/>
  <c r="J48" i="30"/>
  <c r="E49" i="30"/>
  <c r="J44" i="30"/>
  <c r="J45" i="30"/>
  <c r="J46" i="30"/>
  <c r="J47" i="30"/>
  <c r="G347" i="1"/>
  <c r="J347" i="1" s="1"/>
  <c r="M347" i="1" s="1"/>
  <c r="P347" i="1" s="1"/>
  <c r="S347" i="1" s="1"/>
  <c r="V347" i="1" s="1"/>
  <c r="M184" i="18"/>
  <c r="M426" i="1"/>
  <c r="L183" i="19"/>
  <c r="M312" i="1"/>
  <c r="G108" i="19"/>
  <c r="H108" i="19" s="1"/>
  <c r="I108" i="19" s="1"/>
  <c r="D108" i="19" s="1"/>
  <c r="M425" i="1"/>
  <c r="K183" i="19"/>
  <c r="AN398" i="1" l="1"/>
  <c r="N117" i="29"/>
  <c r="AN338" i="1"/>
  <c r="CC242" i="14"/>
  <c r="M9" i="29"/>
  <c r="T12" i="29"/>
  <c r="L9" i="29"/>
  <c r="L128" i="29"/>
  <c r="K145" i="28"/>
  <c r="I142" i="28"/>
  <c r="G145" i="28"/>
  <c r="N120" i="29"/>
  <c r="T120" i="29" s="1"/>
  <c r="N119" i="29"/>
  <c r="T119" i="29" s="1"/>
  <c r="M128" i="29"/>
  <c r="N121" i="29"/>
  <c r="T121" i="29" s="1"/>
  <c r="B368" i="1"/>
  <c r="B398" i="1" s="1"/>
  <c r="M138" i="28"/>
  <c r="J143" i="28"/>
  <c r="K137" i="28"/>
  <c r="L139" i="28"/>
  <c r="M143" i="28"/>
  <c r="H138" i="28"/>
  <c r="I140" i="28"/>
  <c r="E116" i="30"/>
  <c r="H143" i="28"/>
  <c r="J145" i="28"/>
  <c r="K140" i="28"/>
  <c r="L143" i="28"/>
  <c r="J141" i="28"/>
  <c r="I145" i="28"/>
  <c r="G140" i="28"/>
  <c r="AN352" i="1"/>
  <c r="E122" i="30"/>
  <c r="M145" i="28"/>
  <c r="H137" i="28"/>
  <c r="J142" i="28"/>
  <c r="K139" i="28"/>
  <c r="I137" i="28"/>
  <c r="I139" i="28"/>
  <c r="L141" i="28"/>
  <c r="L145" i="28"/>
  <c r="G138" i="28"/>
  <c r="M144" i="28"/>
  <c r="J138" i="28"/>
  <c r="K141" i="28"/>
  <c r="I141" i="28"/>
  <c r="L144" i="28"/>
  <c r="J17" i="30"/>
  <c r="E103" i="30" s="1"/>
  <c r="G173" i="21" s="1"/>
  <c r="G172" i="21" s="1"/>
  <c r="M141" i="28"/>
  <c r="M140" i="28"/>
  <c r="H139" i="28"/>
  <c r="H145" i="28"/>
  <c r="H140" i="28"/>
  <c r="J140" i="28"/>
  <c r="J139" i="28"/>
  <c r="J144" i="28"/>
  <c r="K144" i="28"/>
  <c r="K143" i="28"/>
  <c r="K138" i="28"/>
  <c r="I138" i="28"/>
  <c r="L140" i="28"/>
  <c r="L137" i="28"/>
  <c r="L138" i="28"/>
  <c r="G139" i="28"/>
  <c r="G142" i="28"/>
  <c r="G137" i="28"/>
  <c r="G143" i="28"/>
  <c r="G144" i="28"/>
  <c r="M142" i="28"/>
  <c r="M137" i="28"/>
  <c r="M139" i="28"/>
  <c r="H141" i="28"/>
  <c r="H142" i="28"/>
  <c r="H144" i="28"/>
  <c r="J137" i="28"/>
  <c r="K142" i="28"/>
  <c r="I144" i="28"/>
  <c r="I143" i="28"/>
  <c r="L142" i="28"/>
  <c r="I159" i="18"/>
  <c r="K159" i="18"/>
  <c r="H183" i="20"/>
  <c r="AC116" i="30"/>
  <c r="J159" i="18"/>
  <c r="H117" i="18"/>
  <c r="J160" i="19"/>
  <c r="K160" i="19"/>
  <c r="L160" i="19"/>
  <c r="M160" i="19"/>
  <c r="I160" i="19"/>
  <c r="J321" i="1"/>
  <c r="G116" i="19"/>
  <c r="H116" i="19" s="1"/>
  <c r="I116" i="19" s="1"/>
  <c r="D116" i="19" s="1"/>
  <c r="H122" i="30"/>
  <c r="AC122" i="30"/>
  <c r="AQ17" i="30"/>
  <c r="AC103" i="30" s="1"/>
  <c r="AC121" i="30" s="1"/>
  <c r="T117" i="29"/>
  <c r="M17" i="29"/>
  <c r="N8" i="29"/>
  <c r="T8" i="29" s="1"/>
  <c r="H116" i="30"/>
  <c r="Q119" i="30"/>
  <c r="N116" i="30"/>
  <c r="H159" i="19"/>
  <c r="N17" i="30"/>
  <c r="H103" i="30" s="1"/>
  <c r="H184" i="19"/>
  <c r="H182" i="20"/>
  <c r="N122" i="30"/>
  <c r="Q116" i="30"/>
  <c r="AN356" i="1"/>
  <c r="AK319" i="1"/>
  <c r="AN270" i="1"/>
  <c r="T122" i="30"/>
  <c r="K122" i="30"/>
  <c r="T116" i="30"/>
  <c r="AN387" i="1"/>
  <c r="K119" i="30"/>
  <c r="W116" i="30"/>
  <c r="AN340" i="1"/>
  <c r="AN399" i="1"/>
  <c r="AH17" i="30"/>
  <c r="W103" i="30" s="1"/>
  <c r="AN403" i="1"/>
  <c r="N64" i="29"/>
  <c r="CH524" i="14"/>
  <c r="T524" i="14" s="1"/>
  <c r="AN384" i="1"/>
  <c r="Z17" i="30"/>
  <c r="Q103" i="30" s="1"/>
  <c r="AB408" i="1"/>
  <c r="AD17" i="30"/>
  <c r="T103" i="30" s="1"/>
  <c r="V17" i="30"/>
  <c r="N103" i="30" s="1"/>
  <c r="N98" i="29"/>
  <c r="Y393" i="1"/>
  <c r="Y394" i="1" s="1"/>
  <c r="Y360" i="1"/>
  <c r="Y361" i="1" s="1"/>
  <c r="N99" i="29"/>
  <c r="AN388" i="1"/>
  <c r="Y346" i="1"/>
  <c r="Y347" i="1" s="1"/>
  <c r="W119" i="30"/>
  <c r="R17" i="30"/>
  <c r="K103" i="30" s="1"/>
  <c r="AN402" i="1"/>
  <c r="H52" i="24"/>
  <c r="H56" i="24" s="1"/>
  <c r="L153" i="29" s="1"/>
  <c r="L6" i="29"/>
  <c r="Y408" i="1"/>
  <c r="Y409" i="1" s="1"/>
  <c r="AB393" i="1"/>
  <c r="H52" i="25"/>
  <c r="H56" i="25" s="1"/>
  <c r="M153" i="29" s="1"/>
  <c r="M6" i="29"/>
  <c r="M112" i="29" s="1"/>
  <c r="AN342" i="1"/>
  <c r="AN354" i="1"/>
  <c r="AN385" i="1"/>
  <c r="E18" i="30"/>
  <c r="AB346" i="1"/>
  <c r="AB360" i="1"/>
  <c r="N63" i="29"/>
  <c r="AZ15" i="30"/>
  <c r="AM525" i="14"/>
  <c r="AM540" i="14"/>
  <c r="AM544" i="14"/>
  <c r="AM528" i="14"/>
  <c r="CF393" i="14"/>
  <c r="G7" i="15"/>
  <c r="AM521" i="14"/>
  <c r="AM410" i="14"/>
  <c r="AM537" i="14"/>
  <c r="AM438" i="14"/>
  <c r="AM445" i="14"/>
  <c r="AM443" i="14"/>
  <c r="AM541" i="14"/>
  <c r="AM535" i="14"/>
  <c r="AM425" i="14"/>
  <c r="AM407" i="14"/>
  <c r="AM428" i="14"/>
  <c r="AM536" i="14"/>
  <c r="AM414" i="14"/>
  <c r="AM412" i="14"/>
  <c r="AM533" i="14"/>
  <c r="AM396" i="14"/>
  <c r="AM539" i="14"/>
  <c r="AM450" i="14"/>
  <c r="AM434" i="14"/>
  <c r="AM432" i="14"/>
  <c r="AM418" i="14"/>
  <c r="AM423" i="14"/>
  <c r="AM399" i="14"/>
  <c r="AM424" i="14"/>
  <c r="AM453" i="14"/>
  <c r="AM401" i="14"/>
  <c r="AM531" i="14"/>
  <c r="AM394" i="14"/>
  <c r="AM409" i="14"/>
  <c r="AM420" i="14"/>
  <c r="AM429" i="14"/>
  <c r="AM427" i="14"/>
  <c r="AM543" i="14"/>
  <c r="AM437" i="14"/>
  <c r="AM417" i="14"/>
  <c r="AM441" i="14"/>
  <c r="AM524" i="14"/>
  <c r="AM538" i="14"/>
  <c r="AM447" i="14"/>
  <c r="AM413" i="14"/>
  <c r="AM516" i="14"/>
  <c r="AM435" i="14"/>
  <c r="AM532" i="14"/>
  <c r="AM411" i="14"/>
  <c r="AM446" i="14"/>
  <c r="AM406" i="14"/>
  <c r="AM451" i="14"/>
  <c r="AM529" i="14"/>
  <c r="AM404" i="14"/>
  <c r="AM397" i="14"/>
  <c r="AM393" i="14"/>
  <c r="AM405" i="14"/>
  <c r="AM542" i="14"/>
  <c r="AM440" i="14"/>
  <c r="AM444" i="14"/>
  <c r="AM398" i="14"/>
  <c r="AM448" i="14"/>
  <c r="AM527" i="14"/>
  <c r="AM430" i="14"/>
  <c r="AM519" i="14"/>
  <c r="AM431" i="14"/>
  <c r="AM518" i="14"/>
  <c r="AM526" i="14"/>
  <c r="AM403" i="14"/>
  <c r="AM530" i="14"/>
  <c r="AM436" i="14"/>
  <c r="AM421" i="14"/>
  <c r="AM517" i="14"/>
  <c r="AM452" i="14"/>
  <c r="AM522" i="14"/>
  <c r="AM449" i="14"/>
  <c r="AM520" i="14"/>
  <c r="AM545" i="14"/>
  <c r="AM439" i="14"/>
  <c r="AM416" i="14"/>
  <c r="AM426" i="14"/>
  <c r="AM515" i="14"/>
  <c r="AM419" i="14"/>
  <c r="AM523" i="14"/>
  <c r="AM408" i="14"/>
  <c r="AM415" i="14"/>
  <c r="AM402" i="14"/>
  <c r="AM442" i="14"/>
  <c r="AM395" i="14"/>
  <c r="AM534" i="14"/>
  <c r="AM400" i="14"/>
  <c r="AM433" i="14"/>
  <c r="AM422" i="14"/>
  <c r="CH447" i="14"/>
  <c r="T447" i="14" s="1"/>
  <c r="CH426" i="14"/>
  <c r="T426" i="14" s="1"/>
  <c r="CH515" i="14"/>
  <c r="T515" i="14" s="1"/>
  <c r="CH419" i="14"/>
  <c r="T419" i="14" s="1"/>
  <c r="CH523" i="14"/>
  <c r="T523" i="14" s="1"/>
  <c r="CH408" i="14"/>
  <c r="T408" i="14" s="1"/>
  <c r="CH423" i="14"/>
  <c r="T423" i="14" s="1"/>
  <c r="CH399" i="14"/>
  <c r="T399" i="14" s="1"/>
  <c r="CH424" i="14"/>
  <c r="T424" i="14" s="1"/>
  <c r="CH453" i="14"/>
  <c r="T453" i="14" s="1"/>
  <c r="CH401" i="14"/>
  <c r="T401" i="14" s="1"/>
  <c r="CH531" i="14"/>
  <c r="T531" i="14" s="1"/>
  <c r="CH394" i="14"/>
  <c r="T394" i="14" s="1"/>
  <c r="CH402" i="14"/>
  <c r="T402" i="14" s="1"/>
  <c r="CH409" i="14"/>
  <c r="T409" i="14" s="1"/>
  <c r="CH420" i="14"/>
  <c r="T420" i="14" s="1"/>
  <c r="CH443" i="14"/>
  <c r="T443" i="14" s="1"/>
  <c r="CH535" i="14"/>
  <c r="T535" i="14" s="1"/>
  <c r="CH425" i="14"/>
  <c r="T425" i="14" s="1"/>
  <c r="CH407" i="14"/>
  <c r="T407" i="14" s="1"/>
  <c r="CH428" i="14"/>
  <c r="T428" i="14" s="1"/>
  <c r="CH533" i="14"/>
  <c r="T533" i="14" s="1"/>
  <c r="CH396" i="14"/>
  <c r="T396" i="14" s="1"/>
  <c r="CH539" i="14"/>
  <c r="T539" i="14" s="1"/>
  <c r="CH450" i="14"/>
  <c r="T450" i="14" s="1"/>
  <c r="CH434" i="14"/>
  <c r="T434" i="14" s="1"/>
  <c r="CH432" i="14"/>
  <c r="T432" i="14" s="1"/>
  <c r="CH415" i="14"/>
  <c r="T415" i="14" s="1"/>
  <c r="CH534" i="14"/>
  <c r="T534" i="14" s="1"/>
  <c r="CH413" i="14"/>
  <c r="T413" i="14" s="1"/>
  <c r="CH435" i="14"/>
  <c r="T435" i="14" s="1"/>
  <c r="CH532" i="14"/>
  <c r="T532" i="14" s="1"/>
  <c r="CH411" i="14"/>
  <c r="T411" i="14" s="1"/>
  <c r="CH446" i="14"/>
  <c r="T446" i="14" s="1"/>
  <c r="CH406" i="14"/>
  <c r="T406" i="14" s="1"/>
  <c r="CH451" i="14"/>
  <c r="T451" i="14" s="1"/>
  <c r="CH529" i="14"/>
  <c r="T529" i="14" s="1"/>
  <c r="CH449" i="14"/>
  <c r="T449" i="14" s="1"/>
  <c r="CH520" i="14"/>
  <c r="T520" i="14" s="1"/>
  <c r="CH444" i="14"/>
  <c r="T444" i="14" s="1"/>
  <c r="CH544" i="14"/>
  <c r="T544" i="14" s="1"/>
  <c r="CH536" i="14"/>
  <c r="T536" i="14" s="1"/>
  <c r="CH545" i="14"/>
  <c r="T545" i="14" s="1"/>
  <c r="CH439" i="14"/>
  <c r="T439" i="14" s="1"/>
  <c r="CH400" i="14"/>
  <c r="T400" i="14" s="1"/>
  <c r="CH412" i="14"/>
  <c r="T412" i="14" s="1"/>
  <c r="CH437" i="14"/>
  <c r="T437" i="14" s="1"/>
  <c r="CH417" i="14"/>
  <c r="T417" i="14" s="1"/>
  <c r="CH441" i="14"/>
  <c r="T441" i="14" s="1"/>
  <c r="CH526" i="14"/>
  <c r="T526" i="14" s="1"/>
  <c r="CH403" i="14"/>
  <c r="T403" i="14" s="1"/>
  <c r="CH530" i="14"/>
  <c r="T530" i="14" s="1"/>
  <c r="CH436" i="14"/>
  <c r="T436" i="14" s="1"/>
  <c r="CH517" i="14"/>
  <c r="T517" i="14" s="1"/>
  <c r="CH452" i="14"/>
  <c r="T452" i="14" s="1"/>
  <c r="CH416" i="14"/>
  <c r="T416" i="14" s="1"/>
  <c r="CH538" i="14"/>
  <c r="T538" i="14" s="1"/>
  <c r="CH433" i="14"/>
  <c r="T433" i="14" s="1"/>
  <c r="CH521" i="14"/>
  <c r="T521" i="14" s="1"/>
  <c r="CH410" i="14"/>
  <c r="T410" i="14" s="1"/>
  <c r="CH522" i="14"/>
  <c r="T522" i="14" s="1"/>
  <c r="CH404" i="14"/>
  <c r="T404" i="14" s="1"/>
  <c r="CH397" i="14"/>
  <c r="T397" i="14" s="1"/>
  <c r="CH393" i="14"/>
  <c r="T393" i="14" s="1"/>
  <c r="CH542" i="14"/>
  <c r="T542" i="14" s="1"/>
  <c r="CH440" i="14"/>
  <c r="T440" i="14" s="1"/>
  <c r="CH543" i="14"/>
  <c r="T543" i="14" s="1"/>
  <c r="CH398" i="14"/>
  <c r="T398" i="14" s="1"/>
  <c r="CH448" i="14"/>
  <c r="T448" i="14" s="1"/>
  <c r="CH527" i="14"/>
  <c r="T527" i="14" s="1"/>
  <c r="CH430" i="14"/>
  <c r="T430" i="14" s="1"/>
  <c r="CH431" i="14"/>
  <c r="T431" i="14" s="1"/>
  <c r="CH518" i="14"/>
  <c r="T518" i="14" s="1"/>
  <c r="CH395" i="14"/>
  <c r="T395" i="14" s="1"/>
  <c r="CH516" i="14"/>
  <c r="T516" i="14" s="1"/>
  <c r="CH537" i="14"/>
  <c r="T537" i="14" s="1"/>
  <c r="CH438" i="14"/>
  <c r="T438" i="14" s="1"/>
  <c r="CH445" i="14"/>
  <c r="T445" i="14" s="1"/>
  <c r="CH540" i="14"/>
  <c r="T540" i="14" s="1"/>
  <c r="CH414" i="14"/>
  <c r="T414" i="14" s="1"/>
  <c r="CH421" i="14"/>
  <c r="T421" i="14" s="1"/>
  <c r="CH405" i="14"/>
  <c r="T405" i="14" s="1"/>
  <c r="CH519" i="14"/>
  <c r="T519" i="14" s="1"/>
  <c r="CH429" i="14"/>
  <c r="T429" i="14" s="1"/>
  <c r="CH525" i="14"/>
  <c r="T525" i="14" s="1"/>
  <c r="CH427" i="14"/>
  <c r="T427" i="14" s="1"/>
  <c r="CH422" i="14"/>
  <c r="T422" i="14" s="1"/>
  <c r="CH418" i="14"/>
  <c r="T418" i="14" s="1"/>
  <c r="CH442" i="14"/>
  <c r="T442" i="14" s="1"/>
  <c r="CH541" i="14"/>
  <c r="T541" i="14" s="1"/>
  <c r="CH528" i="14"/>
  <c r="T528" i="14" s="1"/>
  <c r="Q17" i="29"/>
  <c r="R17" i="29" s="1"/>
  <c r="AK333" i="1"/>
  <c r="P311" i="1"/>
  <c r="G107" i="20"/>
  <c r="H107" i="20" s="1"/>
  <c r="I107" i="20" s="1"/>
  <c r="D107" i="20" s="1"/>
  <c r="G182" i="20"/>
  <c r="G183" i="22"/>
  <c r="V421" i="1"/>
  <c r="M77" i="19"/>
  <c r="AK379" i="1"/>
  <c r="AN397" i="1"/>
  <c r="AK408" i="1"/>
  <c r="Q64" i="29"/>
  <c r="R64" i="29" s="1"/>
  <c r="AN407" i="1"/>
  <c r="AN339" i="1"/>
  <c r="AK346" i="1"/>
  <c r="AK360" i="1"/>
  <c r="AN353" i="1"/>
  <c r="AN382" i="1"/>
  <c r="AK393" i="1"/>
  <c r="Q99" i="29"/>
  <c r="R99" i="29" s="1"/>
  <c r="AN359" i="1"/>
  <c r="B397" i="1"/>
  <c r="B382" i="1"/>
  <c r="AZ294" i="1"/>
  <c r="Q98" i="29"/>
  <c r="R98" i="29" s="1"/>
  <c r="AN345" i="1"/>
  <c r="Q63" i="29"/>
  <c r="R63" i="29" s="1"/>
  <c r="AN392" i="1"/>
  <c r="Q6" i="29"/>
  <c r="H52" i="28"/>
  <c r="H56" i="28" s="1"/>
  <c r="Q153" i="29" s="1"/>
  <c r="G173" i="18"/>
  <c r="Z120" i="30"/>
  <c r="Z114" i="30"/>
  <c r="Z117" i="30"/>
  <c r="B326" i="1"/>
  <c r="L184" i="19"/>
  <c r="M184" i="19"/>
  <c r="AN428" i="1"/>
  <c r="I184" i="19"/>
  <c r="K184" i="19"/>
  <c r="J107" i="18"/>
  <c r="J111" i="18" s="1"/>
  <c r="P317" i="1"/>
  <c r="G113" i="20"/>
  <c r="H113" i="20" s="1"/>
  <c r="I113" i="20" s="1"/>
  <c r="M182" i="20"/>
  <c r="G172" i="2"/>
  <c r="E188" i="2"/>
  <c r="E173" i="2"/>
  <c r="P427" i="1"/>
  <c r="M183" i="20"/>
  <c r="P315" i="1"/>
  <c r="K182" i="20"/>
  <c r="G111" i="20"/>
  <c r="H111" i="20" s="1"/>
  <c r="I111" i="20" s="1"/>
  <c r="D111" i="20" s="1"/>
  <c r="K107" i="18"/>
  <c r="P313" i="1"/>
  <c r="G109" i="20"/>
  <c r="H109" i="20" s="1"/>
  <c r="I109" i="20" s="1"/>
  <c r="D109" i="20" s="1"/>
  <c r="I182" i="20"/>
  <c r="P423" i="1"/>
  <c r="I183" i="20"/>
  <c r="P316" i="1"/>
  <c r="G112" i="20"/>
  <c r="H112" i="20" s="1"/>
  <c r="I112" i="20" s="1"/>
  <c r="D112" i="20" s="1"/>
  <c r="L182" i="20"/>
  <c r="J184" i="19"/>
  <c r="G117" i="18"/>
  <c r="L107" i="18"/>
  <c r="G114" i="19"/>
  <c r="H114" i="19" s="1"/>
  <c r="I114" i="19" s="1"/>
  <c r="D114" i="19" s="1"/>
  <c r="M318" i="1"/>
  <c r="G182" i="19"/>
  <c r="G160" i="19" s="1"/>
  <c r="G159" i="19" s="1"/>
  <c r="P314" i="1"/>
  <c r="G110" i="20"/>
  <c r="H110" i="20" s="1"/>
  <c r="I110" i="20" s="1"/>
  <c r="D110" i="20" s="1"/>
  <c r="J182" i="20"/>
  <c r="M273" i="1"/>
  <c r="E39" i="19"/>
  <c r="L78" i="19" s="1"/>
  <c r="M78" i="19" s="1"/>
  <c r="E7" i="20"/>
  <c r="L77" i="20" s="1"/>
  <c r="M77" i="20" s="1"/>
  <c r="F112" i="29"/>
  <c r="E183" i="19"/>
  <c r="P422" i="1"/>
  <c r="M431" i="1"/>
  <c r="E48" i="30"/>
  <c r="AZ71" i="30"/>
  <c r="E45" i="30" s="1"/>
  <c r="E46" i="30"/>
  <c r="E47" i="30"/>
  <c r="E44" i="30"/>
  <c r="P425" i="1"/>
  <c r="K183" i="20"/>
  <c r="P312" i="1"/>
  <c r="G108" i="20"/>
  <c r="H108" i="20" s="1"/>
  <c r="I108" i="20" s="1"/>
  <c r="D108" i="20" s="1"/>
  <c r="P426" i="1"/>
  <c r="L183" i="20"/>
  <c r="P424" i="1"/>
  <c r="J183" i="20"/>
  <c r="AH242" i="14"/>
  <c r="AK243" i="14"/>
  <c r="CC243" i="14" s="1"/>
  <c r="G160" i="18"/>
  <c r="E151" i="18" s="1"/>
  <c r="J155" i="18" s="1"/>
  <c r="E182" i="18"/>
  <c r="G184" i="18"/>
  <c r="E184" i="18" s="1"/>
  <c r="N9" i="29" l="1"/>
  <c r="T9" i="29" s="1"/>
  <c r="L17" i="29"/>
  <c r="N128" i="29"/>
  <c r="T128" i="29" s="1"/>
  <c r="B369" i="1"/>
  <c r="B399" i="1" s="1"/>
  <c r="B383" i="1"/>
  <c r="E118" i="30"/>
  <c r="E115" i="30"/>
  <c r="E121" i="30"/>
  <c r="K115" i="30"/>
  <c r="I173" i="21"/>
  <c r="I173" i="18"/>
  <c r="I173" i="20"/>
  <c r="I172" i="20" s="1"/>
  <c r="W118" i="30"/>
  <c r="M173" i="21"/>
  <c r="M173" i="18"/>
  <c r="M173" i="20"/>
  <c r="M172" i="20" s="1"/>
  <c r="T118" i="30"/>
  <c r="L173" i="21"/>
  <c r="L173" i="20"/>
  <c r="L172" i="20" s="1"/>
  <c r="L173" i="18"/>
  <c r="H121" i="30"/>
  <c r="H173" i="21"/>
  <c r="H173" i="20"/>
  <c r="H173" i="18"/>
  <c r="N118" i="30"/>
  <c r="J173" i="21"/>
  <c r="J173" i="18"/>
  <c r="J173" i="20"/>
  <c r="J172" i="20" s="1"/>
  <c r="Q118" i="30"/>
  <c r="K173" i="21"/>
  <c r="K173" i="20"/>
  <c r="K172" i="20" s="1"/>
  <c r="K173" i="18"/>
  <c r="I150" i="18"/>
  <c r="H150" i="18"/>
  <c r="L158" i="18"/>
  <c r="M152" i="18"/>
  <c r="I158" i="18"/>
  <c r="J154" i="18"/>
  <c r="K157" i="18"/>
  <c r="M155" i="18"/>
  <c r="H156" i="18"/>
  <c r="L151" i="18"/>
  <c r="K151" i="18"/>
  <c r="I151" i="18"/>
  <c r="H152" i="18"/>
  <c r="H155" i="18"/>
  <c r="H157" i="18"/>
  <c r="J151" i="18"/>
  <c r="L154" i="18"/>
  <c r="L157" i="18"/>
  <c r="L150" i="18"/>
  <c r="I153" i="18"/>
  <c r="I154" i="18"/>
  <c r="K155" i="18"/>
  <c r="J157" i="18"/>
  <c r="M158" i="18"/>
  <c r="M153" i="18"/>
  <c r="M151" i="18"/>
  <c r="H158" i="18"/>
  <c r="H153" i="18"/>
  <c r="J153" i="18"/>
  <c r="J158" i="18"/>
  <c r="L156" i="18"/>
  <c r="L155" i="18"/>
  <c r="I155" i="18"/>
  <c r="I157" i="18"/>
  <c r="K158" i="18"/>
  <c r="K154" i="18"/>
  <c r="K153" i="18"/>
  <c r="M150" i="18"/>
  <c r="M156" i="18"/>
  <c r="K156" i="18"/>
  <c r="H154" i="18"/>
  <c r="H151" i="18"/>
  <c r="J152" i="18"/>
  <c r="J150" i="18"/>
  <c r="L153" i="18"/>
  <c r="I152" i="18"/>
  <c r="I156" i="18"/>
  <c r="J156" i="18"/>
  <c r="K152" i="18"/>
  <c r="K150" i="18"/>
  <c r="L152" i="18"/>
  <c r="M157" i="18"/>
  <c r="M154" i="18"/>
  <c r="L159" i="19"/>
  <c r="G117" i="19"/>
  <c r="J159" i="19"/>
  <c r="H160" i="20"/>
  <c r="H159" i="20" s="1"/>
  <c r="N17" i="29"/>
  <c r="T17" i="29" s="1"/>
  <c r="E188" i="19"/>
  <c r="E151" i="19" s="1"/>
  <c r="J157" i="19" s="1"/>
  <c r="K159" i="19"/>
  <c r="I159" i="19"/>
  <c r="K160" i="20"/>
  <c r="K159" i="20" s="1"/>
  <c r="J160" i="20"/>
  <c r="J159" i="20" s="1"/>
  <c r="E160" i="19"/>
  <c r="M159" i="19"/>
  <c r="M321" i="1"/>
  <c r="G116" i="20"/>
  <c r="H116" i="20" s="1"/>
  <c r="I116" i="20" s="1"/>
  <c r="D116" i="20" s="1"/>
  <c r="L160" i="20"/>
  <c r="L159" i="20" s="1"/>
  <c r="M160" i="20"/>
  <c r="M159" i="20" s="1"/>
  <c r="G115" i="20"/>
  <c r="H115" i="20" s="1"/>
  <c r="I115" i="20" s="1"/>
  <c r="D115" i="20" s="1"/>
  <c r="AC118" i="30"/>
  <c r="AC115" i="30"/>
  <c r="K121" i="30"/>
  <c r="K118" i="30"/>
  <c r="AN393" i="1"/>
  <c r="H118" i="30"/>
  <c r="H115" i="30"/>
  <c r="H184" i="20"/>
  <c r="AB409" i="1"/>
  <c r="AE409" i="1" s="1"/>
  <c r="AH409" i="1" s="1"/>
  <c r="AK409" i="1" s="1"/>
  <c r="T64" i="29"/>
  <c r="T115" i="30"/>
  <c r="T121" i="30"/>
  <c r="AB394" i="1"/>
  <c r="AE394" i="1" s="1"/>
  <c r="AH394" i="1" s="1"/>
  <c r="AK394" i="1" s="1"/>
  <c r="W121" i="30"/>
  <c r="W115" i="30"/>
  <c r="N121" i="30"/>
  <c r="Q121" i="30"/>
  <c r="Q115" i="30"/>
  <c r="T98" i="29"/>
  <c r="T99" i="29"/>
  <c r="AN360" i="1"/>
  <c r="N115" i="30"/>
  <c r="AB347" i="1"/>
  <c r="AE347" i="1" s="1"/>
  <c r="AH347" i="1" s="1"/>
  <c r="AK347" i="1" s="1"/>
  <c r="AJ393" i="14"/>
  <c r="T63" i="29"/>
  <c r="E17" i="30"/>
  <c r="N153" i="29"/>
  <c r="AJ424" i="14"/>
  <c r="AN346" i="1"/>
  <c r="D93" i="15"/>
  <c r="AJ515" i="14"/>
  <c r="L112" i="29"/>
  <c r="N6" i="29"/>
  <c r="N112" i="29" s="1"/>
  <c r="AB361" i="1"/>
  <c r="AE361" i="1" s="1"/>
  <c r="AH361" i="1" s="1"/>
  <c r="AK361" i="1" s="1"/>
  <c r="D61" i="15"/>
  <c r="Z61" i="15" s="1"/>
  <c r="D89" i="15"/>
  <c r="D26" i="15" s="1"/>
  <c r="G5" i="15"/>
  <c r="D86" i="15"/>
  <c r="D23" i="15" s="1"/>
  <c r="D82" i="15"/>
  <c r="Z82" i="15" s="1"/>
  <c r="D87" i="15"/>
  <c r="D88" i="15"/>
  <c r="D25" i="15" s="1"/>
  <c r="Z25" i="15" s="1"/>
  <c r="D90" i="15"/>
  <c r="D27" i="15" s="1"/>
  <c r="D91" i="15"/>
  <c r="D92" i="15"/>
  <c r="D47" i="15"/>
  <c r="Z47" i="15" s="1"/>
  <c r="D19" i="15"/>
  <c r="Z19" i="15" s="1"/>
  <c r="D85" i="15"/>
  <c r="D22" i="15" s="1"/>
  <c r="D83" i="15"/>
  <c r="D20" i="15" s="1"/>
  <c r="B327" i="1"/>
  <c r="G160" i="20"/>
  <c r="G159" i="20" s="1"/>
  <c r="G184" i="20"/>
  <c r="G183" i="23"/>
  <c r="Y421" i="1"/>
  <c r="S311" i="1"/>
  <c r="G107" i="21"/>
  <c r="H107" i="21" s="1"/>
  <c r="I107" i="21" s="1"/>
  <c r="D107" i="21" s="1"/>
  <c r="G182" i="21"/>
  <c r="J110" i="18"/>
  <c r="J87" i="18" s="1"/>
  <c r="K184" i="20"/>
  <c r="K107" i="19"/>
  <c r="B370" i="1"/>
  <c r="B371" i="1" s="1"/>
  <c r="AN408" i="1"/>
  <c r="Q112" i="29"/>
  <c r="R6" i="29"/>
  <c r="G172" i="18"/>
  <c r="T153" i="29"/>
  <c r="R153" i="29"/>
  <c r="J184" i="20"/>
  <c r="J109" i="18"/>
  <c r="J86" i="18" s="1"/>
  <c r="J88" i="18"/>
  <c r="N300" i="1" s="1"/>
  <c r="K300" i="1" s="1"/>
  <c r="J90" i="18" s="1"/>
  <c r="J108" i="18"/>
  <c r="J85" i="18" s="1"/>
  <c r="L107" i="19"/>
  <c r="H88" i="19" s="1"/>
  <c r="W298" i="1" s="1"/>
  <c r="M184" i="20"/>
  <c r="L184" i="20"/>
  <c r="H117" i="19"/>
  <c r="J107" i="19"/>
  <c r="J88" i="19" s="1"/>
  <c r="W300" i="1" s="1"/>
  <c r="D113" i="20"/>
  <c r="G159" i="18"/>
  <c r="E160" i="18"/>
  <c r="G153" i="18"/>
  <c r="G158" i="18"/>
  <c r="G155" i="18"/>
  <c r="G157" i="18"/>
  <c r="G154" i="18"/>
  <c r="G150" i="18"/>
  <c r="G152" i="18"/>
  <c r="G151" i="18"/>
  <c r="G156" i="18"/>
  <c r="S425" i="1"/>
  <c r="K183" i="21"/>
  <c r="H88" i="18"/>
  <c r="N298" i="1" s="1"/>
  <c r="L110" i="18"/>
  <c r="H87" i="18" s="1"/>
  <c r="L111" i="18"/>
  <c r="L109" i="18"/>
  <c r="H86" i="18" s="1"/>
  <c r="L108" i="18"/>
  <c r="H85" i="18" s="1"/>
  <c r="S423" i="1"/>
  <c r="I183" i="21"/>
  <c r="S313" i="1"/>
  <c r="G109" i="21"/>
  <c r="H109" i="21" s="1"/>
  <c r="I109" i="21" s="1"/>
  <c r="D109" i="21" s="1"/>
  <c r="I182" i="21"/>
  <c r="S317" i="1"/>
  <c r="M182" i="21"/>
  <c r="G113" i="21"/>
  <c r="H113" i="21" s="1"/>
  <c r="I113" i="21" s="1"/>
  <c r="AK244" i="14"/>
  <c r="S424" i="1"/>
  <c r="J183" i="21"/>
  <c r="S312" i="1"/>
  <c r="H182" i="21"/>
  <c r="G108" i="21"/>
  <c r="H108" i="21" s="1"/>
  <c r="I108" i="21" s="1"/>
  <c r="D108" i="21" s="1"/>
  <c r="S315" i="1"/>
  <c r="K182" i="21"/>
  <c r="G111" i="21"/>
  <c r="H111" i="21" s="1"/>
  <c r="I111" i="21" s="1"/>
  <c r="D111" i="21" s="1"/>
  <c r="E151" i="2"/>
  <c r="E138" i="2"/>
  <c r="E164" i="2"/>
  <c r="S426" i="1"/>
  <c r="L183" i="21"/>
  <c r="S422" i="1"/>
  <c r="H183" i="21"/>
  <c r="P431" i="1"/>
  <c r="S314" i="1"/>
  <c r="J182" i="21"/>
  <c r="G110" i="21"/>
  <c r="H110" i="21" s="1"/>
  <c r="I110" i="21" s="1"/>
  <c r="D110" i="21" s="1"/>
  <c r="E182" i="19"/>
  <c r="G184" i="19"/>
  <c r="E184" i="19" s="1"/>
  <c r="I160" i="20"/>
  <c r="E182" i="20"/>
  <c r="K108" i="18"/>
  <c r="I85" i="18" s="1"/>
  <c r="K110" i="18"/>
  <c r="I87" i="18" s="1"/>
  <c r="K111" i="18"/>
  <c r="I88" i="18"/>
  <c r="N299" i="1" s="1"/>
  <c r="K109" i="18"/>
  <c r="I86" i="18" s="1"/>
  <c r="S427" i="1"/>
  <c r="M183" i="21"/>
  <c r="AH243" i="14"/>
  <c r="P273" i="1"/>
  <c r="E39" i="20"/>
  <c r="L78" i="20" s="1"/>
  <c r="M78" i="20" s="1"/>
  <c r="E7" i="21"/>
  <c r="L77" i="21" s="1"/>
  <c r="M77" i="21" s="1"/>
  <c r="G114" i="20"/>
  <c r="H114" i="20" s="1"/>
  <c r="I114" i="20" s="1"/>
  <c r="P318" i="1"/>
  <c r="G116" i="21" s="1"/>
  <c r="H116" i="21" s="1"/>
  <c r="I116" i="21" s="1"/>
  <c r="D116" i="21" s="1"/>
  <c r="S316" i="1"/>
  <c r="G112" i="21"/>
  <c r="H112" i="21" s="1"/>
  <c r="I112" i="21" s="1"/>
  <c r="D112" i="21" s="1"/>
  <c r="L182" i="21"/>
  <c r="I184" i="20"/>
  <c r="E183" i="20"/>
  <c r="BB18" i="30" l="1"/>
  <c r="AZ18" i="30" s="1"/>
  <c r="B384" i="1"/>
  <c r="B401" i="1"/>
  <c r="B386" i="1"/>
  <c r="G184" i="21"/>
  <c r="G160" i="21"/>
  <c r="G159" i="21" s="1"/>
  <c r="J172" i="18"/>
  <c r="J166" i="18"/>
  <c r="J167" i="18"/>
  <c r="H172" i="20"/>
  <c r="E173" i="20"/>
  <c r="M163" i="18"/>
  <c r="M165" i="18"/>
  <c r="M172" i="18"/>
  <c r="I166" i="18"/>
  <c r="I168" i="18"/>
  <c r="I172" i="18"/>
  <c r="I163" i="18"/>
  <c r="E188" i="18"/>
  <c r="E173" i="18"/>
  <c r="K172" i="21"/>
  <c r="K171" i="21"/>
  <c r="K168" i="21"/>
  <c r="K163" i="21"/>
  <c r="J172" i="21"/>
  <c r="J164" i="21"/>
  <c r="J170" i="21"/>
  <c r="H172" i="21"/>
  <c r="H163" i="21"/>
  <c r="H170" i="21"/>
  <c r="H169" i="21"/>
  <c r="E173" i="21"/>
  <c r="E164" i="21"/>
  <c r="K166" i="21" s="1"/>
  <c r="L172" i="21"/>
  <c r="L167" i="21"/>
  <c r="L170" i="21"/>
  <c r="L169" i="21"/>
  <c r="L168" i="21"/>
  <c r="L171" i="21"/>
  <c r="L164" i="21"/>
  <c r="L163" i="21"/>
  <c r="M172" i="21"/>
  <c r="M166" i="21"/>
  <c r="M164" i="21"/>
  <c r="M168" i="21"/>
  <c r="M163" i="21"/>
  <c r="M167" i="21"/>
  <c r="M170" i="21"/>
  <c r="M165" i="21"/>
  <c r="I172" i="21"/>
  <c r="I169" i="21"/>
  <c r="I164" i="21"/>
  <c r="I168" i="21"/>
  <c r="I171" i="21"/>
  <c r="I163" i="21"/>
  <c r="I165" i="21"/>
  <c r="I167" i="21"/>
  <c r="K172" i="18"/>
  <c r="K167" i="18"/>
  <c r="K171" i="18"/>
  <c r="K170" i="18"/>
  <c r="K165" i="18"/>
  <c r="K168" i="18"/>
  <c r="K169" i="18"/>
  <c r="K164" i="18"/>
  <c r="H165" i="18"/>
  <c r="H164" i="18"/>
  <c r="H167" i="18"/>
  <c r="H172" i="18"/>
  <c r="H168" i="18"/>
  <c r="H166" i="18"/>
  <c r="H169" i="18"/>
  <c r="H163" i="18"/>
  <c r="L170" i="18"/>
  <c r="L167" i="18"/>
  <c r="L168" i="18"/>
  <c r="L165" i="18"/>
  <c r="L172" i="18"/>
  <c r="L166" i="18"/>
  <c r="L169" i="18"/>
  <c r="L171" i="18"/>
  <c r="E164" i="18"/>
  <c r="M151" i="19"/>
  <c r="I154" i="19"/>
  <c r="I150" i="19"/>
  <c r="M153" i="19"/>
  <c r="M158" i="19"/>
  <c r="M150" i="19"/>
  <c r="I151" i="19"/>
  <c r="K155" i="19"/>
  <c r="K156" i="19"/>
  <c r="I155" i="19"/>
  <c r="K150" i="19"/>
  <c r="L156" i="19"/>
  <c r="J154" i="19"/>
  <c r="J150" i="19"/>
  <c r="J153" i="19"/>
  <c r="L152" i="19"/>
  <c r="L153" i="19"/>
  <c r="M156" i="19"/>
  <c r="M155" i="19"/>
  <c r="I152" i="19"/>
  <c r="K151" i="19"/>
  <c r="K158" i="19"/>
  <c r="I153" i="19"/>
  <c r="J158" i="19"/>
  <c r="L155" i="19"/>
  <c r="L158" i="19"/>
  <c r="J151" i="19"/>
  <c r="G154" i="19"/>
  <c r="G152" i="19"/>
  <c r="H150" i="19"/>
  <c r="H156" i="19"/>
  <c r="G150" i="19"/>
  <c r="G158" i="19"/>
  <c r="H158" i="19"/>
  <c r="H157" i="19"/>
  <c r="G156" i="19"/>
  <c r="G153" i="19"/>
  <c r="G155" i="19"/>
  <c r="H153" i="19"/>
  <c r="G151" i="19"/>
  <c r="H154" i="19"/>
  <c r="H151" i="19"/>
  <c r="H152" i="19"/>
  <c r="H155" i="19"/>
  <c r="G157" i="19"/>
  <c r="K154" i="19"/>
  <c r="J155" i="19"/>
  <c r="L150" i="19"/>
  <c r="J156" i="19"/>
  <c r="I158" i="19"/>
  <c r="M154" i="19"/>
  <c r="M157" i="19"/>
  <c r="I157" i="19"/>
  <c r="K157" i="19"/>
  <c r="I156" i="19"/>
  <c r="M152" i="19"/>
  <c r="J152" i="19"/>
  <c r="L151" i="19"/>
  <c r="K152" i="19"/>
  <c r="L154" i="19"/>
  <c r="L157" i="19"/>
  <c r="K153" i="19"/>
  <c r="B328" i="1"/>
  <c r="B77" i="29" s="1"/>
  <c r="E138" i="19"/>
  <c r="E164" i="19"/>
  <c r="B400" i="1"/>
  <c r="J160" i="21"/>
  <c r="K160" i="21"/>
  <c r="L160" i="21"/>
  <c r="L159" i="21" s="1"/>
  <c r="I160" i="21"/>
  <c r="G115" i="21"/>
  <c r="H115" i="21" s="1"/>
  <c r="I115" i="21" s="1"/>
  <c r="M160" i="21"/>
  <c r="I165" i="19"/>
  <c r="I167" i="19"/>
  <c r="L170" i="19"/>
  <c r="L171" i="19"/>
  <c r="L163" i="19"/>
  <c r="K169" i="19"/>
  <c r="K171" i="19"/>
  <c r="K164" i="19"/>
  <c r="I166" i="19"/>
  <c r="L167" i="19"/>
  <c r="K170" i="19"/>
  <c r="I169" i="19"/>
  <c r="K168" i="19"/>
  <c r="I168" i="19"/>
  <c r="I170" i="19"/>
  <c r="I163" i="19"/>
  <c r="L168" i="19"/>
  <c r="L169" i="19"/>
  <c r="K165" i="19"/>
  <c r="K167" i="19"/>
  <c r="I164" i="19"/>
  <c r="L166" i="19"/>
  <c r="K163" i="19"/>
  <c r="I171" i="19"/>
  <c r="L164" i="19"/>
  <c r="L165" i="19"/>
  <c r="K166" i="19"/>
  <c r="J166" i="19"/>
  <c r="J164" i="19"/>
  <c r="J167" i="19"/>
  <c r="J170" i="19"/>
  <c r="J165" i="19"/>
  <c r="J171" i="19"/>
  <c r="J163" i="19"/>
  <c r="J169" i="19"/>
  <c r="J168" i="19"/>
  <c r="M170" i="19"/>
  <c r="M167" i="19"/>
  <c r="M168" i="19"/>
  <c r="M169" i="19"/>
  <c r="M171" i="19"/>
  <c r="M163" i="19"/>
  <c r="M164" i="19"/>
  <c r="M166" i="19"/>
  <c r="M165" i="19"/>
  <c r="D30" i="15"/>
  <c r="Z30" i="15" s="1"/>
  <c r="Z93" i="15"/>
  <c r="Z27" i="15"/>
  <c r="D28" i="15"/>
  <c r="F28" i="15" s="1"/>
  <c r="R91" i="15"/>
  <c r="V91" i="15"/>
  <c r="Z91" i="15"/>
  <c r="T91" i="15"/>
  <c r="X91" i="15"/>
  <c r="Q91" i="15"/>
  <c r="Y91" i="15"/>
  <c r="S91" i="15"/>
  <c r="U91" i="15"/>
  <c r="W91" i="15"/>
  <c r="D24" i="15"/>
  <c r="Z24" i="15" s="1"/>
  <c r="Z87" i="15"/>
  <c r="R89" i="15"/>
  <c r="V89" i="15"/>
  <c r="Z89" i="15"/>
  <c r="T89" i="15"/>
  <c r="X89" i="15"/>
  <c r="Q89" i="15"/>
  <c r="Y89" i="15"/>
  <c r="S89" i="15"/>
  <c r="U89" i="15"/>
  <c r="W89" i="15"/>
  <c r="Z26" i="15"/>
  <c r="R90" i="15"/>
  <c r="V90" i="15"/>
  <c r="Z90" i="15"/>
  <c r="T90" i="15"/>
  <c r="X90" i="15"/>
  <c r="Q90" i="15"/>
  <c r="Y90" i="15"/>
  <c r="S90" i="15"/>
  <c r="W90" i="15"/>
  <c r="U90" i="15"/>
  <c r="Z23" i="15"/>
  <c r="D29" i="15"/>
  <c r="Z92" i="15"/>
  <c r="Z88" i="15"/>
  <c r="Z86" i="15"/>
  <c r="D94" i="15"/>
  <c r="Z85" i="15"/>
  <c r="F19" i="15"/>
  <c r="F26" i="15"/>
  <c r="F27" i="15"/>
  <c r="F25" i="15"/>
  <c r="B355" i="1"/>
  <c r="B341" i="1"/>
  <c r="F23" i="15"/>
  <c r="Z83" i="15"/>
  <c r="F22" i="15"/>
  <c r="Z22" i="15"/>
  <c r="AK245" i="14"/>
  <c r="AH245" i="14" s="1"/>
  <c r="CC244" i="14"/>
  <c r="K109" i="19"/>
  <c r="I86" i="19" s="1"/>
  <c r="I88" i="19"/>
  <c r="W299" i="1" s="1"/>
  <c r="G183" i="24"/>
  <c r="AB421" i="1"/>
  <c r="G182" i="22"/>
  <c r="G107" i="22"/>
  <c r="H107" i="22" s="1"/>
  <c r="I107" i="22" s="1"/>
  <c r="D107" i="22" s="1"/>
  <c r="V311" i="1"/>
  <c r="D114" i="20"/>
  <c r="H117" i="20" s="1"/>
  <c r="K110" i="19"/>
  <c r="I87" i="19" s="1"/>
  <c r="K111" i="19"/>
  <c r="K108" i="19"/>
  <c r="I85" i="19" s="1"/>
  <c r="B385" i="1"/>
  <c r="B372" i="1"/>
  <c r="J111" i="19"/>
  <c r="E184" i="20"/>
  <c r="L109" i="19"/>
  <c r="H86" i="19" s="1"/>
  <c r="L111" i="19"/>
  <c r="R112" i="29"/>
  <c r="T6" i="29"/>
  <c r="H165" i="2"/>
  <c r="H171" i="2"/>
  <c r="J167" i="2"/>
  <c r="J163" i="2"/>
  <c r="L166" i="2"/>
  <c r="L165" i="2"/>
  <c r="L171" i="2"/>
  <c r="M170" i="2"/>
  <c r="M168" i="2"/>
  <c r="K171" i="2"/>
  <c r="K163" i="2"/>
  <c r="K164" i="2"/>
  <c r="I166" i="2"/>
  <c r="I164" i="2"/>
  <c r="M164" i="2"/>
  <c r="K166" i="2"/>
  <c r="I165" i="2"/>
  <c r="H168" i="2"/>
  <c r="H169" i="2"/>
  <c r="H163" i="2"/>
  <c r="J166" i="2"/>
  <c r="J171" i="2"/>
  <c r="L164" i="2"/>
  <c r="L163" i="2"/>
  <c r="M169" i="2"/>
  <c r="M167" i="2"/>
  <c r="K170" i="2"/>
  <c r="K169" i="2"/>
  <c r="I169" i="2"/>
  <c r="I171" i="2"/>
  <c r="H166" i="2"/>
  <c r="H170" i="2"/>
  <c r="J169" i="2"/>
  <c r="J164" i="2"/>
  <c r="L169" i="2"/>
  <c r="L168" i="2"/>
  <c r="K167" i="2"/>
  <c r="I167" i="2"/>
  <c r="H167" i="2"/>
  <c r="H164" i="2"/>
  <c r="J168" i="2"/>
  <c r="J170" i="2"/>
  <c r="L170" i="2"/>
  <c r="L167" i="2"/>
  <c r="M165" i="2"/>
  <c r="M166" i="2"/>
  <c r="M171" i="2"/>
  <c r="K168" i="2"/>
  <c r="K165" i="2"/>
  <c r="I170" i="2"/>
  <c r="I168" i="2"/>
  <c r="I163" i="2"/>
  <c r="J165" i="2"/>
  <c r="M163" i="2"/>
  <c r="P300" i="1"/>
  <c r="J91" i="18" s="1"/>
  <c r="J108" i="19"/>
  <c r="J85" i="19" s="1"/>
  <c r="J110" i="19"/>
  <c r="J87" i="19" s="1"/>
  <c r="L108" i="19"/>
  <c r="H85" i="19" s="1"/>
  <c r="L110" i="19"/>
  <c r="H87" i="19" s="1"/>
  <c r="D113" i="21"/>
  <c r="J109" i="19"/>
  <c r="J86" i="19" s="1"/>
  <c r="J112" i="18"/>
  <c r="I184" i="21"/>
  <c r="I159" i="20"/>
  <c r="E160" i="20"/>
  <c r="E188" i="20"/>
  <c r="H160" i="21"/>
  <c r="E182" i="21"/>
  <c r="V317" i="1"/>
  <c r="M182" i="22"/>
  <c r="M160" i="22" s="1"/>
  <c r="G113" i="22"/>
  <c r="H113" i="22" s="1"/>
  <c r="I113" i="22" s="1"/>
  <c r="D113" i="22" s="1"/>
  <c r="V313" i="1"/>
  <c r="I182" i="22"/>
  <c r="I160" i="22" s="1"/>
  <c r="G109" i="22"/>
  <c r="H109" i="22" s="1"/>
  <c r="I109" i="22" s="1"/>
  <c r="D109" i="22" s="1"/>
  <c r="V423" i="1"/>
  <c r="I183" i="22"/>
  <c r="V314" i="1"/>
  <c r="J182" i="22"/>
  <c r="J160" i="22" s="1"/>
  <c r="G110" i="22"/>
  <c r="H110" i="22" s="1"/>
  <c r="I110" i="22" s="1"/>
  <c r="D110" i="22" s="1"/>
  <c r="T300" i="1"/>
  <c r="J90" i="19" s="1"/>
  <c r="Y300" i="1"/>
  <c r="J91" i="19" s="1"/>
  <c r="M155" i="2"/>
  <c r="G156" i="2"/>
  <c r="L158" i="2"/>
  <c r="L155" i="2"/>
  <c r="M158" i="2"/>
  <c r="M150" i="2"/>
  <c r="J152" i="2"/>
  <c r="M157" i="2"/>
  <c r="G152" i="2"/>
  <c r="M154" i="2"/>
  <c r="L152" i="2"/>
  <c r="G158" i="2"/>
  <c r="L153" i="2"/>
  <c r="J158" i="2"/>
  <c r="M153" i="2"/>
  <c r="J151" i="2"/>
  <c r="I155" i="2"/>
  <c r="I154" i="2"/>
  <c r="I152" i="2"/>
  <c r="J155" i="2"/>
  <c r="I151" i="2"/>
  <c r="I158" i="2"/>
  <c r="M152" i="2"/>
  <c r="L150" i="2"/>
  <c r="L154" i="2"/>
  <c r="I150" i="2"/>
  <c r="I157" i="2"/>
  <c r="K155" i="2"/>
  <c r="M156" i="2"/>
  <c r="K154" i="2"/>
  <c r="M151" i="2"/>
  <c r="H156" i="2"/>
  <c r="K156" i="2"/>
  <c r="G155" i="2"/>
  <c r="G154" i="2"/>
  <c r="G151" i="2"/>
  <c r="K152" i="2"/>
  <c r="L157" i="2"/>
  <c r="G153" i="2"/>
  <c r="H151" i="2"/>
  <c r="G150" i="2"/>
  <c r="G157" i="2"/>
  <c r="K150" i="2"/>
  <c r="K153" i="2"/>
  <c r="I153" i="2"/>
  <c r="K151" i="2"/>
  <c r="J156" i="2"/>
  <c r="H153" i="2"/>
  <c r="J153" i="2"/>
  <c r="L151" i="2"/>
  <c r="K158" i="2"/>
  <c r="J154" i="2"/>
  <c r="H158" i="2"/>
  <c r="H152" i="2"/>
  <c r="L156" i="2"/>
  <c r="H154" i="2"/>
  <c r="J157" i="2"/>
  <c r="H155" i="2"/>
  <c r="I156" i="2"/>
  <c r="H157" i="2"/>
  <c r="H150" i="2"/>
  <c r="J150" i="2"/>
  <c r="K157" i="2"/>
  <c r="V425" i="1"/>
  <c r="K183" i="22"/>
  <c r="H184" i="21"/>
  <c r="E183" i="21"/>
  <c r="L184" i="21"/>
  <c r="G168" i="2"/>
  <c r="G170" i="2"/>
  <c r="G169" i="2"/>
  <c r="G171" i="2"/>
  <c r="G164" i="2"/>
  <c r="G166" i="2"/>
  <c r="G163" i="2"/>
  <c r="G165" i="2"/>
  <c r="G167" i="2"/>
  <c r="V312" i="1"/>
  <c r="H182" i="22"/>
  <c r="G108" i="22"/>
  <c r="H108" i="22" s="1"/>
  <c r="I108" i="22" s="1"/>
  <c r="D108" i="22" s="1"/>
  <c r="V316" i="1"/>
  <c r="G112" i="22"/>
  <c r="H112" i="22" s="1"/>
  <c r="I112" i="22" s="1"/>
  <c r="D112" i="22" s="1"/>
  <c r="L182" i="22"/>
  <c r="L160" i="22" s="1"/>
  <c r="P299" i="1"/>
  <c r="I91" i="18" s="1"/>
  <c r="K299" i="1"/>
  <c r="I90" i="18" s="1"/>
  <c r="V424" i="1"/>
  <c r="J183" i="22"/>
  <c r="S318" i="1"/>
  <c r="G116" i="22" s="1"/>
  <c r="H116" i="22" s="1"/>
  <c r="I116" i="22" s="1"/>
  <c r="G114" i="21"/>
  <c r="H114" i="21" s="1"/>
  <c r="I114" i="21" s="1"/>
  <c r="M184" i="21"/>
  <c r="S273" i="1"/>
  <c r="E39" i="21"/>
  <c r="L78" i="21" s="1"/>
  <c r="M78" i="21" s="1"/>
  <c r="E7" i="22"/>
  <c r="L77" i="22" s="1"/>
  <c r="M77" i="22" s="1"/>
  <c r="V427" i="1"/>
  <c r="M183" i="22"/>
  <c r="V422" i="1"/>
  <c r="H183" i="22"/>
  <c r="S431" i="1"/>
  <c r="V426" i="1"/>
  <c r="L183" i="22"/>
  <c r="M140" i="2"/>
  <c r="K144" i="2"/>
  <c r="K137" i="2"/>
  <c r="K143" i="2"/>
  <c r="G140" i="2"/>
  <c r="M144" i="2"/>
  <c r="M137" i="2"/>
  <c r="M143" i="2"/>
  <c r="M141" i="2"/>
  <c r="K141" i="2"/>
  <c r="K142" i="2"/>
  <c r="J144" i="2"/>
  <c r="I139" i="2"/>
  <c r="H140" i="2"/>
  <c r="I140" i="2"/>
  <c r="L139" i="2"/>
  <c r="H143" i="2"/>
  <c r="L141" i="2"/>
  <c r="H144" i="2"/>
  <c r="I142" i="2"/>
  <c r="I143" i="2"/>
  <c r="H139" i="2"/>
  <c r="K139" i="2"/>
  <c r="H141" i="2"/>
  <c r="H138" i="2"/>
  <c r="L138" i="2"/>
  <c r="L143" i="2"/>
  <c r="L142" i="2"/>
  <c r="I138" i="2"/>
  <c r="K145" i="2"/>
  <c r="I141" i="2"/>
  <c r="G142" i="2"/>
  <c r="G144" i="2"/>
  <c r="G138" i="2"/>
  <c r="G141" i="2"/>
  <c r="J140" i="2"/>
  <c r="L144" i="2"/>
  <c r="G145" i="2"/>
  <c r="G139" i="2"/>
  <c r="I144" i="2"/>
  <c r="I137" i="2"/>
  <c r="H142" i="2"/>
  <c r="I145" i="2"/>
  <c r="L145" i="2"/>
  <c r="M138" i="2"/>
  <c r="H137" i="2"/>
  <c r="M142" i="2"/>
  <c r="J139" i="2"/>
  <c r="L137" i="2"/>
  <c r="G143" i="2"/>
  <c r="M139" i="2"/>
  <c r="J141" i="2"/>
  <c r="K138" i="2"/>
  <c r="J137" i="2"/>
  <c r="L140" i="2"/>
  <c r="J138" i="2"/>
  <c r="J143" i="2"/>
  <c r="G137" i="2"/>
  <c r="H145" i="2"/>
  <c r="J145" i="2"/>
  <c r="K140" i="2"/>
  <c r="J142" i="2"/>
  <c r="M145" i="2"/>
  <c r="V315" i="1"/>
  <c r="K182" i="22"/>
  <c r="K160" i="22" s="1"/>
  <c r="G111" i="22"/>
  <c r="H111" i="22" s="1"/>
  <c r="I111" i="22" s="1"/>
  <c r="D111" i="22" s="1"/>
  <c r="P321" i="1"/>
  <c r="J184" i="21"/>
  <c r="AH244" i="14"/>
  <c r="P298" i="1"/>
  <c r="K298" i="1"/>
  <c r="Y298" i="1"/>
  <c r="T298" i="1"/>
  <c r="K184" i="21"/>
  <c r="H69" i="29" l="1"/>
  <c r="Q69" i="29"/>
  <c r="I73" i="29"/>
  <c r="C69" i="29"/>
  <c r="O73" i="29"/>
  <c r="B73" i="29"/>
  <c r="G69" i="29"/>
  <c r="B69" i="29"/>
  <c r="D73" i="29"/>
  <c r="M73" i="29"/>
  <c r="O69" i="29"/>
  <c r="M69" i="29"/>
  <c r="I69" i="29"/>
  <c r="P69" i="29"/>
  <c r="G184" i="22"/>
  <c r="G160" i="22"/>
  <c r="M77" i="29"/>
  <c r="P93" i="29"/>
  <c r="P95" i="29" s="1"/>
  <c r="I89" i="29"/>
  <c r="I91" i="29" s="1"/>
  <c r="G163" i="18"/>
  <c r="G169" i="18"/>
  <c r="G167" i="18"/>
  <c r="G168" i="18"/>
  <c r="G171" i="18"/>
  <c r="G170" i="18"/>
  <c r="G165" i="18"/>
  <c r="G166" i="18"/>
  <c r="G164" i="18"/>
  <c r="L164" i="18"/>
  <c r="L163" i="18"/>
  <c r="H171" i="18"/>
  <c r="H170" i="18"/>
  <c r="K163" i="18"/>
  <c r="K166" i="18"/>
  <c r="I170" i="21"/>
  <c r="I166" i="21"/>
  <c r="M169" i="21"/>
  <c r="M171" i="21"/>
  <c r="L165" i="21"/>
  <c r="L166" i="21"/>
  <c r="H171" i="21"/>
  <c r="H168" i="21"/>
  <c r="J165" i="21"/>
  <c r="J169" i="21"/>
  <c r="K167" i="21"/>
  <c r="I170" i="18"/>
  <c r="I169" i="18"/>
  <c r="I171" i="18"/>
  <c r="M168" i="18"/>
  <c r="M166" i="18"/>
  <c r="J169" i="18"/>
  <c r="J171" i="18"/>
  <c r="G164" i="19"/>
  <c r="G169" i="19"/>
  <c r="G163" i="19"/>
  <c r="G165" i="19"/>
  <c r="G168" i="19"/>
  <c r="G171" i="19"/>
  <c r="G166" i="19"/>
  <c r="G167" i="19"/>
  <c r="G170" i="19"/>
  <c r="G168" i="21"/>
  <c r="G163" i="21"/>
  <c r="G164" i="21"/>
  <c r="G171" i="21"/>
  <c r="G169" i="21"/>
  <c r="G170" i="21"/>
  <c r="G166" i="21"/>
  <c r="G167" i="21"/>
  <c r="G165" i="21"/>
  <c r="H164" i="21"/>
  <c r="H167" i="21"/>
  <c r="J168" i="21"/>
  <c r="J163" i="21"/>
  <c r="J171" i="21"/>
  <c r="K169" i="21"/>
  <c r="K170" i="21"/>
  <c r="I164" i="18"/>
  <c r="M164" i="18"/>
  <c r="M170" i="18"/>
  <c r="J163" i="18"/>
  <c r="J170" i="18"/>
  <c r="J168" i="18"/>
  <c r="H166" i="21"/>
  <c r="H165" i="21"/>
  <c r="J166" i="21"/>
  <c r="J167" i="21"/>
  <c r="K165" i="21"/>
  <c r="K164" i="21"/>
  <c r="I167" i="18"/>
  <c r="I165" i="18"/>
  <c r="M169" i="18"/>
  <c r="M171" i="18"/>
  <c r="M167" i="18"/>
  <c r="J164" i="18"/>
  <c r="J165" i="18"/>
  <c r="P81" i="29"/>
  <c r="L85" i="29"/>
  <c r="L87" i="29" s="1"/>
  <c r="C81" i="29"/>
  <c r="H93" i="29"/>
  <c r="H95" i="29" s="1"/>
  <c r="B89" i="29"/>
  <c r="Q93" i="29"/>
  <c r="Q95" i="29" s="1"/>
  <c r="E81" i="29"/>
  <c r="I85" i="29"/>
  <c r="I86" i="29" s="1"/>
  <c r="O77" i="29"/>
  <c r="L89" i="29"/>
  <c r="L90" i="29" s="1"/>
  <c r="M85" i="29"/>
  <c r="M86" i="29" s="1"/>
  <c r="L93" i="29"/>
  <c r="L95" i="29" s="1"/>
  <c r="Q77" i="29"/>
  <c r="O81" i="29"/>
  <c r="D93" i="29"/>
  <c r="D94" i="29" s="1"/>
  <c r="K81" i="29"/>
  <c r="K89" i="29"/>
  <c r="K90" i="29" s="1"/>
  <c r="Q89" i="29"/>
  <c r="Q91" i="29" s="1"/>
  <c r="I93" i="29"/>
  <c r="I95" i="29" s="1"/>
  <c r="K85" i="29"/>
  <c r="K86" i="29" s="1"/>
  <c r="H81" i="29"/>
  <c r="C89" i="29"/>
  <c r="P89" i="29"/>
  <c r="P91" i="29" s="1"/>
  <c r="Q85" i="29"/>
  <c r="Q87" i="29" s="1"/>
  <c r="G93" i="29"/>
  <c r="G94" i="29" s="1"/>
  <c r="G77" i="29"/>
  <c r="C77" i="29"/>
  <c r="L77" i="29"/>
  <c r="B81" i="29"/>
  <c r="B93" i="29"/>
  <c r="O89" i="29"/>
  <c r="H85" i="29"/>
  <c r="H86" i="29" s="1"/>
  <c r="D81" i="29"/>
  <c r="E85" i="29"/>
  <c r="E86" i="29" s="1"/>
  <c r="G85" i="29"/>
  <c r="I81" i="29"/>
  <c r="Q81" i="29"/>
  <c r="H89" i="29"/>
  <c r="H90" i="29" s="1"/>
  <c r="O93" i="29"/>
  <c r="O95" i="29" s="1"/>
  <c r="G89" i="29"/>
  <c r="M89" i="29"/>
  <c r="M90" i="29" s="1"/>
  <c r="P85" i="29"/>
  <c r="P86" i="29" s="1"/>
  <c r="H77" i="29"/>
  <c r="K77" i="29"/>
  <c r="P77" i="29"/>
  <c r="R77" i="29" s="1"/>
  <c r="B85" i="29"/>
  <c r="M81" i="29"/>
  <c r="D85" i="29"/>
  <c r="D86" i="29" s="1"/>
  <c r="G81" i="29"/>
  <c r="C85" i="29"/>
  <c r="C93" i="29"/>
  <c r="C95" i="29" s="1"/>
  <c r="O85" i="29"/>
  <c r="O86" i="29" s="1"/>
  <c r="M93" i="29"/>
  <c r="M95" i="29" s="1"/>
  <c r="K93" i="29"/>
  <c r="E93" i="29"/>
  <c r="E94" i="29" s="1"/>
  <c r="D89" i="29"/>
  <c r="D91" i="29" s="1"/>
  <c r="L81" i="29"/>
  <c r="E89" i="29"/>
  <c r="E91" i="29" s="1"/>
  <c r="I77" i="29"/>
  <c r="E77" i="29"/>
  <c r="D77" i="29"/>
  <c r="G141" i="19"/>
  <c r="G143" i="19"/>
  <c r="G145" i="19"/>
  <c r="G138" i="19"/>
  <c r="G137" i="19"/>
  <c r="G140" i="19"/>
  <c r="G144" i="19"/>
  <c r="G142" i="19"/>
  <c r="G139" i="19"/>
  <c r="K140" i="19"/>
  <c r="K145" i="19"/>
  <c r="K143" i="19"/>
  <c r="M141" i="19"/>
  <c r="J140" i="19"/>
  <c r="I141" i="19"/>
  <c r="I143" i="19"/>
  <c r="I144" i="19"/>
  <c r="L143" i="19"/>
  <c r="L141" i="19"/>
  <c r="L140" i="19"/>
  <c r="H138" i="19"/>
  <c r="H143" i="19"/>
  <c r="H139" i="19"/>
  <c r="K137" i="19"/>
  <c r="M143" i="19"/>
  <c r="J138" i="19"/>
  <c r="I145" i="19"/>
  <c r="K144" i="19"/>
  <c r="K141" i="19"/>
  <c r="M139" i="19"/>
  <c r="M140" i="19"/>
  <c r="M144" i="19"/>
  <c r="J141" i="19"/>
  <c r="J145" i="19"/>
  <c r="J139" i="19"/>
  <c r="I137" i="19"/>
  <c r="I142" i="19"/>
  <c r="L142" i="19"/>
  <c r="L137" i="19"/>
  <c r="L144" i="19"/>
  <c r="H142" i="19"/>
  <c r="H144" i="19"/>
  <c r="H140" i="19"/>
  <c r="K139" i="19"/>
  <c r="M142" i="19"/>
  <c r="J144" i="19"/>
  <c r="I140" i="19"/>
  <c r="L138" i="19"/>
  <c r="K142" i="19"/>
  <c r="K138" i="19"/>
  <c r="M145" i="19"/>
  <c r="M138" i="19"/>
  <c r="J143" i="19"/>
  <c r="J137" i="19"/>
  <c r="I139" i="19"/>
  <c r="I138" i="19"/>
  <c r="L139" i="19"/>
  <c r="H145" i="19"/>
  <c r="M137" i="19"/>
  <c r="J142" i="19"/>
  <c r="L145" i="19"/>
  <c r="H141" i="19"/>
  <c r="H137" i="19"/>
  <c r="J159" i="21"/>
  <c r="C73" i="29"/>
  <c r="G73" i="29"/>
  <c r="H73" i="29"/>
  <c r="Q73" i="29"/>
  <c r="E69" i="29"/>
  <c r="K69" i="29"/>
  <c r="L69" i="29"/>
  <c r="K73" i="29"/>
  <c r="P73" i="29"/>
  <c r="E73" i="29"/>
  <c r="L73" i="29"/>
  <c r="D69" i="29"/>
  <c r="K159" i="21"/>
  <c r="M159" i="21"/>
  <c r="I159" i="21"/>
  <c r="E151" i="21"/>
  <c r="M150" i="21" s="1"/>
  <c r="G115" i="22"/>
  <c r="H115" i="22" s="1"/>
  <c r="I115" i="22" s="1"/>
  <c r="E188" i="21"/>
  <c r="E160" i="21"/>
  <c r="F30" i="15"/>
  <c r="F24" i="15"/>
  <c r="Z29" i="15"/>
  <c r="R28" i="15"/>
  <c r="V28" i="15"/>
  <c r="Z28" i="15"/>
  <c r="Q28" i="15"/>
  <c r="U28" i="15"/>
  <c r="Y28" i="15"/>
  <c r="T28" i="15"/>
  <c r="X28" i="15"/>
  <c r="W28" i="15"/>
  <c r="S28" i="15"/>
  <c r="D31" i="15"/>
  <c r="F31" i="15" s="1"/>
  <c r="F29" i="15"/>
  <c r="Z94" i="15"/>
  <c r="F20" i="15"/>
  <c r="Z20" i="15"/>
  <c r="AK246" i="14"/>
  <c r="AK247" i="14" s="1"/>
  <c r="CC247" i="14" s="1"/>
  <c r="CC245" i="14"/>
  <c r="L107" i="20"/>
  <c r="H88" i="20" s="1"/>
  <c r="AF298" i="1" s="1"/>
  <c r="AC298" i="1" s="1"/>
  <c r="H90" i="20" s="1"/>
  <c r="J107" i="20"/>
  <c r="J109" i="20" s="1"/>
  <c r="J86" i="20" s="1"/>
  <c r="K107" i="20"/>
  <c r="I88" i="20" s="1"/>
  <c r="AF299" i="1" s="1"/>
  <c r="AC299" i="1" s="1"/>
  <c r="I90" i="20" s="1"/>
  <c r="G117" i="20"/>
  <c r="G183" i="25"/>
  <c r="AE421" i="1"/>
  <c r="Y311" i="1"/>
  <c r="G107" i="23"/>
  <c r="H107" i="23" s="1"/>
  <c r="I107" i="23" s="1"/>
  <c r="D107" i="23" s="1"/>
  <c r="G182" i="23"/>
  <c r="T299" i="1"/>
  <c r="I90" i="19" s="1"/>
  <c r="Y299" i="1"/>
  <c r="I91" i="19" s="1"/>
  <c r="J112" i="19"/>
  <c r="B402" i="1"/>
  <c r="D114" i="21"/>
  <c r="D115" i="21" s="1"/>
  <c r="B387" i="1"/>
  <c r="B373" i="1"/>
  <c r="L26" i="29" s="1"/>
  <c r="T112" i="29"/>
  <c r="R111" i="29" s="1"/>
  <c r="BB17" i="30"/>
  <c r="AZ17" i="30" s="1"/>
  <c r="M184" i="22"/>
  <c r="L184" i="22"/>
  <c r="J184" i="22"/>
  <c r="Y317" i="1"/>
  <c r="G113" i="23"/>
  <c r="H113" i="23" s="1"/>
  <c r="I113" i="23" s="1"/>
  <c r="D113" i="23" s="1"/>
  <c r="M182" i="23"/>
  <c r="M160" i="23" s="1"/>
  <c r="H184" i="22"/>
  <c r="E183" i="22"/>
  <c r="V318" i="1"/>
  <c r="G114" i="22"/>
  <c r="H114" i="22" s="1"/>
  <c r="I114" i="22" s="1"/>
  <c r="D114" i="22" s="1"/>
  <c r="Y424" i="1"/>
  <c r="J183" i="23"/>
  <c r="Y316" i="1"/>
  <c r="G112" i="23"/>
  <c r="H112" i="23" s="1"/>
  <c r="I112" i="23" s="1"/>
  <c r="D112" i="23" s="1"/>
  <c r="L182" i="23"/>
  <c r="L160" i="23" s="1"/>
  <c r="H160" i="22"/>
  <c r="E182" i="22"/>
  <c r="Y314" i="1"/>
  <c r="G110" i="23"/>
  <c r="H110" i="23" s="1"/>
  <c r="I110" i="23" s="1"/>
  <c r="D110" i="23" s="1"/>
  <c r="J182" i="23"/>
  <c r="J160" i="23" s="1"/>
  <c r="H90" i="18"/>
  <c r="K90" i="18" s="1"/>
  <c r="K301" i="1"/>
  <c r="Y427" i="1"/>
  <c r="M183" i="23"/>
  <c r="J159" i="22"/>
  <c r="Y423" i="1"/>
  <c r="I183" i="23"/>
  <c r="H90" i="19"/>
  <c r="Y426" i="1"/>
  <c r="L183" i="23"/>
  <c r="K184" i="22"/>
  <c r="I159" i="22"/>
  <c r="H159" i="21"/>
  <c r="E138" i="20"/>
  <c r="E151" i="20"/>
  <c r="E164" i="20"/>
  <c r="H91" i="18"/>
  <c r="K91" i="18" s="1"/>
  <c r="P301" i="1"/>
  <c r="E7" i="23"/>
  <c r="L77" i="23" s="1"/>
  <c r="M77" i="23" s="1"/>
  <c r="E39" i="22"/>
  <c r="L78" i="22" s="1"/>
  <c r="M78" i="22" s="1"/>
  <c r="V273" i="1"/>
  <c r="H91" i="19"/>
  <c r="K159" i="22"/>
  <c r="Y422" i="1"/>
  <c r="H183" i="23"/>
  <c r="V431" i="1"/>
  <c r="Y312" i="1"/>
  <c r="H182" i="23"/>
  <c r="G108" i="23"/>
  <c r="H108" i="23" s="1"/>
  <c r="I108" i="23" s="1"/>
  <c r="D108" i="23" s="1"/>
  <c r="Y315" i="1"/>
  <c r="G111" i="23"/>
  <c r="H111" i="23" s="1"/>
  <c r="I111" i="23" s="1"/>
  <c r="D111" i="23" s="1"/>
  <c r="K182" i="23"/>
  <c r="K160" i="23" s="1"/>
  <c r="L159" i="22"/>
  <c r="S321" i="1"/>
  <c r="E184" i="21"/>
  <c r="Y425" i="1"/>
  <c r="K183" i="23"/>
  <c r="I184" i="22"/>
  <c r="Y313" i="1"/>
  <c r="I182" i="23"/>
  <c r="I160" i="23" s="1"/>
  <c r="G109" i="23"/>
  <c r="H109" i="23" s="1"/>
  <c r="I109" i="23" s="1"/>
  <c r="D109" i="23" s="1"/>
  <c r="M159" i="22"/>
  <c r="H30" i="29" l="1"/>
  <c r="E34" i="29"/>
  <c r="D34" i="29"/>
  <c r="G184" i="23"/>
  <c r="G160" i="23"/>
  <c r="G159" i="22"/>
  <c r="E151" i="22"/>
  <c r="G157" i="22" s="1"/>
  <c r="E160" i="22"/>
  <c r="E188" i="22"/>
  <c r="N77" i="29"/>
  <c r="R89" i="29"/>
  <c r="J89" i="29"/>
  <c r="N81" i="29"/>
  <c r="R81" i="29"/>
  <c r="J85" i="29"/>
  <c r="F81" i="29"/>
  <c r="N93" i="29"/>
  <c r="F85" i="29"/>
  <c r="F89" i="29"/>
  <c r="J81" i="29"/>
  <c r="I90" i="29"/>
  <c r="H94" i="29"/>
  <c r="P94" i="29"/>
  <c r="Q90" i="29"/>
  <c r="K91" i="29"/>
  <c r="E95" i="29"/>
  <c r="L86" i="29"/>
  <c r="N86" i="29" s="1"/>
  <c r="H87" i="29"/>
  <c r="O87" i="29"/>
  <c r="I87" i="29"/>
  <c r="H153" i="21"/>
  <c r="G95" i="29"/>
  <c r="J95" i="29" s="1"/>
  <c r="G90" i="29"/>
  <c r="D87" i="29"/>
  <c r="H155" i="21"/>
  <c r="E87" i="29"/>
  <c r="K95" i="29"/>
  <c r="N95" i="29" s="1"/>
  <c r="L94" i="29"/>
  <c r="H152" i="21"/>
  <c r="P87" i="29"/>
  <c r="D90" i="29"/>
  <c r="C86" i="29"/>
  <c r="F86" i="29" s="1"/>
  <c r="Q94" i="29"/>
  <c r="C91" i="29"/>
  <c r="F91" i="29" s="1"/>
  <c r="G87" i="29"/>
  <c r="C94" i="29"/>
  <c r="F94" i="29" s="1"/>
  <c r="I94" i="29"/>
  <c r="P90" i="29"/>
  <c r="O94" i="29"/>
  <c r="O90" i="29"/>
  <c r="M87" i="29"/>
  <c r="D95" i="29"/>
  <c r="R93" i="29"/>
  <c r="G86" i="29"/>
  <c r="J86" i="29" s="1"/>
  <c r="O91" i="29"/>
  <c r="R91" i="29" s="1"/>
  <c r="F93" i="29"/>
  <c r="H150" i="21"/>
  <c r="J77" i="29"/>
  <c r="H158" i="21"/>
  <c r="H154" i="21"/>
  <c r="M158" i="21"/>
  <c r="J150" i="21"/>
  <c r="E90" i="29"/>
  <c r="H91" i="29"/>
  <c r="L91" i="29"/>
  <c r="C90" i="29"/>
  <c r="K94" i="29"/>
  <c r="R85" i="29"/>
  <c r="C87" i="29"/>
  <c r="G91" i="29"/>
  <c r="N85" i="29"/>
  <c r="F77" i="29"/>
  <c r="M91" i="29"/>
  <c r="M94" i="29"/>
  <c r="Q86" i="29"/>
  <c r="R86" i="29" s="1"/>
  <c r="K87" i="29"/>
  <c r="N89" i="29"/>
  <c r="J93" i="29"/>
  <c r="H157" i="21"/>
  <c r="H151" i="21"/>
  <c r="H156" i="21"/>
  <c r="K151" i="21"/>
  <c r="I157" i="21"/>
  <c r="J154" i="21"/>
  <c r="M157" i="21"/>
  <c r="L156" i="21"/>
  <c r="K153" i="21"/>
  <c r="M152" i="21"/>
  <c r="L154" i="21"/>
  <c r="I150" i="21"/>
  <c r="J151" i="21"/>
  <c r="K157" i="21"/>
  <c r="M154" i="21"/>
  <c r="L151" i="21"/>
  <c r="L157" i="21"/>
  <c r="L153" i="21"/>
  <c r="I151" i="21"/>
  <c r="I158" i="21"/>
  <c r="K156" i="21"/>
  <c r="M156" i="21"/>
  <c r="K150" i="21"/>
  <c r="M155" i="21"/>
  <c r="J156" i="21"/>
  <c r="J153" i="21"/>
  <c r="L158" i="21"/>
  <c r="L150" i="21"/>
  <c r="I155" i="21"/>
  <c r="I154" i="21"/>
  <c r="I156" i="21"/>
  <c r="K152" i="21"/>
  <c r="K155" i="21"/>
  <c r="M153" i="21"/>
  <c r="J157" i="21"/>
  <c r="J158" i="21"/>
  <c r="G158" i="21"/>
  <c r="G154" i="21"/>
  <c r="G152" i="21"/>
  <c r="G151" i="21"/>
  <c r="G156" i="21"/>
  <c r="G157" i="21"/>
  <c r="G150" i="21"/>
  <c r="G153" i="21"/>
  <c r="G155" i="21"/>
  <c r="L155" i="21"/>
  <c r="L152" i="21"/>
  <c r="I153" i="21"/>
  <c r="M151" i="21"/>
  <c r="K154" i="21"/>
  <c r="K158" i="21"/>
  <c r="J152" i="21"/>
  <c r="J155" i="21"/>
  <c r="I152" i="21"/>
  <c r="N73" i="29"/>
  <c r="R73" i="29"/>
  <c r="J73" i="29"/>
  <c r="F73" i="29"/>
  <c r="M34" i="29"/>
  <c r="G34" i="29"/>
  <c r="L34" i="29"/>
  <c r="E26" i="29"/>
  <c r="E27" i="29" s="1"/>
  <c r="I34" i="29"/>
  <c r="L27" i="29"/>
  <c r="C34" i="29"/>
  <c r="Q34" i="29"/>
  <c r="O34" i="29"/>
  <c r="B22" i="29"/>
  <c r="C38" i="29"/>
  <c r="O22" i="29"/>
  <c r="M30" i="29"/>
  <c r="E30" i="29"/>
  <c r="G30" i="29"/>
  <c r="Q30" i="29"/>
  <c r="D30" i="29"/>
  <c r="B30" i="29"/>
  <c r="D22" i="29"/>
  <c r="K30" i="29"/>
  <c r="O26" i="29"/>
  <c r="C26" i="29"/>
  <c r="D26" i="29"/>
  <c r="G22" i="29"/>
  <c r="Q22" i="29"/>
  <c r="P22" i="29"/>
  <c r="E22" i="29"/>
  <c r="C30" i="29"/>
  <c r="K34" i="29"/>
  <c r="Q26" i="29"/>
  <c r="B26" i="29"/>
  <c r="I26" i="29"/>
  <c r="I22" i="29"/>
  <c r="K22" i="29"/>
  <c r="L30" i="29"/>
  <c r="O30" i="29"/>
  <c r="G26" i="29"/>
  <c r="M26" i="29"/>
  <c r="K26" i="29"/>
  <c r="P26" i="29"/>
  <c r="L22" i="29"/>
  <c r="M22" i="29"/>
  <c r="I30" i="29"/>
  <c r="P34" i="29"/>
  <c r="B34" i="29"/>
  <c r="BI178" i="14" s="1"/>
  <c r="BI177" i="14" s="1"/>
  <c r="H34" i="29"/>
  <c r="C22" i="29"/>
  <c r="H26" i="29"/>
  <c r="H22" i="29"/>
  <c r="P30" i="29"/>
  <c r="V321" i="1"/>
  <c r="G116" i="23"/>
  <c r="H116" i="23" s="1"/>
  <c r="I116" i="23" s="1"/>
  <c r="G115" i="23"/>
  <c r="H115" i="23" s="1"/>
  <c r="I115" i="23" s="1"/>
  <c r="Z31" i="15"/>
  <c r="J111" i="20"/>
  <c r="J108" i="20"/>
  <c r="J85" i="20" s="1"/>
  <c r="AK248" i="14"/>
  <c r="CC248" i="14" s="1"/>
  <c r="K109" i="20"/>
  <c r="I86" i="20" s="1"/>
  <c r="AH247" i="14"/>
  <c r="Y301" i="1"/>
  <c r="J88" i="20"/>
  <c r="AF300" i="1" s="1"/>
  <c r="AC300" i="1" s="1"/>
  <c r="J90" i="20" s="1"/>
  <c r="K90" i="20" s="1"/>
  <c r="J110" i="20"/>
  <c r="J87" i="20" s="1"/>
  <c r="CC246" i="14"/>
  <c r="AH246" i="14"/>
  <c r="AH299" i="1"/>
  <c r="I91" i="20" s="1"/>
  <c r="L110" i="20"/>
  <c r="H87" i="20" s="1"/>
  <c r="AH298" i="1"/>
  <c r="H91" i="20" s="1"/>
  <c r="K91" i="19"/>
  <c r="L108" i="20"/>
  <c r="H85" i="20" s="1"/>
  <c r="L111" i="20"/>
  <c r="L109" i="20"/>
  <c r="H86" i="20" s="1"/>
  <c r="K110" i="20"/>
  <c r="I87" i="20" s="1"/>
  <c r="K111" i="20"/>
  <c r="K108" i="20"/>
  <c r="I85" i="20" s="1"/>
  <c r="K38" i="29"/>
  <c r="M38" i="29"/>
  <c r="I38" i="29"/>
  <c r="E38" i="29"/>
  <c r="AB311" i="1"/>
  <c r="G182" i="24"/>
  <c r="G107" i="24"/>
  <c r="H107" i="24" s="1"/>
  <c r="I107" i="24" s="1"/>
  <c r="D107" i="24" s="1"/>
  <c r="P38" i="29"/>
  <c r="B38" i="29"/>
  <c r="Q38" i="29"/>
  <c r="K90" i="19"/>
  <c r="T301" i="1"/>
  <c r="D38" i="29"/>
  <c r="G38" i="29"/>
  <c r="G166" i="20"/>
  <c r="G169" i="20"/>
  <c r="G164" i="20"/>
  <c r="G163" i="20"/>
  <c r="G171" i="20"/>
  <c r="G170" i="20"/>
  <c r="G165" i="20"/>
  <c r="G167" i="20"/>
  <c r="G168" i="20"/>
  <c r="O38" i="29"/>
  <c r="L38" i="29"/>
  <c r="H38" i="29"/>
  <c r="G183" i="26"/>
  <c r="AH421" i="1"/>
  <c r="J107" i="21"/>
  <c r="J108" i="21" s="1"/>
  <c r="J85" i="21" s="1"/>
  <c r="L107" i="21"/>
  <c r="K107" i="21"/>
  <c r="I88" i="21" s="1"/>
  <c r="AO299" i="1" s="1"/>
  <c r="G117" i="21"/>
  <c r="R95" i="29"/>
  <c r="H117" i="21"/>
  <c r="N90" i="29"/>
  <c r="Q46" i="29"/>
  <c r="H46" i="29"/>
  <c r="B54" i="29"/>
  <c r="M50" i="29"/>
  <c r="P46" i="29"/>
  <c r="E54" i="29"/>
  <c r="O54" i="29"/>
  <c r="H50" i="29"/>
  <c r="P54" i="29"/>
  <c r="H58" i="29"/>
  <c r="K50" i="29"/>
  <c r="G50" i="29"/>
  <c r="O46" i="29"/>
  <c r="C46" i="29"/>
  <c r="B46" i="29"/>
  <c r="BL178" i="14" s="1"/>
  <c r="BL177" i="14" s="1"/>
  <c r="M58" i="29"/>
  <c r="L50" i="29"/>
  <c r="B403" i="1"/>
  <c r="C42" i="29"/>
  <c r="G58" i="29"/>
  <c r="I58" i="29"/>
  <c r="I42" i="29"/>
  <c r="C50" i="29"/>
  <c r="K54" i="29"/>
  <c r="Q54" i="29"/>
  <c r="O42" i="29"/>
  <c r="O50" i="29"/>
  <c r="B58" i="29"/>
  <c r="M54" i="29"/>
  <c r="P58" i="29"/>
  <c r="E58" i="29"/>
  <c r="L42" i="29"/>
  <c r="D42" i="29"/>
  <c r="D46" i="29"/>
  <c r="B42" i="29"/>
  <c r="O58" i="29"/>
  <c r="L58" i="29"/>
  <c r="M46" i="29"/>
  <c r="G54" i="29"/>
  <c r="C58" i="29"/>
  <c r="C54" i="29"/>
  <c r="K58" i="29"/>
  <c r="H42" i="29"/>
  <c r="I54" i="29"/>
  <c r="K46" i="29"/>
  <c r="L46" i="29"/>
  <c r="B388" i="1"/>
  <c r="H31" i="29" s="1"/>
  <c r="P50" i="29"/>
  <c r="M42" i="29"/>
  <c r="D54" i="29"/>
  <c r="D50" i="29"/>
  <c r="L54" i="29"/>
  <c r="Q42" i="29"/>
  <c r="D58" i="29"/>
  <c r="B50" i="29"/>
  <c r="I50" i="29"/>
  <c r="E50" i="29"/>
  <c r="P42" i="29"/>
  <c r="E42" i="29"/>
  <c r="H54" i="29"/>
  <c r="H166" i="20"/>
  <c r="H164" i="20"/>
  <c r="H163" i="20"/>
  <c r="H170" i="20"/>
  <c r="H168" i="20"/>
  <c r="H167" i="20"/>
  <c r="H165" i="20"/>
  <c r="H169" i="20"/>
  <c r="H171" i="20"/>
  <c r="G42" i="29"/>
  <c r="I46" i="29"/>
  <c r="Q58" i="29"/>
  <c r="Q50" i="29"/>
  <c r="E46" i="29"/>
  <c r="G46" i="29"/>
  <c r="K42" i="29"/>
  <c r="M184" i="23"/>
  <c r="F111" i="29"/>
  <c r="O111" i="29"/>
  <c r="Q111" i="29"/>
  <c r="I111" i="29"/>
  <c r="E111" i="29"/>
  <c r="P111" i="29"/>
  <c r="C111" i="29"/>
  <c r="M111" i="29"/>
  <c r="N111" i="29"/>
  <c r="G111" i="29"/>
  <c r="K111" i="29"/>
  <c r="D111" i="29"/>
  <c r="J111" i="29"/>
  <c r="H111" i="29"/>
  <c r="L111" i="29"/>
  <c r="L171" i="20"/>
  <c r="L165" i="20"/>
  <c r="M167" i="20"/>
  <c r="M169" i="20"/>
  <c r="J168" i="20"/>
  <c r="J163" i="20"/>
  <c r="K167" i="20"/>
  <c r="K169" i="20"/>
  <c r="I169" i="20"/>
  <c r="I166" i="20"/>
  <c r="J165" i="20"/>
  <c r="L167" i="20"/>
  <c r="L164" i="20"/>
  <c r="L163" i="20"/>
  <c r="M163" i="20"/>
  <c r="M171" i="20"/>
  <c r="M165" i="20"/>
  <c r="J169" i="20"/>
  <c r="J170" i="20"/>
  <c r="K171" i="20"/>
  <c r="K164" i="20"/>
  <c r="K163" i="20"/>
  <c r="I171" i="20"/>
  <c r="I167" i="20"/>
  <c r="L170" i="20"/>
  <c r="M170" i="20"/>
  <c r="J166" i="20"/>
  <c r="K168" i="20"/>
  <c r="I170" i="20"/>
  <c r="I163" i="20"/>
  <c r="L168" i="20"/>
  <c r="L166" i="20"/>
  <c r="M166" i="20"/>
  <c r="M164" i="20"/>
  <c r="J164" i="20"/>
  <c r="J171" i="20"/>
  <c r="K165" i="20"/>
  <c r="K170" i="20"/>
  <c r="I165" i="20"/>
  <c r="I164" i="20"/>
  <c r="I168" i="20"/>
  <c r="L169" i="20"/>
  <c r="M168" i="20"/>
  <c r="J167" i="20"/>
  <c r="K166" i="20"/>
  <c r="K184" i="23"/>
  <c r="J184" i="23"/>
  <c r="D115" i="22"/>
  <c r="D116" i="22" s="1"/>
  <c r="J107" i="22" s="1"/>
  <c r="H184" i="23"/>
  <c r="E183" i="23"/>
  <c r="L159" i="23"/>
  <c r="K183" i="24"/>
  <c r="AB425" i="1"/>
  <c r="K159" i="23"/>
  <c r="H160" i="23"/>
  <c r="E182" i="23"/>
  <c r="H183" i="24"/>
  <c r="AB422" i="1"/>
  <c r="Y431" i="1"/>
  <c r="K143" i="20"/>
  <c r="K141" i="20"/>
  <c r="I145" i="20"/>
  <c r="J138" i="20"/>
  <c r="H141" i="20"/>
  <c r="H145" i="20"/>
  <c r="G139" i="20"/>
  <c r="H137" i="20"/>
  <c r="L145" i="20"/>
  <c r="L141" i="20"/>
  <c r="L137" i="20"/>
  <c r="J140" i="20"/>
  <c r="H142" i="20"/>
  <c r="M143" i="20"/>
  <c r="M140" i="20"/>
  <c r="M142" i="20"/>
  <c r="L143" i="20"/>
  <c r="G140" i="20"/>
  <c r="G145" i="20"/>
  <c r="M144" i="20"/>
  <c r="K137" i="20"/>
  <c r="K142" i="20"/>
  <c r="I142" i="20"/>
  <c r="J137" i="20"/>
  <c r="L140" i="20"/>
  <c r="I139" i="20"/>
  <c r="H138" i="20"/>
  <c r="L138" i="20"/>
  <c r="I138" i="20"/>
  <c r="I143" i="20"/>
  <c r="M138" i="20"/>
  <c r="K140" i="20"/>
  <c r="K138" i="20"/>
  <c r="H139" i="20"/>
  <c r="I140" i="20"/>
  <c r="G144" i="20"/>
  <c r="J141" i="20"/>
  <c r="G141" i="20"/>
  <c r="J139" i="20"/>
  <c r="H140" i="20"/>
  <c r="G138" i="20"/>
  <c r="H144" i="20"/>
  <c r="G142" i="20"/>
  <c r="J144" i="20"/>
  <c r="L139" i="20"/>
  <c r="M137" i="20"/>
  <c r="M141" i="20"/>
  <c r="K144" i="20"/>
  <c r="L142" i="20"/>
  <c r="H143" i="20"/>
  <c r="J143" i="20"/>
  <c r="K145" i="20"/>
  <c r="I144" i="20"/>
  <c r="L144" i="20"/>
  <c r="G137" i="20"/>
  <c r="I141" i="20"/>
  <c r="J142" i="20"/>
  <c r="G143" i="20"/>
  <c r="M139" i="20"/>
  <c r="K139" i="20"/>
  <c r="I137" i="20"/>
  <c r="J145" i="20"/>
  <c r="M145" i="20"/>
  <c r="J182" i="24"/>
  <c r="J160" i="24" s="1"/>
  <c r="G110" i="24"/>
  <c r="H110" i="24" s="1"/>
  <c r="I110" i="24" s="1"/>
  <c r="D110" i="24" s="1"/>
  <c r="AB314" i="1"/>
  <c r="J183" i="24"/>
  <c r="AB424" i="1"/>
  <c r="E184" i="22"/>
  <c r="M159" i="23"/>
  <c r="G108" i="24"/>
  <c r="H108" i="24" s="1"/>
  <c r="I108" i="24" s="1"/>
  <c r="D108" i="24" s="1"/>
  <c r="H182" i="24"/>
  <c r="AB312" i="1"/>
  <c r="L184" i="23"/>
  <c r="M183" i="24"/>
  <c r="AB427" i="1"/>
  <c r="G112" i="24"/>
  <c r="H112" i="24" s="1"/>
  <c r="I112" i="24" s="1"/>
  <c r="D112" i="24" s="1"/>
  <c r="L182" i="24"/>
  <c r="L160" i="24" s="1"/>
  <c r="AB316" i="1"/>
  <c r="G109" i="24"/>
  <c r="H109" i="24" s="1"/>
  <c r="I109" i="24" s="1"/>
  <c r="D109" i="24" s="1"/>
  <c r="I182" i="24"/>
  <c r="I160" i="24" s="1"/>
  <c r="AB313" i="1"/>
  <c r="E39" i="23"/>
  <c r="L78" i="23" s="1"/>
  <c r="M78" i="23" s="1"/>
  <c r="E7" i="24"/>
  <c r="L77" i="24" s="1"/>
  <c r="M77" i="24" s="1"/>
  <c r="Y273" i="1"/>
  <c r="H157" i="20"/>
  <c r="H150" i="20"/>
  <c r="G158" i="20"/>
  <c r="H156" i="20"/>
  <c r="G152" i="20"/>
  <c r="H152" i="20"/>
  <c r="H154" i="20"/>
  <c r="H155" i="20"/>
  <c r="H153" i="20"/>
  <c r="G156" i="20"/>
  <c r="G153" i="20"/>
  <c r="G154" i="20"/>
  <c r="G157" i="20"/>
  <c r="H158" i="20"/>
  <c r="H151" i="20"/>
  <c r="G150" i="20"/>
  <c r="G151" i="20"/>
  <c r="G155" i="20"/>
  <c r="J150" i="20"/>
  <c r="J156" i="20"/>
  <c r="K157" i="20"/>
  <c r="K156" i="20"/>
  <c r="L153" i="20"/>
  <c r="L150" i="20"/>
  <c r="M150" i="20"/>
  <c r="M156" i="20"/>
  <c r="M153" i="20"/>
  <c r="M158" i="20"/>
  <c r="J157" i="20"/>
  <c r="K158" i="20"/>
  <c r="K155" i="20"/>
  <c r="L155" i="20"/>
  <c r="M155" i="20"/>
  <c r="M152" i="20"/>
  <c r="J153" i="20"/>
  <c r="J152" i="20"/>
  <c r="J155" i="20"/>
  <c r="K151" i="20"/>
  <c r="K150" i="20"/>
  <c r="L152" i="20"/>
  <c r="L156" i="20"/>
  <c r="L158" i="20"/>
  <c r="M151" i="20"/>
  <c r="J154" i="20"/>
  <c r="K154" i="20"/>
  <c r="L157" i="20"/>
  <c r="J151" i="20"/>
  <c r="J158" i="20"/>
  <c r="K153" i="20"/>
  <c r="K152" i="20"/>
  <c r="L151" i="20"/>
  <c r="L154" i="20"/>
  <c r="M154" i="20"/>
  <c r="M157" i="20"/>
  <c r="I151" i="20"/>
  <c r="I152" i="20"/>
  <c r="I158" i="20"/>
  <c r="I154" i="20"/>
  <c r="I156" i="20"/>
  <c r="I150" i="20"/>
  <c r="I155" i="20"/>
  <c r="I153" i="20"/>
  <c r="I157" i="20"/>
  <c r="I183" i="24"/>
  <c r="AB423" i="1"/>
  <c r="I159" i="23"/>
  <c r="G111" i="24"/>
  <c r="H111" i="24" s="1"/>
  <c r="I111" i="24" s="1"/>
  <c r="D111" i="24" s="1"/>
  <c r="K182" i="24"/>
  <c r="K160" i="24" s="1"/>
  <c r="AB315" i="1"/>
  <c r="L183" i="24"/>
  <c r="AB426" i="1"/>
  <c r="I184" i="23"/>
  <c r="J159" i="23"/>
  <c r="H159" i="22"/>
  <c r="Y318" i="1"/>
  <c r="G115" i="24" s="1"/>
  <c r="H115" i="24" s="1"/>
  <c r="I115" i="24" s="1"/>
  <c r="G114" i="23"/>
  <c r="H114" i="23" s="1"/>
  <c r="I114" i="23" s="1"/>
  <c r="D114" i="23" s="1"/>
  <c r="M182" i="24"/>
  <c r="M160" i="24" s="1"/>
  <c r="G113" i="24"/>
  <c r="H113" i="24" s="1"/>
  <c r="I113" i="24" s="1"/>
  <c r="D113" i="24" s="1"/>
  <c r="AB317" i="1"/>
  <c r="H32" i="29" l="1"/>
  <c r="G36" i="29"/>
  <c r="Q36" i="29"/>
  <c r="L35" i="29"/>
  <c r="D36" i="29"/>
  <c r="E36" i="29"/>
  <c r="L36" i="29"/>
  <c r="D35" i="29"/>
  <c r="H35" i="29"/>
  <c r="G35" i="29"/>
  <c r="K36" i="29"/>
  <c r="O36" i="29"/>
  <c r="I36" i="29"/>
  <c r="M35" i="29"/>
  <c r="E35" i="29"/>
  <c r="F34" i="29"/>
  <c r="H158" i="22"/>
  <c r="H151" i="22"/>
  <c r="H153" i="22"/>
  <c r="H154" i="22"/>
  <c r="H152" i="22"/>
  <c r="H157" i="22"/>
  <c r="H155" i="22"/>
  <c r="H156" i="22"/>
  <c r="H150" i="22"/>
  <c r="G158" i="22"/>
  <c r="G153" i="22"/>
  <c r="G155" i="22"/>
  <c r="G156" i="22"/>
  <c r="G150" i="22"/>
  <c r="G151" i="22"/>
  <c r="J156" i="22"/>
  <c r="J151" i="22"/>
  <c r="J157" i="22"/>
  <c r="I158" i="22"/>
  <c r="I154" i="22"/>
  <c r="K153" i="22"/>
  <c r="K158" i="22"/>
  <c r="M152" i="22"/>
  <c r="J152" i="22"/>
  <c r="J150" i="22"/>
  <c r="I157" i="22"/>
  <c r="L155" i="22"/>
  <c r="M153" i="22"/>
  <c r="J155" i="22"/>
  <c r="I155" i="22"/>
  <c r="K157" i="22"/>
  <c r="K155" i="22"/>
  <c r="J153" i="22"/>
  <c r="J158" i="22"/>
  <c r="I150" i="22"/>
  <c r="I152" i="22"/>
  <c r="I153" i="22"/>
  <c r="K156" i="22"/>
  <c r="K150" i="22"/>
  <c r="K152" i="22"/>
  <c r="L156" i="22"/>
  <c r="L153" i="22"/>
  <c r="L152" i="22"/>
  <c r="M155" i="22"/>
  <c r="M158" i="22"/>
  <c r="L154" i="22"/>
  <c r="L158" i="22"/>
  <c r="M150" i="22"/>
  <c r="M156" i="22"/>
  <c r="I156" i="22"/>
  <c r="K151" i="22"/>
  <c r="K154" i="22"/>
  <c r="L150" i="22"/>
  <c r="M157" i="22"/>
  <c r="J154" i="22"/>
  <c r="I151" i="22"/>
  <c r="L157" i="22"/>
  <c r="L151" i="22"/>
  <c r="M154" i="22"/>
  <c r="M151" i="22"/>
  <c r="G154" i="22"/>
  <c r="G152" i="22"/>
  <c r="G159" i="23"/>
  <c r="E151" i="23"/>
  <c r="G155" i="23" s="1"/>
  <c r="G184" i="24"/>
  <c r="G160" i="24"/>
  <c r="E160" i="23"/>
  <c r="E188" i="23"/>
  <c r="J90" i="29"/>
  <c r="J91" i="29"/>
  <c r="R90" i="29"/>
  <c r="F95" i="29"/>
  <c r="T95" i="29" s="1"/>
  <c r="T89" i="29"/>
  <c r="F90" i="29"/>
  <c r="J94" i="29"/>
  <c r="T81" i="29"/>
  <c r="R94" i="29"/>
  <c r="R87" i="29"/>
  <c r="N87" i="29"/>
  <c r="F87" i="29"/>
  <c r="J87" i="29"/>
  <c r="N91" i="29"/>
  <c r="N94" i="29"/>
  <c r="T77" i="29"/>
  <c r="T85" i="29"/>
  <c r="T93" i="29"/>
  <c r="C35" i="29"/>
  <c r="C40" i="29"/>
  <c r="T73" i="29"/>
  <c r="M36" i="29"/>
  <c r="O35" i="29"/>
  <c r="I35" i="29"/>
  <c r="E28" i="29"/>
  <c r="L28" i="29"/>
  <c r="C36" i="29"/>
  <c r="Q35" i="29"/>
  <c r="N34" i="29"/>
  <c r="B40" i="15"/>
  <c r="R34" i="29"/>
  <c r="J34" i="29"/>
  <c r="H36" i="29"/>
  <c r="H28" i="29"/>
  <c r="H27" i="29"/>
  <c r="P35" i="29"/>
  <c r="P36" i="29"/>
  <c r="P27" i="29"/>
  <c r="P28" i="29"/>
  <c r="O31" i="29"/>
  <c r="R30" i="29"/>
  <c r="O32" i="29"/>
  <c r="I27" i="29"/>
  <c r="I28" i="29"/>
  <c r="C32" i="29"/>
  <c r="F30" i="29"/>
  <c r="C31" i="29"/>
  <c r="G23" i="29"/>
  <c r="G24" i="29"/>
  <c r="J22" i="29"/>
  <c r="K32" i="29"/>
  <c r="K31" i="29"/>
  <c r="N30" i="29"/>
  <c r="Q32" i="29"/>
  <c r="Q31" i="29"/>
  <c r="R22" i="29"/>
  <c r="O24" i="29"/>
  <c r="O23" i="29"/>
  <c r="P31" i="29"/>
  <c r="P32" i="29"/>
  <c r="F22" i="29"/>
  <c r="C23" i="29"/>
  <c r="C24" i="29"/>
  <c r="I32" i="29"/>
  <c r="I31" i="29"/>
  <c r="K27" i="29"/>
  <c r="K28" i="29"/>
  <c r="N26" i="29"/>
  <c r="L32" i="29"/>
  <c r="L31" i="29"/>
  <c r="B38" i="15"/>
  <c r="BG178" i="14"/>
  <c r="BG177" i="14" s="1"/>
  <c r="E23" i="29"/>
  <c r="E24" i="29"/>
  <c r="D27" i="29"/>
  <c r="D28" i="29"/>
  <c r="D23" i="29"/>
  <c r="D24" i="29"/>
  <c r="G32" i="29"/>
  <c r="G31" i="29"/>
  <c r="J30" i="29"/>
  <c r="K35" i="29"/>
  <c r="H23" i="29"/>
  <c r="H24" i="29"/>
  <c r="M24" i="29"/>
  <c r="M23" i="29"/>
  <c r="M27" i="29"/>
  <c r="M28" i="29"/>
  <c r="K24" i="29"/>
  <c r="N22" i="29"/>
  <c r="K23" i="29"/>
  <c r="Q28" i="29"/>
  <c r="Q27" i="29"/>
  <c r="P23" i="29"/>
  <c r="P24" i="29"/>
  <c r="C28" i="29"/>
  <c r="C27" i="29"/>
  <c r="F26" i="29"/>
  <c r="B39" i="15"/>
  <c r="BH178" i="14"/>
  <c r="BH177" i="14" s="1"/>
  <c r="E32" i="29"/>
  <c r="E31" i="29"/>
  <c r="B37" i="15"/>
  <c r="BF178" i="14"/>
  <c r="BF177" i="14" s="1"/>
  <c r="L24" i="29"/>
  <c r="L23" i="29"/>
  <c r="G28" i="29"/>
  <c r="J26" i="29"/>
  <c r="G27" i="29"/>
  <c r="I23" i="29"/>
  <c r="I24" i="29"/>
  <c r="Q24" i="29"/>
  <c r="Q23" i="29"/>
  <c r="O27" i="29"/>
  <c r="R26" i="29"/>
  <c r="O28" i="29"/>
  <c r="D32" i="29"/>
  <c r="D31" i="29"/>
  <c r="M32" i="29"/>
  <c r="M31" i="29"/>
  <c r="Y321" i="1"/>
  <c r="G116" i="24"/>
  <c r="H116" i="24" s="1"/>
  <c r="I116" i="24" s="1"/>
  <c r="O39" i="29"/>
  <c r="Q39" i="29"/>
  <c r="M40" i="29"/>
  <c r="K40" i="29"/>
  <c r="BL544" i="14"/>
  <c r="BL542" i="14"/>
  <c r="BL540" i="14"/>
  <c r="BL538" i="14"/>
  <c r="BL536" i="14"/>
  <c r="BL535" i="14"/>
  <c r="BL531" i="14"/>
  <c r="BL527" i="14"/>
  <c r="BL523" i="14"/>
  <c r="BL519" i="14"/>
  <c r="BL532" i="14"/>
  <c r="BL528" i="14"/>
  <c r="BL524" i="14"/>
  <c r="BL520" i="14"/>
  <c r="BL534" i="14"/>
  <c r="BL526" i="14"/>
  <c r="BL518" i="14"/>
  <c r="BL507" i="14"/>
  <c r="BL506" i="14"/>
  <c r="BL505" i="14"/>
  <c r="BL504" i="14"/>
  <c r="BL503" i="14"/>
  <c r="BL502" i="14"/>
  <c r="BL501" i="14"/>
  <c r="BL500" i="14"/>
  <c r="BL499" i="14"/>
  <c r="BL498" i="14"/>
  <c r="BL497" i="14"/>
  <c r="BL496" i="14"/>
  <c r="BL495" i="14"/>
  <c r="BL494" i="14"/>
  <c r="BL493" i="14"/>
  <c r="BL492" i="14"/>
  <c r="BL491" i="14"/>
  <c r="BL490" i="14"/>
  <c r="BL489" i="14"/>
  <c r="BL488" i="14"/>
  <c r="BL487" i="14"/>
  <c r="BL486" i="14"/>
  <c r="BL485" i="14"/>
  <c r="BL484" i="14"/>
  <c r="BL483" i="14"/>
  <c r="BL482" i="14"/>
  <c r="BL481" i="14"/>
  <c r="BL480" i="14"/>
  <c r="BL479" i="14"/>
  <c r="BL478" i="14"/>
  <c r="BL477" i="14"/>
  <c r="BL476" i="14"/>
  <c r="BL475" i="14"/>
  <c r="BL474" i="14"/>
  <c r="BL473" i="14"/>
  <c r="BL472" i="14"/>
  <c r="BL471" i="14"/>
  <c r="BL470" i="14"/>
  <c r="BL469" i="14"/>
  <c r="BL468" i="14"/>
  <c r="BL467" i="14"/>
  <c r="BL466" i="14"/>
  <c r="BL543" i="14"/>
  <c r="BL539" i="14"/>
  <c r="BL529" i="14"/>
  <c r="BL521" i="14"/>
  <c r="BL516" i="14"/>
  <c r="BL514" i="14"/>
  <c r="BL512" i="14"/>
  <c r="BL510" i="14"/>
  <c r="BL508" i="14"/>
  <c r="BL545" i="14"/>
  <c r="BL537" i="14"/>
  <c r="BL533" i="14"/>
  <c r="BL517" i="14"/>
  <c r="BL513" i="14"/>
  <c r="BL509" i="14"/>
  <c r="BL465" i="14"/>
  <c r="BL464" i="14"/>
  <c r="BL463" i="14"/>
  <c r="BL462" i="14"/>
  <c r="BL461" i="14"/>
  <c r="BL460" i="14"/>
  <c r="BL459" i="14"/>
  <c r="BL458" i="14"/>
  <c r="BL457" i="14"/>
  <c r="BL456" i="14"/>
  <c r="BL455" i="14"/>
  <c r="BL454" i="14"/>
  <c r="BL453" i="14"/>
  <c r="BL452" i="14"/>
  <c r="BL451" i="14"/>
  <c r="BL450" i="14"/>
  <c r="BL449" i="14"/>
  <c r="BL448" i="14"/>
  <c r="BL447" i="14"/>
  <c r="BL446" i="14"/>
  <c r="BL445" i="14"/>
  <c r="BL444" i="14"/>
  <c r="BL443" i="14"/>
  <c r="BL442" i="14"/>
  <c r="BL441" i="14"/>
  <c r="BL440" i="14"/>
  <c r="BL439" i="14"/>
  <c r="BL438" i="14"/>
  <c r="BL437" i="14"/>
  <c r="BL530" i="14"/>
  <c r="BL541" i="14"/>
  <c r="BL525" i="14"/>
  <c r="BL515" i="14"/>
  <c r="BL436" i="14"/>
  <c r="BL435" i="14"/>
  <c r="BL434" i="14"/>
  <c r="BL433" i="14"/>
  <c r="BL432" i="14"/>
  <c r="BL431" i="14"/>
  <c r="BL430" i="14"/>
  <c r="BL429" i="14"/>
  <c r="BL428" i="14"/>
  <c r="BL427" i="14"/>
  <c r="BL426" i="14"/>
  <c r="BL425" i="14"/>
  <c r="BL424" i="14"/>
  <c r="BL423" i="14"/>
  <c r="BL422" i="14"/>
  <c r="BL421" i="14"/>
  <c r="BL420" i="14"/>
  <c r="BL419" i="14"/>
  <c r="BL418" i="14"/>
  <c r="BL417" i="14"/>
  <c r="BL416" i="14"/>
  <c r="BL415" i="14"/>
  <c r="BL414" i="14"/>
  <c r="BL413" i="14"/>
  <c r="BL412" i="14"/>
  <c r="BL411" i="14"/>
  <c r="BL410" i="14"/>
  <c r="BL409" i="14"/>
  <c r="BL408" i="14"/>
  <c r="BL407" i="14"/>
  <c r="BL406" i="14"/>
  <c r="BL405" i="14"/>
  <c r="BL404" i="14"/>
  <c r="BL403" i="14"/>
  <c r="BL402" i="14"/>
  <c r="BL401" i="14"/>
  <c r="BL400" i="14"/>
  <c r="BL399" i="14"/>
  <c r="BL398" i="14"/>
  <c r="BL397" i="14"/>
  <c r="BL396" i="14"/>
  <c r="BL395" i="14"/>
  <c r="BL394" i="14"/>
  <c r="BL393" i="14"/>
  <c r="BL392" i="14"/>
  <c r="BL391" i="14"/>
  <c r="BL390" i="14"/>
  <c r="BL389" i="14"/>
  <c r="BL388" i="14"/>
  <c r="BL387" i="14"/>
  <c r="BL386" i="14"/>
  <c r="BL385" i="14"/>
  <c r="BL384" i="14"/>
  <c r="BL383" i="14"/>
  <c r="BL382" i="14"/>
  <c r="BL381" i="14"/>
  <c r="BL380" i="14"/>
  <c r="BL379" i="14"/>
  <c r="BL378" i="14"/>
  <c r="BL377" i="14"/>
  <c r="BL376" i="14"/>
  <c r="BL375" i="14"/>
  <c r="BL374" i="14"/>
  <c r="BL373" i="14"/>
  <c r="BL372" i="14"/>
  <c r="BL371" i="14"/>
  <c r="BL370" i="14"/>
  <c r="BL369" i="14"/>
  <c r="BL368" i="14"/>
  <c r="BL367" i="14"/>
  <c r="BL366" i="14"/>
  <c r="BL365" i="14"/>
  <c r="BL364" i="14"/>
  <c r="BL363" i="14"/>
  <c r="BL362" i="14"/>
  <c r="BL361" i="14"/>
  <c r="BL360" i="14"/>
  <c r="BL359" i="14"/>
  <c r="BL358" i="14"/>
  <c r="BL357" i="14"/>
  <c r="BL356" i="14"/>
  <c r="BL355" i="14"/>
  <c r="BL522" i="14"/>
  <c r="BL352" i="14"/>
  <c r="BL351" i="14"/>
  <c r="BL349" i="14"/>
  <c r="BL347" i="14"/>
  <c r="BL345" i="14"/>
  <c r="BL343" i="14"/>
  <c r="BL341" i="14"/>
  <c r="BL339" i="14"/>
  <c r="BL337" i="14"/>
  <c r="BL335" i="14"/>
  <c r="BL333" i="14"/>
  <c r="BL331" i="14"/>
  <c r="BL329" i="14"/>
  <c r="BL327" i="14"/>
  <c r="BL325" i="14"/>
  <c r="BL323" i="14"/>
  <c r="BL321" i="14"/>
  <c r="BL319" i="14"/>
  <c r="BL317" i="14"/>
  <c r="BL315" i="14"/>
  <c r="BL313" i="14"/>
  <c r="BL311" i="14"/>
  <c r="BL309" i="14"/>
  <c r="BL307" i="14"/>
  <c r="BL305" i="14"/>
  <c r="BL303" i="14"/>
  <c r="BL301" i="14"/>
  <c r="BL297" i="14"/>
  <c r="BL511" i="14"/>
  <c r="BL300" i="14"/>
  <c r="BL296" i="14"/>
  <c r="BL353" i="14"/>
  <c r="BL302" i="14"/>
  <c r="BL298" i="14"/>
  <c r="BL295" i="14"/>
  <c r="BL294" i="14"/>
  <c r="BL293" i="14"/>
  <c r="BL292" i="14"/>
  <c r="BL291" i="14"/>
  <c r="BL290" i="14"/>
  <c r="BL289" i="14"/>
  <c r="BL288" i="14"/>
  <c r="BL287" i="14"/>
  <c r="BL286" i="14"/>
  <c r="BL285" i="14"/>
  <c r="BL284" i="14"/>
  <c r="BL283" i="14"/>
  <c r="BL282" i="14"/>
  <c r="BL281" i="14"/>
  <c r="BL280" i="14"/>
  <c r="BL279" i="14"/>
  <c r="BL278" i="14"/>
  <c r="BL277" i="14"/>
  <c r="BL276" i="14"/>
  <c r="BL275" i="14"/>
  <c r="BL274" i="14"/>
  <c r="BL273" i="14"/>
  <c r="BL272" i="14"/>
  <c r="BL271" i="14"/>
  <c r="BL270" i="14"/>
  <c r="BL269" i="14"/>
  <c r="BL268" i="14"/>
  <c r="BL267" i="14"/>
  <c r="BL266" i="14"/>
  <c r="BL265" i="14"/>
  <c r="BL264" i="14"/>
  <c r="BL263" i="14"/>
  <c r="BL262" i="14"/>
  <c r="BL261" i="14"/>
  <c r="BL260" i="14"/>
  <c r="BL259" i="14"/>
  <c r="BL258" i="14"/>
  <c r="BL257" i="14"/>
  <c r="BL256" i="14"/>
  <c r="BL255" i="14"/>
  <c r="BL254" i="14"/>
  <c r="BL253" i="14"/>
  <c r="BL252" i="14"/>
  <c r="BL251" i="14"/>
  <c r="BL250" i="14"/>
  <c r="BL249" i="14"/>
  <c r="BL248" i="14"/>
  <c r="BL247" i="14"/>
  <c r="BL246" i="14"/>
  <c r="BL245" i="14"/>
  <c r="BL244" i="14"/>
  <c r="BL243" i="14"/>
  <c r="BL242" i="14"/>
  <c r="BL241" i="14"/>
  <c r="BL240" i="14"/>
  <c r="BL239" i="14"/>
  <c r="BL238" i="14"/>
  <c r="BL237" i="14"/>
  <c r="BL236" i="14"/>
  <c r="BL235" i="14"/>
  <c r="BL234" i="14"/>
  <c r="BL233" i="14"/>
  <c r="BL232" i="14"/>
  <c r="BL231" i="14"/>
  <c r="BL230" i="14"/>
  <c r="BL229" i="14"/>
  <c r="BL228" i="14"/>
  <c r="BL227" i="14"/>
  <c r="BL226" i="14"/>
  <c r="BL225" i="14"/>
  <c r="BL224" i="14"/>
  <c r="BL223" i="14"/>
  <c r="BL222" i="14"/>
  <c r="BL221" i="14"/>
  <c r="BL220" i="14"/>
  <c r="BL219" i="14"/>
  <c r="BL218" i="14"/>
  <c r="BL217" i="14"/>
  <c r="BL216" i="14"/>
  <c r="BL215" i="14"/>
  <c r="BL214" i="14"/>
  <c r="BL213" i="14"/>
  <c r="BL212" i="14"/>
  <c r="BL211" i="14"/>
  <c r="BL344" i="14"/>
  <c r="BL336" i="14"/>
  <c r="BL328" i="14"/>
  <c r="BL320" i="14"/>
  <c r="BL312" i="14"/>
  <c r="BL304" i="14"/>
  <c r="BL338" i="14"/>
  <c r="BL322" i="14"/>
  <c r="BL306" i="14"/>
  <c r="BL354" i="14"/>
  <c r="BL340" i="14"/>
  <c r="BL324" i="14"/>
  <c r="BL350" i="14"/>
  <c r="BL342" i="14"/>
  <c r="BL334" i="14"/>
  <c r="BL326" i="14"/>
  <c r="BL318" i="14"/>
  <c r="BL310" i="14"/>
  <c r="BL346" i="14"/>
  <c r="BL330" i="14"/>
  <c r="BL314" i="14"/>
  <c r="BL348" i="14"/>
  <c r="BL332" i="14"/>
  <c r="BL316" i="14"/>
  <c r="BL308" i="14"/>
  <c r="BL299" i="14"/>
  <c r="BL210" i="14"/>
  <c r="BL206" i="14"/>
  <c r="BL202" i="14"/>
  <c r="BL198" i="14"/>
  <c r="BL194" i="14"/>
  <c r="BL190" i="14"/>
  <c r="BL186" i="14"/>
  <c r="BL182" i="14"/>
  <c r="BL203" i="14"/>
  <c r="BL199" i="14"/>
  <c r="BL195" i="14"/>
  <c r="BL191" i="14"/>
  <c r="BL187" i="14"/>
  <c r="BL208" i="14"/>
  <c r="BL204" i="14"/>
  <c r="BL200" i="14"/>
  <c r="BL188" i="14"/>
  <c r="BL209" i="14"/>
  <c r="BL205" i="14"/>
  <c r="BL201" i="14"/>
  <c r="BL197" i="14"/>
  <c r="BL193" i="14"/>
  <c r="BL189" i="14"/>
  <c r="BL185" i="14"/>
  <c r="BL181" i="14"/>
  <c r="BL207" i="14"/>
  <c r="BL183" i="14"/>
  <c r="BL180" i="14"/>
  <c r="BL196" i="14"/>
  <c r="BL192" i="14"/>
  <c r="BL184" i="14"/>
  <c r="P39" i="29"/>
  <c r="L39" i="29"/>
  <c r="BI545" i="14"/>
  <c r="BI544" i="14"/>
  <c r="BI543" i="14"/>
  <c r="BI542" i="14"/>
  <c r="BI541" i="14"/>
  <c r="BI540" i="14"/>
  <c r="BI539" i="14"/>
  <c r="BI538" i="14"/>
  <c r="BI537" i="14"/>
  <c r="BI536" i="14"/>
  <c r="BI533" i="14"/>
  <c r="BI529" i="14"/>
  <c r="BI525" i="14"/>
  <c r="BI521" i="14"/>
  <c r="BI534" i="14"/>
  <c r="BI530" i="14"/>
  <c r="BI526" i="14"/>
  <c r="BI522" i="14"/>
  <c r="BI518" i="14"/>
  <c r="BI528" i="14"/>
  <c r="BI520" i="14"/>
  <c r="BI516" i="14"/>
  <c r="BI514" i="14"/>
  <c r="BI512" i="14"/>
  <c r="BI510" i="14"/>
  <c r="BI508" i="14"/>
  <c r="BI531" i="14"/>
  <c r="BI523" i="14"/>
  <c r="BI507" i="14"/>
  <c r="BI506" i="14"/>
  <c r="BI505" i="14"/>
  <c r="BI504" i="14"/>
  <c r="BI503" i="14"/>
  <c r="BI502" i="14"/>
  <c r="BI501" i="14"/>
  <c r="BI500" i="14"/>
  <c r="BI499" i="14"/>
  <c r="BI498" i="14"/>
  <c r="BI497" i="14"/>
  <c r="BI496" i="14"/>
  <c r="BI495" i="14"/>
  <c r="BI494" i="14"/>
  <c r="BI493" i="14"/>
  <c r="BI492" i="14"/>
  <c r="BI491" i="14"/>
  <c r="BI490" i="14"/>
  <c r="BI489" i="14"/>
  <c r="BI488" i="14"/>
  <c r="BI487" i="14"/>
  <c r="BI486" i="14"/>
  <c r="BI485" i="14"/>
  <c r="BI484" i="14"/>
  <c r="BI483" i="14"/>
  <c r="BI482" i="14"/>
  <c r="BI481" i="14"/>
  <c r="BI480" i="14"/>
  <c r="BI479" i="14"/>
  <c r="BI478" i="14"/>
  <c r="BI477" i="14"/>
  <c r="BI476" i="14"/>
  <c r="BI475" i="14"/>
  <c r="BI474" i="14"/>
  <c r="BI473" i="14"/>
  <c r="BI472" i="14"/>
  <c r="BI471" i="14"/>
  <c r="BI470" i="14"/>
  <c r="BI469" i="14"/>
  <c r="BI468" i="14"/>
  <c r="BI467" i="14"/>
  <c r="BI466" i="14"/>
  <c r="BI535" i="14"/>
  <c r="BI519" i="14"/>
  <c r="BI532" i="14"/>
  <c r="BI515" i="14"/>
  <c r="BI511" i="14"/>
  <c r="BI465" i="14"/>
  <c r="BI464" i="14"/>
  <c r="BI463" i="14"/>
  <c r="BI462" i="14"/>
  <c r="BI461" i="14"/>
  <c r="BI460" i="14"/>
  <c r="BI459" i="14"/>
  <c r="BI458" i="14"/>
  <c r="BI457" i="14"/>
  <c r="BI456" i="14"/>
  <c r="BI455" i="14"/>
  <c r="BI454" i="14"/>
  <c r="BI453" i="14"/>
  <c r="BI452" i="14"/>
  <c r="BI451" i="14"/>
  <c r="BI450" i="14"/>
  <c r="BI449" i="14"/>
  <c r="BI448" i="14"/>
  <c r="BI447" i="14"/>
  <c r="BI446" i="14"/>
  <c r="BI445" i="14"/>
  <c r="BI444" i="14"/>
  <c r="BI443" i="14"/>
  <c r="BI442" i="14"/>
  <c r="BI441" i="14"/>
  <c r="BI440" i="14"/>
  <c r="BI439" i="14"/>
  <c r="BI438" i="14"/>
  <c r="BI437" i="14"/>
  <c r="BI524" i="14"/>
  <c r="BI517" i="14"/>
  <c r="BI509" i="14"/>
  <c r="BI527" i="14"/>
  <c r="BI353" i="14"/>
  <c r="BI351" i="14"/>
  <c r="BI350" i="14"/>
  <c r="BI349" i="14"/>
  <c r="BI348" i="14"/>
  <c r="BI347" i="14"/>
  <c r="BI346" i="14"/>
  <c r="BI345" i="14"/>
  <c r="BI344" i="14"/>
  <c r="BI343" i="14"/>
  <c r="BI342" i="14"/>
  <c r="BI341" i="14"/>
  <c r="BI340" i="14"/>
  <c r="BI339" i="14"/>
  <c r="BI338" i="14"/>
  <c r="BI337" i="14"/>
  <c r="BI336" i="14"/>
  <c r="BI335" i="14"/>
  <c r="BI334" i="14"/>
  <c r="BI333" i="14"/>
  <c r="BI332" i="14"/>
  <c r="BI331" i="14"/>
  <c r="BI330" i="14"/>
  <c r="BI329" i="14"/>
  <c r="BI328" i="14"/>
  <c r="BI327" i="14"/>
  <c r="BI326" i="14"/>
  <c r="BI325" i="14"/>
  <c r="BI324" i="14"/>
  <c r="BI323" i="14"/>
  <c r="BI322" i="14"/>
  <c r="BI321" i="14"/>
  <c r="BI320" i="14"/>
  <c r="BI319" i="14"/>
  <c r="BI318" i="14"/>
  <c r="BI317" i="14"/>
  <c r="BI316" i="14"/>
  <c r="BI315" i="14"/>
  <c r="BI314" i="14"/>
  <c r="BI313" i="14"/>
  <c r="BI312" i="14"/>
  <c r="BI311" i="14"/>
  <c r="BI310" i="14"/>
  <c r="BI309" i="14"/>
  <c r="BI308" i="14"/>
  <c r="BI307" i="14"/>
  <c r="BI306" i="14"/>
  <c r="BI305" i="14"/>
  <c r="BI304" i="14"/>
  <c r="BI303" i="14"/>
  <c r="BI436" i="14"/>
  <c r="BI434" i="14"/>
  <c r="BI432" i="14"/>
  <c r="BI430" i="14"/>
  <c r="BI428" i="14"/>
  <c r="BI426" i="14"/>
  <c r="BI424" i="14"/>
  <c r="BI422" i="14"/>
  <c r="BI420" i="14"/>
  <c r="BI418" i="14"/>
  <c r="BI416" i="14"/>
  <c r="BI414" i="14"/>
  <c r="BI412" i="14"/>
  <c r="BI410" i="14"/>
  <c r="BI408" i="14"/>
  <c r="BI406" i="14"/>
  <c r="BI404" i="14"/>
  <c r="BI402" i="14"/>
  <c r="BI400" i="14"/>
  <c r="BI398" i="14"/>
  <c r="BI396" i="14"/>
  <c r="BI394" i="14"/>
  <c r="BI392" i="14"/>
  <c r="BI390" i="14"/>
  <c r="BI388" i="14"/>
  <c r="BI386" i="14"/>
  <c r="BI384" i="14"/>
  <c r="BI382" i="14"/>
  <c r="BI380" i="14"/>
  <c r="BI378" i="14"/>
  <c r="BI376" i="14"/>
  <c r="BI374" i="14"/>
  <c r="BI372" i="14"/>
  <c r="BI370" i="14"/>
  <c r="BI368" i="14"/>
  <c r="BI366" i="14"/>
  <c r="BI364" i="14"/>
  <c r="BI362" i="14"/>
  <c r="BI360" i="14"/>
  <c r="BI358" i="14"/>
  <c r="BI356" i="14"/>
  <c r="BI354" i="14"/>
  <c r="BI513" i="14"/>
  <c r="BI433" i="14"/>
  <c r="BI429" i="14"/>
  <c r="BI425" i="14"/>
  <c r="BI421" i="14"/>
  <c r="BI417" i="14"/>
  <c r="BI413" i="14"/>
  <c r="BI409" i="14"/>
  <c r="BI405" i="14"/>
  <c r="BI401" i="14"/>
  <c r="BI397" i="14"/>
  <c r="BI393" i="14"/>
  <c r="BI389" i="14"/>
  <c r="BI385" i="14"/>
  <c r="BI381" i="14"/>
  <c r="BI377" i="14"/>
  <c r="BI373" i="14"/>
  <c r="BI369" i="14"/>
  <c r="BI365" i="14"/>
  <c r="BI361" i="14"/>
  <c r="BI357" i="14"/>
  <c r="BI352" i="14"/>
  <c r="BI299" i="14"/>
  <c r="BI302" i="14"/>
  <c r="BI298" i="14"/>
  <c r="BI435" i="14"/>
  <c r="BI355" i="14"/>
  <c r="BI300" i="14"/>
  <c r="BI296" i="14"/>
  <c r="BI431" i="14"/>
  <c r="BI415" i="14"/>
  <c r="BI399" i="14"/>
  <c r="BI383" i="14"/>
  <c r="BI367" i="14"/>
  <c r="BI295" i="14"/>
  <c r="BI291" i="14"/>
  <c r="BI287" i="14"/>
  <c r="BI283" i="14"/>
  <c r="BI279" i="14"/>
  <c r="BI275" i="14"/>
  <c r="BI271" i="14"/>
  <c r="BI267" i="14"/>
  <c r="BI263" i="14"/>
  <c r="BI259" i="14"/>
  <c r="BI255" i="14"/>
  <c r="BI251" i="14"/>
  <c r="BI247" i="14"/>
  <c r="BI239" i="14"/>
  <c r="BI403" i="14"/>
  <c r="BI387" i="14"/>
  <c r="BI371" i="14"/>
  <c r="BI288" i="14"/>
  <c r="BI280" i="14"/>
  <c r="BI272" i="14"/>
  <c r="BI264" i="14"/>
  <c r="BI260" i="14"/>
  <c r="BI252" i="14"/>
  <c r="BI244" i="14"/>
  <c r="BI240" i="14"/>
  <c r="BI236" i="14"/>
  <c r="BI228" i="14"/>
  <c r="BI220" i="14"/>
  <c r="BI212" i="14"/>
  <c r="BI391" i="14"/>
  <c r="BI359" i="14"/>
  <c r="BI301" i="14"/>
  <c r="BI293" i="14"/>
  <c r="BI289" i="14"/>
  <c r="BI285" i="14"/>
  <c r="BI277" i="14"/>
  <c r="BI269" i="14"/>
  <c r="BI253" i="14"/>
  <c r="BI245" i="14"/>
  <c r="BI237" i="14"/>
  <c r="BI233" i="14"/>
  <c r="BI229" i="14"/>
  <c r="BI221" i="14"/>
  <c r="BI213" i="14"/>
  <c r="BI427" i="14"/>
  <c r="BI411" i="14"/>
  <c r="BI395" i="14"/>
  <c r="BI379" i="14"/>
  <c r="BI363" i="14"/>
  <c r="BI297" i="14"/>
  <c r="BI294" i="14"/>
  <c r="BI290" i="14"/>
  <c r="BI286" i="14"/>
  <c r="BI282" i="14"/>
  <c r="BI278" i="14"/>
  <c r="BI274" i="14"/>
  <c r="BI270" i="14"/>
  <c r="BI266" i="14"/>
  <c r="BI262" i="14"/>
  <c r="BI258" i="14"/>
  <c r="BI254" i="14"/>
  <c r="BI250" i="14"/>
  <c r="BI246" i="14"/>
  <c r="BI242" i="14"/>
  <c r="BI238" i="14"/>
  <c r="BI234" i="14"/>
  <c r="BI230" i="14"/>
  <c r="BI226" i="14"/>
  <c r="BI222" i="14"/>
  <c r="BI218" i="14"/>
  <c r="BI214" i="14"/>
  <c r="BI243" i="14"/>
  <c r="BI235" i="14"/>
  <c r="BI231" i="14"/>
  <c r="BI227" i="14"/>
  <c r="BI223" i="14"/>
  <c r="BI219" i="14"/>
  <c r="BI215" i="14"/>
  <c r="BI211" i="14"/>
  <c r="BI419" i="14"/>
  <c r="BI292" i="14"/>
  <c r="BI284" i="14"/>
  <c r="BI276" i="14"/>
  <c r="BI268" i="14"/>
  <c r="BI256" i="14"/>
  <c r="BI248" i="14"/>
  <c r="BI232" i="14"/>
  <c r="BI224" i="14"/>
  <c r="BI216" i="14"/>
  <c r="BI423" i="14"/>
  <c r="BI407" i="14"/>
  <c r="BI375" i="14"/>
  <c r="BI281" i="14"/>
  <c r="BI273" i="14"/>
  <c r="BI265" i="14"/>
  <c r="BI261" i="14"/>
  <c r="BI257" i="14"/>
  <c r="BI249" i="14"/>
  <c r="BI241" i="14"/>
  <c r="BI225" i="14"/>
  <c r="BI217" i="14"/>
  <c r="BI207" i="14"/>
  <c r="BI203" i="14"/>
  <c r="BI199" i="14"/>
  <c r="BI195" i="14"/>
  <c r="BI191" i="14"/>
  <c r="BI187" i="14"/>
  <c r="BI183" i="14"/>
  <c r="BI180" i="14"/>
  <c r="BI204" i="14"/>
  <c r="BI200" i="14"/>
  <c r="BI192" i="14"/>
  <c r="BI184" i="14"/>
  <c r="BI209" i="14"/>
  <c r="BI205" i="14"/>
  <c r="BI201" i="14"/>
  <c r="BI189" i="14"/>
  <c r="BI210" i="14"/>
  <c r="BI206" i="14"/>
  <c r="BI202" i="14"/>
  <c r="BI198" i="14"/>
  <c r="BI194" i="14"/>
  <c r="BI190" i="14"/>
  <c r="BI186" i="14"/>
  <c r="BI182" i="14"/>
  <c r="BI208" i="14"/>
  <c r="BI196" i="14"/>
  <c r="BI188" i="14"/>
  <c r="BI197" i="14"/>
  <c r="BI193" i="14"/>
  <c r="BI185" i="14"/>
  <c r="BI181" i="14"/>
  <c r="AH248" i="14"/>
  <c r="AK249" i="14"/>
  <c r="CC249" i="14" s="1"/>
  <c r="AC301" i="1"/>
  <c r="AH300" i="1"/>
  <c r="J91" i="20" s="1"/>
  <c r="K91" i="20" s="1"/>
  <c r="M39" i="29"/>
  <c r="G40" i="29"/>
  <c r="G39" i="29"/>
  <c r="I39" i="29"/>
  <c r="H39" i="29"/>
  <c r="J112" i="20"/>
  <c r="K108" i="21"/>
  <c r="I85" i="21" s="1"/>
  <c r="O40" i="29"/>
  <c r="J38" i="29"/>
  <c r="I40" i="29"/>
  <c r="F38" i="29"/>
  <c r="L40" i="29"/>
  <c r="E39" i="29"/>
  <c r="K39" i="29"/>
  <c r="P40" i="29"/>
  <c r="C39" i="29"/>
  <c r="D40" i="29"/>
  <c r="N38" i="29"/>
  <c r="R38" i="29"/>
  <c r="L110" i="21"/>
  <c r="H87" i="21" s="1"/>
  <c r="H88" i="21"/>
  <c r="AO298" i="1" s="1"/>
  <c r="Q40" i="29"/>
  <c r="E40" i="29"/>
  <c r="G183" i="27"/>
  <c r="AK421" i="1"/>
  <c r="G183" i="28" s="1"/>
  <c r="D39" i="29"/>
  <c r="H40" i="29"/>
  <c r="B41" i="15"/>
  <c r="BJ178" i="14"/>
  <c r="BJ177" i="14" s="1"/>
  <c r="G182" i="25"/>
  <c r="G107" i="25"/>
  <c r="H107" i="25" s="1"/>
  <c r="I107" i="25" s="1"/>
  <c r="D107" i="25" s="1"/>
  <c r="AE311" i="1"/>
  <c r="I184" i="24"/>
  <c r="B44" i="15"/>
  <c r="BM178" i="14"/>
  <c r="BM177" i="14" s="1"/>
  <c r="J109" i="21"/>
  <c r="J86" i="21" s="1"/>
  <c r="L108" i="21"/>
  <c r="H85" i="21" s="1"/>
  <c r="L109" i="21"/>
  <c r="H86" i="21" s="1"/>
  <c r="L111" i="21"/>
  <c r="J88" i="21"/>
  <c r="AO300" i="1" s="1"/>
  <c r="AL300" i="1" s="1"/>
  <c r="J90" i="21" s="1"/>
  <c r="J111" i="21"/>
  <c r="J110" i="21"/>
  <c r="J87" i="21" s="1"/>
  <c r="K111" i="21"/>
  <c r="K109" i="21"/>
  <c r="I86" i="21" s="1"/>
  <c r="K110" i="21"/>
  <c r="I87" i="21" s="1"/>
  <c r="T86" i="29"/>
  <c r="I52" i="29"/>
  <c r="I51" i="29"/>
  <c r="C60" i="29"/>
  <c r="F58" i="29"/>
  <c r="C59" i="29"/>
  <c r="BO178" i="14"/>
  <c r="BO177" i="14" s="1"/>
  <c r="B46" i="15"/>
  <c r="G59" i="29"/>
  <c r="J58" i="29"/>
  <c r="G60" i="29"/>
  <c r="M59" i="29"/>
  <c r="M60" i="29"/>
  <c r="H51" i="29"/>
  <c r="H52" i="29"/>
  <c r="K43" i="29"/>
  <c r="N42" i="29"/>
  <c r="K44" i="29"/>
  <c r="P52" i="29"/>
  <c r="P51" i="29"/>
  <c r="O59" i="29"/>
  <c r="R58" i="29"/>
  <c r="O60" i="29"/>
  <c r="G51" i="29"/>
  <c r="G52" i="29"/>
  <c r="J50" i="29"/>
  <c r="Q59" i="29"/>
  <c r="Q60" i="29"/>
  <c r="H56" i="29"/>
  <c r="H55" i="29"/>
  <c r="L56" i="29"/>
  <c r="L55" i="29"/>
  <c r="I56" i="29"/>
  <c r="I55" i="29"/>
  <c r="L43" i="29"/>
  <c r="L44" i="29"/>
  <c r="K55" i="29"/>
  <c r="N54" i="29"/>
  <c r="K56" i="29"/>
  <c r="M52" i="29"/>
  <c r="M51" i="29"/>
  <c r="G48" i="29"/>
  <c r="J46" i="29"/>
  <c r="G47" i="29"/>
  <c r="I48" i="29"/>
  <c r="I47" i="29"/>
  <c r="E43" i="29"/>
  <c r="E44" i="29"/>
  <c r="D52" i="29"/>
  <c r="D51" i="29"/>
  <c r="H44" i="29"/>
  <c r="H43" i="29"/>
  <c r="J54" i="29"/>
  <c r="G56" i="29"/>
  <c r="G55" i="29"/>
  <c r="BK178" i="14"/>
  <c r="BK177" i="14" s="1"/>
  <c r="B42" i="15"/>
  <c r="E59" i="29"/>
  <c r="E60" i="29"/>
  <c r="O51" i="29"/>
  <c r="R50" i="29"/>
  <c r="O52" i="29"/>
  <c r="F50" i="29"/>
  <c r="C51" i="29"/>
  <c r="C52" i="29"/>
  <c r="C43" i="29"/>
  <c r="F42" i="29"/>
  <c r="C44" i="29"/>
  <c r="B43" i="15"/>
  <c r="K51" i="29"/>
  <c r="K52" i="29"/>
  <c r="N50" i="29"/>
  <c r="O55" i="29"/>
  <c r="R54" i="29"/>
  <c r="O56" i="29"/>
  <c r="BN178" i="14"/>
  <c r="BN177" i="14" s="1"/>
  <c r="B45" i="15"/>
  <c r="E47" i="29"/>
  <c r="E48" i="29"/>
  <c r="J42" i="29"/>
  <c r="G43" i="29"/>
  <c r="G44" i="29"/>
  <c r="P43" i="29"/>
  <c r="P44" i="29"/>
  <c r="D59" i="29"/>
  <c r="D60" i="29"/>
  <c r="D55" i="29"/>
  <c r="D56" i="29"/>
  <c r="L48" i="29"/>
  <c r="L47" i="29"/>
  <c r="K60" i="29"/>
  <c r="K59" i="29"/>
  <c r="N58" i="29"/>
  <c r="M47" i="29"/>
  <c r="M48" i="29"/>
  <c r="D47" i="29"/>
  <c r="D48" i="29"/>
  <c r="P60" i="29"/>
  <c r="P59" i="29"/>
  <c r="O44" i="29"/>
  <c r="R42" i="29"/>
  <c r="O43" i="29"/>
  <c r="I43" i="29"/>
  <c r="I44" i="29"/>
  <c r="F46" i="29"/>
  <c r="C47" i="29"/>
  <c r="C48" i="29"/>
  <c r="H60" i="29"/>
  <c r="H59" i="29"/>
  <c r="E56" i="29"/>
  <c r="E55" i="29"/>
  <c r="H47" i="29"/>
  <c r="H48" i="29"/>
  <c r="Q52" i="29"/>
  <c r="Q51" i="29"/>
  <c r="E51" i="29"/>
  <c r="E52" i="29"/>
  <c r="Q43" i="29"/>
  <c r="Q44" i="29"/>
  <c r="M44" i="29"/>
  <c r="M43" i="29"/>
  <c r="K48" i="29"/>
  <c r="K47" i="29"/>
  <c r="N46" i="29"/>
  <c r="F54" i="29"/>
  <c r="C56" i="29"/>
  <c r="C55" i="29"/>
  <c r="F55" i="29" s="1"/>
  <c r="L60" i="29"/>
  <c r="L59" i="29"/>
  <c r="D44" i="29"/>
  <c r="D43" i="29"/>
  <c r="M56" i="29"/>
  <c r="M55" i="29"/>
  <c r="Q55" i="29"/>
  <c r="Q56" i="29"/>
  <c r="I60" i="29"/>
  <c r="I59" i="29"/>
  <c r="L51" i="29"/>
  <c r="L52" i="29"/>
  <c r="O48" i="29"/>
  <c r="R46" i="29"/>
  <c r="O47" i="29"/>
  <c r="P56" i="29"/>
  <c r="P55" i="29"/>
  <c r="P47" i="29"/>
  <c r="P48" i="29"/>
  <c r="Q47" i="29"/>
  <c r="Q48" i="29"/>
  <c r="T111" i="29"/>
  <c r="J184" i="24"/>
  <c r="G117" i="22"/>
  <c r="L184" i="24"/>
  <c r="H117" i="22"/>
  <c r="K184" i="24"/>
  <c r="D115" i="23"/>
  <c r="AE426" i="1"/>
  <c r="L183" i="25"/>
  <c r="M159" i="24"/>
  <c r="I159" i="24"/>
  <c r="AE316" i="1"/>
  <c r="G112" i="25"/>
  <c r="H112" i="25" s="1"/>
  <c r="I112" i="25" s="1"/>
  <c r="D112" i="25" s="1"/>
  <c r="L182" i="25"/>
  <c r="L160" i="25" s="1"/>
  <c r="AL299" i="1"/>
  <c r="AQ299" i="1"/>
  <c r="AE422" i="1"/>
  <c r="H183" i="25"/>
  <c r="AB431" i="1"/>
  <c r="L159" i="24"/>
  <c r="AE427" i="1"/>
  <c r="M183" i="25"/>
  <c r="AE424" i="1"/>
  <c r="J183" i="25"/>
  <c r="AE314" i="1"/>
  <c r="G110" i="25"/>
  <c r="H110" i="25" s="1"/>
  <c r="I110" i="25" s="1"/>
  <c r="D110" i="25" s="1"/>
  <c r="J182" i="25"/>
  <c r="J160" i="25" s="1"/>
  <c r="H184" i="24"/>
  <c r="E183" i="24"/>
  <c r="AE425" i="1"/>
  <c r="K183" i="25"/>
  <c r="AE317" i="1"/>
  <c r="M182" i="25"/>
  <c r="M160" i="25" s="1"/>
  <c r="G113" i="25"/>
  <c r="H113" i="25" s="1"/>
  <c r="I113" i="25" s="1"/>
  <c r="D113" i="25" s="1"/>
  <c r="G114" i="24"/>
  <c r="H114" i="24" s="1"/>
  <c r="I114" i="24" s="1"/>
  <c r="D114" i="24" s="1"/>
  <c r="AB318" i="1"/>
  <c r="G115" i="25" s="1"/>
  <c r="H115" i="25" s="1"/>
  <c r="I115" i="25" s="1"/>
  <c r="AE315" i="1"/>
  <c r="K182" i="25"/>
  <c r="K160" i="25" s="1"/>
  <c r="G111" i="25"/>
  <c r="H111" i="25" s="1"/>
  <c r="I111" i="25" s="1"/>
  <c r="D111" i="25" s="1"/>
  <c r="E39" i="24"/>
  <c r="L78" i="24" s="1"/>
  <c r="M78" i="24" s="1"/>
  <c r="E7" i="25"/>
  <c r="L77" i="25" s="1"/>
  <c r="M77" i="25" s="1"/>
  <c r="AB273" i="1"/>
  <c r="M184" i="24"/>
  <c r="AE312" i="1"/>
  <c r="H182" i="25"/>
  <c r="G108" i="25"/>
  <c r="H108" i="25" s="1"/>
  <c r="I108" i="25" s="1"/>
  <c r="D108" i="25" s="1"/>
  <c r="J108" i="22"/>
  <c r="J85" i="22" s="1"/>
  <c r="J109" i="22"/>
  <c r="J86" i="22" s="1"/>
  <c r="J88" i="22"/>
  <c r="AX300" i="1" s="1"/>
  <c r="J110" i="22"/>
  <c r="J87" i="22" s="1"/>
  <c r="J111" i="22"/>
  <c r="K159" i="24"/>
  <c r="AE423" i="1"/>
  <c r="I183" i="25"/>
  <c r="AE313" i="1"/>
  <c r="G109" i="25"/>
  <c r="H109" i="25" s="1"/>
  <c r="I109" i="25" s="1"/>
  <c r="D109" i="25" s="1"/>
  <c r="I182" i="25"/>
  <c r="I160" i="25" s="1"/>
  <c r="H160" i="24"/>
  <c r="E182" i="24"/>
  <c r="J159" i="24"/>
  <c r="H159" i="23"/>
  <c r="E184" i="23"/>
  <c r="L107" i="22"/>
  <c r="K107" i="22"/>
  <c r="J36" i="29" l="1"/>
  <c r="H157" i="23"/>
  <c r="N35" i="29"/>
  <c r="N36" i="29"/>
  <c r="F36" i="29"/>
  <c r="J35" i="29"/>
  <c r="F35" i="29"/>
  <c r="R36" i="29"/>
  <c r="H156" i="23"/>
  <c r="H153" i="23"/>
  <c r="H151" i="23"/>
  <c r="H152" i="23"/>
  <c r="G154" i="23"/>
  <c r="H158" i="23"/>
  <c r="H155" i="23"/>
  <c r="G156" i="23"/>
  <c r="H154" i="23"/>
  <c r="H150" i="23"/>
  <c r="G157" i="23"/>
  <c r="G153" i="23"/>
  <c r="G151" i="23"/>
  <c r="G152" i="23"/>
  <c r="G184" i="25"/>
  <c r="G160" i="25"/>
  <c r="L153" i="23"/>
  <c r="L152" i="23"/>
  <c r="L151" i="23"/>
  <c r="K152" i="23"/>
  <c r="K151" i="23"/>
  <c r="M156" i="23"/>
  <c r="M150" i="23"/>
  <c r="M152" i="23"/>
  <c r="I151" i="23"/>
  <c r="I155" i="23"/>
  <c r="J153" i="23"/>
  <c r="L150" i="23"/>
  <c r="K158" i="23"/>
  <c r="K154" i="23"/>
  <c r="M151" i="23"/>
  <c r="M154" i="23"/>
  <c r="L157" i="23"/>
  <c r="L155" i="23"/>
  <c r="L156" i="23"/>
  <c r="K156" i="23"/>
  <c r="K150" i="23"/>
  <c r="K157" i="23"/>
  <c r="M157" i="23"/>
  <c r="M155" i="23"/>
  <c r="M158" i="23"/>
  <c r="I157" i="23"/>
  <c r="J154" i="23"/>
  <c r="J157" i="23"/>
  <c r="I150" i="23"/>
  <c r="J158" i="23"/>
  <c r="L158" i="23"/>
  <c r="L154" i="23"/>
  <c r="K153" i="23"/>
  <c r="K155" i="23"/>
  <c r="M153" i="23"/>
  <c r="I154" i="23"/>
  <c r="I156" i="23"/>
  <c r="I152" i="23"/>
  <c r="J155" i="23"/>
  <c r="J156" i="23"/>
  <c r="J151" i="23"/>
  <c r="I158" i="23"/>
  <c r="I153" i="23"/>
  <c r="J150" i="23"/>
  <c r="J152" i="23"/>
  <c r="G159" i="24"/>
  <c r="E151" i="24"/>
  <c r="G151" i="24" s="1"/>
  <c r="G150" i="23"/>
  <c r="G158" i="23"/>
  <c r="E188" i="24"/>
  <c r="E160" i="24"/>
  <c r="T90" i="29"/>
  <c r="T91" i="29"/>
  <c r="T87" i="29"/>
  <c r="T94" i="29"/>
  <c r="F28" i="29"/>
  <c r="R35" i="29"/>
  <c r="R27" i="29"/>
  <c r="T34" i="29"/>
  <c r="J31" i="29"/>
  <c r="R28" i="29"/>
  <c r="J23" i="29"/>
  <c r="R31" i="29"/>
  <c r="N23" i="29"/>
  <c r="F24" i="29"/>
  <c r="F31" i="29"/>
  <c r="N31" i="29"/>
  <c r="J28" i="29"/>
  <c r="N28" i="29"/>
  <c r="N32" i="29"/>
  <c r="N27" i="29"/>
  <c r="F23" i="29"/>
  <c r="R23" i="29"/>
  <c r="R32" i="29"/>
  <c r="J27" i="29"/>
  <c r="F27" i="29"/>
  <c r="N24" i="29"/>
  <c r="T22" i="29"/>
  <c r="R24" i="29"/>
  <c r="J24" i="29"/>
  <c r="F32" i="29"/>
  <c r="BF542" i="14"/>
  <c r="BF538" i="14"/>
  <c r="BF534" i="14"/>
  <c r="BF530" i="14"/>
  <c r="BF526" i="14"/>
  <c r="BF522" i="14"/>
  <c r="BF518" i="14"/>
  <c r="BF514" i="14"/>
  <c r="BF510" i="14"/>
  <c r="BF503" i="14"/>
  <c r="BF495" i="14"/>
  <c r="BF487" i="14"/>
  <c r="BF479" i="14"/>
  <c r="BF471" i="14"/>
  <c r="BF502" i="14"/>
  <c r="BF486" i="14"/>
  <c r="BF470" i="14"/>
  <c r="BF460" i="14"/>
  <c r="BF452" i="14"/>
  <c r="BF444" i="14"/>
  <c r="BF463" i="14"/>
  <c r="BF447" i="14"/>
  <c r="BF434" i="14"/>
  <c r="BF426" i="14"/>
  <c r="BF418" i="14"/>
  <c r="BF410" i="14"/>
  <c r="BF402" i="14"/>
  <c r="BF394" i="14"/>
  <c r="BF386" i="14"/>
  <c r="BF378" i="14"/>
  <c r="BF370" i="14"/>
  <c r="BF362" i="14"/>
  <c r="BF355" i="14"/>
  <c r="BF480" i="14"/>
  <c r="BF350" i="14"/>
  <c r="BF346" i="14"/>
  <c r="BF342" i="14"/>
  <c r="BF338" i="14"/>
  <c r="BF334" i="14"/>
  <c r="BF330" i="14"/>
  <c r="BF326" i="14"/>
  <c r="BF322" i="14"/>
  <c r="BF318" i="14"/>
  <c r="BF314" i="14"/>
  <c r="BF310" i="14"/>
  <c r="BF306" i="14"/>
  <c r="BF302" i="14"/>
  <c r="BF298" i="14"/>
  <c r="BF484" i="14"/>
  <c r="BF453" i="14"/>
  <c r="BF413" i="14"/>
  <c r="BF381" i="14"/>
  <c r="BF292" i="14"/>
  <c r="BF287" i="14"/>
  <c r="BF281" i="14"/>
  <c r="BF276" i="14"/>
  <c r="BF271" i="14"/>
  <c r="BF266" i="14"/>
  <c r="BF256" i="14"/>
  <c r="BF250" i="14"/>
  <c r="BF243" i="14"/>
  <c r="BF239" i="14"/>
  <c r="BF234" i="14"/>
  <c r="BF226" i="14"/>
  <c r="BF217" i="14"/>
  <c r="BF492" i="14"/>
  <c r="BF449" i="14"/>
  <c r="BF427" i="14"/>
  <c r="BF411" i="14"/>
  <c r="BF395" i="14"/>
  <c r="BF379" i="14"/>
  <c r="BF363" i="14"/>
  <c r="BF421" i="14"/>
  <c r="BF393" i="14"/>
  <c r="BF365" i="14"/>
  <c r="BF293" i="14"/>
  <c r="BF279" i="14"/>
  <c r="BF264" i="14"/>
  <c r="BF257" i="14"/>
  <c r="BF545" i="14"/>
  <c r="BF541" i="14"/>
  <c r="BF537" i="14"/>
  <c r="BF533" i="14"/>
  <c r="BF529" i="14"/>
  <c r="BF525" i="14"/>
  <c r="BF521" i="14"/>
  <c r="BF517" i="14"/>
  <c r="BF513" i="14"/>
  <c r="BF509" i="14"/>
  <c r="BF501" i="14"/>
  <c r="BF493" i="14"/>
  <c r="BF485" i="14"/>
  <c r="BF477" i="14"/>
  <c r="BF469" i="14"/>
  <c r="BF498" i="14"/>
  <c r="BF482" i="14"/>
  <c r="BF466" i="14"/>
  <c r="BF458" i="14"/>
  <c r="BF450" i="14"/>
  <c r="BF442" i="14"/>
  <c r="BF459" i="14"/>
  <c r="BF443" i="14"/>
  <c r="BF432" i="14"/>
  <c r="BF424" i="14"/>
  <c r="BF416" i="14"/>
  <c r="BF408" i="14"/>
  <c r="BF400" i="14"/>
  <c r="BF392" i="14"/>
  <c r="BF384" i="14"/>
  <c r="BF376" i="14"/>
  <c r="BF368" i="14"/>
  <c r="BF360" i="14"/>
  <c r="BF504" i="14"/>
  <c r="BF472" i="14"/>
  <c r="BF349" i="14"/>
  <c r="BF345" i="14"/>
  <c r="BF341" i="14"/>
  <c r="BF337" i="14"/>
  <c r="BF333" i="14"/>
  <c r="BF329" i="14"/>
  <c r="BF325" i="14"/>
  <c r="BF321" i="14"/>
  <c r="BF317" i="14"/>
  <c r="BF313" i="14"/>
  <c r="BF309" i="14"/>
  <c r="BF305" i="14"/>
  <c r="BF301" i="14"/>
  <c r="BF297" i="14"/>
  <c r="BF468" i="14"/>
  <c r="BF445" i="14"/>
  <c r="BF405" i="14"/>
  <c r="BF373" i="14"/>
  <c r="BF291" i="14"/>
  <c r="BF285" i="14"/>
  <c r="BF280" i="14"/>
  <c r="BF275" i="14"/>
  <c r="BF269" i="14"/>
  <c r="BF263" i="14"/>
  <c r="BF255" i="14"/>
  <c r="BF249" i="14"/>
  <c r="BF242" i="14"/>
  <c r="BF238" i="14"/>
  <c r="BF233" i="14"/>
  <c r="BF225" i="14"/>
  <c r="BF215" i="14"/>
  <c r="BF476" i="14"/>
  <c r="BF441" i="14"/>
  <c r="BF423" i="14"/>
  <c r="BF407" i="14"/>
  <c r="BF391" i="14"/>
  <c r="BF375" i="14"/>
  <c r="BF359" i="14"/>
  <c r="BF417" i="14"/>
  <c r="BF385" i="14"/>
  <c r="BF361" i="14"/>
  <c r="BF288" i="14"/>
  <c r="BF273" i="14"/>
  <c r="BF262" i="14"/>
  <c r="BF254" i="14"/>
  <c r="BF544" i="14"/>
  <c r="BF540" i="14"/>
  <c r="BF536" i="14"/>
  <c r="BF532" i="14"/>
  <c r="BF528" i="14"/>
  <c r="BF524" i="14"/>
  <c r="BF520" i="14"/>
  <c r="BF516" i="14"/>
  <c r="BF512" i="14"/>
  <c r="BF507" i="14"/>
  <c r="BF499" i="14"/>
  <c r="BF491" i="14"/>
  <c r="BF483" i="14"/>
  <c r="BF475" i="14"/>
  <c r="BF467" i="14"/>
  <c r="BF494" i="14"/>
  <c r="BF478" i="14"/>
  <c r="BF464" i="14"/>
  <c r="BF456" i="14"/>
  <c r="BF448" i="14"/>
  <c r="BF440" i="14"/>
  <c r="BF455" i="14"/>
  <c r="BF439" i="14"/>
  <c r="BF430" i="14"/>
  <c r="BF422" i="14"/>
  <c r="BF414" i="14"/>
  <c r="BF406" i="14"/>
  <c r="BF398" i="14"/>
  <c r="BF390" i="14"/>
  <c r="BF382" i="14"/>
  <c r="BF374" i="14"/>
  <c r="BF366" i="14"/>
  <c r="BF358" i="14"/>
  <c r="BF496" i="14"/>
  <c r="BF352" i="14"/>
  <c r="BF348" i="14"/>
  <c r="BF344" i="14"/>
  <c r="BF340" i="14"/>
  <c r="BF336" i="14"/>
  <c r="BF332" i="14"/>
  <c r="BF328" i="14"/>
  <c r="BF324" i="14"/>
  <c r="BF320" i="14"/>
  <c r="BF316" i="14"/>
  <c r="BF312" i="14"/>
  <c r="BF308" i="14"/>
  <c r="BF304" i="14"/>
  <c r="BF300" i="14"/>
  <c r="BF296" i="14"/>
  <c r="BF354" i="14"/>
  <c r="BF437" i="14"/>
  <c r="BF397" i="14"/>
  <c r="BF357" i="14"/>
  <c r="BF290" i="14"/>
  <c r="BF284" i="14"/>
  <c r="BF278" i="14"/>
  <c r="BF274" i="14"/>
  <c r="BF268" i="14"/>
  <c r="BF261" i="14"/>
  <c r="BF253" i="14"/>
  <c r="BF248" i="14"/>
  <c r="BF241" i="14"/>
  <c r="BF237" i="14"/>
  <c r="BF231" i="14"/>
  <c r="BF223" i="14"/>
  <c r="BF213" i="14"/>
  <c r="BF465" i="14"/>
  <c r="BF435" i="14"/>
  <c r="BF419" i="14"/>
  <c r="BF403" i="14"/>
  <c r="BF387" i="14"/>
  <c r="BF371" i="14"/>
  <c r="BF433" i="14"/>
  <c r="BF409" i="14"/>
  <c r="BF377" i="14"/>
  <c r="BF295" i="14"/>
  <c r="BF286" i="14"/>
  <c r="BF270" i="14"/>
  <c r="BF260" i="14"/>
  <c r="BF252" i="14"/>
  <c r="BF539" i="14"/>
  <c r="BF523" i="14"/>
  <c r="BF505" i="14"/>
  <c r="BF473" i="14"/>
  <c r="BF462" i="14"/>
  <c r="BF451" i="14"/>
  <c r="BF412" i="14"/>
  <c r="BF380" i="14"/>
  <c r="BF488" i="14"/>
  <c r="BF339" i="14"/>
  <c r="BF323" i="14"/>
  <c r="BF307" i="14"/>
  <c r="BF461" i="14"/>
  <c r="BF289" i="14"/>
  <c r="BF267" i="14"/>
  <c r="BF240" i="14"/>
  <c r="BF508" i="14"/>
  <c r="BF399" i="14"/>
  <c r="BF401" i="14"/>
  <c r="BF265" i="14"/>
  <c r="BF245" i="14"/>
  <c r="BF229" i="14"/>
  <c r="BF220" i="14"/>
  <c r="BF214" i="14"/>
  <c r="BF204" i="14"/>
  <c r="BF188" i="14"/>
  <c r="BF193" i="14"/>
  <c r="BF198" i="14"/>
  <c r="BF203" i="14"/>
  <c r="BF187" i="14"/>
  <c r="BF197" i="14"/>
  <c r="BF194" i="14"/>
  <c r="BF283" i="14"/>
  <c r="BF201" i="14"/>
  <c r="BF209" i="14"/>
  <c r="BF535" i="14"/>
  <c r="BF519" i="14"/>
  <c r="BF497" i="14"/>
  <c r="BF506" i="14"/>
  <c r="BF454" i="14"/>
  <c r="BF436" i="14"/>
  <c r="BF404" i="14"/>
  <c r="BF372" i="14"/>
  <c r="BF351" i="14"/>
  <c r="BF335" i="14"/>
  <c r="BF319" i="14"/>
  <c r="BF303" i="14"/>
  <c r="BF425" i="14"/>
  <c r="BF282" i="14"/>
  <c r="BF259" i="14"/>
  <c r="BF236" i="14"/>
  <c r="BF457" i="14"/>
  <c r="BF383" i="14"/>
  <c r="BF369" i="14"/>
  <c r="BF258" i="14"/>
  <c r="BF235" i="14"/>
  <c r="BF227" i="14"/>
  <c r="BF219" i="14"/>
  <c r="BF212" i="14"/>
  <c r="BF200" i="14"/>
  <c r="BF184" i="14"/>
  <c r="BF189" i="14"/>
  <c r="BF190" i="14"/>
  <c r="BF199" i="14"/>
  <c r="BF183" i="14"/>
  <c r="BF185" i="14"/>
  <c r="BF186" i="14"/>
  <c r="BF527" i="14"/>
  <c r="BF511" i="14"/>
  <c r="BF474" i="14"/>
  <c r="BF420" i="14"/>
  <c r="BF356" i="14"/>
  <c r="BF327" i="14"/>
  <c r="BF500" i="14"/>
  <c r="BF272" i="14"/>
  <c r="BF221" i="14"/>
  <c r="BF429" i="14"/>
  <c r="BF230" i="14"/>
  <c r="BF216" i="14"/>
  <c r="BF192" i="14"/>
  <c r="BF207" i="14"/>
  <c r="BF206" i="14"/>
  <c r="BF531" i="14"/>
  <c r="BF515" i="14"/>
  <c r="BF489" i="14"/>
  <c r="BF490" i="14"/>
  <c r="BF446" i="14"/>
  <c r="BF428" i="14"/>
  <c r="BF396" i="14"/>
  <c r="BF364" i="14"/>
  <c r="BF347" i="14"/>
  <c r="BF331" i="14"/>
  <c r="BF315" i="14"/>
  <c r="BF299" i="14"/>
  <c r="BF389" i="14"/>
  <c r="BF277" i="14"/>
  <c r="BF251" i="14"/>
  <c r="BF228" i="14"/>
  <c r="BF431" i="14"/>
  <c r="BF367" i="14"/>
  <c r="BF294" i="14"/>
  <c r="BF247" i="14"/>
  <c r="BF232" i="14"/>
  <c r="BF224" i="14"/>
  <c r="BF218" i="14"/>
  <c r="BF211" i="14"/>
  <c r="BF196" i="14"/>
  <c r="BF205" i="14"/>
  <c r="BF181" i="14"/>
  <c r="BF182" i="14"/>
  <c r="BF195" i="14"/>
  <c r="BF180" i="14"/>
  <c r="BF210" i="14"/>
  <c r="BF543" i="14"/>
  <c r="BF481" i="14"/>
  <c r="BF438" i="14"/>
  <c r="BF388" i="14"/>
  <c r="BF343" i="14"/>
  <c r="BF311" i="14"/>
  <c r="BF353" i="14"/>
  <c r="BF244" i="14"/>
  <c r="BF415" i="14"/>
  <c r="BF246" i="14"/>
  <c r="BF222" i="14"/>
  <c r="BF208" i="14"/>
  <c r="BF202" i="14"/>
  <c r="BF191" i="14"/>
  <c r="BH541" i="14"/>
  <c r="BH530" i="14"/>
  <c r="BH535" i="14"/>
  <c r="BH519" i="14"/>
  <c r="BH506" i="14"/>
  <c r="BH502" i="14"/>
  <c r="BH498" i="14"/>
  <c r="BH494" i="14"/>
  <c r="BH490" i="14"/>
  <c r="BH486" i="14"/>
  <c r="BH482" i="14"/>
  <c r="BH478" i="14"/>
  <c r="BH474" i="14"/>
  <c r="BH470" i="14"/>
  <c r="BH466" i="14"/>
  <c r="BH524" i="14"/>
  <c r="BH511" i="14"/>
  <c r="BH516" i="14"/>
  <c r="BH464" i="14"/>
  <c r="BH460" i="14"/>
  <c r="BH456" i="14"/>
  <c r="BH452" i="14"/>
  <c r="BH448" i="14"/>
  <c r="BH444" i="14"/>
  <c r="BH440" i="14"/>
  <c r="BH525" i="14"/>
  <c r="BH435" i="14"/>
  <c r="BH431" i="14"/>
  <c r="BH427" i="14"/>
  <c r="BH423" i="14"/>
  <c r="BH419" i="14"/>
  <c r="BH415" i="14"/>
  <c r="BH411" i="14"/>
  <c r="BH407" i="14"/>
  <c r="BH403" i="14"/>
  <c r="BH399" i="14"/>
  <c r="BH395" i="14"/>
  <c r="BH391" i="14"/>
  <c r="BH387" i="14"/>
  <c r="BH383" i="14"/>
  <c r="BH379" i="14"/>
  <c r="BH375" i="14"/>
  <c r="BH371" i="14"/>
  <c r="BH367" i="14"/>
  <c r="BH363" i="14"/>
  <c r="BH359" i="14"/>
  <c r="BH544" i="14"/>
  <c r="BH355" i="14"/>
  <c r="BH346" i="14"/>
  <c r="BH338" i="14"/>
  <c r="BH330" i="14"/>
  <c r="BH322" i="14"/>
  <c r="BH314" i="14"/>
  <c r="BH306" i="14"/>
  <c r="BH352" i="14"/>
  <c r="BH295" i="14"/>
  <c r="BH291" i="14"/>
  <c r="BH287" i="14"/>
  <c r="BH283" i="14"/>
  <c r="BH279" i="14"/>
  <c r="BH275" i="14"/>
  <c r="BH271" i="14"/>
  <c r="BH267" i="14"/>
  <c r="BH263" i="14"/>
  <c r="BH259" i="14"/>
  <c r="BH255" i="14"/>
  <c r="BH251" i="14"/>
  <c r="BH247" i="14"/>
  <c r="BH243" i="14"/>
  <c r="BH239" i="14"/>
  <c r="BH235" i="14"/>
  <c r="BH231" i="14"/>
  <c r="BH227" i="14"/>
  <c r="BH223" i="14"/>
  <c r="BH219" i="14"/>
  <c r="BH215" i="14"/>
  <c r="BH211" i="14"/>
  <c r="BH331" i="14"/>
  <c r="BH302" i="14"/>
  <c r="BH298" i="14"/>
  <c r="BH303" i="14"/>
  <c r="BH321" i="14"/>
  <c r="BH333" i="14"/>
  <c r="BH311" i="14"/>
  <c r="BH198" i="14"/>
  <c r="BH182" i="14"/>
  <c r="BH191" i="14"/>
  <c r="BH204" i="14"/>
  <c r="BH205" i="14"/>
  <c r="BH189" i="14"/>
  <c r="BH183" i="14"/>
  <c r="BH539" i="14"/>
  <c r="BH526" i="14"/>
  <c r="BH531" i="14"/>
  <c r="BH529" i="14"/>
  <c r="BH505" i="14"/>
  <c r="BH501" i="14"/>
  <c r="BH497" i="14"/>
  <c r="BH493" i="14"/>
  <c r="BH489" i="14"/>
  <c r="BH485" i="14"/>
  <c r="BH481" i="14"/>
  <c r="BH477" i="14"/>
  <c r="BH473" i="14"/>
  <c r="BH469" i="14"/>
  <c r="BH542" i="14"/>
  <c r="BH517" i="14"/>
  <c r="BH509" i="14"/>
  <c r="BH512" i="14"/>
  <c r="BH463" i="14"/>
  <c r="BH459" i="14"/>
  <c r="BH455" i="14"/>
  <c r="BH451" i="14"/>
  <c r="BH447" i="14"/>
  <c r="BH443" i="14"/>
  <c r="BH439" i="14"/>
  <c r="BH536" i="14"/>
  <c r="BH434" i="14"/>
  <c r="BH430" i="14"/>
  <c r="BH426" i="14"/>
  <c r="BH422" i="14"/>
  <c r="BH418" i="14"/>
  <c r="BH414" i="14"/>
  <c r="BH410" i="14"/>
  <c r="BH406" i="14"/>
  <c r="BH402" i="14"/>
  <c r="BH398" i="14"/>
  <c r="BH394" i="14"/>
  <c r="BH390" i="14"/>
  <c r="BH386" i="14"/>
  <c r="BH382" i="14"/>
  <c r="BH378" i="14"/>
  <c r="BH374" i="14"/>
  <c r="BH370" i="14"/>
  <c r="BH366" i="14"/>
  <c r="BH362" i="14"/>
  <c r="BH358" i="14"/>
  <c r="BH520" i="14"/>
  <c r="BH353" i="14"/>
  <c r="BH344" i="14"/>
  <c r="BH336" i="14"/>
  <c r="BH328" i="14"/>
  <c r="BH320" i="14"/>
  <c r="BH312" i="14"/>
  <c r="BH304" i="14"/>
  <c r="BH533" i="14"/>
  <c r="BH294" i="14"/>
  <c r="BH290" i="14"/>
  <c r="BH286" i="14"/>
  <c r="BH282" i="14"/>
  <c r="BH278" i="14"/>
  <c r="BH274" i="14"/>
  <c r="BH270" i="14"/>
  <c r="BH266" i="14"/>
  <c r="BH262" i="14"/>
  <c r="BH258" i="14"/>
  <c r="BH254" i="14"/>
  <c r="BH250" i="14"/>
  <c r="BH246" i="14"/>
  <c r="BH242" i="14"/>
  <c r="BH238" i="14"/>
  <c r="BH234" i="14"/>
  <c r="BH230" i="14"/>
  <c r="BH226" i="14"/>
  <c r="BH222" i="14"/>
  <c r="BH218" i="14"/>
  <c r="BH214" i="14"/>
  <c r="BH299" i="14"/>
  <c r="BH323" i="14"/>
  <c r="BH341" i="14"/>
  <c r="BH351" i="14"/>
  <c r="BH545" i="14"/>
  <c r="BH537" i="14"/>
  <c r="BH522" i="14"/>
  <c r="BH527" i="14"/>
  <c r="BH521" i="14"/>
  <c r="BH504" i="14"/>
  <c r="BH500" i="14"/>
  <c r="BH496" i="14"/>
  <c r="BH492" i="14"/>
  <c r="BH488" i="14"/>
  <c r="BH484" i="14"/>
  <c r="BH480" i="14"/>
  <c r="BH476" i="14"/>
  <c r="BH472" i="14"/>
  <c r="BH468" i="14"/>
  <c r="BH538" i="14"/>
  <c r="BH515" i="14"/>
  <c r="BH540" i="14"/>
  <c r="BH508" i="14"/>
  <c r="BH462" i="14"/>
  <c r="BH458" i="14"/>
  <c r="BH454" i="14"/>
  <c r="BH450" i="14"/>
  <c r="BH446" i="14"/>
  <c r="BH442" i="14"/>
  <c r="BH438" i="14"/>
  <c r="BH510" i="14"/>
  <c r="BH433" i="14"/>
  <c r="BH429" i="14"/>
  <c r="BH425" i="14"/>
  <c r="BH421" i="14"/>
  <c r="BH417" i="14"/>
  <c r="BH413" i="14"/>
  <c r="BH409" i="14"/>
  <c r="BH405" i="14"/>
  <c r="BH401" i="14"/>
  <c r="BH397" i="14"/>
  <c r="BH393" i="14"/>
  <c r="BH389" i="14"/>
  <c r="BH385" i="14"/>
  <c r="BH381" i="14"/>
  <c r="BH377" i="14"/>
  <c r="BH373" i="14"/>
  <c r="BH369" i="14"/>
  <c r="BH365" i="14"/>
  <c r="BH361" i="14"/>
  <c r="BH357" i="14"/>
  <c r="BH514" i="14"/>
  <c r="BH350" i="14"/>
  <c r="BH342" i="14"/>
  <c r="BH334" i="14"/>
  <c r="BH326" i="14"/>
  <c r="BH318" i="14"/>
  <c r="BH310" i="14"/>
  <c r="BH300" i="14"/>
  <c r="BH301" i="14"/>
  <c r="BH293" i="14"/>
  <c r="BH289" i="14"/>
  <c r="BH285" i="14"/>
  <c r="BH281" i="14"/>
  <c r="BH277" i="14"/>
  <c r="BH273" i="14"/>
  <c r="BH269" i="14"/>
  <c r="BH265" i="14"/>
  <c r="BH261" i="14"/>
  <c r="BH257" i="14"/>
  <c r="BH253" i="14"/>
  <c r="BH249" i="14"/>
  <c r="BH245" i="14"/>
  <c r="BH241" i="14"/>
  <c r="BH237" i="14"/>
  <c r="BH233" i="14"/>
  <c r="BH229" i="14"/>
  <c r="BH225" i="14"/>
  <c r="BH221" i="14"/>
  <c r="BH217" i="14"/>
  <c r="BH213" i="14"/>
  <c r="BH347" i="14"/>
  <c r="BH315" i="14"/>
  <c r="BH325" i="14"/>
  <c r="BH343" i="14"/>
  <c r="BH337" i="14"/>
  <c r="BH523" i="14"/>
  <c r="BH495" i="14"/>
  <c r="BH479" i="14"/>
  <c r="BH532" i="14"/>
  <c r="BH461" i="14"/>
  <c r="BH445" i="14"/>
  <c r="BH432" i="14"/>
  <c r="BH416" i="14"/>
  <c r="BH400" i="14"/>
  <c r="BH384" i="14"/>
  <c r="BH368" i="14"/>
  <c r="BH354" i="14"/>
  <c r="BH324" i="14"/>
  <c r="BH297" i="14"/>
  <c r="BH280" i="14"/>
  <c r="BH264" i="14"/>
  <c r="BH248" i="14"/>
  <c r="BH232" i="14"/>
  <c r="BH216" i="14"/>
  <c r="BH309" i="14"/>
  <c r="BH313" i="14"/>
  <c r="BH335" i="14"/>
  <c r="BH202" i="14"/>
  <c r="BH203" i="14"/>
  <c r="BH180" i="14"/>
  <c r="BH209" i="14"/>
  <c r="BH185" i="14"/>
  <c r="BH192" i="14"/>
  <c r="BH543" i="14"/>
  <c r="BH507" i="14"/>
  <c r="BH491" i="14"/>
  <c r="BH475" i="14"/>
  <c r="BH513" i="14"/>
  <c r="BH457" i="14"/>
  <c r="BH441" i="14"/>
  <c r="BH428" i="14"/>
  <c r="BH412" i="14"/>
  <c r="BH396" i="14"/>
  <c r="BH380" i="14"/>
  <c r="BH364" i="14"/>
  <c r="BH348" i="14"/>
  <c r="BH316" i="14"/>
  <c r="BH292" i="14"/>
  <c r="BH276" i="14"/>
  <c r="BH260" i="14"/>
  <c r="BH244" i="14"/>
  <c r="BH228" i="14"/>
  <c r="BH212" i="14"/>
  <c r="BH327" i="14"/>
  <c r="BH305" i="14"/>
  <c r="BH319" i="14"/>
  <c r="BH194" i="14"/>
  <c r="BH199" i="14"/>
  <c r="BH208" i="14"/>
  <c r="BH201" i="14"/>
  <c r="BH181" i="14"/>
  <c r="BH184" i="14"/>
  <c r="BH534" i="14"/>
  <c r="BH503" i="14"/>
  <c r="BH487" i="14"/>
  <c r="BH471" i="14"/>
  <c r="BH528" i="14"/>
  <c r="BH453" i="14"/>
  <c r="BH437" i="14"/>
  <c r="BH424" i="14"/>
  <c r="BH408" i="14"/>
  <c r="BH392" i="14"/>
  <c r="BH376" i="14"/>
  <c r="BH360" i="14"/>
  <c r="BH340" i="14"/>
  <c r="BH308" i="14"/>
  <c r="BH288" i="14"/>
  <c r="BH272" i="14"/>
  <c r="BH256" i="14"/>
  <c r="BH240" i="14"/>
  <c r="BH224" i="14"/>
  <c r="BH339" i="14"/>
  <c r="BH345" i="14"/>
  <c r="BH349" i="14"/>
  <c r="BH210" i="14"/>
  <c r="BH190" i="14"/>
  <c r="BH195" i="14"/>
  <c r="BH200" i="14"/>
  <c r="BH197" i="14"/>
  <c r="BH207" i="14"/>
  <c r="BH518" i="14"/>
  <c r="BH499" i="14"/>
  <c r="BH483" i="14"/>
  <c r="BH467" i="14"/>
  <c r="BH465" i="14"/>
  <c r="BH449" i="14"/>
  <c r="BH436" i="14"/>
  <c r="BH420" i="14"/>
  <c r="BH404" i="14"/>
  <c r="BH388" i="14"/>
  <c r="BH372" i="14"/>
  <c r="BH356" i="14"/>
  <c r="BH332" i="14"/>
  <c r="BH296" i="14"/>
  <c r="BH284" i="14"/>
  <c r="BH268" i="14"/>
  <c r="BH252" i="14"/>
  <c r="BH236" i="14"/>
  <c r="BH220" i="14"/>
  <c r="BH307" i="14"/>
  <c r="BH329" i="14"/>
  <c r="BH317" i="14"/>
  <c r="BH206" i="14"/>
  <c r="BH186" i="14"/>
  <c r="BH187" i="14"/>
  <c r="BH188" i="14"/>
  <c r="BH193" i="14"/>
  <c r="BH196" i="14"/>
  <c r="BG523" i="14"/>
  <c r="BG540" i="14"/>
  <c r="BG528" i="14"/>
  <c r="BG516" i="14"/>
  <c r="BG512" i="14"/>
  <c r="BG508" i="14"/>
  <c r="BG522" i="14"/>
  <c r="BG506" i="14"/>
  <c r="BG498" i="14"/>
  <c r="BG490" i="14"/>
  <c r="BG482" i="14"/>
  <c r="BG474" i="14"/>
  <c r="BG466" i="14"/>
  <c r="BG545" i="14"/>
  <c r="BG459" i="14"/>
  <c r="BG451" i="14"/>
  <c r="BG443" i="14"/>
  <c r="BG436" i="14"/>
  <c r="BG432" i="14"/>
  <c r="BG428" i="14"/>
  <c r="BG424" i="14"/>
  <c r="BG420" i="14"/>
  <c r="BG416" i="14"/>
  <c r="BG412" i="14"/>
  <c r="BG408" i="14"/>
  <c r="BG404" i="14"/>
  <c r="BG400" i="14"/>
  <c r="BG396" i="14"/>
  <c r="BG392" i="14"/>
  <c r="BG388" i="14"/>
  <c r="BG384" i="14"/>
  <c r="BG380" i="14"/>
  <c r="BG376" i="14"/>
  <c r="BG372" i="14"/>
  <c r="BG368" i="14"/>
  <c r="BG364" i="14"/>
  <c r="BG360" i="14"/>
  <c r="BG356" i="14"/>
  <c r="BG352" i="14"/>
  <c r="BG497" i="14"/>
  <c r="BG481" i="14"/>
  <c r="BG503" i="14"/>
  <c r="BG471" i="14"/>
  <c r="BG454" i="14"/>
  <c r="BG438" i="14"/>
  <c r="BG448" i="14"/>
  <c r="BG295" i="14"/>
  <c r="BG291" i="14"/>
  <c r="BG287" i="14"/>
  <c r="BG283" i="14"/>
  <c r="BG279" i="14"/>
  <c r="BG275" i="14"/>
  <c r="BG271" i="14"/>
  <c r="BG267" i="14"/>
  <c r="BG263" i="14"/>
  <c r="BG259" i="14"/>
  <c r="BG255" i="14"/>
  <c r="BG251" i="14"/>
  <c r="BG247" i="14"/>
  <c r="BG243" i="14"/>
  <c r="BG239" i="14"/>
  <c r="BG235" i="14"/>
  <c r="BG231" i="14"/>
  <c r="BG227" i="14"/>
  <c r="BG223" i="14"/>
  <c r="BG219" i="14"/>
  <c r="BG215" i="14"/>
  <c r="BG211" i="14"/>
  <c r="BG350" i="14"/>
  <c r="BG338" i="14"/>
  <c r="BG326" i="14"/>
  <c r="BG310" i="14"/>
  <c r="BG507" i="14"/>
  <c r="BG349" i="14"/>
  <c r="BG341" i="14"/>
  <c r="BG333" i="14"/>
  <c r="BG325" i="14"/>
  <c r="BG317" i="14"/>
  <c r="BG309" i="14"/>
  <c r="BG302" i="14"/>
  <c r="BG336" i="14"/>
  <c r="BG318" i="14"/>
  <c r="BG296" i="14"/>
  <c r="BG209" i="14"/>
  <c r="BG193" i="14"/>
  <c r="BG202" i="14"/>
  <c r="BG207" i="14"/>
  <c r="BG180" i="14"/>
  <c r="BG196" i="14"/>
  <c r="BG210" i="14"/>
  <c r="BG195" i="14"/>
  <c r="BG535" i="14"/>
  <c r="BG519" i="14"/>
  <c r="BG538" i="14"/>
  <c r="BG524" i="14"/>
  <c r="BG515" i="14"/>
  <c r="BG511" i="14"/>
  <c r="BG543" i="14"/>
  <c r="BG533" i="14"/>
  <c r="BG504" i="14"/>
  <c r="BG496" i="14"/>
  <c r="BG488" i="14"/>
  <c r="BG480" i="14"/>
  <c r="BG472" i="14"/>
  <c r="BG541" i="14"/>
  <c r="BG465" i="14"/>
  <c r="BG457" i="14"/>
  <c r="BG449" i="14"/>
  <c r="BG441" i="14"/>
  <c r="BG435" i="14"/>
  <c r="BG431" i="14"/>
  <c r="BG427" i="14"/>
  <c r="BG423" i="14"/>
  <c r="BG419" i="14"/>
  <c r="BG415" i="14"/>
  <c r="BG411" i="14"/>
  <c r="BG407" i="14"/>
  <c r="BG403" i="14"/>
  <c r="BG399" i="14"/>
  <c r="BG395" i="14"/>
  <c r="BG391" i="14"/>
  <c r="BG387" i="14"/>
  <c r="BG383" i="14"/>
  <c r="BG379" i="14"/>
  <c r="BG375" i="14"/>
  <c r="BG371" i="14"/>
  <c r="BG367" i="14"/>
  <c r="BG363" i="14"/>
  <c r="BG359" i="14"/>
  <c r="BG355" i="14"/>
  <c r="BG529" i="14"/>
  <c r="BG493" i="14"/>
  <c r="BG477" i="14"/>
  <c r="BG495" i="14"/>
  <c r="BG537" i="14"/>
  <c r="BG450" i="14"/>
  <c r="BG526" i="14"/>
  <c r="BG440" i="14"/>
  <c r="BG294" i="14"/>
  <c r="BG290" i="14"/>
  <c r="BG286" i="14"/>
  <c r="BG282" i="14"/>
  <c r="BG278" i="14"/>
  <c r="BG274" i="14"/>
  <c r="BG270" i="14"/>
  <c r="BG266" i="14"/>
  <c r="BG262" i="14"/>
  <c r="BG258" i="14"/>
  <c r="BG254" i="14"/>
  <c r="BG250" i="14"/>
  <c r="BG246" i="14"/>
  <c r="BG242" i="14"/>
  <c r="BG238" i="14"/>
  <c r="BG234" i="14"/>
  <c r="BG230" i="14"/>
  <c r="BG226" i="14"/>
  <c r="BG222" i="14"/>
  <c r="BG218" i="14"/>
  <c r="BG214" i="14"/>
  <c r="BG499" i="14"/>
  <c r="BG346" i="14"/>
  <c r="BG334" i="14"/>
  <c r="BG324" i="14"/>
  <c r="BG306" i="14"/>
  <c r="BG491" i="14"/>
  <c r="BG347" i="14"/>
  <c r="BG339" i="14"/>
  <c r="BG331" i="14"/>
  <c r="BG531" i="14"/>
  <c r="BG544" i="14"/>
  <c r="BG536" i="14"/>
  <c r="BG520" i="14"/>
  <c r="BG514" i="14"/>
  <c r="BG510" i="14"/>
  <c r="BG539" i="14"/>
  <c r="BG525" i="14"/>
  <c r="BG502" i="14"/>
  <c r="BG494" i="14"/>
  <c r="BG486" i="14"/>
  <c r="BG478" i="14"/>
  <c r="BG470" i="14"/>
  <c r="BG534" i="14"/>
  <c r="BG463" i="14"/>
  <c r="BG455" i="14"/>
  <c r="BG447" i="14"/>
  <c r="BG439" i="14"/>
  <c r="BG434" i="14"/>
  <c r="BG430" i="14"/>
  <c r="BG426" i="14"/>
  <c r="BG422" i="14"/>
  <c r="BG418" i="14"/>
  <c r="BG414" i="14"/>
  <c r="BG410" i="14"/>
  <c r="BG406" i="14"/>
  <c r="BG402" i="14"/>
  <c r="BG398" i="14"/>
  <c r="BG394" i="14"/>
  <c r="BG390" i="14"/>
  <c r="BG386" i="14"/>
  <c r="BG382" i="14"/>
  <c r="BG378" i="14"/>
  <c r="BG374" i="14"/>
  <c r="BG370" i="14"/>
  <c r="BG366" i="14"/>
  <c r="BG362" i="14"/>
  <c r="BG358" i="14"/>
  <c r="BG354" i="14"/>
  <c r="BG505" i="14"/>
  <c r="BG489" i="14"/>
  <c r="BG473" i="14"/>
  <c r="BG487" i="14"/>
  <c r="BG462" i="14"/>
  <c r="BG446" i="14"/>
  <c r="BG464" i="14"/>
  <c r="BG301" i="14"/>
  <c r="BG293" i="14"/>
  <c r="BG289" i="14"/>
  <c r="BG285" i="14"/>
  <c r="BG281" i="14"/>
  <c r="BG277" i="14"/>
  <c r="BG273" i="14"/>
  <c r="BG269" i="14"/>
  <c r="BG265" i="14"/>
  <c r="BG261" i="14"/>
  <c r="BG257" i="14"/>
  <c r="BG253" i="14"/>
  <c r="BG249" i="14"/>
  <c r="BG245" i="14"/>
  <c r="BG241" i="14"/>
  <c r="BG237" i="14"/>
  <c r="BG233" i="14"/>
  <c r="BG229" i="14"/>
  <c r="BG225" i="14"/>
  <c r="BG221" i="14"/>
  <c r="BG217" i="14"/>
  <c r="BG213" i="14"/>
  <c r="BG483" i="14"/>
  <c r="BG342" i="14"/>
  <c r="BG330" i="14"/>
  <c r="BG316" i="14"/>
  <c r="BG300" i="14"/>
  <c r="BG475" i="14"/>
  <c r="BG345" i="14"/>
  <c r="BG337" i="14"/>
  <c r="BG532" i="14"/>
  <c r="BG530" i="14"/>
  <c r="BG484" i="14"/>
  <c r="BG461" i="14"/>
  <c r="BG433" i="14"/>
  <c r="BG417" i="14"/>
  <c r="BG401" i="14"/>
  <c r="BG385" i="14"/>
  <c r="BG369" i="14"/>
  <c r="BG353" i="14"/>
  <c r="BG479" i="14"/>
  <c r="BG297" i="14"/>
  <c r="BG280" i="14"/>
  <c r="BG264" i="14"/>
  <c r="BG248" i="14"/>
  <c r="BG232" i="14"/>
  <c r="BG216" i="14"/>
  <c r="BG328" i="14"/>
  <c r="BG343" i="14"/>
  <c r="BG323" i="14"/>
  <c r="BG313" i="14"/>
  <c r="BG303" i="14"/>
  <c r="BG332" i="14"/>
  <c r="BG308" i="14"/>
  <c r="BG299" i="14"/>
  <c r="BG189" i="14"/>
  <c r="BG194" i="14"/>
  <c r="BG187" i="14"/>
  <c r="BG192" i="14"/>
  <c r="BG186" i="14"/>
  <c r="BG517" i="14"/>
  <c r="BG521" i="14"/>
  <c r="BG476" i="14"/>
  <c r="BG453" i="14"/>
  <c r="BG429" i="14"/>
  <c r="BG413" i="14"/>
  <c r="BG397" i="14"/>
  <c r="BG381" i="14"/>
  <c r="BG365" i="14"/>
  <c r="BG501" i="14"/>
  <c r="BG458" i="14"/>
  <c r="BG292" i="14"/>
  <c r="BG276" i="14"/>
  <c r="BG260" i="14"/>
  <c r="BG244" i="14"/>
  <c r="BG228" i="14"/>
  <c r="BG212" i="14"/>
  <c r="BG314" i="14"/>
  <c r="BG335" i="14"/>
  <c r="BG321" i="14"/>
  <c r="BG311" i="14"/>
  <c r="BG298" i="14"/>
  <c r="BG322" i="14"/>
  <c r="BG304" i="14"/>
  <c r="BG205" i="14"/>
  <c r="BG185" i="14"/>
  <c r="BG190" i="14"/>
  <c r="BG208" i="14"/>
  <c r="BG188" i="14"/>
  <c r="BG182" i="14"/>
  <c r="BG236" i="14"/>
  <c r="BG527" i="14"/>
  <c r="BG513" i="14"/>
  <c r="BG500" i="14"/>
  <c r="BG468" i="14"/>
  <c r="BG445" i="14"/>
  <c r="BG425" i="14"/>
  <c r="BG409" i="14"/>
  <c r="BG393" i="14"/>
  <c r="BG377" i="14"/>
  <c r="BG361" i="14"/>
  <c r="BG485" i="14"/>
  <c r="BG442" i="14"/>
  <c r="BG288" i="14"/>
  <c r="BG272" i="14"/>
  <c r="BG256" i="14"/>
  <c r="BG240" i="14"/>
  <c r="BG224" i="14"/>
  <c r="BG467" i="14"/>
  <c r="BG460" i="14"/>
  <c r="BG329" i="14"/>
  <c r="BG319" i="14"/>
  <c r="BG307" i="14"/>
  <c r="BG348" i="14"/>
  <c r="BG320" i="14"/>
  <c r="BG452" i="14"/>
  <c r="BG201" i="14"/>
  <c r="BG181" i="14"/>
  <c r="BG203" i="14"/>
  <c r="BG204" i="14"/>
  <c r="BG184" i="14"/>
  <c r="BG191" i="14"/>
  <c r="BG542" i="14"/>
  <c r="BG509" i="14"/>
  <c r="BG492" i="14"/>
  <c r="BG518" i="14"/>
  <c r="BG437" i="14"/>
  <c r="BG421" i="14"/>
  <c r="BG405" i="14"/>
  <c r="BG389" i="14"/>
  <c r="BG373" i="14"/>
  <c r="BG357" i="14"/>
  <c r="BG469" i="14"/>
  <c r="BG456" i="14"/>
  <c r="BG284" i="14"/>
  <c r="BG268" i="14"/>
  <c r="BG252" i="14"/>
  <c r="BG220" i="14"/>
  <c r="BG340" i="14"/>
  <c r="BG351" i="14"/>
  <c r="BG327" i="14"/>
  <c r="BG315" i="14"/>
  <c r="BG305" i="14"/>
  <c r="BG344" i="14"/>
  <c r="BG312" i="14"/>
  <c r="BG444" i="14"/>
  <c r="BG197" i="14"/>
  <c r="BG198" i="14"/>
  <c r="BG199" i="14"/>
  <c r="BG200" i="14"/>
  <c r="BG206" i="14"/>
  <c r="BG183" i="14"/>
  <c r="J32" i="29"/>
  <c r="T26" i="29"/>
  <c r="T30" i="29"/>
  <c r="AB321" i="1"/>
  <c r="G116" i="25"/>
  <c r="H116" i="25" s="1"/>
  <c r="I116" i="25" s="1"/>
  <c r="N40" i="29"/>
  <c r="R39" i="29"/>
  <c r="AH249" i="14"/>
  <c r="N39" i="29"/>
  <c r="BO533" i="14"/>
  <c r="BO529" i="14"/>
  <c r="BO525" i="14"/>
  <c r="BO521" i="14"/>
  <c r="BO517" i="14"/>
  <c r="BO544" i="14"/>
  <c r="BO542" i="14"/>
  <c r="BO540" i="14"/>
  <c r="BO538" i="14"/>
  <c r="BO536" i="14"/>
  <c r="BO534" i="14"/>
  <c r="BO530" i="14"/>
  <c r="BO526" i="14"/>
  <c r="BO522" i="14"/>
  <c r="BO518" i="14"/>
  <c r="BO516" i="14"/>
  <c r="BO515" i="14"/>
  <c r="BO514" i="14"/>
  <c r="BO513" i="14"/>
  <c r="BO512" i="14"/>
  <c r="BO511" i="14"/>
  <c r="BO510" i="14"/>
  <c r="BO509" i="14"/>
  <c r="BO508" i="14"/>
  <c r="BO545" i="14"/>
  <c r="BO541" i="14"/>
  <c r="BO537" i="14"/>
  <c r="BO532" i="14"/>
  <c r="BO524" i="14"/>
  <c r="BO535" i="14"/>
  <c r="BO527" i="14"/>
  <c r="BO519" i="14"/>
  <c r="BO531" i="14"/>
  <c r="BO506" i="14"/>
  <c r="BO504" i="14"/>
  <c r="BO502" i="14"/>
  <c r="BO500" i="14"/>
  <c r="BO498" i="14"/>
  <c r="BO496" i="14"/>
  <c r="BO494" i="14"/>
  <c r="BO492" i="14"/>
  <c r="BO490" i="14"/>
  <c r="BO488" i="14"/>
  <c r="BO486" i="14"/>
  <c r="BO484" i="14"/>
  <c r="BO482" i="14"/>
  <c r="BO480" i="14"/>
  <c r="BO478" i="14"/>
  <c r="BO476" i="14"/>
  <c r="BO474" i="14"/>
  <c r="BO472" i="14"/>
  <c r="BO470" i="14"/>
  <c r="BO468" i="14"/>
  <c r="BO466" i="14"/>
  <c r="BO543" i="14"/>
  <c r="BO528" i="14"/>
  <c r="BO539" i="14"/>
  <c r="BO520" i="14"/>
  <c r="BO463" i="14"/>
  <c r="BO461" i="14"/>
  <c r="BO459" i="14"/>
  <c r="BO457" i="14"/>
  <c r="BO455" i="14"/>
  <c r="BO453" i="14"/>
  <c r="BO451" i="14"/>
  <c r="BO449" i="14"/>
  <c r="BO447" i="14"/>
  <c r="BO445" i="14"/>
  <c r="BO443" i="14"/>
  <c r="BO441" i="14"/>
  <c r="BO439" i="14"/>
  <c r="BO437" i="14"/>
  <c r="BO436" i="14"/>
  <c r="BO435" i="14"/>
  <c r="BO434" i="14"/>
  <c r="BO433" i="14"/>
  <c r="BO432" i="14"/>
  <c r="BO431" i="14"/>
  <c r="BO430" i="14"/>
  <c r="BO429" i="14"/>
  <c r="BO428" i="14"/>
  <c r="BO427" i="14"/>
  <c r="BO426" i="14"/>
  <c r="BO425" i="14"/>
  <c r="BO424" i="14"/>
  <c r="BO423" i="14"/>
  <c r="BO422" i="14"/>
  <c r="BO421" i="14"/>
  <c r="BO420" i="14"/>
  <c r="BO419" i="14"/>
  <c r="BO418" i="14"/>
  <c r="BO417" i="14"/>
  <c r="BO416" i="14"/>
  <c r="BO415" i="14"/>
  <c r="BO414" i="14"/>
  <c r="BO413" i="14"/>
  <c r="BO412" i="14"/>
  <c r="BO411" i="14"/>
  <c r="BO410" i="14"/>
  <c r="BO409" i="14"/>
  <c r="BO408" i="14"/>
  <c r="BO407" i="14"/>
  <c r="BO406" i="14"/>
  <c r="BO405" i="14"/>
  <c r="BO404" i="14"/>
  <c r="BO403" i="14"/>
  <c r="BO402" i="14"/>
  <c r="BO401" i="14"/>
  <c r="BO400" i="14"/>
  <c r="BO399" i="14"/>
  <c r="BO398" i="14"/>
  <c r="BO397" i="14"/>
  <c r="BO396" i="14"/>
  <c r="BO395" i="14"/>
  <c r="BO394" i="14"/>
  <c r="BO393" i="14"/>
  <c r="BO392" i="14"/>
  <c r="BO391" i="14"/>
  <c r="BO390" i="14"/>
  <c r="BO389" i="14"/>
  <c r="BO388" i="14"/>
  <c r="BO387" i="14"/>
  <c r="BO386" i="14"/>
  <c r="BO385" i="14"/>
  <c r="BO384" i="14"/>
  <c r="BO383" i="14"/>
  <c r="BO382" i="14"/>
  <c r="BO381" i="14"/>
  <c r="BO380" i="14"/>
  <c r="BO379" i="14"/>
  <c r="BO378" i="14"/>
  <c r="BO377" i="14"/>
  <c r="BO376" i="14"/>
  <c r="BO375" i="14"/>
  <c r="BO374" i="14"/>
  <c r="BO373" i="14"/>
  <c r="BO372" i="14"/>
  <c r="BO371" i="14"/>
  <c r="BO370" i="14"/>
  <c r="BO369" i="14"/>
  <c r="BO368" i="14"/>
  <c r="BO367" i="14"/>
  <c r="BO366" i="14"/>
  <c r="BO365" i="14"/>
  <c r="BO364" i="14"/>
  <c r="BO363" i="14"/>
  <c r="BO362" i="14"/>
  <c r="BO361" i="14"/>
  <c r="BO360" i="14"/>
  <c r="BO359" i="14"/>
  <c r="BO358" i="14"/>
  <c r="BO357" i="14"/>
  <c r="BO356" i="14"/>
  <c r="BO355" i="14"/>
  <c r="BO354" i="14"/>
  <c r="BO353" i="14"/>
  <c r="BO352" i="14"/>
  <c r="BO507" i="14"/>
  <c r="BO503" i="14"/>
  <c r="BO499" i="14"/>
  <c r="BO495" i="14"/>
  <c r="BO491" i="14"/>
  <c r="BO487" i="14"/>
  <c r="BO483" i="14"/>
  <c r="BO479" i="14"/>
  <c r="BO475" i="14"/>
  <c r="BO471" i="14"/>
  <c r="BO467" i="14"/>
  <c r="BO505" i="14"/>
  <c r="BO497" i="14"/>
  <c r="BO489" i="14"/>
  <c r="BO481" i="14"/>
  <c r="BO473" i="14"/>
  <c r="BO465" i="14"/>
  <c r="BO464" i="14"/>
  <c r="BO460" i="14"/>
  <c r="BO456" i="14"/>
  <c r="BO452" i="14"/>
  <c r="BO448" i="14"/>
  <c r="BO444" i="14"/>
  <c r="BO440" i="14"/>
  <c r="BO458" i="14"/>
  <c r="BO450" i="14"/>
  <c r="BO442" i="14"/>
  <c r="BO299" i="14"/>
  <c r="BO295" i="14"/>
  <c r="BO294" i="14"/>
  <c r="BO293" i="14"/>
  <c r="BO292" i="14"/>
  <c r="BO291" i="14"/>
  <c r="BO290" i="14"/>
  <c r="BO289" i="14"/>
  <c r="BO288" i="14"/>
  <c r="BO287" i="14"/>
  <c r="BO286" i="14"/>
  <c r="BO285" i="14"/>
  <c r="BO284" i="14"/>
  <c r="BO283" i="14"/>
  <c r="BO282" i="14"/>
  <c r="BO281" i="14"/>
  <c r="BO280" i="14"/>
  <c r="BO279" i="14"/>
  <c r="BO278" i="14"/>
  <c r="BO277" i="14"/>
  <c r="BO276" i="14"/>
  <c r="BO275" i="14"/>
  <c r="BO274" i="14"/>
  <c r="BO273" i="14"/>
  <c r="BO272" i="14"/>
  <c r="BO271" i="14"/>
  <c r="BO270" i="14"/>
  <c r="BO269" i="14"/>
  <c r="BO268" i="14"/>
  <c r="BO267" i="14"/>
  <c r="BO266" i="14"/>
  <c r="BO265" i="14"/>
  <c r="BO264" i="14"/>
  <c r="BO263" i="14"/>
  <c r="BO262" i="14"/>
  <c r="BO261" i="14"/>
  <c r="BO260" i="14"/>
  <c r="BO259" i="14"/>
  <c r="BO258" i="14"/>
  <c r="BO257" i="14"/>
  <c r="BO256" i="14"/>
  <c r="BO255" i="14"/>
  <c r="BO254" i="14"/>
  <c r="BO253" i="14"/>
  <c r="BO252" i="14"/>
  <c r="BO251" i="14"/>
  <c r="BO250" i="14"/>
  <c r="BO249" i="14"/>
  <c r="BO248" i="14"/>
  <c r="BO247" i="14"/>
  <c r="BO246" i="14"/>
  <c r="BO245" i="14"/>
  <c r="BO244" i="14"/>
  <c r="BO243" i="14"/>
  <c r="BO242" i="14"/>
  <c r="BO241" i="14"/>
  <c r="BO240" i="14"/>
  <c r="BO239" i="14"/>
  <c r="BO238" i="14"/>
  <c r="BO237" i="14"/>
  <c r="BO236" i="14"/>
  <c r="BO235" i="14"/>
  <c r="BO234" i="14"/>
  <c r="BO233" i="14"/>
  <c r="BO232" i="14"/>
  <c r="BO231" i="14"/>
  <c r="BO230" i="14"/>
  <c r="BO229" i="14"/>
  <c r="BO228" i="14"/>
  <c r="BO227" i="14"/>
  <c r="BO226" i="14"/>
  <c r="BO225" i="14"/>
  <c r="BO224" i="14"/>
  <c r="BO223" i="14"/>
  <c r="BO222" i="14"/>
  <c r="BO221" i="14"/>
  <c r="BO220" i="14"/>
  <c r="BO219" i="14"/>
  <c r="BO218" i="14"/>
  <c r="BO217" i="14"/>
  <c r="BO216" i="14"/>
  <c r="BO215" i="14"/>
  <c r="BO214" i="14"/>
  <c r="BO213" i="14"/>
  <c r="BO212" i="14"/>
  <c r="BO211" i="14"/>
  <c r="BO493" i="14"/>
  <c r="BO477" i="14"/>
  <c r="BO350" i="14"/>
  <c r="BO348" i="14"/>
  <c r="BO346" i="14"/>
  <c r="BO344" i="14"/>
  <c r="BO336" i="14"/>
  <c r="BO332" i="14"/>
  <c r="BO328" i="14"/>
  <c r="BO322" i="14"/>
  <c r="BO318" i="14"/>
  <c r="BO312" i="14"/>
  <c r="BO308" i="14"/>
  <c r="BO304" i="14"/>
  <c r="BO298" i="14"/>
  <c r="BO462" i="14"/>
  <c r="BO454" i="14"/>
  <c r="BO446" i="14"/>
  <c r="BO501" i="14"/>
  <c r="BO485" i="14"/>
  <c r="BO469" i="14"/>
  <c r="BO351" i="14"/>
  <c r="BO349" i="14"/>
  <c r="BO347" i="14"/>
  <c r="BO345" i="14"/>
  <c r="BO343" i="14"/>
  <c r="BO341" i="14"/>
  <c r="BO339" i="14"/>
  <c r="BO337" i="14"/>
  <c r="BO335" i="14"/>
  <c r="BO333" i="14"/>
  <c r="BO331" i="14"/>
  <c r="BO329" i="14"/>
  <c r="BO327" i="14"/>
  <c r="BO325" i="14"/>
  <c r="BO323" i="14"/>
  <c r="BO321" i="14"/>
  <c r="BO319" i="14"/>
  <c r="BO317" i="14"/>
  <c r="BO315" i="14"/>
  <c r="BO313" i="14"/>
  <c r="BO311" i="14"/>
  <c r="BO309" i="14"/>
  <c r="BO307" i="14"/>
  <c r="BO305" i="14"/>
  <c r="BO303" i="14"/>
  <c r="BO300" i="14"/>
  <c r="BO296" i="14"/>
  <c r="BO523" i="14"/>
  <c r="BO342" i="14"/>
  <c r="BO340" i="14"/>
  <c r="BO338" i="14"/>
  <c r="BO334" i="14"/>
  <c r="BO330" i="14"/>
  <c r="BO326" i="14"/>
  <c r="BO324" i="14"/>
  <c r="BO320" i="14"/>
  <c r="BO316" i="14"/>
  <c r="BO314" i="14"/>
  <c r="BO310" i="14"/>
  <c r="BO306" i="14"/>
  <c r="BO302" i="14"/>
  <c r="BO438" i="14"/>
  <c r="BO297" i="14"/>
  <c r="BO301" i="14"/>
  <c r="BO209" i="14"/>
  <c r="BO205" i="14"/>
  <c r="BO201" i="14"/>
  <c r="BO197" i="14"/>
  <c r="BO193" i="14"/>
  <c r="BO189" i="14"/>
  <c r="BO185" i="14"/>
  <c r="BO181" i="14"/>
  <c r="BO210" i="14"/>
  <c r="BO202" i="14"/>
  <c r="BO198" i="14"/>
  <c r="BO194" i="14"/>
  <c r="BO190" i="14"/>
  <c r="BO207" i="14"/>
  <c r="BO203" i="14"/>
  <c r="BO199" i="14"/>
  <c r="BO187" i="14"/>
  <c r="BO180" i="14"/>
  <c r="BO208" i="14"/>
  <c r="BO204" i="14"/>
  <c r="BO200" i="14"/>
  <c r="BO196" i="14"/>
  <c r="BO192" i="14"/>
  <c r="BO188" i="14"/>
  <c r="BO184" i="14"/>
  <c r="BO206" i="14"/>
  <c r="BO186" i="14"/>
  <c r="BO182" i="14"/>
  <c r="BO195" i="14"/>
  <c r="BO191" i="14"/>
  <c r="BO183" i="14"/>
  <c r="BJ545" i="14"/>
  <c r="BJ544" i="14"/>
  <c r="BJ543" i="14"/>
  <c r="BJ542" i="14"/>
  <c r="BJ541" i="14"/>
  <c r="BJ540" i="14"/>
  <c r="BJ539" i="14"/>
  <c r="BJ538" i="14"/>
  <c r="BJ537" i="14"/>
  <c r="BJ536" i="14"/>
  <c r="BJ535" i="14"/>
  <c r="BJ534" i="14"/>
  <c r="BJ533" i="14"/>
  <c r="BJ532" i="14"/>
  <c r="BJ531" i="14"/>
  <c r="BJ530" i="14"/>
  <c r="BJ529" i="14"/>
  <c r="BJ528" i="14"/>
  <c r="BJ527" i="14"/>
  <c r="BJ526" i="14"/>
  <c r="BJ525" i="14"/>
  <c r="BJ524" i="14"/>
  <c r="BJ523" i="14"/>
  <c r="BJ522" i="14"/>
  <c r="BJ521" i="14"/>
  <c r="BJ520" i="14"/>
  <c r="BJ519" i="14"/>
  <c r="BJ518" i="14"/>
  <c r="BJ517" i="14"/>
  <c r="BJ516" i="14"/>
  <c r="BJ515" i="14"/>
  <c r="BJ514" i="14"/>
  <c r="BJ513" i="14"/>
  <c r="BJ512" i="14"/>
  <c r="BJ511" i="14"/>
  <c r="BJ510" i="14"/>
  <c r="BJ509" i="14"/>
  <c r="BJ508" i="14"/>
  <c r="BJ506" i="14"/>
  <c r="BJ504" i="14"/>
  <c r="BJ502" i="14"/>
  <c r="BJ500" i="14"/>
  <c r="BJ498" i="14"/>
  <c r="BJ496" i="14"/>
  <c r="BJ494" i="14"/>
  <c r="BJ492" i="14"/>
  <c r="BJ490" i="14"/>
  <c r="BJ488" i="14"/>
  <c r="BJ486" i="14"/>
  <c r="BJ484" i="14"/>
  <c r="BJ482" i="14"/>
  <c r="BJ480" i="14"/>
  <c r="BJ478" i="14"/>
  <c r="BJ476" i="14"/>
  <c r="BJ474" i="14"/>
  <c r="BJ472" i="14"/>
  <c r="BJ470" i="14"/>
  <c r="BJ468" i="14"/>
  <c r="BJ466" i="14"/>
  <c r="BJ507" i="14"/>
  <c r="BJ503" i="14"/>
  <c r="BJ499" i="14"/>
  <c r="BJ495" i="14"/>
  <c r="BJ491" i="14"/>
  <c r="BJ487" i="14"/>
  <c r="BJ483" i="14"/>
  <c r="BJ479" i="14"/>
  <c r="BJ475" i="14"/>
  <c r="BJ471" i="14"/>
  <c r="BJ467" i="14"/>
  <c r="BJ465" i="14"/>
  <c r="BJ463" i="14"/>
  <c r="BJ461" i="14"/>
  <c r="BJ459" i="14"/>
  <c r="BJ457" i="14"/>
  <c r="BJ455" i="14"/>
  <c r="BJ453" i="14"/>
  <c r="BJ451" i="14"/>
  <c r="BJ449" i="14"/>
  <c r="BJ447" i="14"/>
  <c r="BJ445" i="14"/>
  <c r="BJ443" i="14"/>
  <c r="BJ441" i="14"/>
  <c r="BJ439" i="14"/>
  <c r="BJ437" i="14"/>
  <c r="BJ464" i="14"/>
  <c r="BJ460" i="14"/>
  <c r="BJ456" i="14"/>
  <c r="BJ452" i="14"/>
  <c r="BJ448" i="14"/>
  <c r="BJ444" i="14"/>
  <c r="BJ440" i="14"/>
  <c r="BJ435" i="14"/>
  <c r="BJ433" i="14"/>
  <c r="BJ431" i="14"/>
  <c r="BJ429" i="14"/>
  <c r="BJ427" i="14"/>
  <c r="BJ425" i="14"/>
  <c r="BJ423" i="14"/>
  <c r="BJ421" i="14"/>
  <c r="BJ419" i="14"/>
  <c r="BJ417" i="14"/>
  <c r="BJ415" i="14"/>
  <c r="BJ413" i="14"/>
  <c r="BJ411" i="14"/>
  <c r="BJ409" i="14"/>
  <c r="BJ407" i="14"/>
  <c r="BJ405" i="14"/>
  <c r="BJ403" i="14"/>
  <c r="BJ401" i="14"/>
  <c r="BJ399" i="14"/>
  <c r="BJ397" i="14"/>
  <c r="BJ395" i="14"/>
  <c r="BJ393" i="14"/>
  <c r="BJ391" i="14"/>
  <c r="BJ389" i="14"/>
  <c r="BJ387" i="14"/>
  <c r="BJ385" i="14"/>
  <c r="BJ383" i="14"/>
  <c r="BJ381" i="14"/>
  <c r="BJ379" i="14"/>
  <c r="BJ377" i="14"/>
  <c r="BJ375" i="14"/>
  <c r="BJ373" i="14"/>
  <c r="BJ371" i="14"/>
  <c r="BJ369" i="14"/>
  <c r="BJ367" i="14"/>
  <c r="BJ365" i="14"/>
  <c r="BJ363" i="14"/>
  <c r="BJ361" i="14"/>
  <c r="BJ359" i="14"/>
  <c r="BJ357" i="14"/>
  <c r="BJ352" i="14"/>
  <c r="BJ501" i="14"/>
  <c r="BJ493" i="14"/>
  <c r="BJ485" i="14"/>
  <c r="BJ477" i="14"/>
  <c r="BJ469" i="14"/>
  <c r="BJ353" i="14"/>
  <c r="BJ351" i="14"/>
  <c r="BJ350" i="14"/>
  <c r="BJ349" i="14"/>
  <c r="BJ348" i="14"/>
  <c r="BJ347" i="14"/>
  <c r="BJ346" i="14"/>
  <c r="BJ345" i="14"/>
  <c r="BJ344" i="14"/>
  <c r="BJ343" i="14"/>
  <c r="BJ342" i="14"/>
  <c r="BJ341" i="14"/>
  <c r="BJ340" i="14"/>
  <c r="BJ339" i="14"/>
  <c r="BJ338" i="14"/>
  <c r="BJ337" i="14"/>
  <c r="BJ336" i="14"/>
  <c r="BJ335" i="14"/>
  <c r="BJ334" i="14"/>
  <c r="BJ333" i="14"/>
  <c r="BJ332" i="14"/>
  <c r="BJ331" i="14"/>
  <c r="BJ330" i="14"/>
  <c r="BJ329" i="14"/>
  <c r="BJ328" i="14"/>
  <c r="BJ327" i="14"/>
  <c r="BJ326" i="14"/>
  <c r="BJ325" i="14"/>
  <c r="BJ324" i="14"/>
  <c r="BJ323" i="14"/>
  <c r="BJ322" i="14"/>
  <c r="BJ321" i="14"/>
  <c r="BJ320" i="14"/>
  <c r="BJ319" i="14"/>
  <c r="BJ318" i="14"/>
  <c r="BJ317" i="14"/>
  <c r="BJ316" i="14"/>
  <c r="BJ315" i="14"/>
  <c r="BJ314" i="14"/>
  <c r="BJ313" i="14"/>
  <c r="BJ312" i="14"/>
  <c r="BJ311" i="14"/>
  <c r="BJ310" i="14"/>
  <c r="BJ309" i="14"/>
  <c r="BJ308" i="14"/>
  <c r="BJ307" i="14"/>
  <c r="BJ306" i="14"/>
  <c r="BJ305" i="14"/>
  <c r="BJ304" i="14"/>
  <c r="BJ303" i="14"/>
  <c r="BJ302" i="14"/>
  <c r="BJ301" i="14"/>
  <c r="BJ300" i="14"/>
  <c r="BJ299" i="14"/>
  <c r="BJ298" i="14"/>
  <c r="BJ297" i="14"/>
  <c r="BJ296" i="14"/>
  <c r="BJ505" i="14"/>
  <c r="BJ489" i="14"/>
  <c r="BJ473" i="14"/>
  <c r="BJ458" i="14"/>
  <c r="BJ450" i="14"/>
  <c r="BJ442" i="14"/>
  <c r="BJ434" i="14"/>
  <c r="BJ430" i="14"/>
  <c r="BJ422" i="14"/>
  <c r="BJ418" i="14"/>
  <c r="BJ410" i="14"/>
  <c r="BJ402" i="14"/>
  <c r="BJ394" i="14"/>
  <c r="BJ386" i="14"/>
  <c r="BJ378" i="14"/>
  <c r="BJ370" i="14"/>
  <c r="BJ366" i="14"/>
  <c r="BJ362" i="14"/>
  <c r="BJ295" i="14"/>
  <c r="BJ293" i="14"/>
  <c r="BJ290" i="14"/>
  <c r="BJ288" i="14"/>
  <c r="BJ286" i="14"/>
  <c r="BJ285" i="14"/>
  <c r="BJ284" i="14"/>
  <c r="BJ283" i="14"/>
  <c r="BJ279" i="14"/>
  <c r="BJ273" i="14"/>
  <c r="BJ270" i="14"/>
  <c r="BJ265" i="14"/>
  <c r="BJ262" i="14"/>
  <c r="BJ260" i="14"/>
  <c r="BJ258" i="14"/>
  <c r="BJ255" i="14"/>
  <c r="BJ254" i="14"/>
  <c r="BJ253" i="14"/>
  <c r="BJ252" i="14"/>
  <c r="BJ247" i="14"/>
  <c r="BJ246" i="14"/>
  <c r="BJ245" i="14"/>
  <c r="BJ243" i="14"/>
  <c r="BJ241" i="14"/>
  <c r="BJ240" i="14"/>
  <c r="BJ235" i="14"/>
  <c r="BJ232" i="14"/>
  <c r="BJ230" i="14"/>
  <c r="BJ227" i="14"/>
  <c r="BJ224" i="14"/>
  <c r="BJ223" i="14"/>
  <c r="BJ222" i="14"/>
  <c r="BJ220" i="14"/>
  <c r="BJ216" i="14"/>
  <c r="BJ214" i="14"/>
  <c r="BJ212" i="14"/>
  <c r="BJ497" i="14"/>
  <c r="BJ481" i="14"/>
  <c r="BJ462" i="14"/>
  <c r="BJ454" i="14"/>
  <c r="BJ446" i="14"/>
  <c r="BJ438" i="14"/>
  <c r="BJ436" i="14"/>
  <c r="BJ432" i="14"/>
  <c r="BJ428" i="14"/>
  <c r="BJ424" i="14"/>
  <c r="BJ420" i="14"/>
  <c r="BJ416" i="14"/>
  <c r="BJ412" i="14"/>
  <c r="BJ408" i="14"/>
  <c r="BJ404" i="14"/>
  <c r="BJ400" i="14"/>
  <c r="BJ396" i="14"/>
  <c r="BJ392" i="14"/>
  <c r="BJ388" i="14"/>
  <c r="BJ384" i="14"/>
  <c r="BJ380" i="14"/>
  <c r="BJ376" i="14"/>
  <c r="BJ372" i="14"/>
  <c r="BJ368" i="14"/>
  <c r="BJ364" i="14"/>
  <c r="BJ360" i="14"/>
  <c r="BJ356" i="14"/>
  <c r="BJ354" i="14"/>
  <c r="BJ426" i="14"/>
  <c r="BJ414" i="14"/>
  <c r="BJ406" i="14"/>
  <c r="BJ398" i="14"/>
  <c r="BJ390" i="14"/>
  <c r="BJ382" i="14"/>
  <c r="BJ374" i="14"/>
  <c r="BJ358" i="14"/>
  <c r="BJ294" i="14"/>
  <c r="BJ292" i="14"/>
  <c r="BJ291" i="14"/>
  <c r="BJ289" i="14"/>
  <c r="BJ287" i="14"/>
  <c r="BJ282" i="14"/>
  <c r="BJ281" i="14"/>
  <c r="BJ280" i="14"/>
  <c r="BJ278" i="14"/>
  <c r="BJ277" i="14"/>
  <c r="BJ276" i="14"/>
  <c r="BJ275" i="14"/>
  <c r="BJ274" i="14"/>
  <c r="BJ272" i="14"/>
  <c r="BJ271" i="14"/>
  <c r="BJ269" i="14"/>
  <c r="BJ268" i="14"/>
  <c r="BJ267" i="14"/>
  <c r="BJ266" i="14"/>
  <c r="BJ264" i="14"/>
  <c r="BJ263" i="14"/>
  <c r="BJ261" i="14"/>
  <c r="BJ259" i="14"/>
  <c r="BJ257" i="14"/>
  <c r="BJ256" i="14"/>
  <c r="BJ251" i="14"/>
  <c r="BJ250" i="14"/>
  <c r="BJ249" i="14"/>
  <c r="BJ248" i="14"/>
  <c r="BJ244" i="14"/>
  <c r="BJ242" i="14"/>
  <c r="BJ239" i="14"/>
  <c r="BJ238" i="14"/>
  <c r="BJ237" i="14"/>
  <c r="BJ236" i="14"/>
  <c r="BJ234" i="14"/>
  <c r="BJ233" i="14"/>
  <c r="BJ231" i="14"/>
  <c r="BJ229" i="14"/>
  <c r="BJ228" i="14"/>
  <c r="BJ226" i="14"/>
  <c r="BJ225" i="14"/>
  <c r="BJ221" i="14"/>
  <c r="BJ219" i="14"/>
  <c r="BJ218" i="14"/>
  <c r="BJ217" i="14"/>
  <c r="BJ215" i="14"/>
  <c r="BJ213" i="14"/>
  <c r="BJ211" i="14"/>
  <c r="BJ355" i="14"/>
  <c r="BJ208" i="14"/>
  <c r="BJ204" i="14"/>
  <c r="BJ200" i="14"/>
  <c r="BJ196" i="14"/>
  <c r="BJ192" i="14"/>
  <c r="BJ188" i="14"/>
  <c r="BJ184" i="14"/>
  <c r="BJ209" i="14"/>
  <c r="BJ197" i="14"/>
  <c r="BJ185" i="14"/>
  <c r="BJ210" i="14"/>
  <c r="BJ206" i="14"/>
  <c r="BJ186" i="14"/>
  <c r="BJ207" i="14"/>
  <c r="BJ203" i="14"/>
  <c r="BJ199" i="14"/>
  <c r="BJ195" i="14"/>
  <c r="BJ191" i="14"/>
  <c r="BJ187" i="14"/>
  <c r="BJ183" i="14"/>
  <c r="BJ180" i="14"/>
  <c r="BJ205" i="14"/>
  <c r="BJ201" i="14"/>
  <c r="BJ193" i="14"/>
  <c r="BJ189" i="14"/>
  <c r="BJ181" i="14"/>
  <c r="BJ202" i="14"/>
  <c r="BJ198" i="14"/>
  <c r="BJ194" i="14"/>
  <c r="BJ190" i="14"/>
  <c r="BJ182" i="14"/>
  <c r="BM545" i="14"/>
  <c r="BM544" i="14"/>
  <c r="BM543" i="14"/>
  <c r="BM542" i="14"/>
  <c r="BM541" i="14"/>
  <c r="BM540" i="14"/>
  <c r="BM539" i="14"/>
  <c r="BM538" i="14"/>
  <c r="BM537" i="14"/>
  <c r="BM536" i="14"/>
  <c r="BM534" i="14"/>
  <c r="BM530" i="14"/>
  <c r="BM526" i="14"/>
  <c r="BM522" i="14"/>
  <c r="BM518" i="14"/>
  <c r="BM535" i="14"/>
  <c r="BM531" i="14"/>
  <c r="BM527" i="14"/>
  <c r="BM523" i="14"/>
  <c r="BM519" i="14"/>
  <c r="BM533" i="14"/>
  <c r="BM525" i="14"/>
  <c r="BM517" i="14"/>
  <c r="BM515" i="14"/>
  <c r="BM513" i="14"/>
  <c r="BM511" i="14"/>
  <c r="BM509" i="14"/>
  <c r="BM528" i="14"/>
  <c r="BM520" i="14"/>
  <c r="BM507" i="14"/>
  <c r="BM506" i="14"/>
  <c r="BM505" i="14"/>
  <c r="BM504" i="14"/>
  <c r="BM503" i="14"/>
  <c r="BM502" i="14"/>
  <c r="BM501" i="14"/>
  <c r="BM500" i="14"/>
  <c r="BM499" i="14"/>
  <c r="BM498" i="14"/>
  <c r="BM497" i="14"/>
  <c r="BM496" i="14"/>
  <c r="BM495" i="14"/>
  <c r="BM494" i="14"/>
  <c r="BM493" i="14"/>
  <c r="BM492" i="14"/>
  <c r="BM491" i="14"/>
  <c r="BM490" i="14"/>
  <c r="BM489" i="14"/>
  <c r="BM488" i="14"/>
  <c r="BM487" i="14"/>
  <c r="BM486" i="14"/>
  <c r="BM485" i="14"/>
  <c r="BM484" i="14"/>
  <c r="BM483" i="14"/>
  <c r="BM482" i="14"/>
  <c r="BM481" i="14"/>
  <c r="BM480" i="14"/>
  <c r="BM479" i="14"/>
  <c r="BM478" i="14"/>
  <c r="BM477" i="14"/>
  <c r="BM476" i="14"/>
  <c r="BM475" i="14"/>
  <c r="BM474" i="14"/>
  <c r="BM473" i="14"/>
  <c r="BM472" i="14"/>
  <c r="BM471" i="14"/>
  <c r="BM470" i="14"/>
  <c r="BM469" i="14"/>
  <c r="BM468" i="14"/>
  <c r="BM467" i="14"/>
  <c r="BM466" i="14"/>
  <c r="BM465" i="14"/>
  <c r="BM524" i="14"/>
  <c r="BM521" i="14"/>
  <c r="BM516" i="14"/>
  <c r="BM512" i="14"/>
  <c r="BM508" i="14"/>
  <c r="BM464" i="14"/>
  <c r="BM463" i="14"/>
  <c r="BM462" i="14"/>
  <c r="BM461" i="14"/>
  <c r="BM460" i="14"/>
  <c r="BM459" i="14"/>
  <c r="BM458" i="14"/>
  <c r="BM457" i="14"/>
  <c r="BM456" i="14"/>
  <c r="BM455" i="14"/>
  <c r="BM454" i="14"/>
  <c r="BM453" i="14"/>
  <c r="BM452" i="14"/>
  <c r="BM451" i="14"/>
  <c r="BM450" i="14"/>
  <c r="BM449" i="14"/>
  <c r="BM448" i="14"/>
  <c r="BM447" i="14"/>
  <c r="BM446" i="14"/>
  <c r="BM445" i="14"/>
  <c r="BM444" i="14"/>
  <c r="BM443" i="14"/>
  <c r="BM442" i="14"/>
  <c r="BM441" i="14"/>
  <c r="BM440" i="14"/>
  <c r="BM439" i="14"/>
  <c r="BM438" i="14"/>
  <c r="BM437" i="14"/>
  <c r="BM514" i="14"/>
  <c r="BM532" i="14"/>
  <c r="BM354" i="14"/>
  <c r="BM351" i="14"/>
  <c r="BM350" i="14"/>
  <c r="BM349" i="14"/>
  <c r="BM348" i="14"/>
  <c r="BM347" i="14"/>
  <c r="BM346" i="14"/>
  <c r="BM345" i="14"/>
  <c r="BM344" i="14"/>
  <c r="BM343" i="14"/>
  <c r="BM342" i="14"/>
  <c r="BM341" i="14"/>
  <c r="BM340" i="14"/>
  <c r="BM339" i="14"/>
  <c r="BM338" i="14"/>
  <c r="BM337" i="14"/>
  <c r="BM336" i="14"/>
  <c r="BM335" i="14"/>
  <c r="BM334" i="14"/>
  <c r="BM333" i="14"/>
  <c r="BM332" i="14"/>
  <c r="BM331" i="14"/>
  <c r="BM330" i="14"/>
  <c r="BM329" i="14"/>
  <c r="BM328" i="14"/>
  <c r="BM327" i="14"/>
  <c r="BM326" i="14"/>
  <c r="BM325" i="14"/>
  <c r="BM324" i="14"/>
  <c r="BM323" i="14"/>
  <c r="BM322" i="14"/>
  <c r="BM321" i="14"/>
  <c r="BM320" i="14"/>
  <c r="BM319" i="14"/>
  <c r="BM318" i="14"/>
  <c r="BM317" i="14"/>
  <c r="BM316" i="14"/>
  <c r="BM315" i="14"/>
  <c r="BM314" i="14"/>
  <c r="BM313" i="14"/>
  <c r="BM312" i="14"/>
  <c r="BM311" i="14"/>
  <c r="BM310" i="14"/>
  <c r="BM309" i="14"/>
  <c r="BM308" i="14"/>
  <c r="BM307" i="14"/>
  <c r="BM306" i="14"/>
  <c r="BM305" i="14"/>
  <c r="BM304" i="14"/>
  <c r="BM303" i="14"/>
  <c r="BM529" i="14"/>
  <c r="BM510" i="14"/>
  <c r="BM435" i="14"/>
  <c r="BM433" i="14"/>
  <c r="BM431" i="14"/>
  <c r="BM429" i="14"/>
  <c r="BM427" i="14"/>
  <c r="BM425" i="14"/>
  <c r="BM423" i="14"/>
  <c r="BM421" i="14"/>
  <c r="BM419" i="14"/>
  <c r="BM417" i="14"/>
  <c r="BM415" i="14"/>
  <c r="BM413" i="14"/>
  <c r="BM411" i="14"/>
  <c r="BM409" i="14"/>
  <c r="BM407" i="14"/>
  <c r="BM405" i="14"/>
  <c r="BM403" i="14"/>
  <c r="BM401" i="14"/>
  <c r="BM399" i="14"/>
  <c r="BM397" i="14"/>
  <c r="BM395" i="14"/>
  <c r="BM393" i="14"/>
  <c r="BM391" i="14"/>
  <c r="BM389" i="14"/>
  <c r="BM387" i="14"/>
  <c r="BM385" i="14"/>
  <c r="BM383" i="14"/>
  <c r="BM381" i="14"/>
  <c r="BM379" i="14"/>
  <c r="BM377" i="14"/>
  <c r="BM375" i="14"/>
  <c r="BM373" i="14"/>
  <c r="BM371" i="14"/>
  <c r="BM369" i="14"/>
  <c r="BM367" i="14"/>
  <c r="BM365" i="14"/>
  <c r="BM363" i="14"/>
  <c r="BM361" i="14"/>
  <c r="BM359" i="14"/>
  <c r="BM357" i="14"/>
  <c r="BM355" i="14"/>
  <c r="BM434" i="14"/>
  <c r="BM430" i="14"/>
  <c r="BM426" i="14"/>
  <c r="BM422" i="14"/>
  <c r="BM418" i="14"/>
  <c r="BM414" i="14"/>
  <c r="BM410" i="14"/>
  <c r="BM406" i="14"/>
  <c r="BM402" i="14"/>
  <c r="BM398" i="14"/>
  <c r="BM394" i="14"/>
  <c r="BM390" i="14"/>
  <c r="BM386" i="14"/>
  <c r="BM382" i="14"/>
  <c r="BM378" i="14"/>
  <c r="BM374" i="14"/>
  <c r="BM370" i="14"/>
  <c r="BM366" i="14"/>
  <c r="BM362" i="14"/>
  <c r="BM358" i="14"/>
  <c r="BM300" i="14"/>
  <c r="BM296" i="14"/>
  <c r="BM299" i="14"/>
  <c r="BM436" i="14"/>
  <c r="BM432" i="14"/>
  <c r="BM352" i="14"/>
  <c r="BM301" i="14"/>
  <c r="BM297" i="14"/>
  <c r="BM420" i="14"/>
  <c r="BM404" i="14"/>
  <c r="BM388" i="14"/>
  <c r="BM372" i="14"/>
  <c r="BM356" i="14"/>
  <c r="BM298" i="14"/>
  <c r="BM292" i="14"/>
  <c r="BM288" i="14"/>
  <c r="BM284" i="14"/>
  <c r="BM280" i="14"/>
  <c r="BM276" i="14"/>
  <c r="BM272" i="14"/>
  <c r="BM268" i="14"/>
  <c r="BM264" i="14"/>
  <c r="BM260" i="14"/>
  <c r="BM256" i="14"/>
  <c r="BM252" i="14"/>
  <c r="BM248" i="14"/>
  <c r="BM240" i="14"/>
  <c r="BM232" i="14"/>
  <c r="BM228" i="14"/>
  <c r="BM224" i="14"/>
  <c r="BM220" i="14"/>
  <c r="BM424" i="14"/>
  <c r="BM408" i="14"/>
  <c r="BM392" i="14"/>
  <c r="BM360" i="14"/>
  <c r="BM289" i="14"/>
  <c r="BM281" i="14"/>
  <c r="BM273" i="14"/>
  <c r="BM261" i="14"/>
  <c r="BM253" i="14"/>
  <c r="BM245" i="14"/>
  <c r="BM241" i="14"/>
  <c r="BM237" i="14"/>
  <c r="BM229" i="14"/>
  <c r="BM221" i="14"/>
  <c r="BM213" i="14"/>
  <c r="BM428" i="14"/>
  <c r="BM396" i="14"/>
  <c r="BM364" i="14"/>
  <c r="BM294" i="14"/>
  <c r="BM286" i="14"/>
  <c r="BM278" i="14"/>
  <c r="BM270" i="14"/>
  <c r="BM262" i="14"/>
  <c r="BM254" i="14"/>
  <c r="BM246" i="14"/>
  <c r="BM238" i="14"/>
  <c r="BM230" i="14"/>
  <c r="BM222" i="14"/>
  <c r="BM214" i="14"/>
  <c r="BM416" i="14"/>
  <c r="BM400" i="14"/>
  <c r="BM384" i="14"/>
  <c r="BM368" i="14"/>
  <c r="BM353" i="14"/>
  <c r="BM302" i="14"/>
  <c r="BM295" i="14"/>
  <c r="BM291" i="14"/>
  <c r="BM287" i="14"/>
  <c r="BM283" i="14"/>
  <c r="BM279" i="14"/>
  <c r="BM275" i="14"/>
  <c r="BM271" i="14"/>
  <c r="BM267" i="14"/>
  <c r="BM263" i="14"/>
  <c r="BM259" i="14"/>
  <c r="BM255" i="14"/>
  <c r="BM251" i="14"/>
  <c r="BM247" i="14"/>
  <c r="BM243" i="14"/>
  <c r="BM239" i="14"/>
  <c r="BM235" i="14"/>
  <c r="BM231" i="14"/>
  <c r="BM227" i="14"/>
  <c r="BM223" i="14"/>
  <c r="BM219" i="14"/>
  <c r="BM215" i="14"/>
  <c r="BM211" i="14"/>
  <c r="BM244" i="14"/>
  <c r="BM236" i="14"/>
  <c r="BM216" i="14"/>
  <c r="BM212" i="14"/>
  <c r="BM376" i="14"/>
  <c r="BM293" i="14"/>
  <c r="BM285" i="14"/>
  <c r="BM277" i="14"/>
  <c r="BM269" i="14"/>
  <c r="BM265" i="14"/>
  <c r="BM257" i="14"/>
  <c r="BM249" i="14"/>
  <c r="BM233" i="14"/>
  <c r="BM225" i="14"/>
  <c r="BM217" i="14"/>
  <c r="BM412" i="14"/>
  <c r="BM380" i="14"/>
  <c r="BM290" i="14"/>
  <c r="BM282" i="14"/>
  <c r="BM274" i="14"/>
  <c r="BM266" i="14"/>
  <c r="BM258" i="14"/>
  <c r="BM250" i="14"/>
  <c r="BM242" i="14"/>
  <c r="BM234" i="14"/>
  <c r="BM226" i="14"/>
  <c r="BM218" i="14"/>
  <c r="BM207" i="14"/>
  <c r="BM203" i="14"/>
  <c r="BM199" i="14"/>
  <c r="BM195" i="14"/>
  <c r="BM191" i="14"/>
  <c r="BM187" i="14"/>
  <c r="BM183" i="14"/>
  <c r="BM180" i="14"/>
  <c r="BM208" i="14"/>
  <c r="BM196" i="14"/>
  <c r="BM184" i="14"/>
  <c r="BM205" i="14"/>
  <c r="BM197" i="14"/>
  <c r="BM193" i="14"/>
  <c r="BM185" i="14"/>
  <c r="BM210" i="14"/>
  <c r="BM206" i="14"/>
  <c r="BM202" i="14"/>
  <c r="BM198" i="14"/>
  <c r="BM194" i="14"/>
  <c r="BM190" i="14"/>
  <c r="BM186" i="14"/>
  <c r="BM182" i="14"/>
  <c r="BM204" i="14"/>
  <c r="BM200" i="14"/>
  <c r="BM192" i="14"/>
  <c r="BM188" i="14"/>
  <c r="BM209" i="14"/>
  <c r="BM201" i="14"/>
  <c r="BM189" i="14"/>
  <c r="BM181" i="14"/>
  <c r="BN545" i="14"/>
  <c r="BN544" i="14"/>
  <c r="BN543" i="14"/>
  <c r="BN542" i="14"/>
  <c r="BN541" i="14"/>
  <c r="BN540" i="14"/>
  <c r="BN539" i="14"/>
  <c r="BN538" i="14"/>
  <c r="BN537" i="14"/>
  <c r="BN536" i="14"/>
  <c r="BN535" i="14"/>
  <c r="BN534" i="14"/>
  <c r="BN533" i="14"/>
  <c r="BN532" i="14"/>
  <c r="BN531" i="14"/>
  <c r="BN530" i="14"/>
  <c r="BN529" i="14"/>
  <c r="BN528" i="14"/>
  <c r="BN527" i="14"/>
  <c r="BN526" i="14"/>
  <c r="BN525" i="14"/>
  <c r="BN524" i="14"/>
  <c r="BN523" i="14"/>
  <c r="BN522" i="14"/>
  <c r="BN521" i="14"/>
  <c r="BN520" i="14"/>
  <c r="BN519" i="14"/>
  <c r="BN518" i="14"/>
  <c r="BN517" i="14"/>
  <c r="BN516" i="14"/>
  <c r="BN515" i="14"/>
  <c r="BN514" i="14"/>
  <c r="BN513" i="14"/>
  <c r="BN512" i="14"/>
  <c r="BN511" i="14"/>
  <c r="BN510" i="14"/>
  <c r="BN509" i="14"/>
  <c r="BN508" i="14"/>
  <c r="BN507" i="14"/>
  <c r="BN505" i="14"/>
  <c r="BN503" i="14"/>
  <c r="BN501" i="14"/>
  <c r="BN499" i="14"/>
  <c r="BN497" i="14"/>
  <c r="BN495" i="14"/>
  <c r="BN493" i="14"/>
  <c r="BN491" i="14"/>
  <c r="BN489" i="14"/>
  <c r="BN487" i="14"/>
  <c r="BN485" i="14"/>
  <c r="BN483" i="14"/>
  <c r="BN481" i="14"/>
  <c r="BN479" i="14"/>
  <c r="BN477" i="14"/>
  <c r="BN475" i="14"/>
  <c r="BN473" i="14"/>
  <c r="BN471" i="14"/>
  <c r="BN469" i="14"/>
  <c r="BN467" i="14"/>
  <c r="BN465" i="14"/>
  <c r="BN504" i="14"/>
  <c r="BN500" i="14"/>
  <c r="BN496" i="14"/>
  <c r="BN492" i="14"/>
  <c r="BN488" i="14"/>
  <c r="BN484" i="14"/>
  <c r="BN480" i="14"/>
  <c r="BN476" i="14"/>
  <c r="BN472" i="14"/>
  <c r="BN468" i="14"/>
  <c r="BN464" i="14"/>
  <c r="BN462" i="14"/>
  <c r="BN460" i="14"/>
  <c r="BN458" i="14"/>
  <c r="BN456" i="14"/>
  <c r="BN454" i="14"/>
  <c r="BN452" i="14"/>
  <c r="BN450" i="14"/>
  <c r="BN448" i="14"/>
  <c r="BN446" i="14"/>
  <c r="BN444" i="14"/>
  <c r="BN442" i="14"/>
  <c r="BN440" i="14"/>
  <c r="BN438" i="14"/>
  <c r="BN461" i="14"/>
  <c r="BN457" i="14"/>
  <c r="BN453" i="14"/>
  <c r="BN449" i="14"/>
  <c r="BN445" i="14"/>
  <c r="BN441" i="14"/>
  <c r="BN437" i="14"/>
  <c r="BN436" i="14"/>
  <c r="BN434" i="14"/>
  <c r="BN432" i="14"/>
  <c r="BN430" i="14"/>
  <c r="BN428" i="14"/>
  <c r="BN426" i="14"/>
  <c r="BN424" i="14"/>
  <c r="BN422" i="14"/>
  <c r="BN420" i="14"/>
  <c r="BN418" i="14"/>
  <c r="BN416" i="14"/>
  <c r="BN414" i="14"/>
  <c r="BN412" i="14"/>
  <c r="BN410" i="14"/>
  <c r="BN408" i="14"/>
  <c r="BN406" i="14"/>
  <c r="BN404" i="14"/>
  <c r="BN402" i="14"/>
  <c r="BN400" i="14"/>
  <c r="BN398" i="14"/>
  <c r="BN396" i="14"/>
  <c r="BN394" i="14"/>
  <c r="BN392" i="14"/>
  <c r="BN390" i="14"/>
  <c r="BN388" i="14"/>
  <c r="BN386" i="14"/>
  <c r="BN384" i="14"/>
  <c r="BN382" i="14"/>
  <c r="BN380" i="14"/>
  <c r="BN378" i="14"/>
  <c r="BN376" i="14"/>
  <c r="BN374" i="14"/>
  <c r="BN372" i="14"/>
  <c r="BN370" i="14"/>
  <c r="BN368" i="14"/>
  <c r="BN366" i="14"/>
  <c r="BN364" i="14"/>
  <c r="BN362" i="14"/>
  <c r="BN360" i="14"/>
  <c r="BN358" i="14"/>
  <c r="BN356" i="14"/>
  <c r="BN353" i="14"/>
  <c r="BN506" i="14"/>
  <c r="BN498" i="14"/>
  <c r="BN490" i="14"/>
  <c r="BN482" i="14"/>
  <c r="BN474" i="14"/>
  <c r="BN466" i="14"/>
  <c r="BN354" i="14"/>
  <c r="BN351" i="14"/>
  <c r="BN350" i="14"/>
  <c r="BN349" i="14"/>
  <c r="BN348" i="14"/>
  <c r="BN347" i="14"/>
  <c r="BN346" i="14"/>
  <c r="BN345" i="14"/>
  <c r="BN344" i="14"/>
  <c r="BN343" i="14"/>
  <c r="BN342" i="14"/>
  <c r="BN341" i="14"/>
  <c r="BN340" i="14"/>
  <c r="BN339" i="14"/>
  <c r="BN338" i="14"/>
  <c r="BN337" i="14"/>
  <c r="BN336" i="14"/>
  <c r="BN335" i="14"/>
  <c r="BN334" i="14"/>
  <c r="BN333" i="14"/>
  <c r="BN332" i="14"/>
  <c r="BN331" i="14"/>
  <c r="BN330" i="14"/>
  <c r="BN329" i="14"/>
  <c r="BN328" i="14"/>
  <c r="BN327" i="14"/>
  <c r="BN326" i="14"/>
  <c r="BN325" i="14"/>
  <c r="BN324" i="14"/>
  <c r="BN323" i="14"/>
  <c r="BN322" i="14"/>
  <c r="BN321" i="14"/>
  <c r="BN320" i="14"/>
  <c r="BN319" i="14"/>
  <c r="BN318" i="14"/>
  <c r="BN317" i="14"/>
  <c r="BN316" i="14"/>
  <c r="BN315" i="14"/>
  <c r="BN314" i="14"/>
  <c r="BN313" i="14"/>
  <c r="BN312" i="14"/>
  <c r="BN311" i="14"/>
  <c r="BN310" i="14"/>
  <c r="BN309" i="14"/>
  <c r="BN308" i="14"/>
  <c r="BN307" i="14"/>
  <c r="BN306" i="14"/>
  <c r="BN305" i="14"/>
  <c r="BN304" i="14"/>
  <c r="BN303" i="14"/>
  <c r="BN302" i="14"/>
  <c r="BN301" i="14"/>
  <c r="BN300" i="14"/>
  <c r="BN299" i="14"/>
  <c r="BN298" i="14"/>
  <c r="BN297" i="14"/>
  <c r="BN296" i="14"/>
  <c r="BN494" i="14"/>
  <c r="BN478" i="14"/>
  <c r="BN463" i="14"/>
  <c r="BN455" i="14"/>
  <c r="BN447" i="14"/>
  <c r="BN439" i="14"/>
  <c r="BN427" i="14"/>
  <c r="BN415" i="14"/>
  <c r="BN407" i="14"/>
  <c r="BN399" i="14"/>
  <c r="BN391" i="14"/>
  <c r="BN383" i="14"/>
  <c r="BN375" i="14"/>
  <c r="BN367" i="14"/>
  <c r="BN363" i="14"/>
  <c r="BN359" i="14"/>
  <c r="BN294" i="14"/>
  <c r="BN293" i="14"/>
  <c r="BN292" i="14"/>
  <c r="BN287" i="14"/>
  <c r="BN285" i="14"/>
  <c r="BN282" i="14"/>
  <c r="BN280" i="14"/>
  <c r="BN278" i="14"/>
  <c r="BN272" i="14"/>
  <c r="BN269" i="14"/>
  <c r="BN266" i="14"/>
  <c r="BN265" i="14"/>
  <c r="BN264" i="14"/>
  <c r="BN263" i="14"/>
  <c r="BN261" i="14"/>
  <c r="BN259" i="14"/>
  <c r="BN257" i="14"/>
  <c r="BN256" i="14"/>
  <c r="BN253" i="14"/>
  <c r="BN251" i="14"/>
  <c r="BN250" i="14"/>
  <c r="BN249" i="14"/>
  <c r="BN248" i="14"/>
  <c r="BN246" i="14"/>
  <c r="BN245" i="14"/>
  <c r="BN244" i="14"/>
  <c r="BN241" i="14"/>
  <c r="BN236" i="14"/>
  <c r="BN234" i="14"/>
  <c r="BN233" i="14"/>
  <c r="BN231" i="14"/>
  <c r="BN229" i="14"/>
  <c r="BN228" i="14"/>
  <c r="BN227" i="14"/>
  <c r="BN226" i="14"/>
  <c r="BN225" i="14"/>
  <c r="BN221" i="14"/>
  <c r="BN219" i="14"/>
  <c r="BN218" i="14"/>
  <c r="BN217" i="14"/>
  <c r="BN215" i="14"/>
  <c r="BN213" i="14"/>
  <c r="BN211" i="14"/>
  <c r="BN502" i="14"/>
  <c r="BN486" i="14"/>
  <c r="BN470" i="14"/>
  <c r="BN459" i="14"/>
  <c r="BN451" i="14"/>
  <c r="BN443" i="14"/>
  <c r="BN433" i="14"/>
  <c r="BN429" i="14"/>
  <c r="BN425" i="14"/>
  <c r="BN421" i="14"/>
  <c r="BN417" i="14"/>
  <c r="BN413" i="14"/>
  <c r="BN409" i="14"/>
  <c r="BN405" i="14"/>
  <c r="BN401" i="14"/>
  <c r="BN397" i="14"/>
  <c r="BN393" i="14"/>
  <c r="BN389" i="14"/>
  <c r="BN385" i="14"/>
  <c r="BN381" i="14"/>
  <c r="BN377" i="14"/>
  <c r="BN373" i="14"/>
  <c r="BN369" i="14"/>
  <c r="BN365" i="14"/>
  <c r="BN361" i="14"/>
  <c r="BN357" i="14"/>
  <c r="BN435" i="14"/>
  <c r="BN431" i="14"/>
  <c r="BN423" i="14"/>
  <c r="BN419" i="14"/>
  <c r="BN411" i="14"/>
  <c r="BN403" i="14"/>
  <c r="BN395" i="14"/>
  <c r="BN387" i="14"/>
  <c r="BN379" i="14"/>
  <c r="BN371" i="14"/>
  <c r="BN355" i="14"/>
  <c r="BN295" i="14"/>
  <c r="BN291" i="14"/>
  <c r="BN290" i="14"/>
  <c r="BN289" i="14"/>
  <c r="BN288" i="14"/>
  <c r="BN286" i="14"/>
  <c r="BN284" i="14"/>
  <c r="BN283" i="14"/>
  <c r="BN281" i="14"/>
  <c r="BN279" i="14"/>
  <c r="BN277" i="14"/>
  <c r="BN276" i="14"/>
  <c r="BN275" i="14"/>
  <c r="BN274" i="14"/>
  <c r="BN273" i="14"/>
  <c r="BN271" i="14"/>
  <c r="BN270" i="14"/>
  <c r="BN268" i="14"/>
  <c r="BN267" i="14"/>
  <c r="BN262" i="14"/>
  <c r="BN260" i="14"/>
  <c r="BN258" i="14"/>
  <c r="BN255" i="14"/>
  <c r="BN254" i="14"/>
  <c r="BN252" i="14"/>
  <c r="BN247" i="14"/>
  <c r="BN243" i="14"/>
  <c r="BN242" i="14"/>
  <c r="BN240" i="14"/>
  <c r="BN239" i="14"/>
  <c r="BN238" i="14"/>
  <c r="BN237" i="14"/>
  <c r="BN235" i="14"/>
  <c r="BN232" i="14"/>
  <c r="BN230" i="14"/>
  <c r="BN224" i="14"/>
  <c r="BN223" i="14"/>
  <c r="BN222" i="14"/>
  <c r="BN220" i="14"/>
  <c r="BN216" i="14"/>
  <c r="BN214" i="14"/>
  <c r="BN212" i="14"/>
  <c r="BN352" i="14"/>
  <c r="BN208" i="14"/>
  <c r="BN204" i="14"/>
  <c r="BN200" i="14"/>
  <c r="BN196" i="14"/>
  <c r="BN192" i="14"/>
  <c r="BN188" i="14"/>
  <c r="BN184" i="14"/>
  <c r="BN205" i="14"/>
  <c r="BN201" i="14"/>
  <c r="BN193" i="14"/>
  <c r="BN189" i="14"/>
  <c r="BN185" i="14"/>
  <c r="BN181" i="14"/>
  <c r="BN206" i="14"/>
  <c r="BN202" i="14"/>
  <c r="BN198" i="14"/>
  <c r="BN186" i="14"/>
  <c r="BN207" i="14"/>
  <c r="BN203" i="14"/>
  <c r="BN199" i="14"/>
  <c r="BN195" i="14"/>
  <c r="BN191" i="14"/>
  <c r="BN187" i="14"/>
  <c r="BN183" i="14"/>
  <c r="BN180" i="14"/>
  <c r="BN209" i="14"/>
  <c r="BN197" i="14"/>
  <c r="BN210" i="14"/>
  <c r="BN194" i="14"/>
  <c r="BN190" i="14"/>
  <c r="BN182" i="14"/>
  <c r="BK532" i="14"/>
  <c r="BK528" i="14"/>
  <c r="BK524" i="14"/>
  <c r="BK520" i="14"/>
  <c r="BK545" i="14"/>
  <c r="BK543" i="14"/>
  <c r="BK541" i="14"/>
  <c r="BK539" i="14"/>
  <c r="BK537" i="14"/>
  <c r="BK533" i="14"/>
  <c r="BK529" i="14"/>
  <c r="BK525" i="14"/>
  <c r="BK521" i="14"/>
  <c r="BK517" i="14"/>
  <c r="BK516" i="14"/>
  <c r="BK515" i="14"/>
  <c r="BK514" i="14"/>
  <c r="BK513" i="14"/>
  <c r="BK512" i="14"/>
  <c r="BK511" i="14"/>
  <c r="BK510" i="14"/>
  <c r="BK509" i="14"/>
  <c r="BK508" i="14"/>
  <c r="BK544" i="14"/>
  <c r="BK540" i="14"/>
  <c r="BK536" i="14"/>
  <c r="BK535" i="14"/>
  <c r="BK527" i="14"/>
  <c r="BK519" i="14"/>
  <c r="BK530" i="14"/>
  <c r="BK522" i="14"/>
  <c r="BK526" i="14"/>
  <c r="BK507" i="14"/>
  <c r="BK505" i="14"/>
  <c r="BK503" i="14"/>
  <c r="BK501" i="14"/>
  <c r="BK499" i="14"/>
  <c r="BK497" i="14"/>
  <c r="BK495" i="14"/>
  <c r="BK493" i="14"/>
  <c r="BK491" i="14"/>
  <c r="BK489" i="14"/>
  <c r="BK487" i="14"/>
  <c r="BK485" i="14"/>
  <c r="BK483" i="14"/>
  <c r="BK481" i="14"/>
  <c r="BK479" i="14"/>
  <c r="BK477" i="14"/>
  <c r="BK475" i="14"/>
  <c r="BK473" i="14"/>
  <c r="BK471" i="14"/>
  <c r="BK469" i="14"/>
  <c r="BK467" i="14"/>
  <c r="BK538" i="14"/>
  <c r="BK523" i="14"/>
  <c r="BK531" i="14"/>
  <c r="BK464" i="14"/>
  <c r="BK462" i="14"/>
  <c r="BK460" i="14"/>
  <c r="BK458" i="14"/>
  <c r="BK456" i="14"/>
  <c r="BK454" i="14"/>
  <c r="BK452" i="14"/>
  <c r="BK450" i="14"/>
  <c r="BK448" i="14"/>
  <c r="BK446" i="14"/>
  <c r="BK444" i="14"/>
  <c r="BK442" i="14"/>
  <c r="BK440" i="14"/>
  <c r="BK438" i="14"/>
  <c r="BK436" i="14"/>
  <c r="BK435" i="14"/>
  <c r="BK434" i="14"/>
  <c r="BK433" i="14"/>
  <c r="BK432" i="14"/>
  <c r="BK431" i="14"/>
  <c r="BK430" i="14"/>
  <c r="BK429" i="14"/>
  <c r="BK428" i="14"/>
  <c r="BK427" i="14"/>
  <c r="BK426" i="14"/>
  <c r="BK425" i="14"/>
  <c r="BK424" i="14"/>
  <c r="BK423" i="14"/>
  <c r="BK422" i="14"/>
  <c r="BK421" i="14"/>
  <c r="BK420" i="14"/>
  <c r="BK419" i="14"/>
  <c r="BK418" i="14"/>
  <c r="BK417" i="14"/>
  <c r="BK416" i="14"/>
  <c r="BK415" i="14"/>
  <c r="BK414" i="14"/>
  <c r="BK413" i="14"/>
  <c r="BK412" i="14"/>
  <c r="BK411" i="14"/>
  <c r="BK410" i="14"/>
  <c r="BK409" i="14"/>
  <c r="BK408" i="14"/>
  <c r="BK407" i="14"/>
  <c r="BK406" i="14"/>
  <c r="BK405" i="14"/>
  <c r="BK404" i="14"/>
  <c r="BK403" i="14"/>
  <c r="BK402" i="14"/>
  <c r="BK401" i="14"/>
  <c r="BK400" i="14"/>
  <c r="BK399" i="14"/>
  <c r="BK398" i="14"/>
  <c r="BK397" i="14"/>
  <c r="BK396" i="14"/>
  <c r="BK395" i="14"/>
  <c r="BK394" i="14"/>
  <c r="BK393" i="14"/>
  <c r="BK392" i="14"/>
  <c r="BK391" i="14"/>
  <c r="BK390" i="14"/>
  <c r="BK389" i="14"/>
  <c r="BK388" i="14"/>
  <c r="BK387" i="14"/>
  <c r="BK386" i="14"/>
  <c r="BK385" i="14"/>
  <c r="BK384" i="14"/>
  <c r="BK383" i="14"/>
  <c r="BK382" i="14"/>
  <c r="BK381" i="14"/>
  <c r="BK380" i="14"/>
  <c r="BK379" i="14"/>
  <c r="BK378" i="14"/>
  <c r="BK377" i="14"/>
  <c r="BK376" i="14"/>
  <c r="BK375" i="14"/>
  <c r="BK374" i="14"/>
  <c r="BK373" i="14"/>
  <c r="BK372" i="14"/>
  <c r="BK371" i="14"/>
  <c r="BK370" i="14"/>
  <c r="BK369" i="14"/>
  <c r="BK368" i="14"/>
  <c r="BK367" i="14"/>
  <c r="BK366" i="14"/>
  <c r="BK365" i="14"/>
  <c r="BK364" i="14"/>
  <c r="BK363" i="14"/>
  <c r="BK362" i="14"/>
  <c r="BK361" i="14"/>
  <c r="BK360" i="14"/>
  <c r="BK359" i="14"/>
  <c r="BK358" i="14"/>
  <c r="BK357" i="14"/>
  <c r="BK356" i="14"/>
  <c r="BK355" i="14"/>
  <c r="BK354" i="14"/>
  <c r="BK353" i="14"/>
  <c r="BK352" i="14"/>
  <c r="BK518" i="14"/>
  <c r="BK506" i="14"/>
  <c r="BK502" i="14"/>
  <c r="BK498" i="14"/>
  <c r="BK494" i="14"/>
  <c r="BK490" i="14"/>
  <c r="BK486" i="14"/>
  <c r="BK482" i="14"/>
  <c r="BK478" i="14"/>
  <c r="BK474" i="14"/>
  <c r="BK470" i="14"/>
  <c r="BK466" i="14"/>
  <c r="BK534" i="14"/>
  <c r="BK500" i="14"/>
  <c r="BK492" i="14"/>
  <c r="BK484" i="14"/>
  <c r="BK476" i="14"/>
  <c r="BK468" i="14"/>
  <c r="BK463" i="14"/>
  <c r="BK459" i="14"/>
  <c r="BK455" i="14"/>
  <c r="BK451" i="14"/>
  <c r="BK447" i="14"/>
  <c r="BK443" i="14"/>
  <c r="BK439" i="14"/>
  <c r="BK542" i="14"/>
  <c r="BK461" i="14"/>
  <c r="BK453" i="14"/>
  <c r="BK445" i="14"/>
  <c r="BK437" i="14"/>
  <c r="BK302" i="14"/>
  <c r="BK298" i="14"/>
  <c r="BK295" i="14"/>
  <c r="BK294" i="14"/>
  <c r="BK293" i="14"/>
  <c r="BK292" i="14"/>
  <c r="BK291" i="14"/>
  <c r="BK290" i="14"/>
  <c r="BK289" i="14"/>
  <c r="BK288" i="14"/>
  <c r="BK287" i="14"/>
  <c r="BK286" i="14"/>
  <c r="BK285" i="14"/>
  <c r="BK284" i="14"/>
  <c r="BK283" i="14"/>
  <c r="BK282" i="14"/>
  <c r="BK281" i="14"/>
  <c r="BK280" i="14"/>
  <c r="BK279" i="14"/>
  <c r="BK278" i="14"/>
  <c r="BK277" i="14"/>
  <c r="BK276" i="14"/>
  <c r="BK275" i="14"/>
  <c r="BK274" i="14"/>
  <c r="BK273" i="14"/>
  <c r="BK272" i="14"/>
  <c r="BK271" i="14"/>
  <c r="BK270" i="14"/>
  <c r="BK269" i="14"/>
  <c r="BK268" i="14"/>
  <c r="BK267" i="14"/>
  <c r="BK266" i="14"/>
  <c r="BK265" i="14"/>
  <c r="BK264" i="14"/>
  <c r="BK263" i="14"/>
  <c r="BK262" i="14"/>
  <c r="BK261" i="14"/>
  <c r="BK260" i="14"/>
  <c r="BK259" i="14"/>
  <c r="BK258" i="14"/>
  <c r="BK257" i="14"/>
  <c r="BK256" i="14"/>
  <c r="BK255" i="14"/>
  <c r="BK254" i="14"/>
  <c r="BK253" i="14"/>
  <c r="BK252" i="14"/>
  <c r="BK251" i="14"/>
  <c r="BK250" i="14"/>
  <c r="BK249" i="14"/>
  <c r="BK248" i="14"/>
  <c r="BK247" i="14"/>
  <c r="BK246" i="14"/>
  <c r="BK245" i="14"/>
  <c r="BK244" i="14"/>
  <c r="BK243" i="14"/>
  <c r="BK242" i="14"/>
  <c r="BK241" i="14"/>
  <c r="BK240" i="14"/>
  <c r="BK239" i="14"/>
  <c r="BK238" i="14"/>
  <c r="BK237" i="14"/>
  <c r="BK236" i="14"/>
  <c r="BK235" i="14"/>
  <c r="BK234" i="14"/>
  <c r="BK233" i="14"/>
  <c r="BK232" i="14"/>
  <c r="BK231" i="14"/>
  <c r="BK230" i="14"/>
  <c r="BK229" i="14"/>
  <c r="BK228" i="14"/>
  <c r="BK227" i="14"/>
  <c r="BK226" i="14"/>
  <c r="BK225" i="14"/>
  <c r="BK224" i="14"/>
  <c r="BK223" i="14"/>
  <c r="BK222" i="14"/>
  <c r="BK221" i="14"/>
  <c r="BK220" i="14"/>
  <c r="BK219" i="14"/>
  <c r="BK218" i="14"/>
  <c r="BK217" i="14"/>
  <c r="BK216" i="14"/>
  <c r="BK215" i="14"/>
  <c r="BK214" i="14"/>
  <c r="BK213" i="14"/>
  <c r="BK212" i="14"/>
  <c r="BK211" i="14"/>
  <c r="BK504" i="14"/>
  <c r="BK488" i="14"/>
  <c r="BK472" i="14"/>
  <c r="BK351" i="14"/>
  <c r="BK349" i="14"/>
  <c r="BK347" i="14"/>
  <c r="BK343" i="14"/>
  <c r="BK335" i="14"/>
  <c r="BK331" i="14"/>
  <c r="BK327" i="14"/>
  <c r="BK321" i="14"/>
  <c r="BK317" i="14"/>
  <c r="BK315" i="14"/>
  <c r="BK311" i="14"/>
  <c r="BK307" i="14"/>
  <c r="BK303" i="14"/>
  <c r="BK301" i="14"/>
  <c r="BK297" i="14"/>
  <c r="BK441" i="14"/>
  <c r="BK496" i="14"/>
  <c r="BK480" i="14"/>
  <c r="BK350" i="14"/>
  <c r="BK348" i="14"/>
  <c r="BK346" i="14"/>
  <c r="BK344" i="14"/>
  <c r="BK342" i="14"/>
  <c r="BK340" i="14"/>
  <c r="BK338" i="14"/>
  <c r="BK336" i="14"/>
  <c r="BK334" i="14"/>
  <c r="BK332" i="14"/>
  <c r="BK330" i="14"/>
  <c r="BK328" i="14"/>
  <c r="BK326" i="14"/>
  <c r="BK324" i="14"/>
  <c r="BK322" i="14"/>
  <c r="BK320" i="14"/>
  <c r="BK318" i="14"/>
  <c r="BK316" i="14"/>
  <c r="BK314" i="14"/>
  <c r="BK312" i="14"/>
  <c r="BK310" i="14"/>
  <c r="BK308" i="14"/>
  <c r="BK306" i="14"/>
  <c r="BK304" i="14"/>
  <c r="BK299" i="14"/>
  <c r="BK345" i="14"/>
  <c r="BK341" i="14"/>
  <c r="BK339" i="14"/>
  <c r="BK337" i="14"/>
  <c r="BK333" i="14"/>
  <c r="BK329" i="14"/>
  <c r="BK325" i="14"/>
  <c r="BK323" i="14"/>
  <c r="BK319" i="14"/>
  <c r="BK313" i="14"/>
  <c r="BK309" i="14"/>
  <c r="BK305" i="14"/>
  <c r="BK465" i="14"/>
  <c r="BK457" i="14"/>
  <c r="BK449" i="14"/>
  <c r="BK300" i="14"/>
  <c r="BK296" i="14"/>
  <c r="BK209" i="14"/>
  <c r="BK205" i="14"/>
  <c r="BK201" i="14"/>
  <c r="BK197" i="14"/>
  <c r="BK193" i="14"/>
  <c r="BK189" i="14"/>
  <c r="BK185" i="14"/>
  <c r="BK181" i="14"/>
  <c r="BK202" i="14"/>
  <c r="BK194" i="14"/>
  <c r="BK190" i="14"/>
  <c r="BK186" i="14"/>
  <c r="BK207" i="14"/>
  <c r="BK203" i="14"/>
  <c r="BK199" i="14"/>
  <c r="BK187" i="14"/>
  <c r="BK208" i="14"/>
  <c r="BK204" i="14"/>
  <c r="BK200" i="14"/>
  <c r="BK196" i="14"/>
  <c r="BK192" i="14"/>
  <c r="BK188" i="14"/>
  <c r="BK184" i="14"/>
  <c r="BK210" i="14"/>
  <c r="BK206" i="14"/>
  <c r="BK198" i="14"/>
  <c r="BK182" i="14"/>
  <c r="BK195" i="14"/>
  <c r="BK191" i="14"/>
  <c r="BK183" i="14"/>
  <c r="BK180" i="14"/>
  <c r="AK250" i="14"/>
  <c r="CC250" i="14" s="1"/>
  <c r="AH301" i="1"/>
  <c r="J39" i="29"/>
  <c r="D40" i="15"/>
  <c r="D43" i="15"/>
  <c r="J40" i="29"/>
  <c r="F40" i="29"/>
  <c r="T38" i="29"/>
  <c r="F39" i="29"/>
  <c r="R40" i="29"/>
  <c r="AN421" i="1"/>
  <c r="G182" i="26"/>
  <c r="AH311" i="1"/>
  <c r="G107" i="26"/>
  <c r="H107" i="26" s="1"/>
  <c r="I107" i="26" s="1"/>
  <c r="D107" i="26" s="1"/>
  <c r="AQ298" i="1"/>
  <c r="H91" i="21" s="1"/>
  <c r="AL298" i="1"/>
  <c r="H90" i="21" s="1"/>
  <c r="AQ300" i="1"/>
  <c r="J91" i="21" s="1"/>
  <c r="J112" i="21"/>
  <c r="N47" i="29"/>
  <c r="R55" i="29"/>
  <c r="R52" i="29"/>
  <c r="J56" i="29"/>
  <c r="F56" i="29"/>
  <c r="J48" i="29"/>
  <c r="F59" i="29"/>
  <c r="R48" i="29"/>
  <c r="N59" i="29"/>
  <c r="F52" i="29"/>
  <c r="N55" i="29"/>
  <c r="J52" i="29"/>
  <c r="R59" i="29"/>
  <c r="J59" i="29"/>
  <c r="F48" i="29"/>
  <c r="N60" i="29"/>
  <c r="R56" i="29"/>
  <c r="N52" i="29"/>
  <c r="F51" i="29"/>
  <c r="R51" i="29"/>
  <c r="J47" i="29"/>
  <c r="J51" i="29"/>
  <c r="F60" i="29"/>
  <c r="R47" i="29"/>
  <c r="N48" i="29"/>
  <c r="F47" i="29"/>
  <c r="N51" i="29"/>
  <c r="J55" i="29"/>
  <c r="N56" i="29"/>
  <c r="R60" i="29"/>
  <c r="J60" i="29"/>
  <c r="R44" i="29"/>
  <c r="T58" i="29"/>
  <c r="F44" i="29"/>
  <c r="N43" i="29"/>
  <c r="R43" i="29"/>
  <c r="J44" i="29"/>
  <c r="T42" i="29"/>
  <c r="T50" i="29"/>
  <c r="T54" i="29"/>
  <c r="T46" i="29"/>
  <c r="J43" i="29"/>
  <c r="F43" i="29"/>
  <c r="N44" i="29"/>
  <c r="K184" i="25"/>
  <c r="D115" i="24"/>
  <c r="D116" i="24" s="1"/>
  <c r="I159" i="25"/>
  <c r="J159" i="25"/>
  <c r="J184" i="25"/>
  <c r="AH427" i="1"/>
  <c r="M183" i="26"/>
  <c r="K159" i="25"/>
  <c r="AH425" i="1"/>
  <c r="K183" i="26"/>
  <c r="AH424" i="1"/>
  <c r="J183" i="26"/>
  <c r="I90" i="21"/>
  <c r="AH426" i="1"/>
  <c r="L183" i="26"/>
  <c r="AH423" i="1"/>
  <c r="I183" i="26"/>
  <c r="I91" i="21"/>
  <c r="L159" i="25"/>
  <c r="L184" i="25"/>
  <c r="AZ300" i="1"/>
  <c r="J91" i="22" s="1"/>
  <c r="AU300" i="1"/>
  <c r="J90" i="22" s="1"/>
  <c r="E7" i="26"/>
  <c r="L77" i="26" s="1"/>
  <c r="M77" i="26" s="1"/>
  <c r="AE273" i="1"/>
  <c r="E39" i="25"/>
  <c r="L78" i="25" s="1"/>
  <c r="M78" i="25" s="1"/>
  <c r="K110" i="22"/>
  <c r="I87" i="22" s="1"/>
  <c r="I88" i="22"/>
  <c r="AX299" i="1" s="1"/>
  <c r="K111" i="22"/>
  <c r="K108" i="22"/>
  <c r="I85" i="22" s="1"/>
  <c r="K109" i="22"/>
  <c r="I86" i="22" s="1"/>
  <c r="AH313" i="1"/>
  <c r="G109" i="26"/>
  <c r="H109" i="26" s="1"/>
  <c r="I109" i="26" s="1"/>
  <c r="D109" i="26" s="1"/>
  <c r="I182" i="26"/>
  <c r="I160" i="26" s="1"/>
  <c r="H160" i="25"/>
  <c r="E182" i="25"/>
  <c r="AH315" i="1"/>
  <c r="K182" i="26"/>
  <c r="K160" i="26" s="1"/>
  <c r="G111" i="26"/>
  <c r="H111" i="26" s="1"/>
  <c r="I111" i="26" s="1"/>
  <c r="D111" i="26" s="1"/>
  <c r="M159" i="25"/>
  <c r="AH314" i="1"/>
  <c r="G110" i="26"/>
  <c r="H110" i="26" s="1"/>
  <c r="I110" i="26" s="1"/>
  <c r="D110" i="26" s="1"/>
  <c r="J182" i="26"/>
  <c r="J160" i="26" s="1"/>
  <c r="H184" i="25"/>
  <c r="E183" i="25"/>
  <c r="AH316" i="1"/>
  <c r="G112" i="26"/>
  <c r="H112" i="26" s="1"/>
  <c r="I112" i="26" s="1"/>
  <c r="D112" i="26" s="1"/>
  <c r="L182" i="26"/>
  <c r="L160" i="26" s="1"/>
  <c r="L108" i="22"/>
  <c r="H85" i="22" s="1"/>
  <c r="L110" i="22"/>
  <c r="H87" i="22" s="1"/>
  <c r="L109" i="22"/>
  <c r="H86" i="22" s="1"/>
  <c r="L111" i="22"/>
  <c r="H88" i="22"/>
  <c r="AX298" i="1" s="1"/>
  <c r="H159" i="24"/>
  <c r="I184" i="25"/>
  <c r="AH312" i="1"/>
  <c r="H182" i="26"/>
  <c r="G108" i="26"/>
  <c r="H108" i="26" s="1"/>
  <c r="I108" i="26" s="1"/>
  <c r="D108" i="26" s="1"/>
  <c r="AE318" i="1"/>
  <c r="G115" i="26" s="1"/>
  <c r="H115" i="26" s="1"/>
  <c r="I115" i="26" s="1"/>
  <c r="G114" i="25"/>
  <c r="H114" i="25" s="1"/>
  <c r="I114" i="25" s="1"/>
  <c r="D114" i="25" s="1"/>
  <c r="AH317" i="1"/>
  <c r="G113" i="26"/>
  <c r="H113" i="26" s="1"/>
  <c r="I113" i="26" s="1"/>
  <c r="D113" i="26" s="1"/>
  <c r="M182" i="26"/>
  <c r="M160" i="26" s="1"/>
  <c r="E184" i="24"/>
  <c r="M184" i="25"/>
  <c r="AH422" i="1"/>
  <c r="H183" i="26"/>
  <c r="AE431" i="1"/>
  <c r="D116" i="23"/>
  <c r="T36" i="29" l="1"/>
  <c r="H156" i="24"/>
  <c r="T35" i="29"/>
  <c r="H152" i="24"/>
  <c r="H155" i="24"/>
  <c r="H150" i="24"/>
  <c r="H151" i="24"/>
  <c r="H153" i="24"/>
  <c r="G158" i="24"/>
  <c r="G155" i="24"/>
  <c r="G150" i="24"/>
  <c r="H154" i="24"/>
  <c r="H157" i="24"/>
  <c r="G154" i="24"/>
  <c r="H158" i="24"/>
  <c r="G156" i="24"/>
  <c r="G157" i="24"/>
  <c r="M156" i="24"/>
  <c r="M155" i="24"/>
  <c r="I157" i="24"/>
  <c r="I156" i="24"/>
  <c r="L158" i="24"/>
  <c r="L153" i="24"/>
  <c r="K158" i="24"/>
  <c r="K150" i="24"/>
  <c r="J154" i="24"/>
  <c r="J155" i="24"/>
  <c r="J158" i="24"/>
  <c r="K154" i="24"/>
  <c r="K157" i="24"/>
  <c r="J156" i="24"/>
  <c r="J151" i="24"/>
  <c r="J153" i="24"/>
  <c r="M157" i="24"/>
  <c r="I158" i="24"/>
  <c r="L156" i="24"/>
  <c r="L152" i="24"/>
  <c r="M154" i="24"/>
  <c r="M152" i="24"/>
  <c r="I155" i="24"/>
  <c r="I152" i="24"/>
  <c r="I151" i="24"/>
  <c r="L154" i="24"/>
  <c r="M151" i="24"/>
  <c r="L155" i="24"/>
  <c r="M150" i="24"/>
  <c r="M153" i="24"/>
  <c r="I150" i="24"/>
  <c r="I153" i="24"/>
  <c r="L150" i="24"/>
  <c r="L151" i="24"/>
  <c r="L157" i="24"/>
  <c r="K152" i="24"/>
  <c r="K153" i="24"/>
  <c r="K155" i="24"/>
  <c r="J150" i="24"/>
  <c r="M158" i="24"/>
  <c r="I154" i="24"/>
  <c r="K151" i="24"/>
  <c r="K156" i="24"/>
  <c r="J157" i="24"/>
  <c r="J152" i="24"/>
  <c r="G184" i="26"/>
  <c r="G160" i="26"/>
  <c r="G159" i="25"/>
  <c r="E151" i="25"/>
  <c r="G156" i="25" s="1"/>
  <c r="G153" i="24"/>
  <c r="G152" i="24"/>
  <c r="E188" i="25"/>
  <c r="E160" i="25"/>
  <c r="AH250" i="14"/>
  <c r="T23" i="29"/>
  <c r="T28" i="29"/>
  <c r="T24" i="29"/>
  <c r="T27" i="29"/>
  <c r="T31" i="29"/>
  <c r="T32" i="29"/>
  <c r="D38" i="15"/>
  <c r="Z38" i="15" s="1"/>
  <c r="D39" i="15"/>
  <c r="Z39" i="15" s="1"/>
  <c r="D37" i="15"/>
  <c r="Z37" i="15" s="1"/>
  <c r="AE321" i="1"/>
  <c r="G116" i="26"/>
  <c r="H116" i="26" s="1"/>
  <c r="I116" i="26" s="1"/>
  <c r="AK251" i="14"/>
  <c r="CC251" i="14" s="1"/>
  <c r="Z40" i="15"/>
  <c r="T39" i="29"/>
  <c r="Z43" i="15"/>
  <c r="AL301" i="1"/>
  <c r="D46" i="15"/>
  <c r="K90" i="21"/>
  <c r="D41" i="15"/>
  <c r="D44" i="15"/>
  <c r="D42" i="15"/>
  <c r="D45" i="15"/>
  <c r="T40" i="29"/>
  <c r="AQ301" i="1"/>
  <c r="K91" i="21"/>
  <c r="AK311" i="1"/>
  <c r="G182" i="27"/>
  <c r="G107" i="27"/>
  <c r="H107" i="27" s="1"/>
  <c r="I107" i="27" s="1"/>
  <c r="D107" i="27" s="1"/>
  <c r="T56" i="29"/>
  <c r="T48" i="29"/>
  <c r="T55" i="29"/>
  <c r="T51" i="29"/>
  <c r="T60" i="29"/>
  <c r="T52" i="29"/>
  <c r="T47" i="29"/>
  <c r="T59" i="29"/>
  <c r="T43" i="29"/>
  <c r="T44" i="29"/>
  <c r="G117" i="23"/>
  <c r="J107" i="23"/>
  <c r="J107" i="24"/>
  <c r="J88" i="24" s="1"/>
  <c r="N306" i="1" s="1"/>
  <c r="H117" i="24"/>
  <c r="K107" i="23"/>
  <c r="J112" i="22"/>
  <c r="I184" i="26"/>
  <c r="D115" i="25"/>
  <c r="D116" i="25" s="1"/>
  <c r="AK426" i="1"/>
  <c r="L183" i="28" s="1"/>
  <c r="L183" i="27"/>
  <c r="AK424" i="1"/>
  <c r="J183" i="27"/>
  <c r="AZ298" i="1"/>
  <c r="AU298" i="1"/>
  <c r="AK316" i="1"/>
  <c r="G112" i="27"/>
  <c r="H112" i="27" s="1"/>
  <c r="I112" i="27" s="1"/>
  <c r="D112" i="27" s="1"/>
  <c r="L182" i="27"/>
  <c r="L160" i="27" s="1"/>
  <c r="J159" i="26"/>
  <c r="AK313" i="1"/>
  <c r="G109" i="27"/>
  <c r="H109" i="27" s="1"/>
  <c r="I109" i="27" s="1"/>
  <c r="D109" i="27" s="1"/>
  <c r="I182" i="27"/>
  <c r="I160" i="27" s="1"/>
  <c r="AU299" i="1"/>
  <c r="I90" i="22" s="1"/>
  <c r="AZ299" i="1"/>
  <c r="I91" i="22" s="1"/>
  <c r="AK423" i="1"/>
  <c r="I183" i="27"/>
  <c r="AK422" i="1"/>
  <c r="AN422" i="1" s="1"/>
  <c r="H183" i="27"/>
  <c r="AH431" i="1"/>
  <c r="AK317" i="1"/>
  <c r="M182" i="27"/>
  <c r="M160" i="27" s="1"/>
  <c r="G113" i="27"/>
  <c r="H113" i="27" s="1"/>
  <c r="I113" i="27" s="1"/>
  <c r="D113" i="27" s="1"/>
  <c r="H117" i="23"/>
  <c r="H155" i="25"/>
  <c r="H159" i="25"/>
  <c r="L107" i="23"/>
  <c r="K184" i="26"/>
  <c r="M184" i="26"/>
  <c r="K107" i="24"/>
  <c r="L107" i="24"/>
  <c r="M159" i="26"/>
  <c r="AH318" i="1"/>
  <c r="G114" i="26"/>
  <c r="H114" i="26" s="1"/>
  <c r="I114" i="26" s="1"/>
  <c r="D114" i="26" s="1"/>
  <c r="AK312" i="1"/>
  <c r="H182" i="27"/>
  <c r="G108" i="27"/>
  <c r="H108" i="27" s="1"/>
  <c r="I108" i="27" s="1"/>
  <c r="D108" i="27" s="1"/>
  <c r="AK315" i="1"/>
  <c r="G111" i="27"/>
  <c r="H111" i="27" s="1"/>
  <c r="I111" i="27" s="1"/>
  <c r="D111" i="27" s="1"/>
  <c r="K182" i="27"/>
  <c r="K160" i="27" s="1"/>
  <c r="E7" i="27"/>
  <c r="L77" i="27" s="1"/>
  <c r="M77" i="27" s="1"/>
  <c r="E39" i="26"/>
  <c r="L78" i="26" s="1"/>
  <c r="M78" i="26" s="1"/>
  <c r="AH273" i="1"/>
  <c r="H184" i="26"/>
  <c r="E183" i="26"/>
  <c r="H160" i="26"/>
  <c r="E182" i="26"/>
  <c r="L159" i="26"/>
  <c r="E184" i="25"/>
  <c r="AK314" i="1"/>
  <c r="J182" i="27"/>
  <c r="J160" i="27" s="1"/>
  <c r="G110" i="27"/>
  <c r="H110" i="27" s="1"/>
  <c r="I110" i="27" s="1"/>
  <c r="D110" i="27" s="1"/>
  <c r="K159" i="26"/>
  <c r="I159" i="26"/>
  <c r="L184" i="26"/>
  <c r="J184" i="26"/>
  <c r="AK425" i="1"/>
  <c r="K183" i="27"/>
  <c r="AK427" i="1"/>
  <c r="M183" i="27"/>
  <c r="G117" i="24"/>
  <c r="K183" i="28" l="1"/>
  <c r="AK252" i="14"/>
  <c r="CC252" i="14" s="1"/>
  <c r="H156" i="25"/>
  <c r="G154" i="25"/>
  <c r="H157" i="25"/>
  <c r="H154" i="25"/>
  <c r="H152" i="25"/>
  <c r="H158" i="25"/>
  <c r="H153" i="25"/>
  <c r="H151" i="25"/>
  <c r="H150" i="25"/>
  <c r="G158" i="25"/>
  <c r="G157" i="25"/>
  <c r="G151" i="25"/>
  <c r="G153" i="25"/>
  <c r="G152" i="25"/>
  <c r="G159" i="26"/>
  <c r="E151" i="26"/>
  <c r="G155" i="26" s="1"/>
  <c r="I151" i="25"/>
  <c r="I156" i="25"/>
  <c r="I158" i="25"/>
  <c r="J154" i="25"/>
  <c r="J156" i="25"/>
  <c r="K156" i="25"/>
  <c r="K150" i="25"/>
  <c r="L154" i="25"/>
  <c r="M150" i="25"/>
  <c r="M153" i="25"/>
  <c r="M155" i="25"/>
  <c r="I157" i="25"/>
  <c r="J153" i="25"/>
  <c r="J157" i="25"/>
  <c r="K157" i="25"/>
  <c r="L153" i="25"/>
  <c r="L152" i="25"/>
  <c r="M158" i="25"/>
  <c r="J152" i="25"/>
  <c r="K152" i="25"/>
  <c r="K155" i="25"/>
  <c r="L157" i="25"/>
  <c r="L150" i="25"/>
  <c r="I155" i="25"/>
  <c r="J151" i="25"/>
  <c r="I152" i="25"/>
  <c r="J158" i="25"/>
  <c r="K153" i="25"/>
  <c r="L156" i="25"/>
  <c r="M157" i="25"/>
  <c r="M151" i="25"/>
  <c r="I153" i="25"/>
  <c r="I154" i="25"/>
  <c r="I150" i="25"/>
  <c r="J150" i="25"/>
  <c r="J155" i="25"/>
  <c r="K151" i="25"/>
  <c r="K154" i="25"/>
  <c r="K158" i="25"/>
  <c r="L158" i="25"/>
  <c r="L151" i="25"/>
  <c r="L155" i="25"/>
  <c r="M152" i="25"/>
  <c r="M154" i="25"/>
  <c r="M156" i="25"/>
  <c r="G184" i="27"/>
  <c r="G160" i="27"/>
  <c r="G150" i="25"/>
  <c r="G155" i="25"/>
  <c r="E160" i="26"/>
  <c r="E188" i="26"/>
  <c r="AH251" i="14"/>
  <c r="AH321" i="1"/>
  <c r="G116" i="27"/>
  <c r="H116" i="27" s="1"/>
  <c r="I116" i="27" s="1"/>
  <c r="G115" i="27"/>
  <c r="H115" i="27" s="1"/>
  <c r="I115" i="27" s="1"/>
  <c r="Z46" i="15"/>
  <c r="Z45" i="15"/>
  <c r="Z44" i="15"/>
  <c r="Z42" i="15"/>
  <c r="Z41" i="15"/>
  <c r="D49" i="15"/>
  <c r="F42" i="15" s="1"/>
  <c r="G182" i="28"/>
  <c r="G107" i="28"/>
  <c r="H107" i="28" s="1"/>
  <c r="I107" i="28" s="1"/>
  <c r="D107" i="28" s="1"/>
  <c r="I184" i="27"/>
  <c r="AN426" i="1"/>
  <c r="J108" i="24"/>
  <c r="J85" i="24" s="1"/>
  <c r="J109" i="24"/>
  <c r="J86" i="24" s="1"/>
  <c r="J111" i="24"/>
  <c r="J110" i="24"/>
  <c r="J87" i="24" s="1"/>
  <c r="H117" i="25"/>
  <c r="J111" i="23"/>
  <c r="J110" i="23"/>
  <c r="J87" i="23" s="1"/>
  <c r="J109" i="23"/>
  <c r="J86" i="23" s="1"/>
  <c r="J88" i="23"/>
  <c r="E306" i="1" s="1"/>
  <c r="J108" i="23"/>
  <c r="J85" i="23" s="1"/>
  <c r="J107" i="25"/>
  <c r="J108" i="25" s="1"/>
  <c r="J85" i="25" s="1"/>
  <c r="K108" i="23"/>
  <c r="I85" i="23" s="1"/>
  <c r="K111" i="23"/>
  <c r="I88" i="23"/>
  <c r="E305" i="1" s="1"/>
  <c r="K110" i="23"/>
  <c r="I87" i="23" s="1"/>
  <c r="K109" i="23"/>
  <c r="I86" i="23" s="1"/>
  <c r="G117" i="25"/>
  <c r="M184" i="27"/>
  <c r="D115" i="26"/>
  <c r="M183" i="28"/>
  <c r="AN427" i="1"/>
  <c r="H184" i="27"/>
  <c r="E183" i="27"/>
  <c r="I183" i="28"/>
  <c r="AN423" i="1"/>
  <c r="L159" i="27"/>
  <c r="H91" i="22"/>
  <c r="K91" i="22" s="1"/>
  <c r="AZ301" i="1"/>
  <c r="L184" i="27"/>
  <c r="K184" i="27"/>
  <c r="AH252" i="14"/>
  <c r="H159" i="26"/>
  <c r="K182" i="28"/>
  <c r="K160" i="28" s="1"/>
  <c r="G111" i="28"/>
  <c r="H111" i="28" s="1"/>
  <c r="I111" i="28" s="1"/>
  <c r="D111" i="28" s="1"/>
  <c r="H182" i="28"/>
  <c r="G108" i="28"/>
  <c r="H108" i="28" s="1"/>
  <c r="I108" i="28" s="1"/>
  <c r="D108" i="28" s="1"/>
  <c r="H183" i="28"/>
  <c r="AK431" i="1"/>
  <c r="I182" i="28"/>
  <c r="I160" i="28" s="1"/>
  <c r="G109" i="28"/>
  <c r="H109" i="28" s="1"/>
  <c r="I109" i="28" s="1"/>
  <c r="D109" i="28" s="1"/>
  <c r="J184" i="27"/>
  <c r="AN425" i="1"/>
  <c r="L107" i="25"/>
  <c r="E7" i="28"/>
  <c r="L77" i="28" s="1"/>
  <c r="M77" i="28" s="1"/>
  <c r="E39" i="27"/>
  <c r="L78" i="27" s="1"/>
  <c r="M78" i="27" s="1"/>
  <c r="AK273" i="1"/>
  <c r="E39" i="28" s="1"/>
  <c r="L78" i="28" s="1"/>
  <c r="M78" i="28" s="1"/>
  <c r="H160" i="27"/>
  <c r="E182" i="27"/>
  <c r="J159" i="27"/>
  <c r="L111" i="24"/>
  <c r="L110" i="24"/>
  <c r="H87" i="24" s="1"/>
  <c r="L109" i="24"/>
  <c r="H86" i="24" s="1"/>
  <c r="L108" i="24"/>
  <c r="H85" i="24" s="1"/>
  <c r="H88" i="24"/>
  <c r="N304" i="1" s="1"/>
  <c r="L111" i="23"/>
  <c r="L109" i="23"/>
  <c r="H86" i="23" s="1"/>
  <c r="H88" i="23"/>
  <c r="E304" i="1" s="1"/>
  <c r="L108" i="23"/>
  <c r="H85" i="23" s="1"/>
  <c r="L110" i="23"/>
  <c r="H87" i="23" s="1"/>
  <c r="M159" i="27"/>
  <c r="P306" i="1"/>
  <c r="J91" i="24" s="1"/>
  <c r="K306" i="1"/>
  <c r="J90" i="24" s="1"/>
  <c r="G112" i="28"/>
  <c r="H112" i="28" s="1"/>
  <c r="I112" i="28" s="1"/>
  <c r="D112" i="28" s="1"/>
  <c r="L182" i="28"/>
  <c r="L160" i="28" s="1"/>
  <c r="J183" i="28"/>
  <c r="AN424" i="1"/>
  <c r="K107" i="25"/>
  <c r="G110" i="28"/>
  <c r="H110" i="28" s="1"/>
  <c r="I110" i="28" s="1"/>
  <c r="D110" i="28" s="1"/>
  <c r="J182" i="28"/>
  <c r="J160" i="28" s="1"/>
  <c r="E184" i="26"/>
  <c r="K159" i="27"/>
  <c r="G114" i="27"/>
  <c r="H114" i="27" s="1"/>
  <c r="I114" i="27" s="1"/>
  <c r="D114" i="27" s="1"/>
  <c r="AK318" i="1"/>
  <c r="K108" i="24"/>
  <c r="I85" i="24" s="1"/>
  <c r="K109" i="24"/>
  <c r="I86" i="24" s="1"/>
  <c r="K110" i="24"/>
  <c r="I87" i="24" s="1"/>
  <c r="K111" i="24"/>
  <c r="I88" i="24"/>
  <c r="N305" i="1" s="1"/>
  <c r="M182" i="28"/>
  <c r="M160" i="28" s="1"/>
  <c r="G113" i="28"/>
  <c r="H113" i="28" s="1"/>
  <c r="I113" i="28" s="1"/>
  <c r="D113" i="28" s="1"/>
  <c r="I159" i="27"/>
  <c r="AU301" i="1"/>
  <c r="H90" i="22"/>
  <c r="K90" i="22" s="1"/>
  <c r="AK253" i="14" l="1"/>
  <c r="CC253" i="14" s="1"/>
  <c r="H154" i="26"/>
  <c r="G157" i="26"/>
  <c r="H152" i="26"/>
  <c r="H151" i="26"/>
  <c r="H156" i="26"/>
  <c r="H157" i="26"/>
  <c r="H158" i="26"/>
  <c r="G152" i="26"/>
  <c r="G153" i="26"/>
  <c r="G151" i="26"/>
  <c r="G156" i="26"/>
  <c r="H150" i="26"/>
  <c r="H155" i="26"/>
  <c r="G154" i="26"/>
  <c r="G159" i="27"/>
  <c r="E151" i="27"/>
  <c r="G156" i="27" s="1"/>
  <c r="J151" i="26"/>
  <c r="J152" i="26"/>
  <c r="J156" i="26"/>
  <c r="M152" i="26"/>
  <c r="I156" i="26"/>
  <c r="I157" i="26"/>
  <c r="J150" i="26"/>
  <c r="J155" i="26"/>
  <c r="M151" i="26"/>
  <c r="M155" i="26"/>
  <c r="L155" i="26"/>
  <c r="L154" i="26"/>
  <c r="K155" i="26"/>
  <c r="K152" i="26"/>
  <c r="I158" i="26"/>
  <c r="J157" i="26"/>
  <c r="M158" i="26"/>
  <c r="M150" i="26"/>
  <c r="L157" i="26"/>
  <c r="L152" i="26"/>
  <c r="K150" i="26"/>
  <c r="K158" i="26"/>
  <c r="I153" i="26"/>
  <c r="I154" i="26"/>
  <c r="I155" i="26"/>
  <c r="M156" i="26"/>
  <c r="K151" i="26"/>
  <c r="I150" i="26"/>
  <c r="J153" i="26"/>
  <c r="J154" i="26"/>
  <c r="J158" i="26"/>
  <c r="M154" i="26"/>
  <c r="M153" i="26"/>
  <c r="M157" i="26"/>
  <c r="L151" i="26"/>
  <c r="L158" i="26"/>
  <c r="K154" i="26"/>
  <c r="K156" i="26"/>
  <c r="K153" i="26"/>
  <c r="I151" i="26"/>
  <c r="L153" i="26"/>
  <c r="L150" i="26"/>
  <c r="L156" i="26"/>
  <c r="K157" i="26"/>
  <c r="I152" i="26"/>
  <c r="H153" i="26"/>
  <c r="G158" i="26"/>
  <c r="G150" i="26"/>
  <c r="E160" i="27"/>
  <c r="E188" i="27"/>
  <c r="D115" i="27"/>
  <c r="G114" i="28"/>
  <c r="H114" i="28" s="1"/>
  <c r="I114" i="28" s="1"/>
  <c r="D114" i="28" s="1"/>
  <c r="G116" i="28"/>
  <c r="H116" i="28" s="1"/>
  <c r="I116" i="28" s="1"/>
  <c r="G115" i="28"/>
  <c r="H115" i="28" s="1"/>
  <c r="I115" i="28" s="1"/>
  <c r="F41" i="15"/>
  <c r="F44" i="15"/>
  <c r="F46" i="15"/>
  <c r="F43" i="15"/>
  <c r="F45" i="15"/>
  <c r="F47" i="15"/>
  <c r="F49" i="15"/>
  <c r="F37" i="15"/>
  <c r="F39" i="15"/>
  <c r="F38" i="15"/>
  <c r="F40" i="15"/>
  <c r="G160" i="28"/>
  <c r="G184" i="28"/>
  <c r="J88" i="25"/>
  <c r="W306" i="1" s="1"/>
  <c r="Y306" i="1" s="1"/>
  <c r="J91" i="25" s="1"/>
  <c r="J112" i="24"/>
  <c r="J109" i="25"/>
  <c r="J86" i="25" s="1"/>
  <c r="K184" i="28"/>
  <c r="J111" i="25"/>
  <c r="J110" i="25"/>
  <c r="J87" i="25" s="1"/>
  <c r="J112" i="23"/>
  <c r="B306" i="1"/>
  <c r="J90" i="23" s="1"/>
  <c r="G306" i="1"/>
  <c r="J91" i="23" s="1"/>
  <c r="G305" i="1"/>
  <c r="I91" i="23" s="1"/>
  <c r="B305" i="1"/>
  <c r="I90" i="23" s="1"/>
  <c r="AK321" i="1"/>
  <c r="P305" i="1"/>
  <c r="I91" i="24" s="1"/>
  <c r="K305" i="1"/>
  <c r="I90" i="24" s="1"/>
  <c r="K159" i="28"/>
  <c r="D116" i="27"/>
  <c r="K111" i="25"/>
  <c r="K109" i="25"/>
  <c r="I86" i="25" s="1"/>
  <c r="K108" i="25"/>
  <c r="I85" i="25" s="1"/>
  <c r="K110" i="25"/>
  <c r="I87" i="25" s="1"/>
  <c r="I88" i="25"/>
  <c r="W305" i="1" s="1"/>
  <c r="L184" i="28"/>
  <c r="I184" i="28"/>
  <c r="M184" i="28"/>
  <c r="D116" i="26"/>
  <c r="G117" i="26" s="1"/>
  <c r="I159" i="28"/>
  <c r="H160" i="28"/>
  <c r="E182" i="28"/>
  <c r="L159" i="28"/>
  <c r="G304" i="1"/>
  <c r="B304" i="1"/>
  <c r="J159" i="28"/>
  <c r="M159" i="28"/>
  <c r="J184" i="28"/>
  <c r="K304" i="1"/>
  <c r="P304" i="1"/>
  <c r="H159" i="27"/>
  <c r="L108" i="25"/>
  <c r="H85" i="25" s="1"/>
  <c r="L109" i="25"/>
  <c r="H86" i="25" s="1"/>
  <c r="L111" i="25"/>
  <c r="L110" i="25"/>
  <c r="H87" i="25" s="1"/>
  <c r="H88" i="25"/>
  <c r="W304" i="1" s="1"/>
  <c r="H184" i="28"/>
  <c r="E183" i="28"/>
  <c r="AH253" i="14"/>
  <c r="E184" i="27"/>
  <c r="AK254" i="14" l="1"/>
  <c r="CC254" i="14" s="1"/>
  <c r="H154" i="27"/>
  <c r="H156" i="27"/>
  <c r="H158" i="27"/>
  <c r="H150" i="27"/>
  <c r="H157" i="27"/>
  <c r="H155" i="27"/>
  <c r="G153" i="27"/>
  <c r="H151" i="27"/>
  <c r="H153" i="27"/>
  <c r="H152" i="27"/>
  <c r="G150" i="27"/>
  <c r="E151" i="28"/>
  <c r="J151" i="28" s="1"/>
  <c r="G154" i="27"/>
  <c r="L152" i="27"/>
  <c r="L151" i="27"/>
  <c r="J151" i="27"/>
  <c r="J155" i="27"/>
  <c r="M157" i="27"/>
  <c r="M150" i="27"/>
  <c r="M156" i="27"/>
  <c r="M153" i="27"/>
  <c r="K152" i="27"/>
  <c r="K158" i="27"/>
  <c r="K150" i="27"/>
  <c r="I152" i="27"/>
  <c r="I157" i="27"/>
  <c r="L154" i="27"/>
  <c r="J156" i="27"/>
  <c r="M151" i="27"/>
  <c r="K151" i="27"/>
  <c r="K153" i="27"/>
  <c r="L157" i="27"/>
  <c r="L158" i="27"/>
  <c r="J158" i="27"/>
  <c r="J157" i="27"/>
  <c r="J150" i="27"/>
  <c r="L150" i="27"/>
  <c r="J154" i="27"/>
  <c r="M152" i="27"/>
  <c r="I151" i="27"/>
  <c r="I150" i="27"/>
  <c r="L156" i="27"/>
  <c r="L153" i="27"/>
  <c r="L155" i="27"/>
  <c r="J153" i="27"/>
  <c r="J152" i="27"/>
  <c r="M155" i="27"/>
  <c r="M158" i="27"/>
  <c r="K157" i="27"/>
  <c r="K155" i="27"/>
  <c r="I154" i="27"/>
  <c r="I153" i="27"/>
  <c r="K154" i="27"/>
  <c r="K156" i="27"/>
  <c r="I156" i="27"/>
  <c r="I158" i="27"/>
  <c r="I155" i="27"/>
  <c r="M154" i="27"/>
  <c r="G152" i="27"/>
  <c r="G158" i="27"/>
  <c r="G155" i="27"/>
  <c r="G157" i="27"/>
  <c r="G151" i="27"/>
  <c r="K107" i="27"/>
  <c r="K109" i="27" s="1"/>
  <c r="I86" i="27" s="1"/>
  <c r="D115" i="28"/>
  <c r="T306" i="1"/>
  <c r="J90" i="25" s="1"/>
  <c r="G159" i="28"/>
  <c r="J112" i="25"/>
  <c r="G117" i="27"/>
  <c r="J107" i="27"/>
  <c r="J88" i="27" s="1"/>
  <c r="AO306" i="1" s="1"/>
  <c r="J107" i="26"/>
  <c r="K107" i="26"/>
  <c r="L107" i="26"/>
  <c r="L108" i="26" s="1"/>
  <c r="H85" i="26" s="1"/>
  <c r="E184" i="28"/>
  <c r="H117" i="26"/>
  <c r="Y304" i="1"/>
  <c r="T304" i="1"/>
  <c r="H90" i="24"/>
  <c r="K90" i="24" s="1"/>
  <c r="K307" i="1"/>
  <c r="H90" i="23"/>
  <c r="K90" i="23" s="1"/>
  <c r="B307" i="1"/>
  <c r="T305" i="1"/>
  <c r="I90" i="25" s="1"/>
  <c r="Y305" i="1"/>
  <c r="I91" i="25" s="1"/>
  <c r="L107" i="27"/>
  <c r="H91" i="24"/>
  <c r="K91" i="24" s="1"/>
  <c r="P307" i="1"/>
  <c r="H91" i="23"/>
  <c r="K91" i="23" s="1"/>
  <c r="G307" i="1"/>
  <c r="H159" i="28"/>
  <c r="E188" i="28"/>
  <c r="E160" i="28"/>
  <c r="D116" i="28"/>
  <c r="H117" i="27"/>
  <c r="AK255" i="14" l="1"/>
  <c r="CC255" i="14" s="1"/>
  <c r="AH254" i="14"/>
  <c r="H158" i="28"/>
  <c r="I154" i="28"/>
  <c r="I152" i="28"/>
  <c r="G151" i="28"/>
  <c r="M153" i="28"/>
  <c r="J154" i="28"/>
  <c r="K108" i="27"/>
  <c r="I85" i="27" s="1"/>
  <c r="K110" i="27"/>
  <c r="I87" i="27" s="1"/>
  <c r="H154" i="28"/>
  <c r="G153" i="28"/>
  <c r="K153" i="28"/>
  <c r="L152" i="28"/>
  <c r="H153" i="28"/>
  <c r="H150" i="28"/>
  <c r="L156" i="28"/>
  <c r="I153" i="28"/>
  <c r="I157" i="28"/>
  <c r="H151" i="28"/>
  <c r="H152" i="28"/>
  <c r="G150" i="28"/>
  <c r="I158" i="28"/>
  <c r="J156" i="28"/>
  <c r="K157" i="28"/>
  <c r="J150" i="28"/>
  <c r="L151" i="28"/>
  <c r="G156" i="28"/>
  <c r="G158" i="28"/>
  <c r="M154" i="28"/>
  <c r="J155" i="28"/>
  <c r="H157" i="28"/>
  <c r="H155" i="28"/>
  <c r="H156" i="28"/>
  <c r="G152" i="28"/>
  <c r="G157" i="28"/>
  <c r="J152" i="28"/>
  <c r="L150" i="28"/>
  <c r="M155" i="28"/>
  <c r="I155" i="28"/>
  <c r="M152" i="28"/>
  <c r="G155" i="28"/>
  <c r="G154" i="28"/>
  <c r="K154" i="28"/>
  <c r="L157" i="28"/>
  <c r="M150" i="28"/>
  <c r="K150" i="28"/>
  <c r="L155" i="28"/>
  <c r="M151" i="28"/>
  <c r="K155" i="28"/>
  <c r="I150" i="28"/>
  <c r="J157" i="28"/>
  <c r="M157" i="28"/>
  <c r="K158" i="28"/>
  <c r="L158" i="28"/>
  <c r="K152" i="28"/>
  <c r="I156" i="28"/>
  <c r="L153" i="28"/>
  <c r="M158" i="28"/>
  <c r="L154" i="28"/>
  <c r="J158" i="28"/>
  <c r="M156" i="28"/>
  <c r="K156" i="28"/>
  <c r="K151" i="28"/>
  <c r="J153" i="28"/>
  <c r="I151" i="28"/>
  <c r="I88" i="27"/>
  <c r="AO305" i="1" s="1"/>
  <c r="AQ305" i="1" s="1"/>
  <c r="I91" i="27" s="1"/>
  <c r="K111" i="27"/>
  <c r="G117" i="28"/>
  <c r="H88" i="26"/>
  <c r="AF304" i="1" s="1"/>
  <c r="AH304" i="1" s="1"/>
  <c r="J108" i="27"/>
  <c r="J85" i="27" s="1"/>
  <c r="L109" i="26"/>
  <c r="H86" i="26" s="1"/>
  <c r="L111" i="26"/>
  <c r="J110" i="27"/>
  <c r="J87" i="27" s="1"/>
  <c r="L110" i="26"/>
  <c r="H87" i="26" s="1"/>
  <c r="K107" i="28"/>
  <c r="K111" i="28" s="1"/>
  <c r="J111" i="27"/>
  <c r="J109" i="27"/>
  <c r="J86" i="27" s="1"/>
  <c r="J107" i="28"/>
  <c r="J88" i="28" s="1"/>
  <c r="AX306" i="1" s="1"/>
  <c r="K108" i="26"/>
  <c r="I85" i="26" s="1"/>
  <c r="K111" i="26"/>
  <c r="I88" i="26"/>
  <c r="AF305" i="1" s="1"/>
  <c r="K109" i="26"/>
  <c r="I86" i="26" s="1"/>
  <c r="K110" i="26"/>
  <c r="I87" i="26" s="1"/>
  <c r="J111" i="26"/>
  <c r="J109" i="26"/>
  <c r="J86" i="26" s="1"/>
  <c r="J110" i="26"/>
  <c r="J87" i="26" s="1"/>
  <c r="J108" i="26"/>
  <c r="J85" i="26" s="1"/>
  <c r="J88" i="26"/>
  <c r="AF306" i="1" s="1"/>
  <c r="L111" i="27"/>
  <c r="L108" i="27"/>
  <c r="H85" i="27" s="1"/>
  <c r="H88" i="27"/>
  <c r="AO304" i="1" s="1"/>
  <c r="L110" i="27"/>
  <c r="H87" i="27" s="1"/>
  <c r="L109" i="27"/>
  <c r="H86" i="27" s="1"/>
  <c r="H90" i="25"/>
  <c r="K90" i="25" s="1"/>
  <c r="T307" i="1"/>
  <c r="AL306" i="1"/>
  <c r="J90" i="27" s="1"/>
  <c r="AQ306" i="1"/>
  <c r="J91" i="27" s="1"/>
  <c r="H117" i="28"/>
  <c r="H91" i="25"/>
  <c r="K91" i="25" s="1"/>
  <c r="Y307" i="1"/>
  <c r="L107" i="28"/>
  <c r="AK256" i="14" l="1"/>
  <c r="CC256" i="14" s="1"/>
  <c r="AH255" i="14"/>
  <c r="AL305" i="1"/>
  <c r="I90" i="27" s="1"/>
  <c r="AC304" i="1"/>
  <c r="H90" i="26" s="1"/>
  <c r="J112" i="27"/>
  <c r="J112" i="26"/>
  <c r="K108" i="28"/>
  <c r="I85" i="28" s="1"/>
  <c r="I88" i="28"/>
  <c r="AX305" i="1" s="1"/>
  <c r="AZ305" i="1" s="1"/>
  <c r="I91" i="28" s="1"/>
  <c r="K109" i="28"/>
  <c r="I86" i="28" s="1"/>
  <c r="J111" i="28"/>
  <c r="K110" i="28"/>
  <c r="I87" i="28" s="1"/>
  <c r="J108" i="28"/>
  <c r="J85" i="28" s="1"/>
  <c r="J109" i="28"/>
  <c r="J86" i="28" s="1"/>
  <c r="J110" i="28"/>
  <c r="J87" i="28" s="1"/>
  <c r="AC306" i="1"/>
  <c r="J90" i="26" s="1"/>
  <c r="AH306" i="1"/>
  <c r="J91" i="26" s="1"/>
  <c r="AH305" i="1"/>
  <c r="I91" i="26" s="1"/>
  <c r="AC305" i="1"/>
  <c r="I90" i="26" s="1"/>
  <c r="L110" i="28"/>
  <c r="H87" i="28" s="1"/>
  <c r="L109" i="28"/>
  <c r="H86" i="28" s="1"/>
  <c r="L108" i="28"/>
  <c r="H85" i="28" s="1"/>
  <c r="H88" i="28"/>
  <c r="AX304" i="1" s="1"/>
  <c r="L111" i="28"/>
  <c r="H91" i="26"/>
  <c r="AQ304" i="1"/>
  <c r="AL304" i="1"/>
  <c r="AU306" i="1"/>
  <c r="J90" i="28" s="1"/>
  <c r="AZ306" i="1"/>
  <c r="J91" i="28" s="1"/>
  <c r="AK257" i="14" l="1"/>
  <c r="CC257" i="14" s="1"/>
  <c r="AH256" i="14"/>
  <c r="AU305" i="1"/>
  <c r="I90" i="28" s="1"/>
  <c r="J112" i="28"/>
  <c r="AH307" i="1"/>
  <c r="K91" i="26"/>
  <c r="AC307" i="1"/>
  <c r="K90" i="26"/>
  <c r="AL307" i="1"/>
  <c r="H90" i="27"/>
  <c r="K90" i="27" s="1"/>
  <c r="AQ307" i="1"/>
  <c r="H91" i="27"/>
  <c r="K91" i="27" s="1"/>
  <c r="AU304" i="1"/>
  <c r="AZ304" i="1"/>
  <c r="AH257" i="14" l="1"/>
  <c r="AK258" i="14"/>
  <c r="CC258" i="14" s="1"/>
  <c r="H90" i="28"/>
  <c r="K90" i="28" s="1"/>
  <c r="AU307" i="1"/>
  <c r="H91" i="28"/>
  <c r="K91" i="28" s="1"/>
  <c r="AZ307" i="1"/>
  <c r="AK259" i="14" l="1"/>
  <c r="CC259" i="14" s="1"/>
  <c r="AH258" i="14"/>
  <c r="AK260" i="14" l="1"/>
  <c r="CC260" i="14" s="1"/>
  <c r="AH259" i="14"/>
  <c r="AK261" i="14" l="1"/>
  <c r="CC261" i="14" s="1"/>
  <c r="AH260" i="14"/>
  <c r="AK262" i="14" l="1"/>
  <c r="CC262" i="14" s="1"/>
  <c r="AH261" i="14"/>
  <c r="AK263" i="14" l="1"/>
  <c r="CC263" i="14" s="1"/>
  <c r="AH262" i="14"/>
  <c r="AK264" i="14" l="1"/>
  <c r="CC264" i="14" s="1"/>
  <c r="AH263" i="14"/>
  <c r="AK265" i="14" l="1"/>
  <c r="CC265" i="14" s="1"/>
  <c r="AH264" i="14"/>
  <c r="AK266" i="14" l="1"/>
  <c r="CC266" i="14" s="1"/>
  <c r="AH265" i="14"/>
  <c r="AK267" i="14" l="1"/>
  <c r="CC267" i="14" s="1"/>
  <c r="AH266" i="14"/>
  <c r="AK268" i="14" l="1"/>
  <c r="CC268" i="14" s="1"/>
  <c r="AH267" i="14"/>
  <c r="AK269" i="14" l="1"/>
  <c r="CC269" i="14" s="1"/>
  <c r="AH268" i="14"/>
  <c r="AK270" i="14" l="1"/>
  <c r="CC270" i="14" s="1"/>
  <c r="AH269" i="14"/>
  <c r="AK271" i="14" l="1"/>
  <c r="CC271" i="14" s="1"/>
  <c r="AH270" i="14"/>
  <c r="AK272" i="14" l="1"/>
  <c r="CC272" i="14" s="1"/>
  <c r="AK273" i="14" l="1"/>
  <c r="CC273" i="14" s="1"/>
  <c r="AK274" i="14" l="1"/>
  <c r="CC274" i="14" s="1"/>
  <c r="AK275" i="14" l="1"/>
  <c r="CC275" i="14" s="1"/>
  <c r="AK276" i="14" l="1"/>
  <c r="CC276" i="14" s="1"/>
  <c r="AK277" i="14" l="1"/>
  <c r="CC277" i="14" s="1"/>
  <c r="AK278" i="14" l="1"/>
  <c r="CC278" i="14" s="1"/>
  <c r="AK279" i="14" l="1"/>
  <c r="CC279" i="14" s="1"/>
  <c r="AK280" i="14" l="1"/>
  <c r="CC280" i="14" s="1"/>
  <c r="AK281" i="14" l="1"/>
  <c r="CC281" i="14" s="1"/>
  <c r="AK282" i="14" l="1"/>
  <c r="CC282" i="14" s="1"/>
  <c r="AK283" i="14" l="1"/>
  <c r="CC283" i="14" s="1"/>
  <c r="AK284" i="14" l="1"/>
  <c r="CC284" i="14" s="1"/>
  <c r="AK285" i="14" l="1"/>
  <c r="CC285" i="14" s="1"/>
  <c r="AK286" i="14" l="1"/>
  <c r="CC286" i="14" s="1"/>
  <c r="AK287" i="14" l="1"/>
  <c r="CC287" i="14" s="1"/>
  <c r="AK288" i="14"/>
  <c r="CC288" i="14" s="1"/>
  <c r="AK289" i="14" l="1"/>
  <c r="CC289" i="14" l="1"/>
  <c r="CF289" i="14"/>
  <c r="AK290" i="14"/>
  <c r="CC290" i="14" l="1"/>
  <c r="CF290" i="14"/>
  <c r="AK291" i="14"/>
  <c r="CC291" i="14" l="1"/>
  <c r="CF291" i="14"/>
  <c r="AK292" i="14"/>
  <c r="CC292" i="14" l="1"/>
  <c r="CF292" i="14"/>
  <c r="AK293" i="14"/>
  <c r="CC293" i="14" l="1"/>
  <c r="CF293" i="14"/>
  <c r="AK294" i="14"/>
  <c r="CC294" i="14" l="1"/>
  <c r="CF294" i="14"/>
  <c r="AK295" i="14"/>
  <c r="CC295" i="14" l="1"/>
  <c r="CF295" i="14"/>
  <c r="AK296" i="14"/>
  <c r="CC296" i="14" l="1"/>
  <c r="CF296" i="14"/>
  <c r="AK297" i="14"/>
  <c r="CC297" i="14" l="1"/>
  <c r="CF297" i="14"/>
  <c r="AK298" i="14"/>
  <c r="CC298" i="14" l="1"/>
  <c r="CF298" i="14"/>
  <c r="AK299" i="14"/>
  <c r="CC299" i="14" l="1"/>
  <c r="CF299" i="14"/>
  <c r="AK300" i="14"/>
  <c r="CC300" i="14" l="1"/>
  <c r="CF300" i="14"/>
  <c r="AK301" i="14"/>
  <c r="CC301" i="14" l="1"/>
  <c r="CF301" i="14"/>
  <c r="AK302" i="14"/>
  <c r="CC302" i="14" l="1"/>
  <c r="CF302" i="14"/>
  <c r="AK303" i="14"/>
  <c r="CC303" i="14" l="1"/>
  <c r="CF303" i="14"/>
  <c r="CD552" i="14" s="1"/>
  <c r="AK304" i="14"/>
  <c r="CC304" i="14" s="1"/>
  <c r="CE553" i="14" l="1"/>
  <c r="CD553" i="14" s="1"/>
  <c r="CD555" i="14" s="1"/>
  <c r="AK305" i="14"/>
  <c r="CC305" i="14" s="1"/>
  <c r="CD554" i="14" l="1"/>
  <c r="AK306" i="14"/>
  <c r="CC306" i="14" s="1"/>
  <c r="AK307" i="14" l="1"/>
  <c r="CC307" i="14" s="1"/>
  <c r="AK308" i="14" l="1"/>
  <c r="CC308" i="14" s="1"/>
  <c r="AK309" i="14" l="1"/>
  <c r="CC309" i="14" s="1"/>
  <c r="AK310" i="14" l="1"/>
  <c r="CC310" i="14" s="1"/>
  <c r="AK311" i="14" l="1"/>
  <c r="CC311" i="14" s="1"/>
  <c r="AK312" i="14" l="1"/>
  <c r="CC312" i="14" s="1"/>
  <c r="AK313" i="14" l="1"/>
  <c r="CC313" i="14" s="1"/>
  <c r="AK314" i="14" l="1"/>
  <c r="CC314" i="14" s="1"/>
  <c r="AK315" i="14" l="1"/>
  <c r="CC315" i="14" s="1"/>
  <c r="AK316" i="14" l="1"/>
  <c r="CC316" i="14" s="1"/>
  <c r="AK317" i="14" l="1"/>
  <c r="CC317" i="14" s="1"/>
  <c r="AK318" i="14" l="1"/>
  <c r="CC318" i="14" s="1"/>
  <c r="AK319" i="14" l="1"/>
  <c r="CC319" i="14" s="1"/>
  <c r="AK320" i="14" l="1"/>
  <c r="CC320" i="14" s="1"/>
  <c r="AK321" i="14" l="1"/>
  <c r="CC321" i="14" s="1"/>
  <c r="AK322" i="14" l="1"/>
  <c r="CC322" i="14" s="1"/>
  <c r="AK323" i="14" l="1"/>
  <c r="CC323" i="14" s="1"/>
  <c r="AK324" i="14" l="1"/>
  <c r="CC324" i="14" s="1"/>
  <c r="AK325" i="14" l="1"/>
  <c r="CC325" i="14" s="1"/>
  <c r="AK326" i="14" l="1"/>
  <c r="CC326" i="14" s="1"/>
  <c r="AK327" i="14" l="1"/>
  <c r="CC327" i="14" s="1"/>
  <c r="AK328" i="14" l="1"/>
  <c r="CC328" i="14" s="1"/>
  <c r="AK329" i="14" l="1"/>
  <c r="CC329" i="14" s="1"/>
  <c r="AK330" i="14" l="1"/>
  <c r="CC330" i="14" s="1"/>
  <c r="AK331" i="14" l="1"/>
  <c r="CC331" i="14" s="1"/>
  <c r="AK332" i="14" l="1"/>
  <c r="CC332" i="14" s="1"/>
  <c r="AK333" i="14" l="1"/>
  <c r="CC333" i="14" s="1"/>
  <c r="AK334" i="14" l="1"/>
  <c r="CC334" i="14" s="1"/>
  <c r="AK335" i="14" l="1"/>
  <c r="CC335" i="14" s="1"/>
  <c r="AK336" i="14" l="1"/>
  <c r="CC336" i="14" s="1"/>
  <c r="AK337" i="14" l="1"/>
  <c r="CC337" i="14" s="1"/>
  <c r="AK338" i="14" l="1"/>
  <c r="CC338" i="14" s="1"/>
  <c r="AK339" i="14" l="1"/>
  <c r="CC339" i="14" s="1"/>
  <c r="AK340" i="14" l="1"/>
  <c r="CC340" i="14" s="1"/>
  <c r="AK341" i="14" l="1"/>
  <c r="CC341" i="14" s="1"/>
  <c r="AK342" i="14" l="1"/>
  <c r="CC342" i="14" s="1"/>
  <c r="AK343" i="14" l="1"/>
  <c r="CC343" i="14" s="1"/>
  <c r="AK344" i="14" l="1"/>
  <c r="CC344" i="14" s="1"/>
  <c r="AK345" i="14" l="1"/>
  <c r="CC345" i="14" s="1"/>
  <c r="AK346" i="14" l="1"/>
  <c r="CC346" i="14" s="1"/>
  <c r="AK347" i="14" l="1"/>
  <c r="CC347" i="14" s="1"/>
  <c r="AK348" i="14" l="1"/>
  <c r="CC348" i="14" s="1"/>
  <c r="AK349" i="14" l="1"/>
  <c r="CC349" i="14" s="1"/>
  <c r="AK350" i="14" l="1"/>
  <c r="CC350" i="14" s="1"/>
  <c r="AK351" i="14" l="1"/>
  <c r="CC351" i="14" s="1"/>
  <c r="AK352" i="14" l="1"/>
  <c r="CC352" i="14" s="1"/>
  <c r="AK353" i="14" l="1"/>
  <c r="CC353" i="14" s="1"/>
  <c r="AK354" i="14" l="1"/>
  <c r="CC354" i="14" s="1"/>
  <c r="AK355" i="14" l="1"/>
  <c r="CC355" i="14" s="1"/>
  <c r="AK356" i="14" l="1"/>
  <c r="CC356" i="14" s="1"/>
  <c r="AK357" i="14" l="1"/>
  <c r="CC357" i="14" s="1"/>
  <c r="AK358" i="14" l="1"/>
  <c r="CC358" i="14" s="1"/>
  <c r="AK359" i="14" l="1"/>
  <c r="CC359" i="14" s="1"/>
  <c r="AK360" i="14" l="1"/>
  <c r="CC360" i="14" s="1"/>
  <c r="AK361" i="14" l="1"/>
  <c r="CC361" i="14" s="1"/>
  <c r="AK362" i="14" l="1"/>
  <c r="CC362" i="14" s="1"/>
  <c r="AH362" i="14" l="1"/>
  <c r="AK363" i="14"/>
  <c r="CC363" i="14" s="1"/>
  <c r="AH363" i="14" l="1"/>
  <c r="AK364" i="14"/>
  <c r="CC364" i="14" s="1"/>
  <c r="AH364" i="14" l="1"/>
  <c r="AK365" i="14"/>
  <c r="CC365" i="14" s="1"/>
  <c r="AH365" i="14" l="1"/>
  <c r="AK366" i="14"/>
  <c r="CC366" i="14" s="1"/>
  <c r="AH366" i="14" l="1"/>
  <c r="AK367" i="14"/>
  <c r="CC367" i="14" s="1"/>
  <c r="AH367" i="14" l="1"/>
  <c r="AK368" i="14"/>
  <c r="CC368" i="14" s="1"/>
  <c r="AH368" i="14" l="1"/>
  <c r="AK369" i="14"/>
  <c r="CC369" i="14" s="1"/>
  <c r="AH369" i="14" l="1"/>
  <c r="AK370" i="14"/>
  <c r="CC370" i="14" s="1"/>
  <c r="AH370" i="14" l="1"/>
  <c r="AK371" i="14"/>
  <c r="CC371" i="14" s="1"/>
  <c r="AH371" i="14" l="1"/>
  <c r="AK372" i="14"/>
  <c r="CC372" i="14" s="1"/>
  <c r="AH372" i="14" l="1"/>
  <c r="AK373" i="14"/>
  <c r="CC373" i="14" s="1"/>
  <c r="AH373" i="14" l="1"/>
  <c r="AK374" i="14"/>
  <c r="CC374" i="14" s="1"/>
  <c r="AH374" i="14" l="1"/>
  <c r="AK375" i="14"/>
  <c r="CC375" i="14" s="1"/>
  <c r="AH375" i="14" l="1"/>
  <c r="AK376" i="14"/>
  <c r="CC376" i="14" s="1"/>
  <c r="AH376" i="14" l="1"/>
  <c r="AK377" i="14"/>
  <c r="CC377" i="14" s="1"/>
  <c r="AH377" i="14" l="1"/>
  <c r="AK378" i="14"/>
  <c r="CC378" i="14" s="1"/>
  <c r="AH378" i="14" l="1"/>
  <c r="AK379" i="14"/>
  <c r="CC379" i="14" s="1"/>
  <c r="AH379" i="14" l="1"/>
  <c r="AK380" i="14"/>
  <c r="CC380" i="14" s="1"/>
  <c r="AH380" i="14" l="1"/>
  <c r="AK381" i="14"/>
  <c r="CC381" i="14" s="1"/>
  <c r="AH381" i="14" l="1"/>
  <c r="AK382" i="14"/>
  <c r="CC382" i="14" s="1"/>
  <c r="AH382" i="14" l="1"/>
  <c r="AK383" i="14"/>
  <c r="CC383" i="14" s="1"/>
  <c r="AH383" i="14" l="1"/>
  <c r="AK384" i="14"/>
  <c r="CC384" i="14" s="1"/>
  <c r="AH384" i="14" l="1"/>
  <c r="AK385" i="14"/>
  <c r="CC385" i="14" s="1"/>
  <c r="AH385" i="14" l="1"/>
  <c r="AK386" i="14"/>
  <c r="CC386" i="14" s="1"/>
  <c r="AH386" i="14" l="1"/>
  <c r="AK387" i="14"/>
  <c r="CC387" i="14" s="1"/>
  <c r="AH387" i="14" l="1"/>
  <c r="AK388" i="14"/>
  <c r="CC388" i="14" s="1"/>
  <c r="AH388" i="14" l="1"/>
  <c r="AK389" i="14"/>
  <c r="CC389" i="14" s="1"/>
  <c r="AH389" i="14" l="1"/>
  <c r="AK390" i="14"/>
  <c r="CC390" i="14" s="1"/>
  <c r="AH390" i="14" l="1"/>
  <c r="AK391" i="14"/>
  <c r="CC391" i="14" s="1"/>
  <c r="AH391" i="14" l="1"/>
  <c r="AK392" i="14"/>
  <c r="CC392" i="14" s="1"/>
  <c r="AH392" i="14" l="1"/>
  <c r="AK393" i="14"/>
  <c r="CC393" i="14" s="1"/>
  <c r="AH393" i="14" l="1"/>
  <c r="AK394" i="14"/>
  <c r="CC394" i="14" s="1"/>
  <c r="AH394" i="14" l="1"/>
  <c r="AK395" i="14"/>
  <c r="CC395" i="14" s="1"/>
  <c r="AH395" i="14" l="1"/>
  <c r="AK396" i="14"/>
  <c r="CC396" i="14" s="1"/>
  <c r="AH396" i="14" l="1"/>
  <c r="AK397" i="14"/>
  <c r="CC397" i="14" s="1"/>
  <c r="AH397" i="14" l="1"/>
  <c r="AK398" i="14"/>
  <c r="CC398" i="14" s="1"/>
  <c r="AH398" i="14" l="1"/>
  <c r="AK399" i="14"/>
  <c r="CC399" i="14" s="1"/>
  <c r="AH399" i="14" l="1"/>
  <c r="AK400" i="14"/>
  <c r="CC400" i="14" s="1"/>
  <c r="AH400" i="14" l="1"/>
  <c r="AK401" i="14"/>
  <c r="CC401" i="14" s="1"/>
  <c r="AH401" i="14" l="1"/>
  <c r="AK402" i="14"/>
  <c r="CC402" i="14" s="1"/>
  <c r="AH402" i="14" l="1"/>
  <c r="AK403" i="14"/>
  <c r="CC403" i="14" s="1"/>
  <c r="AH403" i="14" l="1"/>
  <c r="AK404" i="14"/>
  <c r="CC404" i="14" s="1"/>
  <c r="AH404" i="14" l="1"/>
  <c r="AK405" i="14"/>
  <c r="CC405" i="14" s="1"/>
  <c r="AH405" i="14" l="1"/>
  <c r="AK406" i="14"/>
  <c r="CC406" i="14" s="1"/>
  <c r="AH406" i="14" l="1"/>
  <c r="AK407" i="14"/>
  <c r="CC407" i="14" s="1"/>
  <c r="AH407" i="14" l="1"/>
  <c r="AK408" i="14"/>
  <c r="CC408" i="14" s="1"/>
  <c r="AH408" i="14" l="1"/>
  <c r="AK409" i="14"/>
  <c r="CC409" i="14" s="1"/>
  <c r="AH409" i="14" l="1"/>
  <c r="AK410" i="14"/>
  <c r="CC410" i="14" s="1"/>
  <c r="AH410" i="14" l="1"/>
  <c r="AK411" i="14"/>
  <c r="CC411" i="14" s="1"/>
  <c r="AH411" i="14" l="1"/>
  <c r="AK412" i="14"/>
  <c r="CC412" i="14" s="1"/>
  <c r="AH412" i="14" l="1"/>
  <c r="AK413" i="14"/>
  <c r="CC413" i="14" s="1"/>
  <c r="AH413" i="14" l="1"/>
  <c r="AK414" i="14"/>
  <c r="CC414" i="14" s="1"/>
  <c r="AH414" i="14" l="1"/>
  <c r="AK415" i="14"/>
  <c r="CC415" i="14" s="1"/>
  <c r="AH415" i="14" l="1"/>
  <c r="AK416" i="14"/>
  <c r="CC416" i="14" s="1"/>
  <c r="AH416" i="14" l="1"/>
  <c r="AK417" i="14"/>
  <c r="CC417" i="14" s="1"/>
  <c r="AH417" i="14" l="1"/>
  <c r="AK418" i="14"/>
  <c r="CC418" i="14" s="1"/>
  <c r="AH418" i="14" l="1"/>
  <c r="AK419" i="14"/>
  <c r="CC419" i="14" s="1"/>
  <c r="AH419" i="14" l="1"/>
  <c r="AK420" i="14"/>
  <c r="CC420" i="14" s="1"/>
  <c r="AH420" i="14" l="1"/>
  <c r="AK421" i="14"/>
  <c r="CC421" i="14" s="1"/>
  <c r="AH421" i="14" l="1"/>
  <c r="AK422" i="14"/>
  <c r="CC422" i="14" s="1"/>
  <c r="AH422" i="14" l="1"/>
  <c r="AK423" i="14"/>
  <c r="CC423" i="14" s="1"/>
  <c r="AH423" i="14" l="1"/>
  <c r="AK424" i="14"/>
  <c r="CC424" i="14" s="1"/>
  <c r="AH424" i="14" l="1"/>
  <c r="AK425" i="14"/>
  <c r="CC425" i="14" s="1"/>
  <c r="AH425" i="14" l="1"/>
  <c r="AK426" i="14"/>
  <c r="CC426" i="14" s="1"/>
  <c r="AH426" i="14" l="1"/>
  <c r="AK427" i="14"/>
  <c r="CC427" i="14" s="1"/>
  <c r="AH427" i="14" l="1"/>
  <c r="AK428" i="14"/>
  <c r="CC428" i="14" s="1"/>
  <c r="AH428" i="14" l="1"/>
  <c r="AK429" i="14"/>
  <c r="CC429" i="14" s="1"/>
  <c r="AH429" i="14" l="1"/>
  <c r="AK430" i="14"/>
  <c r="CC430" i="14" s="1"/>
  <c r="AH430" i="14" l="1"/>
  <c r="AK431" i="14"/>
  <c r="CC431" i="14" s="1"/>
  <c r="AH431" i="14" l="1"/>
  <c r="AK432" i="14"/>
  <c r="CC432" i="14" s="1"/>
  <c r="AH432" i="14" l="1"/>
  <c r="AK433" i="14"/>
  <c r="CC433" i="14" s="1"/>
  <c r="AH433" i="14" l="1"/>
  <c r="AK434" i="14"/>
  <c r="CC434" i="14" s="1"/>
  <c r="AH434" i="14" l="1"/>
  <c r="AK435" i="14"/>
  <c r="CC435" i="14" s="1"/>
  <c r="AH435" i="14" l="1"/>
  <c r="AK436" i="14"/>
  <c r="CC436" i="14" s="1"/>
  <c r="AH436" i="14" l="1"/>
  <c r="AK437" i="14"/>
  <c r="CC437" i="14" s="1"/>
  <c r="AH437" i="14" l="1"/>
  <c r="AK438" i="14"/>
  <c r="CC438" i="14" s="1"/>
  <c r="AH438" i="14" l="1"/>
  <c r="AK439" i="14"/>
  <c r="CC439" i="14" s="1"/>
  <c r="AH439" i="14" l="1"/>
  <c r="AK440" i="14"/>
  <c r="CC440" i="14" s="1"/>
  <c r="AH440" i="14" l="1"/>
  <c r="AK441" i="14"/>
  <c r="CC441" i="14" s="1"/>
  <c r="AH441" i="14" l="1"/>
  <c r="AK442" i="14"/>
  <c r="CC442" i="14" s="1"/>
  <c r="AH442" i="14" l="1"/>
  <c r="AK443" i="14"/>
  <c r="CC443" i="14" s="1"/>
  <c r="AH443" i="14" l="1"/>
  <c r="AK444" i="14"/>
  <c r="CC444" i="14" s="1"/>
  <c r="AH444" i="14" l="1"/>
  <c r="AK445" i="14"/>
  <c r="CC445" i="14" s="1"/>
  <c r="AH445" i="14" l="1"/>
  <c r="AK446" i="14"/>
  <c r="CC446" i="14" s="1"/>
  <c r="AH446" i="14" l="1"/>
  <c r="AK447" i="14"/>
  <c r="CC447" i="14" s="1"/>
  <c r="AH447" i="14" l="1"/>
  <c r="AK448" i="14"/>
  <c r="CC448" i="14" s="1"/>
  <c r="AH448" i="14" l="1"/>
  <c r="AK449" i="14"/>
  <c r="CC449" i="14" s="1"/>
  <c r="AH449" i="14" l="1"/>
  <c r="AK450" i="14"/>
  <c r="CC450" i="14" s="1"/>
  <c r="AH450" i="14" l="1"/>
  <c r="AK451" i="14"/>
  <c r="CC451" i="14" s="1"/>
  <c r="AH451" i="14" l="1"/>
  <c r="AK452" i="14"/>
  <c r="CC452" i="14" s="1"/>
  <c r="AH452" i="14" l="1"/>
  <c r="AK453" i="14"/>
  <c r="CC453" i="14" s="1"/>
  <c r="AH453" i="14" l="1"/>
  <c r="AK454" i="14"/>
  <c r="CC454" i="14" s="1"/>
  <c r="AH454" i="14" l="1"/>
  <c r="AK455" i="14"/>
  <c r="CC455" i="14" s="1"/>
  <c r="AH455" i="14" l="1"/>
  <c r="AK456" i="14"/>
  <c r="CC456" i="14" s="1"/>
  <c r="AH456" i="14" l="1"/>
  <c r="AK457" i="14"/>
  <c r="CC457" i="14" s="1"/>
  <c r="AH457" i="14" l="1"/>
  <c r="AK458" i="14"/>
  <c r="CC458" i="14" s="1"/>
  <c r="AH458" i="14" l="1"/>
  <c r="AK459" i="14"/>
  <c r="CC459" i="14" s="1"/>
  <c r="AH459" i="14" l="1"/>
  <c r="AK460" i="14"/>
  <c r="CC460" i="14" s="1"/>
  <c r="AH460" i="14" l="1"/>
  <c r="AK461" i="14"/>
  <c r="CC461" i="14" s="1"/>
  <c r="AH461" i="14" l="1"/>
  <c r="AK462" i="14"/>
  <c r="CC462" i="14" s="1"/>
  <c r="AH462" i="14" l="1"/>
  <c r="AK463" i="14"/>
  <c r="CC463" i="14" s="1"/>
  <c r="AH463" i="14" l="1"/>
  <c r="AK464" i="14"/>
  <c r="CC464" i="14" s="1"/>
  <c r="AH464" i="14" l="1"/>
  <c r="AK465" i="14"/>
  <c r="CC465" i="14" s="1"/>
  <c r="AH465" i="14" l="1"/>
  <c r="AK466" i="14"/>
  <c r="CC466" i="14" s="1"/>
  <c r="AH466" i="14" l="1"/>
  <c r="AK467" i="14"/>
  <c r="CC467" i="14" s="1"/>
  <c r="AH467" i="14" l="1"/>
  <c r="AK468" i="14"/>
  <c r="CC468" i="14" s="1"/>
  <c r="AH468" i="14" l="1"/>
  <c r="AK469" i="14"/>
  <c r="CC469" i="14" s="1"/>
  <c r="AH469" i="14" l="1"/>
  <c r="AK470" i="14"/>
  <c r="CC470" i="14" s="1"/>
  <c r="AH470" i="14" l="1"/>
  <c r="AK471" i="14"/>
  <c r="CC471" i="14" s="1"/>
  <c r="AH471" i="14" l="1"/>
  <c r="AK472" i="14"/>
  <c r="CC472" i="14" s="1"/>
  <c r="AH472" i="14" l="1"/>
  <c r="AK473" i="14"/>
  <c r="CC473" i="14" s="1"/>
  <c r="AH473" i="14" l="1"/>
  <c r="AK474" i="14"/>
  <c r="CC474" i="14" s="1"/>
  <c r="AH474" i="14" l="1"/>
  <c r="AK475" i="14"/>
  <c r="CC475" i="14" s="1"/>
  <c r="AH475" i="14" l="1"/>
  <c r="AK476" i="14"/>
  <c r="CC476" i="14" s="1"/>
  <c r="AH476" i="14" l="1"/>
  <c r="AK477" i="14"/>
  <c r="CC477" i="14" s="1"/>
  <c r="AH477" i="14" l="1"/>
  <c r="AK478" i="14"/>
  <c r="CC478" i="14" s="1"/>
  <c r="AH478" i="14" l="1"/>
  <c r="AK479" i="14"/>
  <c r="CC479" i="14" s="1"/>
  <c r="AK480" i="14" l="1"/>
  <c r="CC480" i="14" s="1"/>
  <c r="AH479" i="14"/>
  <c r="AH480" i="14" l="1"/>
  <c r="AK481" i="14"/>
  <c r="CC481" i="14" s="1"/>
  <c r="AH481" i="14" l="1"/>
  <c r="AK482" i="14"/>
  <c r="CC482" i="14" s="1"/>
  <c r="AH482" i="14" l="1"/>
  <c r="AK483" i="14"/>
  <c r="CC483" i="14" s="1"/>
  <c r="AH483" i="14" l="1"/>
  <c r="AK484" i="14"/>
  <c r="CC484" i="14" s="1"/>
  <c r="AH484" i="14" l="1"/>
  <c r="AK485" i="14"/>
  <c r="CC485" i="14" s="1"/>
  <c r="AH485" i="14" l="1"/>
  <c r="AK486" i="14"/>
  <c r="CC486" i="14" s="1"/>
  <c r="AH486" i="14" l="1"/>
  <c r="AK487" i="14"/>
  <c r="CC487" i="14" s="1"/>
  <c r="AH487" i="14" l="1"/>
  <c r="AK488" i="14"/>
  <c r="CC488" i="14" s="1"/>
  <c r="AH488" i="14" l="1"/>
  <c r="AK489" i="14"/>
  <c r="CC489" i="14" s="1"/>
  <c r="AH489" i="14" l="1"/>
  <c r="AK490" i="14"/>
  <c r="CC490" i="14" s="1"/>
  <c r="B339" i="1"/>
  <c r="B353" i="1"/>
  <c r="B354" i="1"/>
  <c r="B54" i="15"/>
  <c r="B55" i="15"/>
  <c r="AH490" i="14" l="1"/>
  <c r="AK491" i="14"/>
  <c r="CC491" i="14" s="1"/>
  <c r="D71" i="29"/>
  <c r="P75" i="29"/>
  <c r="Q75" i="29"/>
  <c r="Q71" i="29"/>
  <c r="P71" i="29"/>
  <c r="G71" i="29"/>
  <c r="I75" i="29"/>
  <c r="I71" i="29"/>
  <c r="C71" i="29"/>
  <c r="O71" i="29"/>
  <c r="K71" i="29"/>
  <c r="K75" i="29"/>
  <c r="M71" i="29"/>
  <c r="L71" i="29"/>
  <c r="E71" i="29"/>
  <c r="H71" i="29"/>
  <c r="H75" i="29"/>
  <c r="D75" i="29"/>
  <c r="M75" i="29"/>
  <c r="G75" i="29"/>
  <c r="C75" i="29"/>
  <c r="E75" i="29"/>
  <c r="L75" i="29"/>
  <c r="O75" i="29"/>
  <c r="C70" i="29"/>
  <c r="M70" i="29"/>
  <c r="E70" i="29"/>
  <c r="H70" i="29"/>
  <c r="D70" i="29"/>
  <c r="I70" i="29"/>
  <c r="Q70" i="29"/>
  <c r="P70" i="29"/>
  <c r="O70" i="29"/>
  <c r="G70" i="29"/>
  <c r="F69" i="29"/>
  <c r="R69" i="29"/>
  <c r="BS178" i="14"/>
  <c r="N69" i="29"/>
  <c r="J69" i="29"/>
  <c r="BR178" i="14"/>
  <c r="BR177" i="14" s="1"/>
  <c r="B340" i="1"/>
  <c r="K74" i="29" s="1"/>
  <c r="K70" i="29" l="1"/>
  <c r="L70" i="29"/>
  <c r="BR542" i="14"/>
  <c r="BR538" i="14"/>
  <c r="BR534" i="14"/>
  <c r="BR530" i="14"/>
  <c r="BR526" i="14"/>
  <c r="BR522" i="14"/>
  <c r="BR518" i="14"/>
  <c r="BR514" i="14"/>
  <c r="BR510" i="14"/>
  <c r="BR506" i="14"/>
  <c r="BR502" i="14"/>
  <c r="BR498" i="14"/>
  <c r="BR494" i="14"/>
  <c r="BR490" i="14"/>
  <c r="BR486" i="14"/>
  <c r="BR482" i="14"/>
  <c r="BR478" i="14"/>
  <c r="BR474" i="14"/>
  <c r="BR470" i="14"/>
  <c r="BR466" i="14"/>
  <c r="BR462" i="14"/>
  <c r="BR458" i="14"/>
  <c r="BR454" i="14"/>
  <c r="BR450" i="14"/>
  <c r="BR446" i="14"/>
  <c r="BR442" i="14"/>
  <c r="BR438" i="14"/>
  <c r="BR434" i="14"/>
  <c r="BR430" i="14"/>
  <c r="BR426" i="14"/>
  <c r="BR422" i="14"/>
  <c r="BR418" i="14"/>
  <c r="BR414" i="14"/>
  <c r="BR410" i="14"/>
  <c r="BR406" i="14"/>
  <c r="BR402" i="14"/>
  <c r="BR398" i="14"/>
  <c r="BR394" i="14"/>
  <c r="BR390" i="14"/>
  <c r="BR386" i="14"/>
  <c r="BR382" i="14"/>
  <c r="BR378" i="14"/>
  <c r="BR374" i="14"/>
  <c r="BR370" i="14"/>
  <c r="BR366" i="14"/>
  <c r="BR362" i="14"/>
  <c r="BR358" i="14"/>
  <c r="BR354" i="14"/>
  <c r="BR350" i="14"/>
  <c r="BR346" i="14"/>
  <c r="BR342" i="14"/>
  <c r="BR338" i="14"/>
  <c r="BR334" i="14"/>
  <c r="BR330" i="14"/>
  <c r="BR326" i="14"/>
  <c r="BR322" i="14"/>
  <c r="BR318" i="14"/>
  <c r="BR314" i="14"/>
  <c r="BR310" i="14"/>
  <c r="BR306" i="14"/>
  <c r="BR302" i="14"/>
  <c r="BR298" i="14"/>
  <c r="BR294" i="14"/>
  <c r="BR290" i="14"/>
  <c r="BR286" i="14"/>
  <c r="BR282" i="14"/>
  <c r="BR278" i="14"/>
  <c r="BR274" i="14"/>
  <c r="BR270" i="14"/>
  <c r="BR266" i="14"/>
  <c r="BR262" i="14"/>
  <c r="BR258" i="14"/>
  <c r="BR254" i="14"/>
  <c r="BR250" i="14"/>
  <c r="BR246" i="14"/>
  <c r="BR242" i="14"/>
  <c r="BR238" i="14"/>
  <c r="BR234" i="14"/>
  <c r="BR230" i="14"/>
  <c r="BR226" i="14"/>
  <c r="BR222" i="14"/>
  <c r="BR218" i="14"/>
  <c r="BR214" i="14"/>
  <c r="BR544" i="14"/>
  <c r="BR540" i="14"/>
  <c r="BR536" i="14"/>
  <c r="BR532" i="14"/>
  <c r="BR528" i="14"/>
  <c r="BR524" i="14"/>
  <c r="BR520" i="14"/>
  <c r="BR516" i="14"/>
  <c r="BR512" i="14"/>
  <c r="BR508" i="14"/>
  <c r="BR504" i="14"/>
  <c r="BR500" i="14"/>
  <c r="BR496" i="14"/>
  <c r="BR492" i="14"/>
  <c r="BR488" i="14"/>
  <c r="BR484" i="14"/>
  <c r="BR480" i="14"/>
  <c r="BR476" i="14"/>
  <c r="BR472" i="14"/>
  <c r="BR468" i="14"/>
  <c r="BR464" i="14"/>
  <c r="BR460" i="14"/>
  <c r="BR456" i="14"/>
  <c r="BR452" i="14"/>
  <c r="BR448" i="14"/>
  <c r="BR444" i="14"/>
  <c r="BR440" i="14"/>
  <c r="BR436" i="14"/>
  <c r="BR432" i="14"/>
  <c r="BR428" i="14"/>
  <c r="BR424" i="14"/>
  <c r="BR420" i="14"/>
  <c r="BR416" i="14"/>
  <c r="BR412" i="14"/>
  <c r="BR408" i="14"/>
  <c r="BR404" i="14"/>
  <c r="BR400" i="14"/>
  <c r="BR396" i="14"/>
  <c r="BR392" i="14"/>
  <c r="BR388" i="14"/>
  <c r="BR384" i="14"/>
  <c r="BR380" i="14"/>
  <c r="BR376" i="14"/>
  <c r="BR372" i="14"/>
  <c r="BR368" i="14"/>
  <c r="BR364" i="14"/>
  <c r="BR360" i="14"/>
  <c r="BR356" i="14"/>
  <c r="BR352" i="14"/>
  <c r="BR348" i="14"/>
  <c r="BR344" i="14"/>
  <c r="BR340" i="14"/>
  <c r="BR336" i="14"/>
  <c r="BR332" i="14"/>
  <c r="BR328" i="14"/>
  <c r="BR324" i="14"/>
  <c r="BR320" i="14"/>
  <c r="BR316" i="14"/>
  <c r="BR312" i="14"/>
  <c r="BR308" i="14"/>
  <c r="BR304" i="14"/>
  <c r="BR300" i="14"/>
  <c r="BR296" i="14"/>
  <c r="BR292" i="14"/>
  <c r="BR288" i="14"/>
  <c r="BR284" i="14"/>
  <c r="BR280" i="14"/>
  <c r="BR276" i="14"/>
  <c r="BR272" i="14"/>
  <c r="BR268" i="14"/>
  <c r="BR264" i="14"/>
  <c r="BR260" i="14"/>
  <c r="BR256" i="14"/>
  <c r="BR252" i="14"/>
  <c r="BR248" i="14"/>
  <c r="BR244" i="14"/>
  <c r="BR240" i="14"/>
  <c r="BR236" i="14"/>
  <c r="BR232" i="14"/>
  <c r="BR228" i="14"/>
  <c r="BR224" i="14"/>
  <c r="BR220" i="14"/>
  <c r="BR216" i="14"/>
  <c r="BR212" i="14"/>
  <c r="BR543" i="14"/>
  <c r="BR545" i="14"/>
  <c r="BR541" i="14"/>
  <c r="BR537" i="14"/>
  <c r="BR533" i="14"/>
  <c r="BR529" i="14"/>
  <c r="BR525" i="14"/>
  <c r="BR521" i="14"/>
  <c r="BR517" i="14"/>
  <c r="BR513" i="14"/>
  <c r="BR509" i="14"/>
  <c r="BR505" i="14"/>
  <c r="BR501" i="14"/>
  <c r="BR497" i="14"/>
  <c r="BR493" i="14"/>
  <c r="BR489" i="14"/>
  <c r="BR485" i="14"/>
  <c r="BR481" i="14"/>
  <c r="BR477" i="14"/>
  <c r="BR473" i="14"/>
  <c r="BR469" i="14"/>
  <c r="BR465" i="14"/>
  <c r="BR461" i="14"/>
  <c r="BR457" i="14"/>
  <c r="BR453" i="14"/>
  <c r="BR449" i="14"/>
  <c r="BR445" i="14"/>
  <c r="BR441" i="14"/>
  <c r="BR437" i="14"/>
  <c r="BR433" i="14"/>
  <c r="BR429" i="14"/>
  <c r="BR425" i="14"/>
  <c r="BR421" i="14"/>
  <c r="BR417" i="14"/>
  <c r="BR413" i="14"/>
  <c r="BR409" i="14"/>
  <c r="BR405" i="14"/>
  <c r="BR401" i="14"/>
  <c r="BR397" i="14"/>
  <c r="BR393" i="14"/>
  <c r="BR389" i="14"/>
  <c r="BR385" i="14"/>
  <c r="BR381" i="14"/>
  <c r="BR377" i="14"/>
  <c r="BR373" i="14"/>
  <c r="BR369" i="14"/>
  <c r="BR365" i="14"/>
  <c r="BR361" i="14"/>
  <c r="BR357" i="14"/>
  <c r="BR353" i="14"/>
  <c r="BR349" i="14"/>
  <c r="BR345" i="14"/>
  <c r="BR341" i="14"/>
  <c r="BR337" i="14"/>
  <c r="BR333" i="14"/>
  <c r="BR329" i="14"/>
  <c r="BR325" i="14"/>
  <c r="BR321" i="14"/>
  <c r="BR317" i="14"/>
  <c r="BR313" i="14"/>
  <c r="BR309" i="14"/>
  <c r="BR305" i="14"/>
  <c r="BR301" i="14"/>
  <c r="BR297" i="14"/>
  <c r="BR293" i="14"/>
  <c r="BR289" i="14"/>
  <c r="BR285" i="14"/>
  <c r="BR281" i="14"/>
  <c r="BR277" i="14"/>
  <c r="BR273" i="14"/>
  <c r="BR269" i="14"/>
  <c r="BR265" i="14"/>
  <c r="BR261" i="14"/>
  <c r="BR257" i="14"/>
  <c r="BR253" i="14"/>
  <c r="BR249" i="14"/>
  <c r="BR245" i="14"/>
  <c r="BR241" i="14"/>
  <c r="BR237" i="14"/>
  <c r="BR233" i="14"/>
  <c r="BR229" i="14"/>
  <c r="BR225" i="14"/>
  <c r="BR221" i="14"/>
  <c r="BR217" i="14"/>
  <c r="BR213" i="14"/>
  <c r="BR539" i="14"/>
  <c r="BR531" i="14"/>
  <c r="BR515" i="14"/>
  <c r="BR499" i="14"/>
  <c r="BR483" i="14"/>
  <c r="BR467" i="14"/>
  <c r="BR451" i="14"/>
  <c r="BR435" i="14"/>
  <c r="BR419" i="14"/>
  <c r="BR403" i="14"/>
  <c r="BR387" i="14"/>
  <c r="BR371" i="14"/>
  <c r="BR355" i="14"/>
  <c r="BR339" i="14"/>
  <c r="BR323" i="14"/>
  <c r="BR523" i="14"/>
  <c r="BR507" i="14"/>
  <c r="BR491" i="14"/>
  <c r="BR475" i="14"/>
  <c r="BR459" i="14"/>
  <c r="BR443" i="14"/>
  <c r="BR427" i="14"/>
  <c r="BR411" i="14"/>
  <c r="BR395" i="14"/>
  <c r="BR379" i="14"/>
  <c r="BR363" i="14"/>
  <c r="BR347" i="14"/>
  <c r="BR331" i="14"/>
  <c r="BR315" i="14"/>
  <c r="BR299" i="14"/>
  <c r="BR283" i="14"/>
  <c r="BR267" i="14"/>
  <c r="BR251" i="14"/>
  <c r="BR235" i="14"/>
  <c r="BR219" i="14"/>
  <c r="BR307" i="14"/>
  <c r="BR291" i="14"/>
  <c r="BR275" i="14"/>
  <c r="BR259" i="14"/>
  <c r="BR243" i="14"/>
  <c r="BR227" i="14"/>
  <c r="BR211" i="14"/>
  <c r="BR495" i="14"/>
  <c r="BR479" i="14"/>
  <c r="BR415" i="14"/>
  <c r="BR399" i="14"/>
  <c r="BR383" i="14"/>
  <c r="BR367" i="14"/>
  <c r="BR351" i="14"/>
  <c r="BR319" i="14"/>
  <c r="BR303" i="14"/>
  <c r="BR287" i="14"/>
  <c r="BR271" i="14"/>
  <c r="BR255" i="14"/>
  <c r="BR239" i="14"/>
  <c r="BR535" i="14"/>
  <c r="BR519" i="14"/>
  <c r="BR503" i="14"/>
  <c r="BR487" i="14"/>
  <c r="BR471" i="14"/>
  <c r="BR455" i="14"/>
  <c r="BR439" i="14"/>
  <c r="BR423" i="14"/>
  <c r="BR407" i="14"/>
  <c r="BR391" i="14"/>
  <c r="BR375" i="14"/>
  <c r="BR359" i="14"/>
  <c r="BR343" i="14"/>
  <c r="BR327" i="14"/>
  <c r="BR311" i="14"/>
  <c r="BR295" i="14"/>
  <c r="BR279" i="14"/>
  <c r="BR263" i="14"/>
  <c r="BR247" i="14"/>
  <c r="BR231" i="14"/>
  <c r="BR215" i="14"/>
  <c r="BR527" i="14"/>
  <c r="BR511" i="14"/>
  <c r="BR463" i="14"/>
  <c r="BR447" i="14"/>
  <c r="BR431" i="14"/>
  <c r="BR335" i="14"/>
  <c r="BR223" i="14"/>
  <c r="BR210" i="14"/>
  <c r="BR209" i="14"/>
  <c r="BR208" i="14"/>
  <c r="BR207" i="14"/>
  <c r="BR206" i="14"/>
  <c r="BR205" i="14"/>
  <c r="BR204" i="14"/>
  <c r="BR203" i="14"/>
  <c r="BR202" i="14"/>
  <c r="BR201" i="14"/>
  <c r="BR200" i="14"/>
  <c r="BR199" i="14"/>
  <c r="BR198" i="14"/>
  <c r="BR197" i="14"/>
  <c r="BR196" i="14"/>
  <c r="BR195" i="14"/>
  <c r="BR194" i="14"/>
  <c r="BR193" i="14"/>
  <c r="BR192" i="14"/>
  <c r="BR191" i="14"/>
  <c r="BR190" i="14"/>
  <c r="BR189" i="14"/>
  <c r="BR188" i="14"/>
  <c r="BR187" i="14"/>
  <c r="BR186" i="14"/>
  <c r="BR185" i="14"/>
  <c r="BR184" i="14"/>
  <c r="BR183" i="14"/>
  <c r="BR182" i="14"/>
  <c r="BR181" i="14"/>
  <c r="BR180" i="14"/>
  <c r="BS177" i="14"/>
  <c r="AH491" i="14"/>
  <c r="AK492" i="14"/>
  <c r="CC492" i="14" s="1"/>
  <c r="F71" i="29"/>
  <c r="H74" i="29"/>
  <c r="O74" i="29"/>
  <c r="Q74" i="29"/>
  <c r="L74" i="29"/>
  <c r="G74" i="29"/>
  <c r="P74" i="29"/>
  <c r="C74" i="29"/>
  <c r="D74" i="29"/>
  <c r="F70" i="29"/>
  <c r="N75" i="29"/>
  <c r="F75" i="29"/>
  <c r="R75" i="29"/>
  <c r="E74" i="29"/>
  <c r="M74" i="29"/>
  <c r="I74" i="29"/>
  <c r="J75" i="29"/>
  <c r="T69" i="29"/>
  <c r="R70" i="29"/>
  <c r="R71" i="29"/>
  <c r="N71" i="29"/>
  <c r="J71" i="29"/>
  <c r="B356" i="1"/>
  <c r="B342" i="1"/>
  <c r="G82" i="29" s="1"/>
  <c r="B60" i="15"/>
  <c r="B59" i="15"/>
  <c r="J70" i="29"/>
  <c r="N70" i="29" l="1"/>
  <c r="T70" i="29" s="1"/>
  <c r="BS544" i="14"/>
  <c r="BS542" i="14"/>
  <c r="BS540" i="14"/>
  <c r="BS538" i="14"/>
  <c r="BS536" i="14"/>
  <c r="BS534" i="14"/>
  <c r="BS532" i="14"/>
  <c r="BS530" i="14"/>
  <c r="BS528" i="14"/>
  <c r="BS526" i="14"/>
  <c r="BS524" i="14"/>
  <c r="BS522" i="14"/>
  <c r="BS520" i="14"/>
  <c r="BS518" i="14"/>
  <c r="BS516" i="14"/>
  <c r="BS514" i="14"/>
  <c r="BS512" i="14"/>
  <c r="BS510" i="14"/>
  <c r="BS508" i="14"/>
  <c r="BS506" i="14"/>
  <c r="BS504" i="14"/>
  <c r="BS502" i="14"/>
  <c r="BS500" i="14"/>
  <c r="BS498" i="14"/>
  <c r="BS496" i="14"/>
  <c r="BS494" i="14"/>
  <c r="BS492" i="14"/>
  <c r="BS490" i="14"/>
  <c r="BS545" i="14"/>
  <c r="BS541" i="14"/>
  <c r="BS537" i="14"/>
  <c r="BS533" i="14"/>
  <c r="BS529" i="14"/>
  <c r="BS525" i="14"/>
  <c r="BS521" i="14"/>
  <c r="BS517" i="14"/>
  <c r="BS513" i="14"/>
  <c r="BS509" i="14"/>
  <c r="BS505" i="14"/>
  <c r="BS501" i="14"/>
  <c r="BS497" i="14"/>
  <c r="BS493" i="14"/>
  <c r="BS489" i="14"/>
  <c r="BS487" i="14"/>
  <c r="BS485" i="14"/>
  <c r="BS483" i="14"/>
  <c r="BS481" i="14"/>
  <c r="BS479" i="14"/>
  <c r="BS477" i="14"/>
  <c r="BS475" i="14"/>
  <c r="BS473" i="14"/>
  <c r="BS471" i="14"/>
  <c r="BS469" i="14"/>
  <c r="BS467" i="14"/>
  <c r="BS465" i="14"/>
  <c r="BS463" i="14"/>
  <c r="BS461" i="14"/>
  <c r="BS543" i="14"/>
  <c r="BS539" i="14"/>
  <c r="BS535" i="14"/>
  <c r="BS531" i="14"/>
  <c r="BS527" i="14"/>
  <c r="BS523" i="14"/>
  <c r="BS519" i="14"/>
  <c r="BS515" i="14"/>
  <c r="BS511" i="14"/>
  <c r="BS507" i="14"/>
  <c r="BS503" i="14"/>
  <c r="BS499" i="14"/>
  <c r="BS495" i="14"/>
  <c r="BS491" i="14"/>
  <c r="BS488" i="14"/>
  <c r="BS486" i="14"/>
  <c r="BS484" i="14"/>
  <c r="BS482" i="14"/>
  <c r="BS480" i="14"/>
  <c r="BS478" i="14"/>
  <c r="BS476" i="14"/>
  <c r="BS474" i="14"/>
  <c r="BS472" i="14"/>
  <c r="BS470" i="14"/>
  <c r="BS468" i="14"/>
  <c r="BS466" i="14"/>
  <c r="BS464" i="14"/>
  <c r="BS462" i="14"/>
  <c r="BS459" i="14"/>
  <c r="BS457" i="14"/>
  <c r="BS455" i="14"/>
  <c r="BS453" i="14"/>
  <c r="BS451" i="14"/>
  <c r="BS449" i="14"/>
  <c r="BS447" i="14"/>
  <c r="BS445" i="14"/>
  <c r="BS443" i="14"/>
  <c r="BS441" i="14"/>
  <c r="BS439" i="14"/>
  <c r="BS437" i="14"/>
  <c r="BS435" i="14"/>
  <c r="BS433" i="14"/>
  <c r="BS431" i="14"/>
  <c r="BS429" i="14"/>
  <c r="BS427" i="14"/>
  <c r="BS425" i="14"/>
  <c r="BS423" i="14"/>
  <c r="BS421" i="14"/>
  <c r="BS419" i="14"/>
  <c r="BS454" i="14"/>
  <c r="BS446" i="14"/>
  <c r="BS438" i="14"/>
  <c r="BS430" i="14"/>
  <c r="BS422" i="14"/>
  <c r="BS417" i="14"/>
  <c r="BS415" i="14"/>
  <c r="BS413" i="14"/>
  <c r="BS411" i="14"/>
  <c r="BS409" i="14"/>
  <c r="BS407" i="14"/>
  <c r="BS405" i="14"/>
  <c r="BS403" i="14"/>
  <c r="BS401" i="14"/>
  <c r="BS399" i="14"/>
  <c r="BS397" i="14"/>
  <c r="BS395" i="14"/>
  <c r="BS393" i="14"/>
  <c r="BS391" i="14"/>
  <c r="BS389" i="14"/>
  <c r="BS387" i="14"/>
  <c r="BS385" i="14"/>
  <c r="BS383" i="14"/>
  <c r="BS381" i="14"/>
  <c r="BS379" i="14"/>
  <c r="BS377" i="14"/>
  <c r="BS375" i="14"/>
  <c r="BS373" i="14"/>
  <c r="BS371" i="14"/>
  <c r="BS369" i="14"/>
  <c r="BS367" i="14"/>
  <c r="BS365" i="14"/>
  <c r="BS363" i="14"/>
  <c r="BS361" i="14"/>
  <c r="BS359" i="14"/>
  <c r="BS357" i="14"/>
  <c r="BS355" i="14"/>
  <c r="BS353" i="14"/>
  <c r="BS351" i="14"/>
  <c r="BS349" i="14"/>
  <c r="BS347" i="14"/>
  <c r="BS345" i="14"/>
  <c r="BS343" i="14"/>
  <c r="BS341" i="14"/>
  <c r="BS339" i="14"/>
  <c r="BS337" i="14"/>
  <c r="BS335" i="14"/>
  <c r="BS333" i="14"/>
  <c r="BS331" i="14"/>
  <c r="BS329" i="14"/>
  <c r="BS327" i="14"/>
  <c r="BS325" i="14"/>
  <c r="BS323" i="14"/>
  <c r="BS321" i="14"/>
  <c r="BS456" i="14"/>
  <c r="BS448" i="14"/>
  <c r="BS440" i="14"/>
  <c r="BS432" i="14"/>
  <c r="BS424" i="14"/>
  <c r="BS458" i="14"/>
  <c r="BS450" i="14"/>
  <c r="BS442" i="14"/>
  <c r="BS434" i="14"/>
  <c r="BS426" i="14"/>
  <c r="BS418" i="14"/>
  <c r="BS416" i="14"/>
  <c r="BS414" i="14"/>
  <c r="BS412" i="14"/>
  <c r="BS410" i="14"/>
  <c r="BS408" i="14"/>
  <c r="BS406" i="14"/>
  <c r="BS404" i="14"/>
  <c r="BS402" i="14"/>
  <c r="BS400" i="14"/>
  <c r="BS398" i="14"/>
  <c r="BS396" i="14"/>
  <c r="BS394" i="14"/>
  <c r="BS392" i="14"/>
  <c r="BS390" i="14"/>
  <c r="BS388" i="14"/>
  <c r="BS386" i="14"/>
  <c r="BS384" i="14"/>
  <c r="BS382" i="14"/>
  <c r="BS380" i="14"/>
  <c r="BS378" i="14"/>
  <c r="BS376" i="14"/>
  <c r="BS374" i="14"/>
  <c r="BS372" i="14"/>
  <c r="BS370" i="14"/>
  <c r="BS368" i="14"/>
  <c r="BS366" i="14"/>
  <c r="BS364" i="14"/>
  <c r="BS362" i="14"/>
  <c r="BS360" i="14"/>
  <c r="BS358" i="14"/>
  <c r="BS356" i="14"/>
  <c r="BS354" i="14"/>
  <c r="BS352" i="14"/>
  <c r="BS350" i="14"/>
  <c r="BS348" i="14"/>
  <c r="BS346" i="14"/>
  <c r="BS344" i="14"/>
  <c r="BS342" i="14"/>
  <c r="BS340" i="14"/>
  <c r="BS338" i="14"/>
  <c r="BS336" i="14"/>
  <c r="BS334" i="14"/>
  <c r="BS332" i="14"/>
  <c r="BS330" i="14"/>
  <c r="BS328" i="14"/>
  <c r="BS326" i="14"/>
  <c r="BS324" i="14"/>
  <c r="BS322" i="14"/>
  <c r="BS320" i="14"/>
  <c r="BS444" i="14"/>
  <c r="BS452" i="14"/>
  <c r="BS420" i="14"/>
  <c r="BS318" i="14"/>
  <c r="BS316" i="14"/>
  <c r="BS314" i="14"/>
  <c r="BS312" i="14"/>
  <c r="BS310" i="14"/>
  <c r="BS308" i="14"/>
  <c r="BS306" i="14"/>
  <c r="BS304" i="14"/>
  <c r="BS302" i="14"/>
  <c r="BS300" i="14"/>
  <c r="BS298" i="14"/>
  <c r="BS296" i="14"/>
  <c r="BS294" i="14"/>
  <c r="BS292" i="14"/>
  <c r="BS290" i="14"/>
  <c r="BS288" i="14"/>
  <c r="BS286" i="14"/>
  <c r="BS284" i="14"/>
  <c r="BS282" i="14"/>
  <c r="BS280" i="14"/>
  <c r="BS278" i="14"/>
  <c r="BS276" i="14"/>
  <c r="BS274" i="14"/>
  <c r="BS272" i="14"/>
  <c r="BS270" i="14"/>
  <c r="BS268" i="14"/>
  <c r="BS266" i="14"/>
  <c r="BS264" i="14"/>
  <c r="BS262" i="14"/>
  <c r="BS260" i="14"/>
  <c r="BS258" i="14"/>
  <c r="BS256" i="14"/>
  <c r="BS254" i="14"/>
  <c r="BS252" i="14"/>
  <c r="BS250" i="14"/>
  <c r="BS248" i="14"/>
  <c r="BS246" i="14"/>
  <c r="BS244" i="14"/>
  <c r="BS242" i="14"/>
  <c r="BS240" i="14"/>
  <c r="BS238" i="14"/>
  <c r="BS236" i="14"/>
  <c r="BS460" i="14"/>
  <c r="BS428" i="14"/>
  <c r="BS436" i="14"/>
  <c r="BS319" i="14"/>
  <c r="BS311" i="14"/>
  <c r="BS303" i="14"/>
  <c r="BS295" i="14"/>
  <c r="BS287" i="14"/>
  <c r="BS279" i="14"/>
  <c r="BS271" i="14"/>
  <c r="BS263" i="14"/>
  <c r="BS255" i="14"/>
  <c r="BS247" i="14"/>
  <c r="BS239" i="14"/>
  <c r="BS234" i="14"/>
  <c r="BS232" i="14"/>
  <c r="BS230" i="14"/>
  <c r="BS228" i="14"/>
  <c r="BS226" i="14"/>
  <c r="BS224" i="14"/>
  <c r="BS222" i="14"/>
  <c r="BS220" i="14"/>
  <c r="BS218" i="14"/>
  <c r="BS216" i="14"/>
  <c r="BS214" i="14"/>
  <c r="BS212" i="14"/>
  <c r="BS237" i="14"/>
  <c r="BS313" i="14"/>
  <c r="BS305" i="14"/>
  <c r="BS297" i="14"/>
  <c r="BS289" i="14"/>
  <c r="BS281" i="14"/>
  <c r="BS273" i="14"/>
  <c r="BS265" i="14"/>
  <c r="BS257" i="14"/>
  <c r="BS249" i="14"/>
  <c r="BS241" i="14"/>
  <c r="BS309" i="14"/>
  <c r="BS301" i="14"/>
  <c r="BS293" i="14"/>
  <c r="BS285" i="14"/>
  <c r="BS253" i="14"/>
  <c r="BS245" i="14"/>
  <c r="BS315" i="14"/>
  <c r="BS307" i="14"/>
  <c r="BS299" i="14"/>
  <c r="BS291" i="14"/>
  <c r="BS283" i="14"/>
  <c r="BS275" i="14"/>
  <c r="BS267" i="14"/>
  <c r="BS259" i="14"/>
  <c r="BS251" i="14"/>
  <c r="BS243" i="14"/>
  <c r="BS235" i="14"/>
  <c r="BS233" i="14"/>
  <c r="BS231" i="14"/>
  <c r="BS229" i="14"/>
  <c r="BS227" i="14"/>
  <c r="BS225" i="14"/>
  <c r="BS223" i="14"/>
  <c r="BS221" i="14"/>
  <c r="BS219" i="14"/>
  <c r="BS217" i="14"/>
  <c r="BS215" i="14"/>
  <c r="BS213" i="14"/>
  <c r="BS211" i="14"/>
  <c r="BS317" i="14"/>
  <c r="BS277" i="14"/>
  <c r="BS269" i="14"/>
  <c r="BS261" i="14"/>
  <c r="BS208" i="14"/>
  <c r="BS204" i="14"/>
  <c r="BS200" i="14"/>
  <c r="BS196" i="14"/>
  <c r="BS192" i="14"/>
  <c r="BS188" i="14"/>
  <c r="BS184" i="14"/>
  <c r="BS180" i="14"/>
  <c r="BS191" i="14"/>
  <c r="BS187" i="14"/>
  <c r="BS183" i="14"/>
  <c r="BS209" i="14"/>
  <c r="BS205" i="14"/>
  <c r="BS201" i="14"/>
  <c r="BS197" i="14"/>
  <c r="BS193" i="14"/>
  <c r="BS189" i="14"/>
  <c r="BS185" i="14"/>
  <c r="BS181" i="14"/>
  <c r="BS207" i="14"/>
  <c r="BS195" i="14"/>
  <c r="BS210" i="14"/>
  <c r="BS206" i="14"/>
  <c r="BS202" i="14"/>
  <c r="BS198" i="14"/>
  <c r="BS194" i="14"/>
  <c r="BS190" i="14"/>
  <c r="BS186" i="14"/>
  <c r="BS182" i="14"/>
  <c r="BS203" i="14"/>
  <c r="BS199" i="14"/>
  <c r="D54" i="15"/>
  <c r="AH492" i="14"/>
  <c r="AK493" i="14"/>
  <c r="CC493" i="14" s="1"/>
  <c r="L82" i="29"/>
  <c r="M82" i="29"/>
  <c r="D82" i="29"/>
  <c r="E83" i="29"/>
  <c r="H83" i="29"/>
  <c r="C83" i="29"/>
  <c r="G83" i="29"/>
  <c r="M83" i="29"/>
  <c r="K83" i="29"/>
  <c r="P83" i="29"/>
  <c r="I83" i="29"/>
  <c r="L83" i="29"/>
  <c r="O83" i="29"/>
  <c r="D83" i="29"/>
  <c r="Q83" i="29"/>
  <c r="E82" i="29"/>
  <c r="H82" i="29"/>
  <c r="O82" i="29"/>
  <c r="I82" i="29"/>
  <c r="K82" i="29"/>
  <c r="P82" i="29"/>
  <c r="C82" i="29"/>
  <c r="Q82" i="29"/>
  <c r="J74" i="29"/>
  <c r="R74" i="29"/>
  <c r="F74" i="29"/>
  <c r="N74" i="29"/>
  <c r="T75" i="29"/>
  <c r="M78" i="29"/>
  <c r="D78" i="29"/>
  <c r="E78" i="29"/>
  <c r="O78" i="29"/>
  <c r="H78" i="29"/>
  <c r="C78" i="29"/>
  <c r="K78" i="29"/>
  <c r="P78" i="29"/>
  <c r="L78" i="29"/>
  <c r="G78" i="29"/>
  <c r="H79" i="29"/>
  <c r="P79" i="29"/>
  <c r="C79" i="29"/>
  <c r="E79" i="29"/>
  <c r="L79" i="29"/>
  <c r="Q79" i="29"/>
  <c r="O79" i="29"/>
  <c r="M79" i="29"/>
  <c r="D79" i="29"/>
  <c r="G79" i="29"/>
  <c r="I79" i="29"/>
  <c r="K79" i="29"/>
  <c r="Q78" i="29"/>
  <c r="I78" i="29"/>
  <c r="T71" i="29"/>
  <c r="BW178" i="14"/>
  <c r="BW177" i="14" s="1"/>
  <c r="B58" i="15"/>
  <c r="BV178" i="14"/>
  <c r="BV177" i="14" s="1"/>
  <c r="BX178" i="14"/>
  <c r="BX177" i="14" s="1"/>
  <c r="B56" i="15"/>
  <c r="BT178" i="14"/>
  <c r="BT177" i="14" s="1"/>
  <c r="B57" i="15"/>
  <c r="BU178" i="14"/>
  <c r="BU177" i="14" s="1"/>
  <c r="BW544" i="14" l="1"/>
  <c r="BW542" i="14"/>
  <c r="BW540" i="14"/>
  <c r="BW538" i="14"/>
  <c r="BW536" i="14"/>
  <c r="BW534" i="14"/>
  <c r="BW532" i="14"/>
  <c r="BW530" i="14"/>
  <c r="BW528" i="14"/>
  <c r="BW526" i="14"/>
  <c r="BW524" i="14"/>
  <c r="BW522" i="14"/>
  <c r="BW520" i="14"/>
  <c r="BW518" i="14"/>
  <c r="BW516" i="14"/>
  <c r="BW514" i="14"/>
  <c r="BW512" i="14"/>
  <c r="BW510" i="14"/>
  <c r="BW508" i="14"/>
  <c r="BW506" i="14"/>
  <c r="BW504" i="14"/>
  <c r="BW502" i="14"/>
  <c r="BW500" i="14"/>
  <c r="BW498" i="14"/>
  <c r="BW496" i="14"/>
  <c r="BW494" i="14"/>
  <c r="BW492" i="14"/>
  <c r="BW490" i="14"/>
  <c r="BW543" i="14"/>
  <c r="BW539" i="14"/>
  <c r="BW535" i="14"/>
  <c r="BW531" i="14"/>
  <c r="BW527" i="14"/>
  <c r="BW523" i="14"/>
  <c r="BW519" i="14"/>
  <c r="BW515" i="14"/>
  <c r="BW511" i="14"/>
  <c r="BW507" i="14"/>
  <c r="BW503" i="14"/>
  <c r="BW499" i="14"/>
  <c r="BW495" i="14"/>
  <c r="BW491" i="14"/>
  <c r="BW487" i="14"/>
  <c r="BW485" i="14"/>
  <c r="BW483" i="14"/>
  <c r="BW481" i="14"/>
  <c r="BW479" i="14"/>
  <c r="BW477" i="14"/>
  <c r="BW475" i="14"/>
  <c r="BW473" i="14"/>
  <c r="BW471" i="14"/>
  <c r="BW469" i="14"/>
  <c r="BW467" i="14"/>
  <c r="BW465" i="14"/>
  <c r="BW463" i="14"/>
  <c r="BW461" i="14"/>
  <c r="BW545" i="14"/>
  <c r="BW541" i="14"/>
  <c r="BW537" i="14"/>
  <c r="BW533" i="14"/>
  <c r="BW529" i="14"/>
  <c r="BW525" i="14"/>
  <c r="BW521" i="14"/>
  <c r="BW517" i="14"/>
  <c r="BW513" i="14"/>
  <c r="BW509" i="14"/>
  <c r="BW505" i="14"/>
  <c r="BW501" i="14"/>
  <c r="BW497" i="14"/>
  <c r="BW493" i="14"/>
  <c r="BW489" i="14"/>
  <c r="BW488" i="14"/>
  <c r="BW486" i="14"/>
  <c r="BW484" i="14"/>
  <c r="BW482" i="14"/>
  <c r="BW480" i="14"/>
  <c r="BW478" i="14"/>
  <c r="BW476" i="14"/>
  <c r="BW474" i="14"/>
  <c r="BW472" i="14"/>
  <c r="BW470" i="14"/>
  <c r="BW468" i="14"/>
  <c r="BW466" i="14"/>
  <c r="BW464" i="14"/>
  <c r="BW462" i="14"/>
  <c r="BW459" i="14"/>
  <c r="BW457" i="14"/>
  <c r="BW455" i="14"/>
  <c r="BW453" i="14"/>
  <c r="BW451" i="14"/>
  <c r="BW449" i="14"/>
  <c r="BW447" i="14"/>
  <c r="BW445" i="14"/>
  <c r="BW443" i="14"/>
  <c r="BW441" i="14"/>
  <c r="BW439" i="14"/>
  <c r="BW437" i="14"/>
  <c r="BW435" i="14"/>
  <c r="BW433" i="14"/>
  <c r="BW431" i="14"/>
  <c r="BW429" i="14"/>
  <c r="BW427" i="14"/>
  <c r="BW425" i="14"/>
  <c r="BW423" i="14"/>
  <c r="BW421" i="14"/>
  <c r="BW419" i="14"/>
  <c r="BW456" i="14"/>
  <c r="BW448" i="14"/>
  <c r="BW440" i="14"/>
  <c r="BW432" i="14"/>
  <c r="BW424" i="14"/>
  <c r="BW417" i="14"/>
  <c r="BW415" i="14"/>
  <c r="BW413" i="14"/>
  <c r="BW411" i="14"/>
  <c r="BW409" i="14"/>
  <c r="BW407" i="14"/>
  <c r="BW405" i="14"/>
  <c r="BW403" i="14"/>
  <c r="BW401" i="14"/>
  <c r="BW399" i="14"/>
  <c r="BW397" i="14"/>
  <c r="BW395" i="14"/>
  <c r="BW393" i="14"/>
  <c r="BW391" i="14"/>
  <c r="BW389" i="14"/>
  <c r="BW387" i="14"/>
  <c r="BW385" i="14"/>
  <c r="BW383" i="14"/>
  <c r="BW381" i="14"/>
  <c r="BW379" i="14"/>
  <c r="BW377" i="14"/>
  <c r="BW375" i="14"/>
  <c r="BW373" i="14"/>
  <c r="BW371" i="14"/>
  <c r="BW369" i="14"/>
  <c r="BW367" i="14"/>
  <c r="BW365" i="14"/>
  <c r="BW363" i="14"/>
  <c r="BW361" i="14"/>
  <c r="BW359" i="14"/>
  <c r="BW357" i="14"/>
  <c r="BW355" i="14"/>
  <c r="BW353" i="14"/>
  <c r="BW351" i="14"/>
  <c r="BW349" i="14"/>
  <c r="BW347" i="14"/>
  <c r="BW345" i="14"/>
  <c r="BW343" i="14"/>
  <c r="BW341" i="14"/>
  <c r="BW339" i="14"/>
  <c r="BW337" i="14"/>
  <c r="BW335" i="14"/>
  <c r="BW333" i="14"/>
  <c r="BW331" i="14"/>
  <c r="BW329" i="14"/>
  <c r="BW327" i="14"/>
  <c r="BW325" i="14"/>
  <c r="BW323" i="14"/>
  <c r="BW321" i="14"/>
  <c r="BW458" i="14"/>
  <c r="BW450" i="14"/>
  <c r="BW442" i="14"/>
  <c r="BW434" i="14"/>
  <c r="BW426" i="14"/>
  <c r="BW460" i="14"/>
  <c r="BW452" i="14"/>
  <c r="BW444" i="14"/>
  <c r="BW436" i="14"/>
  <c r="BW428" i="14"/>
  <c r="BW420" i="14"/>
  <c r="BW418" i="14"/>
  <c r="BW416" i="14"/>
  <c r="BW414" i="14"/>
  <c r="BW412" i="14"/>
  <c r="BW410" i="14"/>
  <c r="BW408" i="14"/>
  <c r="BW406" i="14"/>
  <c r="BW404" i="14"/>
  <c r="BW402" i="14"/>
  <c r="BW400" i="14"/>
  <c r="BW398" i="14"/>
  <c r="BW396" i="14"/>
  <c r="BW394" i="14"/>
  <c r="BW392" i="14"/>
  <c r="BW390" i="14"/>
  <c r="BW388" i="14"/>
  <c r="BW386" i="14"/>
  <c r="BW384" i="14"/>
  <c r="BW382" i="14"/>
  <c r="BW380" i="14"/>
  <c r="BW378" i="14"/>
  <c r="BW376" i="14"/>
  <c r="BW374" i="14"/>
  <c r="BW372" i="14"/>
  <c r="BW370" i="14"/>
  <c r="BW368" i="14"/>
  <c r="BW366" i="14"/>
  <c r="BW364" i="14"/>
  <c r="BW362" i="14"/>
  <c r="BW360" i="14"/>
  <c r="BW358" i="14"/>
  <c r="BW356" i="14"/>
  <c r="BW354" i="14"/>
  <c r="BW352" i="14"/>
  <c r="BW350" i="14"/>
  <c r="BW348" i="14"/>
  <c r="BW346" i="14"/>
  <c r="BW344" i="14"/>
  <c r="BW342" i="14"/>
  <c r="BW340" i="14"/>
  <c r="BW338" i="14"/>
  <c r="BW336" i="14"/>
  <c r="BW334" i="14"/>
  <c r="BW332" i="14"/>
  <c r="BW330" i="14"/>
  <c r="BW328" i="14"/>
  <c r="BW326" i="14"/>
  <c r="BW324" i="14"/>
  <c r="BW322" i="14"/>
  <c r="BW320" i="14"/>
  <c r="BW454" i="14"/>
  <c r="BW422" i="14"/>
  <c r="BW430" i="14"/>
  <c r="BW318" i="14"/>
  <c r="BW316" i="14"/>
  <c r="BW314" i="14"/>
  <c r="BW312" i="14"/>
  <c r="BW310" i="14"/>
  <c r="BW308" i="14"/>
  <c r="BW306" i="14"/>
  <c r="BW304" i="14"/>
  <c r="BW302" i="14"/>
  <c r="BW300" i="14"/>
  <c r="BW298" i="14"/>
  <c r="BW296" i="14"/>
  <c r="BW294" i="14"/>
  <c r="BW292" i="14"/>
  <c r="BW290" i="14"/>
  <c r="BW288" i="14"/>
  <c r="BW286" i="14"/>
  <c r="BW284" i="14"/>
  <c r="BW282" i="14"/>
  <c r="BW280" i="14"/>
  <c r="BW278" i="14"/>
  <c r="BW276" i="14"/>
  <c r="BW274" i="14"/>
  <c r="BW272" i="14"/>
  <c r="BW270" i="14"/>
  <c r="BW268" i="14"/>
  <c r="BW266" i="14"/>
  <c r="BW264" i="14"/>
  <c r="BW262" i="14"/>
  <c r="BW260" i="14"/>
  <c r="BW258" i="14"/>
  <c r="BW256" i="14"/>
  <c r="BW254" i="14"/>
  <c r="BW252" i="14"/>
  <c r="BW250" i="14"/>
  <c r="BW248" i="14"/>
  <c r="BW246" i="14"/>
  <c r="BW244" i="14"/>
  <c r="BW242" i="14"/>
  <c r="BW240" i="14"/>
  <c r="BW238" i="14"/>
  <c r="BW236" i="14"/>
  <c r="BW438" i="14"/>
  <c r="BW313" i="14"/>
  <c r="BW305" i="14"/>
  <c r="BW297" i="14"/>
  <c r="BW289" i="14"/>
  <c r="BW281" i="14"/>
  <c r="BW273" i="14"/>
  <c r="BW265" i="14"/>
  <c r="BW257" i="14"/>
  <c r="BW249" i="14"/>
  <c r="BW241" i="14"/>
  <c r="BW234" i="14"/>
  <c r="BW232" i="14"/>
  <c r="BW230" i="14"/>
  <c r="BW228" i="14"/>
  <c r="BW226" i="14"/>
  <c r="BW224" i="14"/>
  <c r="BW222" i="14"/>
  <c r="BW220" i="14"/>
  <c r="BW218" i="14"/>
  <c r="BW216" i="14"/>
  <c r="BW214" i="14"/>
  <c r="BW212" i="14"/>
  <c r="BW446" i="14"/>
  <c r="BW263" i="14"/>
  <c r="BW255" i="14"/>
  <c r="BW315" i="14"/>
  <c r="BW307" i="14"/>
  <c r="BW299" i="14"/>
  <c r="BW291" i="14"/>
  <c r="BW283" i="14"/>
  <c r="BW275" i="14"/>
  <c r="BW267" i="14"/>
  <c r="BW259" i="14"/>
  <c r="BW251" i="14"/>
  <c r="BW243" i="14"/>
  <c r="BW235" i="14"/>
  <c r="BW319" i="14"/>
  <c r="BW311" i="14"/>
  <c r="BW287" i="14"/>
  <c r="BW279" i="14"/>
  <c r="BW271" i="14"/>
  <c r="BW317" i="14"/>
  <c r="BW309" i="14"/>
  <c r="BW301" i="14"/>
  <c r="BW293" i="14"/>
  <c r="BW285" i="14"/>
  <c r="BW277" i="14"/>
  <c r="BW269" i="14"/>
  <c r="BW261" i="14"/>
  <c r="BW253" i="14"/>
  <c r="BW245" i="14"/>
  <c r="BW237" i="14"/>
  <c r="BW233" i="14"/>
  <c r="BW231" i="14"/>
  <c r="BW229" i="14"/>
  <c r="BW227" i="14"/>
  <c r="BW225" i="14"/>
  <c r="BW223" i="14"/>
  <c r="BW221" i="14"/>
  <c r="BW219" i="14"/>
  <c r="BW217" i="14"/>
  <c r="BW215" i="14"/>
  <c r="BW213" i="14"/>
  <c r="BW211" i="14"/>
  <c r="BW303" i="14"/>
  <c r="BW295" i="14"/>
  <c r="BW247" i="14"/>
  <c r="BW239" i="14"/>
  <c r="BW208" i="14"/>
  <c r="BW204" i="14"/>
  <c r="BW200" i="14"/>
  <c r="BW196" i="14"/>
  <c r="BW192" i="14"/>
  <c r="BW188" i="14"/>
  <c r="BW184" i="14"/>
  <c r="BW180" i="14"/>
  <c r="BW203" i="14"/>
  <c r="BW199" i="14"/>
  <c r="BW195" i="14"/>
  <c r="BW209" i="14"/>
  <c r="BW205" i="14"/>
  <c r="BW201" i="14"/>
  <c r="BW197" i="14"/>
  <c r="BW193" i="14"/>
  <c r="BW189" i="14"/>
  <c r="BW185" i="14"/>
  <c r="BW181" i="14"/>
  <c r="BW187" i="14"/>
  <c r="BW210" i="14"/>
  <c r="BW206" i="14"/>
  <c r="BW202" i="14"/>
  <c r="BW198" i="14"/>
  <c r="BW194" i="14"/>
  <c r="BW190" i="14"/>
  <c r="BW186" i="14"/>
  <c r="BW182" i="14"/>
  <c r="BW207" i="14"/>
  <c r="BW191" i="14"/>
  <c r="BW183" i="14"/>
  <c r="BU545" i="14"/>
  <c r="BU543" i="14"/>
  <c r="BU541" i="14"/>
  <c r="BU539" i="14"/>
  <c r="BU537" i="14"/>
  <c r="BU535" i="14"/>
  <c r="BU533" i="14"/>
  <c r="BU531" i="14"/>
  <c r="BU529" i="14"/>
  <c r="BU527" i="14"/>
  <c r="BU525" i="14"/>
  <c r="BU523" i="14"/>
  <c r="BU521" i="14"/>
  <c r="BU519" i="14"/>
  <c r="BU517" i="14"/>
  <c r="BU515" i="14"/>
  <c r="BU513" i="14"/>
  <c r="BU511" i="14"/>
  <c r="BU509" i="14"/>
  <c r="BU507" i="14"/>
  <c r="BU505" i="14"/>
  <c r="BU503" i="14"/>
  <c r="BU501" i="14"/>
  <c r="BU499" i="14"/>
  <c r="BU497" i="14"/>
  <c r="BU495" i="14"/>
  <c r="BU493" i="14"/>
  <c r="BU491" i="14"/>
  <c r="BU489" i="14"/>
  <c r="BU542" i="14"/>
  <c r="BU538" i="14"/>
  <c r="BU534" i="14"/>
  <c r="BU530" i="14"/>
  <c r="BU526" i="14"/>
  <c r="BU522" i="14"/>
  <c r="BU518" i="14"/>
  <c r="BU514" i="14"/>
  <c r="BU510" i="14"/>
  <c r="BU506" i="14"/>
  <c r="BU502" i="14"/>
  <c r="BU498" i="14"/>
  <c r="BU494" i="14"/>
  <c r="BU490" i="14"/>
  <c r="BU488" i="14"/>
  <c r="BU486" i="14"/>
  <c r="BU484" i="14"/>
  <c r="BU482" i="14"/>
  <c r="BU480" i="14"/>
  <c r="BU478" i="14"/>
  <c r="BU476" i="14"/>
  <c r="BU474" i="14"/>
  <c r="BU472" i="14"/>
  <c r="BU470" i="14"/>
  <c r="BU468" i="14"/>
  <c r="BU466" i="14"/>
  <c r="BU464" i="14"/>
  <c r="BU462" i="14"/>
  <c r="BU544" i="14"/>
  <c r="BU540" i="14"/>
  <c r="BU536" i="14"/>
  <c r="BU532" i="14"/>
  <c r="BU528" i="14"/>
  <c r="BU524" i="14"/>
  <c r="BU520" i="14"/>
  <c r="BU516" i="14"/>
  <c r="BU512" i="14"/>
  <c r="BU508" i="14"/>
  <c r="BU504" i="14"/>
  <c r="BU500" i="14"/>
  <c r="BU496" i="14"/>
  <c r="BU492" i="14"/>
  <c r="BU487" i="14"/>
  <c r="BU485" i="14"/>
  <c r="BU483" i="14"/>
  <c r="BU481" i="14"/>
  <c r="BU479" i="14"/>
  <c r="BU477" i="14"/>
  <c r="BU475" i="14"/>
  <c r="BU473" i="14"/>
  <c r="BU471" i="14"/>
  <c r="BU469" i="14"/>
  <c r="BU467" i="14"/>
  <c r="BU465" i="14"/>
  <c r="BU463" i="14"/>
  <c r="BU461" i="14"/>
  <c r="BU460" i="14"/>
  <c r="BU458" i="14"/>
  <c r="BU456" i="14"/>
  <c r="BU454" i="14"/>
  <c r="BU452" i="14"/>
  <c r="BU450" i="14"/>
  <c r="BU448" i="14"/>
  <c r="BU446" i="14"/>
  <c r="BU444" i="14"/>
  <c r="BU442" i="14"/>
  <c r="BU440" i="14"/>
  <c r="BU438" i="14"/>
  <c r="BU436" i="14"/>
  <c r="BU434" i="14"/>
  <c r="BU432" i="14"/>
  <c r="BU430" i="14"/>
  <c r="BU428" i="14"/>
  <c r="BU426" i="14"/>
  <c r="BU424" i="14"/>
  <c r="BU422" i="14"/>
  <c r="BU420" i="14"/>
  <c r="BU459" i="14"/>
  <c r="BU451" i="14"/>
  <c r="BU443" i="14"/>
  <c r="BU435" i="14"/>
  <c r="BU427" i="14"/>
  <c r="BU419" i="14"/>
  <c r="BU418" i="14"/>
  <c r="BU416" i="14"/>
  <c r="BU414" i="14"/>
  <c r="BU412" i="14"/>
  <c r="BU410" i="14"/>
  <c r="BU408" i="14"/>
  <c r="BU406" i="14"/>
  <c r="BU404" i="14"/>
  <c r="BU402" i="14"/>
  <c r="BU400" i="14"/>
  <c r="BU398" i="14"/>
  <c r="BU396" i="14"/>
  <c r="BU394" i="14"/>
  <c r="BU392" i="14"/>
  <c r="BU390" i="14"/>
  <c r="BU388" i="14"/>
  <c r="BU386" i="14"/>
  <c r="BU384" i="14"/>
  <c r="BU382" i="14"/>
  <c r="BU380" i="14"/>
  <c r="BU378" i="14"/>
  <c r="BU376" i="14"/>
  <c r="BU374" i="14"/>
  <c r="BU372" i="14"/>
  <c r="BU370" i="14"/>
  <c r="BU368" i="14"/>
  <c r="BU366" i="14"/>
  <c r="BU364" i="14"/>
  <c r="BU362" i="14"/>
  <c r="BU360" i="14"/>
  <c r="BU358" i="14"/>
  <c r="BU356" i="14"/>
  <c r="BU354" i="14"/>
  <c r="BU352" i="14"/>
  <c r="BU350" i="14"/>
  <c r="BU348" i="14"/>
  <c r="BU346" i="14"/>
  <c r="BU344" i="14"/>
  <c r="BU342" i="14"/>
  <c r="BU340" i="14"/>
  <c r="BU338" i="14"/>
  <c r="BU336" i="14"/>
  <c r="BU334" i="14"/>
  <c r="BU332" i="14"/>
  <c r="BU330" i="14"/>
  <c r="BU328" i="14"/>
  <c r="BU326" i="14"/>
  <c r="BU324" i="14"/>
  <c r="BU322" i="14"/>
  <c r="BU320" i="14"/>
  <c r="BU453" i="14"/>
  <c r="BU445" i="14"/>
  <c r="BU437" i="14"/>
  <c r="BU429" i="14"/>
  <c r="BU421" i="14"/>
  <c r="BU455" i="14"/>
  <c r="BU447" i="14"/>
  <c r="BU439" i="14"/>
  <c r="BU431" i="14"/>
  <c r="BU423" i="14"/>
  <c r="BU417" i="14"/>
  <c r="BU415" i="14"/>
  <c r="BU413" i="14"/>
  <c r="BU411" i="14"/>
  <c r="BU409" i="14"/>
  <c r="BU407" i="14"/>
  <c r="BU405" i="14"/>
  <c r="BU403" i="14"/>
  <c r="BU401" i="14"/>
  <c r="BU399" i="14"/>
  <c r="BU397" i="14"/>
  <c r="BU395" i="14"/>
  <c r="BU393" i="14"/>
  <c r="BU391" i="14"/>
  <c r="BU389" i="14"/>
  <c r="BU387" i="14"/>
  <c r="BU385" i="14"/>
  <c r="BU383" i="14"/>
  <c r="BU381" i="14"/>
  <c r="BU379" i="14"/>
  <c r="BU377" i="14"/>
  <c r="BU375" i="14"/>
  <c r="BU373" i="14"/>
  <c r="BU371" i="14"/>
  <c r="BU369" i="14"/>
  <c r="BU367" i="14"/>
  <c r="BU365" i="14"/>
  <c r="BU363" i="14"/>
  <c r="BU361" i="14"/>
  <c r="BU359" i="14"/>
  <c r="BU357" i="14"/>
  <c r="BU355" i="14"/>
  <c r="BU353" i="14"/>
  <c r="BU351" i="14"/>
  <c r="BU349" i="14"/>
  <c r="BU347" i="14"/>
  <c r="BU345" i="14"/>
  <c r="BU343" i="14"/>
  <c r="BU341" i="14"/>
  <c r="BU339" i="14"/>
  <c r="BU337" i="14"/>
  <c r="BU335" i="14"/>
  <c r="BU333" i="14"/>
  <c r="BU331" i="14"/>
  <c r="BU329" i="14"/>
  <c r="BU327" i="14"/>
  <c r="BU325" i="14"/>
  <c r="BU323" i="14"/>
  <c r="BU321" i="14"/>
  <c r="BU433" i="14"/>
  <c r="BU441" i="14"/>
  <c r="BU319" i="14"/>
  <c r="BU317" i="14"/>
  <c r="BU315" i="14"/>
  <c r="BU313" i="14"/>
  <c r="BU311" i="14"/>
  <c r="BU309" i="14"/>
  <c r="BU307" i="14"/>
  <c r="BU305" i="14"/>
  <c r="BU303" i="14"/>
  <c r="BU301" i="14"/>
  <c r="BU299" i="14"/>
  <c r="BU297" i="14"/>
  <c r="BU295" i="14"/>
  <c r="BU293" i="14"/>
  <c r="BU291" i="14"/>
  <c r="BU289" i="14"/>
  <c r="BU287" i="14"/>
  <c r="BU285" i="14"/>
  <c r="BU283" i="14"/>
  <c r="BU281" i="14"/>
  <c r="BU279" i="14"/>
  <c r="BU277" i="14"/>
  <c r="BU275" i="14"/>
  <c r="BU273" i="14"/>
  <c r="BU271" i="14"/>
  <c r="BU269" i="14"/>
  <c r="BU267" i="14"/>
  <c r="BU265" i="14"/>
  <c r="BU263" i="14"/>
  <c r="BU261" i="14"/>
  <c r="BU259" i="14"/>
  <c r="BU257" i="14"/>
  <c r="BU255" i="14"/>
  <c r="BU253" i="14"/>
  <c r="BU251" i="14"/>
  <c r="BU249" i="14"/>
  <c r="BU247" i="14"/>
  <c r="BU245" i="14"/>
  <c r="BU243" i="14"/>
  <c r="BU241" i="14"/>
  <c r="BU239" i="14"/>
  <c r="BU237" i="14"/>
  <c r="BU235" i="14"/>
  <c r="BU449" i="14"/>
  <c r="BU316" i="14"/>
  <c r="BU308" i="14"/>
  <c r="BU300" i="14"/>
  <c r="BU292" i="14"/>
  <c r="BU284" i="14"/>
  <c r="BU276" i="14"/>
  <c r="BU268" i="14"/>
  <c r="BU260" i="14"/>
  <c r="BU252" i="14"/>
  <c r="BU244" i="14"/>
  <c r="BU236" i="14"/>
  <c r="BU233" i="14"/>
  <c r="BU231" i="14"/>
  <c r="BU229" i="14"/>
  <c r="BU227" i="14"/>
  <c r="BU225" i="14"/>
  <c r="BU223" i="14"/>
  <c r="BU221" i="14"/>
  <c r="BU219" i="14"/>
  <c r="BU217" i="14"/>
  <c r="BU215" i="14"/>
  <c r="BU213" i="14"/>
  <c r="BU211" i="14"/>
  <c r="BU314" i="14"/>
  <c r="BU306" i="14"/>
  <c r="BU298" i="14"/>
  <c r="BU290" i="14"/>
  <c r="BU274" i="14"/>
  <c r="BU266" i="14"/>
  <c r="BU250" i="14"/>
  <c r="BU242" i="14"/>
  <c r="BU425" i="14"/>
  <c r="BU318" i="14"/>
  <c r="BU310" i="14"/>
  <c r="BU302" i="14"/>
  <c r="BU294" i="14"/>
  <c r="BU286" i="14"/>
  <c r="BU278" i="14"/>
  <c r="BU270" i="14"/>
  <c r="BU262" i="14"/>
  <c r="BU254" i="14"/>
  <c r="BU246" i="14"/>
  <c r="BU238" i="14"/>
  <c r="BU258" i="14"/>
  <c r="BU457" i="14"/>
  <c r="BU312" i="14"/>
  <c r="BU304" i="14"/>
  <c r="BU296" i="14"/>
  <c r="BU288" i="14"/>
  <c r="BU280" i="14"/>
  <c r="BU272" i="14"/>
  <c r="BU264" i="14"/>
  <c r="BU256" i="14"/>
  <c r="BU248" i="14"/>
  <c r="BU240" i="14"/>
  <c r="BU234" i="14"/>
  <c r="BU232" i="14"/>
  <c r="BU230" i="14"/>
  <c r="BU228" i="14"/>
  <c r="BU226" i="14"/>
  <c r="BU224" i="14"/>
  <c r="BU222" i="14"/>
  <c r="BU220" i="14"/>
  <c r="BU218" i="14"/>
  <c r="BU216" i="14"/>
  <c r="BU214" i="14"/>
  <c r="BU212" i="14"/>
  <c r="BU282" i="14"/>
  <c r="BU210" i="14"/>
  <c r="BU206" i="14"/>
  <c r="BU202" i="14"/>
  <c r="BU198" i="14"/>
  <c r="BU194" i="14"/>
  <c r="BU190" i="14"/>
  <c r="BU186" i="14"/>
  <c r="BU182" i="14"/>
  <c r="BU209" i="14"/>
  <c r="BU205" i="14"/>
  <c r="BU201" i="14"/>
  <c r="BU193" i="14"/>
  <c r="BU185" i="14"/>
  <c r="BU207" i="14"/>
  <c r="BU203" i="14"/>
  <c r="BU199" i="14"/>
  <c r="BU195" i="14"/>
  <c r="BU191" i="14"/>
  <c r="BU187" i="14"/>
  <c r="BU183" i="14"/>
  <c r="BU197" i="14"/>
  <c r="BU189" i="14"/>
  <c r="BU181" i="14"/>
  <c r="BU208" i="14"/>
  <c r="BU204" i="14"/>
  <c r="BU200" i="14"/>
  <c r="BU196" i="14"/>
  <c r="BU192" i="14"/>
  <c r="BU188" i="14"/>
  <c r="BU184" i="14"/>
  <c r="BU180" i="14"/>
  <c r="BX544" i="14"/>
  <c r="BX542" i="14"/>
  <c r="BX540" i="14"/>
  <c r="BX538" i="14"/>
  <c r="BX536" i="14"/>
  <c r="BX534" i="14"/>
  <c r="BX532" i="14"/>
  <c r="BX530" i="14"/>
  <c r="BX528" i="14"/>
  <c r="BX526" i="14"/>
  <c r="BX524" i="14"/>
  <c r="BX522" i="14"/>
  <c r="BX520" i="14"/>
  <c r="BX518" i="14"/>
  <c r="BX516" i="14"/>
  <c r="BX514" i="14"/>
  <c r="BX512" i="14"/>
  <c r="BX510" i="14"/>
  <c r="BX508" i="14"/>
  <c r="BX506" i="14"/>
  <c r="BX504" i="14"/>
  <c r="BX502" i="14"/>
  <c r="BX500" i="14"/>
  <c r="BX498" i="14"/>
  <c r="BX496" i="14"/>
  <c r="BX494" i="14"/>
  <c r="BX492" i="14"/>
  <c r="BX490" i="14"/>
  <c r="BX545" i="14"/>
  <c r="BX541" i="14"/>
  <c r="BX537" i="14"/>
  <c r="BX533" i="14"/>
  <c r="BX529" i="14"/>
  <c r="BX525" i="14"/>
  <c r="BX521" i="14"/>
  <c r="BX517" i="14"/>
  <c r="BX513" i="14"/>
  <c r="BX509" i="14"/>
  <c r="BX505" i="14"/>
  <c r="BX501" i="14"/>
  <c r="BX497" i="14"/>
  <c r="BX493" i="14"/>
  <c r="BX489" i="14"/>
  <c r="BX488" i="14"/>
  <c r="BX486" i="14"/>
  <c r="BX484" i="14"/>
  <c r="BX482" i="14"/>
  <c r="BX480" i="14"/>
  <c r="BX478" i="14"/>
  <c r="BX476" i="14"/>
  <c r="BX474" i="14"/>
  <c r="BX472" i="14"/>
  <c r="BX470" i="14"/>
  <c r="BX468" i="14"/>
  <c r="BX466" i="14"/>
  <c r="BX464" i="14"/>
  <c r="BX462" i="14"/>
  <c r="BX535" i="14"/>
  <c r="BX519" i="14"/>
  <c r="BX503" i="14"/>
  <c r="BX485" i="14"/>
  <c r="BX477" i="14"/>
  <c r="BX469" i="14"/>
  <c r="BX461" i="14"/>
  <c r="BX459" i="14"/>
  <c r="BX457" i="14"/>
  <c r="BX455" i="14"/>
  <c r="BX453" i="14"/>
  <c r="BX451" i="14"/>
  <c r="BX449" i="14"/>
  <c r="BX447" i="14"/>
  <c r="BX445" i="14"/>
  <c r="BX443" i="14"/>
  <c r="BX441" i="14"/>
  <c r="BX439" i="14"/>
  <c r="BX437" i="14"/>
  <c r="BX435" i="14"/>
  <c r="BX433" i="14"/>
  <c r="BX431" i="14"/>
  <c r="BX429" i="14"/>
  <c r="BX427" i="14"/>
  <c r="BX425" i="14"/>
  <c r="BX423" i="14"/>
  <c r="BX421" i="14"/>
  <c r="BX419" i="14"/>
  <c r="BX539" i="14"/>
  <c r="BX523" i="14"/>
  <c r="BX507" i="14"/>
  <c r="BX491" i="14"/>
  <c r="BX487" i="14"/>
  <c r="BX479" i="14"/>
  <c r="BX471" i="14"/>
  <c r="BX463" i="14"/>
  <c r="BX543" i="14"/>
  <c r="BX527" i="14"/>
  <c r="BX511" i="14"/>
  <c r="BX495" i="14"/>
  <c r="BX481" i="14"/>
  <c r="BX473" i="14"/>
  <c r="BX465" i="14"/>
  <c r="BX460" i="14"/>
  <c r="BX458" i="14"/>
  <c r="BX456" i="14"/>
  <c r="BX454" i="14"/>
  <c r="BX452" i="14"/>
  <c r="BX450" i="14"/>
  <c r="BX448" i="14"/>
  <c r="BX446" i="14"/>
  <c r="BX444" i="14"/>
  <c r="BX442" i="14"/>
  <c r="BX440" i="14"/>
  <c r="BX438" i="14"/>
  <c r="BX436" i="14"/>
  <c r="BX434" i="14"/>
  <c r="BX432" i="14"/>
  <c r="BX430" i="14"/>
  <c r="BX428" i="14"/>
  <c r="BX426" i="14"/>
  <c r="BX424" i="14"/>
  <c r="BX422" i="14"/>
  <c r="BX420" i="14"/>
  <c r="BX475" i="14"/>
  <c r="BX499" i="14"/>
  <c r="BX483" i="14"/>
  <c r="BX418" i="14"/>
  <c r="BX416" i="14"/>
  <c r="BX414" i="14"/>
  <c r="BX412" i="14"/>
  <c r="BX410" i="14"/>
  <c r="BX408" i="14"/>
  <c r="BX406" i="14"/>
  <c r="BX404" i="14"/>
  <c r="BX402" i="14"/>
  <c r="BX400" i="14"/>
  <c r="BX398" i="14"/>
  <c r="BX396" i="14"/>
  <c r="BX394" i="14"/>
  <c r="BX392" i="14"/>
  <c r="BX390" i="14"/>
  <c r="BX388" i="14"/>
  <c r="BX386" i="14"/>
  <c r="BX384" i="14"/>
  <c r="BX382" i="14"/>
  <c r="BX380" i="14"/>
  <c r="BX378" i="14"/>
  <c r="BX376" i="14"/>
  <c r="BX374" i="14"/>
  <c r="BX372" i="14"/>
  <c r="BX370" i="14"/>
  <c r="BX368" i="14"/>
  <c r="BX366" i="14"/>
  <c r="BX364" i="14"/>
  <c r="BX362" i="14"/>
  <c r="BX360" i="14"/>
  <c r="BX358" i="14"/>
  <c r="BX356" i="14"/>
  <c r="BX354" i="14"/>
  <c r="BX352" i="14"/>
  <c r="BX350" i="14"/>
  <c r="BX348" i="14"/>
  <c r="BX346" i="14"/>
  <c r="BX344" i="14"/>
  <c r="BX342" i="14"/>
  <c r="BX340" i="14"/>
  <c r="BX338" i="14"/>
  <c r="BX336" i="14"/>
  <c r="BX334" i="14"/>
  <c r="BX332" i="14"/>
  <c r="BX330" i="14"/>
  <c r="BX328" i="14"/>
  <c r="BX326" i="14"/>
  <c r="BX324" i="14"/>
  <c r="BX322" i="14"/>
  <c r="BX320" i="14"/>
  <c r="BX515" i="14"/>
  <c r="BX411" i="14"/>
  <c r="BX403" i="14"/>
  <c r="BX395" i="14"/>
  <c r="BX387" i="14"/>
  <c r="BX379" i="14"/>
  <c r="BX371" i="14"/>
  <c r="BX363" i="14"/>
  <c r="BX355" i="14"/>
  <c r="BX347" i="14"/>
  <c r="BX339" i="14"/>
  <c r="BX331" i="14"/>
  <c r="BX323" i="14"/>
  <c r="BX318" i="14"/>
  <c r="BX316" i="14"/>
  <c r="BX314" i="14"/>
  <c r="BX312" i="14"/>
  <c r="BX310" i="14"/>
  <c r="BX308" i="14"/>
  <c r="BX306" i="14"/>
  <c r="BX304" i="14"/>
  <c r="BX302" i="14"/>
  <c r="BX300" i="14"/>
  <c r="BX298" i="14"/>
  <c r="BX296" i="14"/>
  <c r="BX294" i="14"/>
  <c r="BX292" i="14"/>
  <c r="BX290" i="14"/>
  <c r="BX288" i="14"/>
  <c r="BX286" i="14"/>
  <c r="BX284" i="14"/>
  <c r="BX282" i="14"/>
  <c r="BX280" i="14"/>
  <c r="BX278" i="14"/>
  <c r="BX276" i="14"/>
  <c r="BX274" i="14"/>
  <c r="BX272" i="14"/>
  <c r="BX270" i="14"/>
  <c r="BX268" i="14"/>
  <c r="BX266" i="14"/>
  <c r="BX264" i="14"/>
  <c r="BX262" i="14"/>
  <c r="BX260" i="14"/>
  <c r="BX258" i="14"/>
  <c r="BX256" i="14"/>
  <c r="BX254" i="14"/>
  <c r="BX252" i="14"/>
  <c r="BX250" i="14"/>
  <c r="BX248" i="14"/>
  <c r="BX246" i="14"/>
  <c r="BX244" i="14"/>
  <c r="BX242" i="14"/>
  <c r="BX240" i="14"/>
  <c r="BX238" i="14"/>
  <c r="BX236" i="14"/>
  <c r="BX531" i="14"/>
  <c r="BX467" i="14"/>
  <c r="BX413" i="14"/>
  <c r="BX405" i="14"/>
  <c r="BX397" i="14"/>
  <c r="BX389" i="14"/>
  <c r="BX381" i="14"/>
  <c r="BX373" i="14"/>
  <c r="BX365" i="14"/>
  <c r="BX357" i="14"/>
  <c r="BX349" i="14"/>
  <c r="BX341" i="14"/>
  <c r="BX333" i="14"/>
  <c r="BX325" i="14"/>
  <c r="BX415" i="14"/>
  <c r="BX407" i="14"/>
  <c r="BX399" i="14"/>
  <c r="BX391" i="14"/>
  <c r="BX383" i="14"/>
  <c r="BX375" i="14"/>
  <c r="BX367" i="14"/>
  <c r="BX359" i="14"/>
  <c r="BX351" i="14"/>
  <c r="BX343" i="14"/>
  <c r="BX335" i="14"/>
  <c r="BX327" i="14"/>
  <c r="BX319" i="14"/>
  <c r="BX317" i="14"/>
  <c r="BX315" i="14"/>
  <c r="BX313" i="14"/>
  <c r="BX311" i="14"/>
  <c r="BX309" i="14"/>
  <c r="BX307" i="14"/>
  <c r="BX305" i="14"/>
  <c r="BX303" i="14"/>
  <c r="BX301" i="14"/>
  <c r="BX299" i="14"/>
  <c r="BX297" i="14"/>
  <c r="BX295" i="14"/>
  <c r="BX293" i="14"/>
  <c r="BX291" i="14"/>
  <c r="BX289" i="14"/>
  <c r="BX287" i="14"/>
  <c r="BX285" i="14"/>
  <c r="BX283" i="14"/>
  <c r="BX281" i="14"/>
  <c r="BX279" i="14"/>
  <c r="BX277" i="14"/>
  <c r="BX275" i="14"/>
  <c r="BX273" i="14"/>
  <c r="BX271" i="14"/>
  <c r="BX269" i="14"/>
  <c r="BX267" i="14"/>
  <c r="BX265" i="14"/>
  <c r="BX263" i="14"/>
  <c r="BX261" i="14"/>
  <c r="BX259" i="14"/>
  <c r="BX257" i="14"/>
  <c r="BX255" i="14"/>
  <c r="BX253" i="14"/>
  <c r="BX251" i="14"/>
  <c r="BX249" i="14"/>
  <c r="BX247" i="14"/>
  <c r="BX245" i="14"/>
  <c r="BX243" i="14"/>
  <c r="BX241" i="14"/>
  <c r="BX239" i="14"/>
  <c r="BX237" i="14"/>
  <c r="BX235" i="14"/>
  <c r="BX401" i="14"/>
  <c r="BX369" i="14"/>
  <c r="BX337" i="14"/>
  <c r="BX393" i="14"/>
  <c r="BX329" i="14"/>
  <c r="BX226" i="14"/>
  <c r="BX216" i="14"/>
  <c r="BX409" i="14"/>
  <c r="BX377" i="14"/>
  <c r="BX345" i="14"/>
  <c r="BX233" i="14"/>
  <c r="BX231" i="14"/>
  <c r="BX229" i="14"/>
  <c r="BX227" i="14"/>
  <c r="BX225" i="14"/>
  <c r="BX223" i="14"/>
  <c r="BX221" i="14"/>
  <c r="BX219" i="14"/>
  <c r="BX217" i="14"/>
  <c r="BX215" i="14"/>
  <c r="BX213" i="14"/>
  <c r="BX211" i="14"/>
  <c r="BX232" i="14"/>
  <c r="BX417" i="14"/>
  <c r="BX385" i="14"/>
  <c r="BX353" i="14"/>
  <c r="BX321" i="14"/>
  <c r="BX361" i="14"/>
  <c r="BX234" i="14"/>
  <c r="BX230" i="14"/>
  <c r="BX228" i="14"/>
  <c r="BX224" i="14"/>
  <c r="BX222" i="14"/>
  <c r="BX220" i="14"/>
  <c r="BX218" i="14"/>
  <c r="BX214" i="14"/>
  <c r="BX212" i="14"/>
  <c r="BX209" i="14"/>
  <c r="BX205" i="14"/>
  <c r="BX201" i="14"/>
  <c r="BX197" i="14"/>
  <c r="BX193" i="14"/>
  <c r="BX189" i="14"/>
  <c r="BX185" i="14"/>
  <c r="BX181" i="14"/>
  <c r="BX196" i="14"/>
  <c r="BX188" i="14"/>
  <c r="BX180" i="14"/>
  <c r="BX210" i="14"/>
  <c r="BX206" i="14"/>
  <c r="BX202" i="14"/>
  <c r="BX198" i="14"/>
  <c r="BX194" i="14"/>
  <c r="BX190" i="14"/>
  <c r="BX186" i="14"/>
  <c r="BX182" i="14"/>
  <c r="BX208" i="14"/>
  <c r="BX200" i="14"/>
  <c r="BX192" i="14"/>
  <c r="BX184" i="14"/>
  <c r="BX207" i="14"/>
  <c r="BX203" i="14"/>
  <c r="BX199" i="14"/>
  <c r="BX195" i="14"/>
  <c r="BX191" i="14"/>
  <c r="BX187" i="14"/>
  <c r="BX183" i="14"/>
  <c r="BX204" i="14"/>
  <c r="BT544" i="14"/>
  <c r="BT542" i="14"/>
  <c r="BT540" i="14"/>
  <c r="BT538" i="14"/>
  <c r="BT536" i="14"/>
  <c r="BT534" i="14"/>
  <c r="BT532" i="14"/>
  <c r="BT530" i="14"/>
  <c r="BT528" i="14"/>
  <c r="BT526" i="14"/>
  <c r="BT524" i="14"/>
  <c r="BT522" i="14"/>
  <c r="BT520" i="14"/>
  <c r="BT518" i="14"/>
  <c r="BT516" i="14"/>
  <c r="BT514" i="14"/>
  <c r="BT512" i="14"/>
  <c r="BT510" i="14"/>
  <c r="BT508" i="14"/>
  <c r="BT506" i="14"/>
  <c r="BT504" i="14"/>
  <c r="BT502" i="14"/>
  <c r="BT500" i="14"/>
  <c r="BT498" i="14"/>
  <c r="BT496" i="14"/>
  <c r="BT494" i="14"/>
  <c r="BT492" i="14"/>
  <c r="BT490" i="14"/>
  <c r="BT543" i="14"/>
  <c r="BT539" i="14"/>
  <c r="BT535" i="14"/>
  <c r="BT531" i="14"/>
  <c r="BT527" i="14"/>
  <c r="BT523" i="14"/>
  <c r="BT519" i="14"/>
  <c r="BT515" i="14"/>
  <c r="BT511" i="14"/>
  <c r="BT507" i="14"/>
  <c r="BT503" i="14"/>
  <c r="BT499" i="14"/>
  <c r="BT495" i="14"/>
  <c r="BT491" i="14"/>
  <c r="BT488" i="14"/>
  <c r="BT486" i="14"/>
  <c r="BT484" i="14"/>
  <c r="BT482" i="14"/>
  <c r="BT480" i="14"/>
  <c r="BT478" i="14"/>
  <c r="BT476" i="14"/>
  <c r="BT474" i="14"/>
  <c r="BT472" i="14"/>
  <c r="BT470" i="14"/>
  <c r="BT468" i="14"/>
  <c r="BT466" i="14"/>
  <c r="BT464" i="14"/>
  <c r="BT462" i="14"/>
  <c r="BT541" i="14"/>
  <c r="BT525" i="14"/>
  <c r="BT509" i="14"/>
  <c r="BT493" i="14"/>
  <c r="BT483" i="14"/>
  <c r="BT475" i="14"/>
  <c r="BT467" i="14"/>
  <c r="BT459" i="14"/>
  <c r="BT457" i="14"/>
  <c r="BT455" i="14"/>
  <c r="BT453" i="14"/>
  <c r="BT451" i="14"/>
  <c r="BT449" i="14"/>
  <c r="BT447" i="14"/>
  <c r="BT445" i="14"/>
  <c r="BT443" i="14"/>
  <c r="BT441" i="14"/>
  <c r="BT439" i="14"/>
  <c r="BT437" i="14"/>
  <c r="BT435" i="14"/>
  <c r="BT433" i="14"/>
  <c r="BT431" i="14"/>
  <c r="BT429" i="14"/>
  <c r="BT427" i="14"/>
  <c r="BT425" i="14"/>
  <c r="BT423" i="14"/>
  <c r="BT421" i="14"/>
  <c r="BT419" i="14"/>
  <c r="BT545" i="14"/>
  <c r="BT529" i="14"/>
  <c r="BT513" i="14"/>
  <c r="BT497" i="14"/>
  <c r="BT485" i="14"/>
  <c r="BT477" i="14"/>
  <c r="BT469" i="14"/>
  <c r="BT461" i="14"/>
  <c r="BT533" i="14"/>
  <c r="BT517" i="14"/>
  <c r="BT501" i="14"/>
  <c r="BT487" i="14"/>
  <c r="BT479" i="14"/>
  <c r="BT471" i="14"/>
  <c r="BT463" i="14"/>
  <c r="BT460" i="14"/>
  <c r="BT458" i="14"/>
  <c r="BT456" i="14"/>
  <c r="BT454" i="14"/>
  <c r="BT452" i="14"/>
  <c r="BT450" i="14"/>
  <c r="BT448" i="14"/>
  <c r="BT446" i="14"/>
  <c r="BT444" i="14"/>
  <c r="BT442" i="14"/>
  <c r="BT440" i="14"/>
  <c r="BT438" i="14"/>
  <c r="BT436" i="14"/>
  <c r="BT434" i="14"/>
  <c r="BT432" i="14"/>
  <c r="BT430" i="14"/>
  <c r="BT428" i="14"/>
  <c r="BT426" i="14"/>
  <c r="BT424" i="14"/>
  <c r="BT422" i="14"/>
  <c r="BT420" i="14"/>
  <c r="BT505" i="14"/>
  <c r="BT465" i="14"/>
  <c r="BT521" i="14"/>
  <c r="BT473" i="14"/>
  <c r="BT418" i="14"/>
  <c r="BT416" i="14"/>
  <c r="BT414" i="14"/>
  <c r="BT412" i="14"/>
  <c r="BT410" i="14"/>
  <c r="BT408" i="14"/>
  <c r="BT406" i="14"/>
  <c r="BT404" i="14"/>
  <c r="BT402" i="14"/>
  <c r="BT400" i="14"/>
  <c r="BT398" i="14"/>
  <c r="BT396" i="14"/>
  <c r="BT394" i="14"/>
  <c r="BT392" i="14"/>
  <c r="BT390" i="14"/>
  <c r="BT388" i="14"/>
  <c r="BT386" i="14"/>
  <c r="BT384" i="14"/>
  <c r="BT382" i="14"/>
  <c r="BT380" i="14"/>
  <c r="BT378" i="14"/>
  <c r="BT376" i="14"/>
  <c r="BT374" i="14"/>
  <c r="BT372" i="14"/>
  <c r="BT370" i="14"/>
  <c r="BT368" i="14"/>
  <c r="BT366" i="14"/>
  <c r="BT364" i="14"/>
  <c r="BT362" i="14"/>
  <c r="BT360" i="14"/>
  <c r="BT358" i="14"/>
  <c r="BT356" i="14"/>
  <c r="BT354" i="14"/>
  <c r="BT352" i="14"/>
  <c r="BT350" i="14"/>
  <c r="BT348" i="14"/>
  <c r="BT346" i="14"/>
  <c r="BT344" i="14"/>
  <c r="BT342" i="14"/>
  <c r="BT340" i="14"/>
  <c r="BT338" i="14"/>
  <c r="BT336" i="14"/>
  <c r="BT334" i="14"/>
  <c r="BT332" i="14"/>
  <c r="BT330" i="14"/>
  <c r="BT328" i="14"/>
  <c r="BT326" i="14"/>
  <c r="BT324" i="14"/>
  <c r="BT322" i="14"/>
  <c r="BT320" i="14"/>
  <c r="BT537" i="14"/>
  <c r="BT481" i="14"/>
  <c r="BT417" i="14"/>
  <c r="BT409" i="14"/>
  <c r="BT401" i="14"/>
  <c r="BT393" i="14"/>
  <c r="BT385" i="14"/>
  <c r="BT377" i="14"/>
  <c r="BT369" i="14"/>
  <c r="BT361" i="14"/>
  <c r="BT353" i="14"/>
  <c r="BT345" i="14"/>
  <c r="BT337" i="14"/>
  <c r="BT329" i="14"/>
  <c r="BT321" i="14"/>
  <c r="BT318" i="14"/>
  <c r="BT316" i="14"/>
  <c r="BT314" i="14"/>
  <c r="BT312" i="14"/>
  <c r="BT310" i="14"/>
  <c r="BT308" i="14"/>
  <c r="BT306" i="14"/>
  <c r="BT304" i="14"/>
  <c r="BT302" i="14"/>
  <c r="BT300" i="14"/>
  <c r="BT298" i="14"/>
  <c r="BT296" i="14"/>
  <c r="BT294" i="14"/>
  <c r="BT292" i="14"/>
  <c r="BT290" i="14"/>
  <c r="BT288" i="14"/>
  <c r="BT286" i="14"/>
  <c r="BT284" i="14"/>
  <c r="BT282" i="14"/>
  <c r="BT280" i="14"/>
  <c r="BT278" i="14"/>
  <c r="BT276" i="14"/>
  <c r="BT274" i="14"/>
  <c r="BT272" i="14"/>
  <c r="BT270" i="14"/>
  <c r="BT268" i="14"/>
  <c r="BT266" i="14"/>
  <c r="BT264" i="14"/>
  <c r="BT262" i="14"/>
  <c r="BT260" i="14"/>
  <c r="BT258" i="14"/>
  <c r="BT256" i="14"/>
  <c r="BT254" i="14"/>
  <c r="BT252" i="14"/>
  <c r="BT250" i="14"/>
  <c r="BT248" i="14"/>
  <c r="BT246" i="14"/>
  <c r="BT244" i="14"/>
  <c r="BT242" i="14"/>
  <c r="BT240" i="14"/>
  <c r="BT238" i="14"/>
  <c r="BT236" i="14"/>
  <c r="BT411" i="14"/>
  <c r="BT403" i="14"/>
  <c r="BT395" i="14"/>
  <c r="BT387" i="14"/>
  <c r="BT379" i="14"/>
  <c r="BT371" i="14"/>
  <c r="BT363" i="14"/>
  <c r="BT355" i="14"/>
  <c r="BT347" i="14"/>
  <c r="BT339" i="14"/>
  <c r="BT331" i="14"/>
  <c r="BT323" i="14"/>
  <c r="BT413" i="14"/>
  <c r="BT405" i="14"/>
  <c r="BT397" i="14"/>
  <c r="BT389" i="14"/>
  <c r="BT381" i="14"/>
  <c r="BT373" i="14"/>
  <c r="BT365" i="14"/>
  <c r="BT357" i="14"/>
  <c r="BT349" i="14"/>
  <c r="BT341" i="14"/>
  <c r="BT333" i="14"/>
  <c r="BT325" i="14"/>
  <c r="BT319" i="14"/>
  <c r="BT317" i="14"/>
  <c r="BT315" i="14"/>
  <c r="BT313" i="14"/>
  <c r="BT311" i="14"/>
  <c r="BT309" i="14"/>
  <c r="BT307" i="14"/>
  <c r="BT305" i="14"/>
  <c r="BT303" i="14"/>
  <c r="BT301" i="14"/>
  <c r="BT299" i="14"/>
  <c r="BT297" i="14"/>
  <c r="BT295" i="14"/>
  <c r="BT293" i="14"/>
  <c r="BT291" i="14"/>
  <c r="BT289" i="14"/>
  <c r="BT287" i="14"/>
  <c r="BT285" i="14"/>
  <c r="BT283" i="14"/>
  <c r="BT281" i="14"/>
  <c r="BT279" i="14"/>
  <c r="BT277" i="14"/>
  <c r="BT275" i="14"/>
  <c r="BT273" i="14"/>
  <c r="BT271" i="14"/>
  <c r="BT269" i="14"/>
  <c r="BT267" i="14"/>
  <c r="BT265" i="14"/>
  <c r="BT263" i="14"/>
  <c r="BT261" i="14"/>
  <c r="BT259" i="14"/>
  <c r="BT257" i="14"/>
  <c r="BT255" i="14"/>
  <c r="BT253" i="14"/>
  <c r="BT251" i="14"/>
  <c r="BT249" i="14"/>
  <c r="BT247" i="14"/>
  <c r="BT245" i="14"/>
  <c r="BT243" i="14"/>
  <c r="BT241" i="14"/>
  <c r="BT239" i="14"/>
  <c r="BT237" i="14"/>
  <c r="BT235" i="14"/>
  <c r="BT391" i="14"/>
  <c r="BT359" i="14"/>
  <c r="BT327" i="14"/>
  <c r="BT234" i="14"/>
  <c r="BT228" i="14"/>
  <c r="BT222" i="14"/>
  <c r="BT220" i="14"/>
  <c r="BT218" i="14"/>
  <c r="BT214" i="14"/>
  <c r="BT212" i="14"/>
  <c r="BT489" i="14"/>
  <c r="BT399" i="14"/>
  <c r="BT367" i="14"/>
  <c r="BT335" i="14"/>
  <c r="BT233" i="14"/>
  <c r="BT231" i="14"/>
  <c r="BT229" i="14"/>
  <c r="BT227" i="14"/>
  <c r="BT225" i="14"/>
  <c r="BT223" i="14"/>
  <c r="BT221" i="14"/>
  <c r="BT219" i="14"/>
  <c r="BT217" i="14"/>
  <c r="BT215" i="14"/>
  <c r="BT213" i="14"/>
  <c r="BT211" i="14"/>
  <c r="BT415" i="14"/>
  <c r="BT383" i="14"/>
  <c r="BT230" i="14"/>
  <c r="BT226" i="14"/>
  <c r="BT224" i="14"/>
  <c r="BT407" i="14"/>
  <c r="BT375" i="14"/>
  <c r="BT343" i="14"/>
  <c r="BT351" i="14"/>
  <c r="BT232" i="14"/>
  <c r="BT216" i="14"/>
  <c r="BT209" i="14"/>
  <c r="BT205" i="14"/>
  <c r="BT201" i="14"/>
  <c r="BT197" i="14"/>
  <c r="BT193" i="14"/>
  <c r="BT189" i="14"/>
  <c r="BT185" i="14"/>
  <c r="BT181" i="14"/>
  <c r="BT208" i="14"/>
  <c r="BT192" i="14"/>
  <c r="BT210" i="14"/>
  <c r="BT206" i="14"/>
  <c r="BT202" i="14"/>
  <c r="BT198" i="14"/>
  <c r="BT194" i="14"/>
  <c r="BT190" i="14"/>
  <c r="BT186" i="14"/>
  <c r="BT182" i="14"/>
  <c r="BT204" i="14"/>
  <c r="BT207" i="14"/>
  <c r="BT203" i="14"/>
  <c r="BT199" i="14"/>
  <c r="BT195" i="14"/>
  <c r="BT191" i="14"/>
  <c r="BT187" i="14"/>
  <c r="BT183" i="14"/>
  <c r="BT200" i="14"/>
  <c r="BT196" i="14"/>
  <c r="BT188" i="14"/>
  <c r="BT184" i="14"/>
  <c r="BT180" i="14"/>
  <c r="BV545" i="14"/>
  <c r="BV543" i="14"/>
  <c r="BV541" i="14"/>
  <c r="BV539" i="14"/>
  <c r="BV537" i="14"/>
  <c r="BV535" i="14"/>
  <c r="BV533" i="14"/>
  <c r="BV531" i="14"/>
  <c r="BV529" i="14"/>
  <c r="BV527" i="14"/>
  <c r="BV525" i="14"/>
  <c r="BV523" i="14"/>
  <c r="BV521" i="14"/>
  <c r="BV519" i="14"/>
  <c r="BV517" i="14"/>
  <c r="BV515" i="14"/>
  <c r="BV513" i="14"/>
  <c r="BV511" i="14"/>
  <c r="BV509" i="14"/>
  <c r="BV507" i="14"/>
  <c r="BV505" i="14"/>
  <c r="BV503" i="14"/>
  <c r="BV501" i="14"/>
  <c r="BV499" i="14"/>
  <c r="BV497" i="14"/>
  <c r="BV495" i="14"/>
  <c r="BV493" i="14"/>
  <c r="BV491" i="14"/>
  <c r="BV489" i="14"/>
  <c r="BV544" i="14"/>
  <c r="BV540" i="14"/>
  <c r="BV536" i="14"/>
  <c r="BV532" i="14"/>
  <c r="BV528" i="14"/>
  <c r="BV524" i="14"/>
  <c r="BV520" i="14"/>
  <c r="BV516" i="14"/>
  <c r="BV512" i="14"/>
  <c r="BV508" i="14"/>
  <c r="BV504" i="14"/>
  <c r="BV500" i="14"/>
  <c r="BV496" i="14"/>
  <c r="BV492" i="14"/>
  <c r="BV487" i="14"/>
  <c r="BV485" i="14"/>
  <c r="BV483" i="14"/>
  <c r="BV481" i="14"/>
  <c r="BV479" i="14"/>
  <c r="BV477" i="14"/>
  <c r="BV475" i="14"/>
  <c r="BV473" i="14"/>
  <c r="BV471" i="14"/>
  <c r="BV469" i="14"/>
  <c r="BV467" i="14"/>
  <c r="BV465" i="14"/>
  <c r="BV463" i="14"/>
  <c r="BV461" i="14"/>
  <c r="BV530" i="14"/>
  <c r="BV514" i="14"/>
  <c r="BV498" i="14"/>
  <c r="BV488" i="14"/>
  <c r="BV480" i="14"/>
  <c r="BV472" i="14"/>
  <c r="BV464" i="14"/>
  <c r="BV460" i="14"/>
  <c r="BV458" i="14"/>
  <c r="BV456" i="14"/>
  <c r="BV454" i="14"/>
  <c r="BV452" i="14"/>
  <c r="BV450" i="14"/>
  <c r="BV448" i="14"/>
  <c r="BV446" i="14"/>
  <c r="BV444" i="14"/>
  <c r="BV442" i="14"/>
  <c r="BV440" i="14"/>
  <c r="BV438" i="14"/>
  <c r="BV436" i="14"/>
  <c r="BV434" i="14"/>
  <c r="BV432" i="14"/>
  <c r="BV430" i="14"/>
  <c r="BV428" i="14"/>
  <c r="BV426" i="14"/>
  <c r="BV424" i="14"/>
  <c r="BV422" i="14"/>
  <c r="BV420" i="14"/>
  <c r="BV534" i="14"/>
  <c r="BV518" i="14"/>
  <c r="BV502" i="14"/>
  <c r="BV482" i="14"/>
  <c r="BV474" i="14"/>
  <c r="BV466" i="14"/>
  <c r="BV538" i="14"/>
  <c r="BV522" i="14"/>
  <c r="BV506" i="14"/>
  <c r="BV490" i="14"/>
  <c r="BV484" i="14"/>
  <c r="BV476" i="14"/>
  <c r="BV468" i="14"/>
  <c r="BV459" i="14"/>
  <c r="BV457" i="14"/>
  <c r="BV455" i="14"/>
  <c r="BV453" i="14"/>
  <c r="BV451" i="14"/>
  <c r="BV449" i="14"/>
  <c r="BV447" i="14"/>
  <c r="BV445" i="14"/>
  <c r="BV443" i="14"/>
  <c r="BV441" i="14"/>
  <c r="BV439" i="14"/>
  <c r="BV437" i="14"/>
  <c r="BV435" i="14"/>
  <c r="BV433" i="14"/>
  <c r="BV431" i="14"/>
  <c r="BV429" i="14"/>
  <c r="BV427" i="14"/>
  <c r="BV425" i="14"/>
  <c r="BV423" i="14"/>
  <c r="BV421" i="14"/>
  <c r="BV419" i="14"/>
  <c r="BV526" i="14"/>
  <c r="BV486" i="14"/>
  <c r="BV542" i="14"/>
  <c r="BV462" i="14"/>
  <c r="BV417" i="14"/>
  <c r="BV415" i="14"/>
  <c r="BV413" i="14"/>
  <c r="BV411" i="14"/>
  <c r="BV409" i="14"/>
  <c r="BV407" i="14"/>
  <c r="BV405" i="14"/>
  <c r="BV403" i="14"/>
  <c r="BV401" i="14"/>
  <c r="BV399" i="14"/>
  <c r="BV397" i="14"/>
  <c r="BV395" i="14"/>
  <c r="BV393" i="14"/>
  <c r="BV391" i="14"/>
  <c r="BV389" i="14"/>
  <c r="BV387" i="14"/>
  <c r="BV385" i="14"/>
  <c r="BV383" i="14"/>
  <c r="BV381" i="14"/>
  <c r="BV379" i="14"/>
  <c r="BV377" i="14"/>
  <c r="BV375" i="14"/>
  <c r="BV373" i="14"/>
  <c r="BV371" i="14"/>
  <c r="BV369" i="14"/>
  <c r="BV367" i="14"/>
  <c r="BV365" i="14"/>
  <c r="BV363" i="14"/>
  <c r="BV361" i="14"/>
  <c r="BV359" i="14"/>
  <c r="BV357" i="14"/>
  <c r="BV355" i="14"/>
  <c r="BV353" i="14"/>
  <c r="BV351" i="14"/>
  <c r="BV349" i="14"/>
  <c r="BV347" i="14"/>
  <c r="BV345" i="14"/>
  <c r="BV343" i="14"/>
  <c r="BV341" i="14"/>
  <c r="BV339" i="14"/>
  <c r="BV337" i="14"/>
  <c r="BV335" i="14"/>
  <c r="BV333" i="14"/>
  <c r="BV331" i="14"/>
  <c r="BV329" i="14"/>
  <c r="BV327" i="14"/>
  <c r="BV325" i="14"/>
  <c r="BV323" i="14"/>
  <c r="BV321" i="14"/>
  <c r="BV494" i="14"/>
  <c r="BV470" i="14"/>
  <c r="BV478" i="14"/>
  <c r="BV414" i="14"/>
  <c r="BV406" i="14"/>
  <c r="BV398" i="14"/>
  <c r="BV390" i="14"/>
  <c r="BV382" i="14"/>
  <c r="BV374" i="14"/>
  <c r="BV366" i="14"/>
  <c r="BV358" i="14"/>
  <c r="BV350" i="14"/>
  <c r="BV342" i="14"/>
  <c r="BV334" i="14"/>
  <c r="BV326" i="14"/>
  <c r="BV319" i="14"/>
  <c r="BV317" i="14"/>
  <c r="BV315" i="14"/>
  <c r="BV313" i="14"/>
  <c r="BV311" i="14"/>
  <c r="BV309" i="14"/>
  <c r="BV307" i="14"/>
  <c r="BV305" i="14"/>
  <c r="BV303" i="14"/>
  <c r="BV301" i="14"/>
  <c r="BV299" i="14"/>
  <c r="BV297" i="14"/>
  <c r="BV295" i="14"/>
  <c r="BV293" i="14"/>
  <c r="BV291" i="14"/>
  <c r="BV289" i="14"/>
  <c r="BV287" i="14"/>
  <c r="BV285" i="14"/>
  <c r="BV283" i="14"/>
  <c r="BV281" i="14"/>
  <c r="BV279" i="14"/>
  <c r="BV277" i="14"/>
  <c r="BV275" i="14"/>
  <c r="BV273" i="14"/>
  <c r="BV271" i="14"/>
  <c r="BV269" i="14"/>
  <c r="BV267" i="14"/>
  <c r="BV265" i="14"/>
  <c r="BV263" i="14"/>
  <c r="BV261" i="14"/>
  <c r="BV259" i="14"/>
  <c r="BV257" i="14"/>
  <c r="BV255" i="14"/>
  <c r="BV253" i="14"/>
  <c r="BV251" i="14"/>
  <c r="BV249" i="14"/>
  <c r="BV247" i="14"/>
  <c r="BV245" i="14"/>
  <c r="BV243" i="14"/>
  <c r="BV241" i="14"/>
  <c r="BV239" i="14"/>
  <c r="BV237" i="14"/>
  <c r="BV235" i="14"/>
  <c r="BV416" i="14"/>
  <c r="BV408" i="14"/>
  <c r="BV400" i="14"/>
  <c r="BV392" i="14"/>
  <c r="BV384" i="14"/>
  <c r="BV376" i="14"/>
  <c r="BV368" i="14"/>
  <c r="BV360" i="14"/>
  <c r="BV352" i="14"/>
  <c r="BV344" i="14"/>
  <c r="BV336" i="14"/>
  <c r="BV328" i="14"/>
  <c r="BV320" i="14"/>
  <c r="BV510" i="14"/>
  <c r="BV418" i="14"/>
  <c r="BV410" i="14"/>
  <c r="BV402" i="14"/>
  <c r="BV394" i="14"/>
  <c r="BV386" i="14"/>
  <c r="BV378" i="14"/>
  <c r="BV370" i="14"/>
  <c r="BV362" i="14"/>
  <c r="BV354" i="14"/>
  <c r="BV346" i="14"/>
  <c r="BV338" i="14"/>
  <c r="BV330" i="14"/>
  <c r="BV322" i="14"/>
  <c r="BV318" i="14"/>
  <c r="BV316" i="14"/>
  <c r="BV314" i="14"/>
  <c r="BV312" i="14"/>
  <c r="BV310" i="14"/>
  <c r="BV308" i="14"/>
  <c r="BV306" i="14"/>
  <c r="BV304" i="14"/>
  <c r="BV302" i="14"/>
  <c r="BV300" i="14"/>
  <c r="BV298" i="14"/>
  <c r="BV296" i="14"/>
  <c r="BV294" i="14"/>
  <c r="BV292" i="14"/>
  <c r="BV290" i="14"/>
  <c r="BV288" i="14"/>
  <c r="BV286" i="14"/>
  <c r="BV284" i="14"/>
  <c r="BV282" i="14"/>
  <c r="BV280" i="14"/>
  <c r="BV278" i="14"/>
  <c r="BV276" i="14"/>
  <c r="BV274" i="14"/>
  <c r="BV272" i="14"/>
  <c r="BV270" i="14"/>
  <c r="BV268" i="14"/>
  <c r="BV266" i="14"/>
  <c r="BV264" i="14"/>
  <c r="BV262" i="14"/>
  <c r="BV260" i="14"/>
  <c r="BV258" i="14"/>
  <c r="BV256" i="14"/>
  <c r="BV254" i="14"/>
  <c r="BV252" i="14"/>
  <c r="BV250" i="14"/>
  <c r="BV248" i="14"/>
  <c r="BV246" i="14"/>
  <c r="BV244" i="14"/>
  <c r="BV242" i="14"/>
  <c r="BV240" i="14"/>
  <c r="BV238" i="14"/>
  <c r="BV236" i="14"/>
  <c r="BV412" i="14"/>
  <c r="BV380" i="14"/>
  <c r="BV348" i="14"/>
  <c r="BV372" i="14"/>
  <c r="BV340" i="14"/>
  <c r="BV231" i="14"/>
  <c r="BV229" i="14"/>
  <c r="BV225" i="14"/>
  <c r="BV223" i="14"/>
  <c r="BV215" i="14"/>
  <c r="BV388" i="14"/>
  <c r="BV356" i="14"/>
  <c r="BV324" i="14"/>
  <c r="BV234" i="14"/>
  <c r="BV232" i="14"/>
  <c r="BV230" i="14"/>
  <c r="BV228" i="14"/>
  <c r="BV226" i="14"/>
  <c r="BV224" i="14"/>
  <c r="BV222" i="14"/>
  <c r="BV220" i="14"/>
  <c r="BV218" i="14"/>
  <c r="BV216" i="14"/>
  <c r="BV214" i="14"/>
  <c r="BV212" i="14"/>
  <c r="BV227" i="14"/>
  <c r="BV221" i="14"/>
  <c r="BV219" i="14"/>
  <c r="BV213" i="14"/>
  <c r="BV396" i="14"/>
  <c r="BV364" i="14"/>
  <c r="BV332" i="14"/>
  <c r="BV404" i="14"/>
  <c r="BV233" i="14"/>
  <c r="BV217" i="14"/>
  <c r="BV211" i="14"/>
  <c r="BV207" i="14"/>
  <c r="BV203" i="14"/>
  <c r="BV199" i="14"/>
  <c r="BV195" i="14"/>
  <c r="BV191" i="14"/>
  <c r="BV187" i="14"/>
  <c r="BV183" i="14"/>
  <c r="BV206" i="14"/>
  <c r="BV198" i="14"/>
  <c r="BV208" i="14"/>
  <c r="BV204" i="14"/>
  <c r="BV200" i="14"/>
  <c r="BV196" i="14"/>
  <c r="BV192" i="14"/>
  <c r="BV188" i="14"/>
  <c r="BV184" i="14"/>
  <c r="BV180" i="14"/>
  <c r="BV202" i="14"/>
  <c r="BV209" i="14"/>
  <c r="BV205" i="14"/>
  <c r="BV201" i="14"/>
  <c r="BV197" i="14"/>
  <c r="BV193" i="14"/>
  <c r="BV189" i="14"/>
  <c r="BV185" i="14"/>
  <c r="BV181" i="14"/>
  <c r="BV210" i="14"/>
  <c r="BV194" i="14"/>
  <c r="BV190" i="14"/>
  <c r="BV186" i="14"/>
  <c r="BV182" i="14"/>
  <c r="D55" i="15"/>
  <c r="Z54" i="15"/>
  <c r="AH493" i="14"/>
  <c r="AK494" i="14"/>
  <c r="CC494" i="14" s="1"/>
  <c r="N82" i="29"/>
  <c r="J82" i="29"/>
  <c r="R83" i="29"/>
  <c r="N83" i="29"/>
  <c r="F82" i="29"/>
  <c r="R82" i="29"/>
  <c r="F83" i="29"/>
  <c r="J83" i="29"/>
  <c r="T74" i="29"/>
  <c r="J78" i="29"/>
  <c r="N78" i="29"/>
  <c r="N79" i="29"/>
  <c r="J79" i="29"/>
  <c r="R78" i="29"/>
  <c r="F79" i="29"/>
  <c r="F78" i="29"/>
  <c r="R79" i="29"/>
  <c r="D58" i="15" l="1"/>
  <c r="D59" i="15"/>
  <c r="D56" i="15"/>
  <c r="D57" i="15"/>
  <c r="D60" i="15"/>
  <c r="Z55" i="15"/>
  <c r="AH494" i="14"/>
  <c r="AK495" i="14"/>
  <c r="CC495" i="14" s="1"/>
  <c r="T83" i="29"/>
  <c r="T82" i="29"/>
  <c r="T79" i="29"/>
  <c r="T78" i="29"/>
  <c r="Z57" i="15" l="1"/>
  <c r="Z56" i="15"/>
  <c r="D63" i="15"/>
  <c r="F58" i="15" s="1"/>
  <c r="Z59" i="15"/>
  <c r="Z60" i="15"/>
  <c r="Z58" i="15"/>
  <c r="AH495" i="14"/>
  <c r="AK496" i="14"/>
  <c r="CC496" i="14" s="1"/>
  <c r="F59" i="15" l="1"/>
  <c r="F57" i="15"/>
  <c r="F60" i="15"/>
  <c r="F61" i="15"/>
  <c r="F63" i="15"/>
  <c r="F54" i="15"/>
  <c r="F55" i="15"/>
  <c r="F56" i="15"/>
  <c r="AH496" i="14"/>
  <c r="AK497" i="14"/>
  <c r="CC497" i="14" s="1"/>
  <c r="AH497" i="14" l="1"/>
  <c r="AK498" i="14"/>
  <c r="CC498" i="14" s="1"/>
  <c r="AH498" i="14" l="1"/>
  <c r="AK499" i="14"/>
  <c r="CC499" i="14" s="1"/>
  <c r="AH499" i="14" l="1"/>
  <c r="AK500" i="14"/>
  <c r="CC500" i="14" s="1"/>
  <c r="AH500" i="14" l="1"/>
  <c r="AK501" i="14"/>
  <c r="CC501" i="14" s="1"/>
  <c r="AH501" i="14" l="1"/>
  <c r="AK502" i="14"/>
  <c r="CC502" i="14" s="1"/>
  <c r="AH502" i="14" l="1"/>
  <c r="AK503" i="14"/>
  <c r="CC503" i="14" s="1"/>
  <c r="AH503" i="14" l="1"/>
  <c r="AK504" i="14"/>
  <c r="CC504" i="14" s="1"/>
  <c r="AH504" i="14" l="1"/>
  <c r="AK505" i="14"/>
  <c r="CC505" i="14" s="1"/>
  <c r="AH505" i="14" l="1"/>
  <c r="AK506" i="14"/>
  <c r="CC506" i="14" s="1"/>
  <c r="AH506" i="14" l="1"/>
  <c r="AK507" i="14"/>
  <c r="CC507" i="14" s="1"/>
  <c r="AH507" i="14" l="1"/>
  <c r="AK508" i="14"/>
  <c r="CC508" i="14" s="1"/>
  <c r="AH508" i="14" l="1"/>
  <c r="AK509" i="14"/>
  <c r="CC509" i="14" s="1"/>
  <c r="AH509" i="14" l="1"/>
  <c r="AK510" i="14"/>
  <c r="CC510" i="14" s="1"/>
  <c r="AH510" i="14" l="1"/>
  <c r="AK511" i="14"/>
  <c r="CC511" i="14" s="1"/>
  <c r="AH511" i="14" l="1"/>
  <c r="AK512" i="14"/>
  <c r="CC512" i="14" s="1"/>
  <c r="AH512" i="14" l="1"/>
  <c r="AK513" i="14"/>
  <c r="CC513" i="14" s="1"/>
  <c r="AH513" i="14" l="1"/>
  <c r="AK514" i="14"/>
  <c r="CC514" i="14" s="1"/>
  <c r="AH514" i="14" l="1"/>
  <c r="AK515" i="14"/>
  <c r="CC515" i="14" s="1"/>
  <c r="AH515" i="14" l="1"/>
  <c r="AK516" i="14"/>
  <c r="CC516" i="14" s="1"/>
  <c r="AH516" i="14" l="1"/>
  <c r="AK517" i="14"/>
  <c r="CC517" i="14" s="1"/>
  <c r="AH517" i="14" l="1"/>
  <c r="AK518" i="14"/>
  <c r="CC518" i="14" s="1"/>
  <c r="AH518" i="14" l="1"/>
  <c r="AK519" i="14"/>
  <c r="CC519" i="14" s="1"/>
  <c r="AH519" i="14" l="1"/>
  <c r="AK520" i="14"/>
  <c r="CC520" i="14" s="1"/>
  <c r="AH520" i="14" l="1"/>
  <c r="AK521" i="14"/>
  <c r="CC521" i="14" s="1"/>
  <c r="AK522" i="14" l="1"/>
  <c r="CC522" i="14" s="1"/>
  <c r="AH521" i="14"/>
  <c r="AH522" i="14" l="1"/>
  <c r="AK523" i="14"/>
  <c r="CC523" i="14" s="1"/>
  <c r="AH523" i="14" l="1"/>
  <c r="AK524" i="14"/>
  <c r="CC524" i="14" s="1"/>
  <c r="AH524" i="14" l="1"/>
  <c r="AK525" i="14"/>
  <c r="CC525" i="14" s="1"/>
  <c r="AH525" i="14" l="1"/>
  <c r="AK526" i="14"/>
  <c r="CC526" i="14" s="1"/>
  <c r="AH526" i="14" l="1"/>
  <c r="AK527" i="14"/>
  <c r="CC527" i="14" s="1"/>
  <c r="AH527" i="14" l="1"/>
  <c r="AK528" i="14"/>
  <c r="CC528" i="14" s="1"/>
  <c r="AH528" i="14" l="1"/>
  <c r="AK529" i="14"/>
  <c r="CC529" i="14" s="1"/>
  <c r="AH529" i="14" l="1"/>
  <c r="AK530" i="14"/>
  <c r="CC530" i="14" s="1"/>
  <c r="AH530" i="14" l="1"/>
  <c r="AK531" i="14"/>
  <c r="CC531" i="14" s="1"/>
  <c r="AH531" i="14" l="1"/>
  <c r="AK532" i="14"/>
  <c r="CC532" i="14" s="1"/>
  <c r="AH532" i="14" l="1"/>
  <c r="AK533" i="14"/>
  <c r="CC533" i="14" s="1"/>
  <c r="AH533" i="14" l="1"/>
  <c r="AK534" i="14"/>
  <c r="CC534" i="14" s="1"/>
  <c r="AH534" i="14" l="1"/>
  <c r="AK535" i="14"/>
  <c r="CC535" i="14" s="1"/>
  <c r="AH535" i="14" l="1"/>
  <c r="AK536" i="14"/>
  <c r="CC536" i="14" s="1"/>
  <c r="AH536" i="14" l="1"/>
  <c r="AK537" i="14"/>
  <c r="CC537" i="14" s="1"/>
  <c r="AH537" i="14" l="1"/>
  <c r="AK538" i="14"/>
  <c r="CC538" i="14" s="1"/>
  <c r="AH538" i="14" l="1"/>
  <c r="AK539" i="14"/>
  <c r="CC539" i="14" s="1"/>
  <c r="AH539" i="14" l="1"/>
  <c r="AK540" i="14"/>
  <c r="CC540" i="14" s="1"/>
  <c r="AH540" i="14" l="1"/>
  <c r="AK541" i="14"/>
  <c r="CC541" i="14" s="1"/>
  <c r="AH541" i="14" l="1"/>
  <c r="AK542" i="14"/>
  <c r="CC542" i="14" s="1"/>
  <c r="AK543" i="14" l="1"/>
  <c r="CC543" i="14" s="1"/>
  <c r="AH542" i="14"/>
  <c r="AH543" i="14" l="1"/>
  <c r="AK544" i="14"/>
  <c r="CC544" i="14" s="1"/>
  <c r="AH544" i="14" l="1"/>
  <c r="AK545" i="14"/>
  <c r="CC545" i="14" s="1"/>
  <c r="CE549" i="14" l="1"/>
  <c r="CD548" i="14" s="1"/>
  <c r="CD547" i="14"/>
  <c r="AH545" i="14"/>
  <c r="CD550" i="14" l="1"/>
  <c r="CD549" i="14"/>
  <c r="AL180" i="14" l="1"/>
  <c r="AL181" i="14"/>
  <c r="AL183" i="14"/>
  <c r="AL182"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8" i="14"/>
  <c r="AL217" i="14"/>
  <c r="AL219" i="14"/>
  <c r="AL220" i="14"/>
  <c r="AL221" i="14"/>
  <c r="AL222" i="14"/>
  <c r="AL223" i="14"/>
  <c r="AL224" i="14"/>
  <c r="AL225" i="14"/>
  <c r="AL226" i="14"/>
  <c r="AL227" i="14"/>
  <c r="AL228" i="14"/>
  <c r="AL229" i="14"/>
  <c r="AL230" i="14"/>
  <c r="AL232" i="14"/>
  <c r="AL231" i="14"/>
  <c r="AL233" i="14"/>
  <c r="AL234" i="14"/>
  <c r="AL235" i="14"/>
  <c r="AL236" i="14"/>
  <c r="AL237" i="14"/>
  <c r="AL238" i="14"/>
  <c r="AL240" i="14"/>
  <c r="AL241" i="14"/>
  <c r="AL242" i="14"/>
  <c r="AL243" i="14"/>
  <c r="AL244" i="14"/>
  <c r="AL245" i="14"/>
  <c r="AL248" i="14"/>
  <c r="AL247" i="14"/>
  <c r="AL246"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504" i="14"/>
  <c r="AL505" i="14"/>
  <c r="AL506" i="14"/>
  <c r="AL507" i="14"/>
  <c r="AL508" i="14"/>
  <c r="AL509" i="14"/>
  <c r="AL510" i="14"/>
  <c r="AL511" i="14"/>
  <c r="AL512" i="14"/>
  <c r="AL513" i="14"/>
  <c r="AL514" i="14"/>
  <c r="AL515" i="14"/>
  <c r="AL516" i="14"/>
  <c r="AL517" i="14"/>
  <c r="AL518" i="14"/>
  <c r="AL519" i="14"/>
  <c r="AL520" i="14"/>
  <c r="AL521" i="14"/>
  <c r="AL522" i="14"/>
  <c r="AL523" i="14"/>
  <c r="AL524" i="14"/>
  <c r="AL525" i="14"/>
  <c r="AL526" i="14"/>
  <c r="AL527" i="14"/>
  <c r="AL528" i="14"/>
  <c r="AL529" i="14"/>
  <c r="AL530" i="14"/>
  <c r="AL531" i="14"/>
  <c r="AL532" i="14"/>
  <c r="AL533" i="14"/>
  <c r="AL534" i="14"/>
  <c r="AL535" i="14"/>
  <c r="AL536" i="14"/>
  <c r="AL537" i="14"/>
  <c r="AL538" i="14"/>
  <c r="AL539" i="14"/>
  <c r="AL540" i="14"/>
  <c r="AL541" i="14"/>
  <c r="AL542" i="14"/>
  <c r="AL543" i="14"/>
  <c r="AL544" i="14"/>
  <c r="AL545" i="14"/>
  <c r="CE534" i="14" l="1"/>
  <c r="CD534" i="14"/>
  <c r="CE518" i="14"/>
  <c r="CD518" i="14"/>
  <c r="CD506" i="14"/>
  <c r="CE506" i="14"/>
  <c r="CE490" i="14"/>
  <c r="CD490" i="14"/>
  <c r="CD478" i="14"/>
  <c r="CE478" i="14"/>
  <c r="CD458" i="14"/>
  <c r="CE458" i="14"/>
  <c r="CE543" i="14"/>
  <c r="CD543" i="14"/>
  <c r="CD539" i="14"/>
  <c r="CE539" i="14"/>
  <c r="CE535" i="14"/>
  <c r="CD535" i="14"/>
  <c r="CE531" i="14"/>
  <c r="CD531" i="14"/>
  <c r="CD527" i="14"/>
  <c r="CE527" i="14"/>
  <c r="CD523" i="14"/>
  <c r="CE523" i="14"/>
  <c r="CE519" i="14"/>
  <c r="CD519" i="14"/>
  <c r="CE515" i="14"/>
  <c r="CD515" i="14"/>
  <c r="CE511" i="14"/>
  <c r="CD511" i="14"/>
  <c r="CD507" i="14"/>
  <c r="CE507" i="14"/>
  <c r="CE503" i="14"/>
  <c r="CD503" i="14"/>
  <c r="CE499" i="14"/>
  <c r="CD499" i="14"/>
  <c r="CE495" i="14"/>
  <c r="CD495" i="14"/>
  <c r="CE491" i="14"/>
  <c r="CD491" i="14"/>
  <c r="CD487" i="14"/>
  <c r="CE487" i="14"/>
  <c r="CE483" i="14"/>
  <c r="CD483" i="14"/>
  <c r="CD479" i="14"/>
  <c r="CE479" i="14"/>
  <c r="CD475" i="14"/>
  <c r="CE475" i="14"/>
  <c r="CD471" i="14"/>
  <c r="CE471" i="14"/>
  <c r="CD467" i="14"/>
  <c r="CE467" i="14"/>
  <c r="CD463" i="14"/>
  <c r="CE463" i="14"/>
  <c r="CE459" i="14"/>
  <c r="CD459" i="14"/>
  <c r="CE455" i="14"/>
  <c r="CD455" i="14"/>
  <c r="CD451" i="14"/>
  <c r="CE451" i="14"/>
  <c r="CD447" i="14"/>
  <c r="CE447" i="14"/>
  <c r="CE443" i="14"/>
  <c r="CD443" i="14"/>
  <c r="CE439" i="14"/>
  <c r="CD439" i="14"/>
  <c r="CD435" i="14"/>
  <c r="CE435" i="14"/>
  <c r="CE431" i="14"/>
  <c r="CD431" i="14"/>
  <c r="CD427" i="14"/>
  <c r="CE427" i="14"/>
  <c r="CE423" i="14"/>
  <c r="CD423" i="14"/>
  <c r="CD419" i="14"/>
  <c r="CE419" i="14"/>
  <c r="CE415" i="14"/>
  <c r="CD415" i="14"/>
  <c r="CE411" i="14"/>
  <c r="CD411" i="14"/>
  <c r="CD407" i="14"/>
  <c r="CE407" i="14"/>
  <c r="CD403" i="14"/>
  <c r="CE403" i="14"/>
  <c r="CE399" i="14"/>
  <c r="CD399" i="14"/>
  <c r="CD395" i="14"/>
  <c r="CE395" i="14"/>
  <c r="CD391" i="14"/>
  <c r="CE391" i="14"/>
  <c r="CD387" i="14"/>
  <c r="CE387" i="14"/>
  <c r="CD383" i="14"/>
  <c r="CE383" i="14"/>
  <c r="CD379" i="14"/>
  <c r="CE379" i="14"/>
  <c r="CD375" i="14"/>
  <c r="CE375" i="14"/>
  <c r="CE371" i="14"/>
  <c r="CD371" i="14"/>
  <c r="CD367" i="14"/>
  <c r="CE367" i="14"/>
  <c r="CD363" i="14"/>
  <c r="CE363" i="14"/>
  <c r="CE268" i="14"/>
  <c r="CD268" i="14"/>
  <c r="CD264" i="14"/>
  <c r="CE264" i="14"/>
  <c r="CE260" i="14"/>
  <c r="CD260" i="14"/>
  <c r="CD256" i="14"/>
  <c r="CE256" i="14"/>
  <c r="CD252" i="14"/>
  <c r="CE252" i="14"/>
  <c r="CE246" i="14"/>
  <c r="CD246" i="14"/>
  <c r="CD244" i="14"/>
  <c r="CE244" i="14"/>
  <c r="CE240" i="14"/>
  <c r="CD240" i="14"/>
  <c r="CE235" i="14"/>
  <c r="CD235" i="14"/>
  <c r="CE232" i="14"/>
  <c r="CD232" i="14"/>
  <c r="CD227" i="14"/>
  <c r="CE227" i="14"/>
  <c r="CD223" i="14"/>
  <c r="CE223" i="14"/>
  <c r="CE219" i="14"/>
  <c r="CD219" i="14"/>
  <c r="CE215" i="14"/>
  <c r="CD215" i="14"/>
  <c r="CD211" i="14"/>
  <c r="CE211" i="14"/>
  <c r="CE207" i="14"/>
  <c r="CD207" i="14"/>
  <c r="CE203" i="14"/>
  <c r="CD203" i="14"/>
  <c r="CE199" i="14"/>
  <c r="CD199" i="14"/>
  <c r="CD195" i="14"/>
  <c r="CE195" i="14"/>
  <c r="CE191" i="14"/>
  <c r="CD191" i="14"/>
  <c r="CE187" i="14"/>
  <c r="CD187" i="14"/>
  <c r="CD182" i="14"/>
  <c r="CE182" i="14"/>
  <c r="CD530" i="14"/>
  <c r="CE530" i="14"/>
  <c r="CE514" i="14"/>
  <c r="CD514" i="14"/>
  <c r="CD498" i="14"/>
  <c r="CE498" i="14"/>
  <c r="CD482" i="14"/>
  <c r="CE482" i="14"/>
  <c r="CE470" i="14"/>
  <c r="CD470" i="14"/>
  <c r="CD454" i="14"/>
  <c r="CE454" i="14"/>
  <c r="CD442" i="14"/>
  <c r="CE442" i="14"/>
  <c r="CD430" i="14"/>
  <c r="CE430" i="14"/>
  <c r="CE418" i="14"/>
  <c r="CD418" i="14"/>
  <c r="CD410" i="14"/>
  <c r="CE410" i="14"/>
  <c r="CE398" i="14"/>
  <c r="CD398" i="14"/>
  <c r="CE386" i="14"/>
  <c r="CD386" i="14"/>
  <c r="CD374" i="14"/>
  <c r="CE374" i="14"/>
  <c r="CE362" i="14"/>
  <c r="CD362" i="14"/>
  <c r="CD259" i="14"/>
  <c r="CE259" i="14"/>
  <c r="CE251" i="14"/>
  <c r="CD251" i="14"/>
  <c r="CE238" i="14"/>
  <c r="CD238" i="14"/>
  <c r="CD226" i="14"/>
  <c r="CE226" i="14"/>
  <c r="CE214" i="14"/>
  <c r="CD214" i="14"/>
  <c r="CE202" i="14"/>
  <c r="CD202" i="14"/>
  <c r="CE194" i="14"/>
  <c r="CD194" i="14"/>
  <c r="CD190" i="14"/>
  <c r="CE190" i="14"/>
  <c r="CE186" i="14"/>
  <c r="CD186" i="14"/>
  <c r="CE537" i="14"/>
  <c r="CD537" i="14"/>
  <c r="CD521" i="14"/>
  <c r="CE521" i="14"/>
  <c r="CD509" i="14"/>
  <c r="CE509" i="14"/>
  <c r="CE493" i="14"/>
  <c r="CD493" i="14"/>
  <c r="CD481" i="14"/>
  <c r="CE481" i="14"/>
  <c r="CD465" i="14"/>
  <c r="CE465" i="14"/>
  <c r="CE453" i="14"/>
  <c r="CD453" i="14"/>
  <c r="CE445" i="14"/>
  <c r="CD445" i="14"/>
  <c r="CD441" i="14"/>
  <c r="CE441" i="14"/>
  <c r="CE437" i="14"/>
  <c r="CD437" i="14"/>
  <c r="CD433" i="14"/>
  <c r="CE433" i="14"/>
  <c r="CD429" i="14"/>
  <c r="CE429" i="14"/>
  <c r="CE425" i="14"/>
  <c r="CD425" i="14"/>
  <c r="CE421" i="14"/>
  <c r="CD421" i="14"/>
  <c r="CD417" i="14"/>
  <c r="CE417" i="14"/>
  <c r="CE413" i="14"/>
  <c r="CD413" i="14"/>
  <c r="CE409" i="14"/>
  <c r="CD409" i="14"/>
  <c r="CE405" i="14"/>
  <c r="CD405" i="14"/>
  <c r="CD401" i="14"/>
  <c r="CE401" i="14"/>
  <c r="CD397" i="14"/>
  <c r="CE397" i="14"/>
  <c r="CE393" i="14"/>
  <c r="CD393" i="14"/>
  <c r="CE389" i="14"/>
  <c r="CD389" i="14"/>
  <c r="CE385" i="14"/>
  <c r="CD385" i="14"/>
  <c r="CD381" i="14"/>
  <c r="CE381" i="14"/>
  <c r="CD377" i="14"/>
  <c r="CE377" i="14"/>
  <c r="CE373" i="14"/>
  <c r="CD373" i="14"/>
  <c r="CE369" i="14"/>
  <c r="CD369" i="14"/>
  <c r="CD365" i="14"/>
  <c r="CE365" i="14"/>
  <c r="CD270" i="14"/>
  <c r="CE270" i="14"/>
  <c r="CD266" i="14"/>
  <c r="CE266" i="14"/>
  <c r="CE262" i="14"/>
  <c r="CD262" i="14"/>
  <c r="CD258" i="14"/>
  <c r="CE258" i="14"/>
  <c r="CD254" i="14"/>
  <c r="CE254" i="14"/>
  <c r="CE250" i="14"/>
  <c r="CD250" i="14"/>
  <c r="CE248" i="14"/>
  <c r="CD248" i="14"/>
  <c r="CD242" i="14"/>
  <c r="CE242" i="14"/>
  <c r="CD237" i="14"/>
  <c r="CE237" i="14"/>
  <c r="CD233" i="14"/>
  <c r="CE233" i="14"/>
  <c r="CE229" i="14"/>
  <c r="CD229" i="14"/>
  <c r="CD225" i="14"/>
  <c r="CE225" i="14"/>
  <c r="CD221" i="14"/>
  <c r="CE221" i="14"/>
  <c r="CD218" i="14"/>
  <c r="CE218" i="14"/>
  <c r="CD213" i="14"/>
  <c r="CE213" i="14"/>
  <c r="CD209" i="14"/>
  <c r="CE209" i="14"/>
  <c r="CD205" i="14"/>
  <c r="CE205" i="14"/>
  <c r="CD201" i="14"/>
  <c r="CE201" i="14"/>
  <c r="CD197" i="14"/>
  <c r="CE197" i="14"/>
  <c r="CD193" i="14"/>
  <c r="CE193" i="14"/>
  <c r="CD189" i="14"/>
  <c r="CE189" i="14"/>
  <c r="CD185" i="14"/>
  <c r="CE185" i="14"/>
  <c r="CD181" i="14"/>
  <c r="CE181" i="14"/>
  <c r="CD542" i="14"/>
  <c r="CE542" i="14"/>
  <c r="CD538" i="14"/>
  <c r="CE538" i="14"/>
  <c r="CE526" i="14"/>
  <c r="CD526" i="14"/>
  <c r="CE522" i="14"/>
  <c r="CD522" i="14"/>
  <c r="CE510" i="14"/>
  <c r="CD510" i="14"/>
  <c r="CE502" i="14"/>
  <c r="CD502" i="14"/>
  <c r="CE494" i="14"/>
  <c r="CD494" i="14"/>
  <c r="CD486" i="14"/>
  <c r="CE486" i="14"/>
  <c r="CE474" i="14"/>
  <c r="CD474" i="14"/>
  <c r="CE466" i="14"/>
  <c r="CD466" i="14"/>
  <c r="CD462" i="14"/>
  <c r="CE462" i="14"/>
  <c r="CE450" i="14"/>
  <c r="CD450" i="14"/>
  <c r="CE446" i="14"/>
  <c r="CD446" i="14"/>
  <c r="CD438" i="14"/>
  <c r="CE438" i="14"/>
  <c r="CD434" i="14"/>
  <c r="CE434" i="14"/>
  <c r="CE426" i="14"/>
  <c r="CD426" i="14"/>
  <c r="CD422" i="14"/>
  <c r="CE422" i="14"/>
  <c r="CE414" i="14"/>
  <c r="CD414" i="14"/>
  <c r="CE406" i="14"/>
  <c r="CD406" i="14"/>
  <c r="CE402" i="14"/>
  <c r="CD402" i="14"/>
  <c r="CE394" i="14"/>
  <c r="CD394" i="14"/>
  <c r="CE390" i="14"/>
  <c r="CD390" i="14"/>
  <c r="CD382" i="14"/>
  <c r="CE382" i="14"/>
  <c r="CE378" i="14"/>
  <c r="CD378" i="14"/>
  <c r="CD370" i="14"/>
  <c r="CE370" i="14"/>
  <c r="CD366" i="14"/>
  <c r="CE366" i="14"/>
  <c r="CD267" i="14"/>
  <c r="CE267" i="14"/>
  <c r="CE263" i="14"/>
  <c r="CD263" i="14"/>
  <c r="CD255" i="14"/>
  <c r="CE255" i="14"/>
  <c r="CD247" i="14"/>
  <c r="CE247" i="14"/>
  <c r="CD243" i="14"/>
  <c r="CE243" i="14"/>
  <c r="CD234" i="14"/>
  <c r="CE234" i="14"/>
  <c r="CE230" i="14"/>
  <c r="CD230" i="14"/>
  <c r="CE222" i="14"/>
  <c r="CD222" i="14"/>
  <c r="CD217" i="14"/>
  <c r="CE217" i="14"/>
  <c r="CD210" i="14"/>
  <c r="CE210" i="14"/>
  <c r="CE206" i="14"/>
  <c r="CD206" i="14"/>
  <c r="CE198" i="14"/>
  <c r="CD198" i="14"/>
  <c r="CE183" i="14"/>
  <c r="CD183" i="14"/>
  <c r="CE545" i="14"/>
  <c r="CD545" i="14"/>
  <c r="CE541" i="14"/>
  <c r="CD541" i="14"/>
  <c r="CD533" i="14"/>
  <c r="CE533" i="14"/>
  <c r="CD529" i="14"/>
  <c r="CE529" i="14"/>
  <c r="CD525" i="14"/>
  <c r="CE525" i="14"/>
  <c r="CE517" i="14"/>
  <c r="CD517" i="14"/>
  <c r="CE513" i="14"/>
  <c r="CD513" i="14"/>
  <c r="CD505" i="14"/>
  <c r="CE505" i="14"/>
  <c r="CD501" i="14"/>
  <c r="CE501" i="14"/>
  <c r="CD497" i="14"/>
  <c r="CE497" i="14"/>
  <c r="CE489" i="14"/>
  <c r="CD489" i="14"/>
  <c r="CD485" i="14"/>
  <c r="CE485" i="14"/>
  <c r="CD477" i="14"/>
  <c r="CE477" i="14"/>
  <c r="CD473" i="14"/>
  <c r="CE473" i="14"/>
  <c r="CE469" i="14"/>
  <c r="CD469" i="14"/>
  <c r="CE461" i="14"/>
  <c r="CD461" i="14"/>
  <c r="CE457" i="14"/>
  <c r="CD457" i="14"/>
  <c r="CE449" i="14"/>
  <c r="CD449" i="14"/>
  <c r="CE544" i="14"/>
  <c r="CD544" i="14"/>
  <c r="CE540" i="14"/>
  <c r="CD540" i="14"/>
  <c r="CE536" i="14"/>
  <c r="CD536" i="14"/>
  <c r="CE532" i="14"/>
  <c r="CD532" i="14"/>
  <c r="CE528" i="14"/>
  <c r="CD528" i="14"/>
  <c r="CD524" i="14"/>
  <c r="CE524" i="14"/>
  <c r="CE520" i="14"/>
  <c r="CD520" i="14"/>
  <c r="CD516" i="14"/>
  <c r="CE516" i="14"/>
  <c r="CD512" i="14"/>
  <c r="CE512" i="14"/>
  <c r="CD508" i="14"/>
  <c r="CE508" i="14"/>
  <c r="CD504" i="14"/>
  <c r="CE504" i="14"/>
  <c r="CE500" i="14"/>
  <c r="CD500" i="14"/>
  <c r="CE496" i="14"/>
  <c r="CD496" i="14"/>
  <c r="CE492" i="14"/>
  <c r="CD492" i="14"/>
  <c r="CD488" i="14"/>
  <c r="CE488" i="14"/>
  <c r="CE484" i="14"/>
  <c r="CD484" i="14"/>
  <c r="CD480" i="14"/>
  <c r="CE480" i="14"/>
  <c r="CE476" i="14"/>
  <c r="CD476" i="14"/>
  <c r="CD472" i="14"/>
  <c r="CE472" i="14"/>
  <c r="CD468" i="14"/>
  <c r="CE468" i="14"/>
  <c r="CD464" i="14"/>
  <c r="CE464" i="14"/>
  <c r="CE460" i="14"/>
  <c r="CD460" i="14"/>
  <c r="CD456" i="14"/>
  <c r="CE456" i="14"/>
  <c r="CD452" i="14"/>
  <c r="CE452" i="14"/>
  <c r="CE448" i="14"/>
  <c r="CD448" i="14"/>
  <c r="CD444" i="14"/>
  <c r="CE444" i="14"/>
  <c r="CD440" i="14"/>
  <c r="CE440" i="14"/>
  <c r="CD436" i="14"/>
  <c r="CE436" i="14"/>
  <c r="CD432" i="14"/>
  <c r="CE432" i="14"/>
  <c r="CD428" i="14"/>
  <c r="CE428" i="14"/>
  <c r="CE424" i="14"/>
  <c r="CD424" i="14"/>
  <c r="CE420" i="14"/>
  <c r="CD420" i="14"/>
  <c r="CD416" i="14"/>
  <c r="CE416" i="14"/>
  <c r="CD412" i="14"/>
  <c r="CE412" i="14"/>
  <c r="CD408" i="14"/>
  <c r="CE408" i="14"/>
  <c r="CD404" i="14"/>
  <c r="CE404" i="14"/>
  <c r="CE400" i="14"/>
  <c r="CD400" i="14"/>
  <c r="CD396" i="14"/>
  <c r="CE396" i="14"/>
  <c r="CD392" i="14"/>
  <c r="CE392" i="14"/>
  <c r="CE388" i="14"/>
  <c r="CD388" i="14"/>
  <c r="CD384" i="14"/>
  <c r="CE384" i="14"/>
  <c r="CD380" i="14"/>
  <c r="CE380" i="14"/>
  <c r="CD376" i="14"/>
  <c r="CE376" i="14"/>
  <c r="CD372" i="14"/>
  <c r="CE372" i="14"/>
  <c r="CE368" i="14"/>
  <c r="CD368" i="14"/>
  <c r="CE364" i="14"/>
  <c r="CD364" i="14"/>
  <c r="CD269" i="14"/>
  <c r="CE269" i="14"/>
  <c r="CD265" i="14"/>
  <c r="CE265" i="14"/>
  <c r="CD261" i="14"/>
  <c r="CE261" i="14"/>
  <c r="CE257" i="14"/>
  <c r="CD257" i="14"/>
  <c r="CD253" i="14"/>
  <c r="CE253" i="14"/>
  <c r="CE249" i="14"/>
  <c r="CD249" i="14"/>
  <c r="CD245" i="14"/>
  <c r="CE245" i="14"/>
  <c r="CD241" i="14"/>
  <c r="CE241" i="14"/>
  <c r="CE236" i="14"/>
  <c r="CD236" i="14"/>
  <c r="CD231" i="14"/>
  <c r="CE231" i="14"/>
  <c r="CE228" i="14"/>
  <c r="CD228" i="14"/>
  <c r="CD224" i="14"/>
  <c r="CE224" i="14"/>
  <c r="CE220" i="14"/>
  <c r="CD220" i="14"/>
  <c r="CD216" i="14"/>
  <c r="CE216" i="14"/>
  <c r="CE212" i="14"/>
  <c r="CD212" i="14"/>
  <c r="CD208" i="14"/>
  <c r="CE208" i="14"/>
  <c r="CE204" i="14"/>
  <c r="CD204" i="14"/>
  <c r="CD200" i="14"/>
  <c r="CE200" i="14"/>
  <c r="CE196" i="14"/>
  <c r="CD196" i="14"/>
  <c r="CD192" i="14"/>
  <c r="CE192" i="14"/>
  <c r="CE188" i="14"/>
  <c r="CD188" i="14"/>
  <c r="CD184" i="14"/>
  <c r="CE184" i="14"/>
  <c r="CE180" i="14"/>
  <c r="CD180" i="14"/>
  <c r="AH358" i="14"/>
  <c r="AL358" i="14" s="1"/>
  <c r="AH346" i="14"/>
  <c r="AL346" i="14" s="1"/>
  <c r="AH342" i="14"/>
  <c r="AL342" i="14" s="1"/>
  <c r="AH334" i="14"/>
  <c r="AL334" i="14" s="1"/>
  <c r="AH330" i="14"/>
  <c r="AL330" i="14" s="1"/>
  <c r="AH326" i="14"/>
  <c r="AL326" i="14" s="1"/>
  <c r="AH322" i="14"/>
  <c r="AL322" i="14" s="1"/>
  <c r="AH318" i="14"/>
  <c r="AL318" i="14" s="1"/>
  <c r="AH314" i="14"/>
  <c r="AL314" i="14" s="1"/>
  <c r="AH310" i="14"/>
  <c r="AL310" i="14" s="1"/>
  <c r="AH306" i="14"/>
  <c r="AL306" i="14" s="1"/>
  <c r="AH302" i="14"/>
  <c r="AL302" i="14" s="1"/>
  <c r="AH298" i="14"/>
  <c r="AL298" i="14" s="1"/>
  <c r="AH294" i="14"/>
  <c r="AL294" i="14" s="1"/>
  <c r="AH290" i="14"/>
  <c r="AL290" i="14" s="1"/>
  <c r="AH286" i="14"/>
  <c r="AL286" i="14" s="1"/>
  <c r="AH282" i="14"/>
  <c r="AL282" i="14" s="1"/>
  <c r="AH278" i="14"/>
  <c r="AL278" i="14" s="1"/>
  <c r="AH274" i="14"/>
  <c r="AL274" i="14" s="1"/>
  <c r="AH361" i="14"/>
  <c r="AL361" i="14" s="1"/>
  <c r="AH357" i="14"/>
  <c r="AL357" i="14" s="1"/>
  <c r="AH353" i="14"/>
  <c r="AL353" i="14" s="1"/>
  <c r="AH349" i="14"/>
  <c r="AL349" i="14" s="1"/>
  <c r="AH345" i="14"/>
  <c r="AL345" i="14" s="1"/>
  <c r="AH341" i="14"/>
  <c r="AL341" i="14" s="1"/>
  <c r="AH337" i="14"/>
  <c r="AL337" i="14" s="1"/>
  <c r="AH333" i="14"/>
  <c r="AL333" i="14" s="1"/>
  <c r="AH329" i="14"/>
  <c r="AL329" i="14" s="1"/>
  <c r="AH325" i="14"/>
  <c r="AL325" i="14" s="1"/>
  <c r="AH321" i="14"/>
  <c r="AL321" i="14" s="1"/>
  <c r="AH317" i="14"/>
  <c r="AL317" i="14" s="1"/>
  <c r="AH313" i="14"/>
  <c r="AL313" i="14" s="1"/>
  <c r="AH309" i="14"/>
  <c r="AL309" i="14" s="1"/>
  <c r="AH305" i="14"/>
  <c r="AL305" i="14" s="1"/>
  <c r="AH301" i="14"/>
  <c r="AL301" i="14" s="1"/>
  <c r="AH297" i="14"/>
  <c r="AL297" i="14" s="1"/>
  <c r="AH293" i="14"/>
  <c r="AL293" i="14" s="1"/>
  <c r="AH289" i="14"/>
  <c r="AL289" i="14" s="1"/>
  <c r="AH285" i="14"/>
  <c r="AL285" i="14" s="1"/>
  <c r="AH281" i="14"/>
  <c r="AL281" i="14" s="1"/>
  <c r="AH277" i="14"/>
  <c r="AL277" i="14" s="1"/>
  <c r="AH273" i="14"/>
  <c r="AL273" i="14" s="1"/>
  <c r="AH350" i="14"/>
  <c r="AL350" i="14" s="1"/>
  <c r="AH338" i="14"/>
  <c r="AL338" i="14" s="1"/>
  <c r="AH360" i="14"/>
  <c r="AL360" i="14" s="1"/>
  <c r="AH356" i="14"/>
  <c r="AL356" i="14" s="1"/>
  <c r="AH352" i="14"/>
  <c r="AL352" i="14" s="1"/>
  <c r="AH348" i="14"/>
  <c r="AL348" i="14" s="1"/>
  <c r="AH344" i="14"/>
  <c r="AL344" i="14" s="1"/>
  <c r="AH340" i="14"/>
  <c r="AL340" i="14" s="1"/>
  <c r="AH336" i="14"/>
  <c r="AL336" i="14" s="1"/>
  <c r="AH332" i="14"/>
  <c r="AL332" i="14" s="1"/>
  <c r="AH328" i="14"/>
  <c r="AL328" i="14" s="1"/>
  <c r="AH324" i="14"/>
  <c r="AL324" i="14" s="1"/>
  <c r="AH320" i="14"/>
  <c r="AL320" i="14" s="1"/>
  <c r="AH316" i="14"/>
  <c r="AL316" i="14" s="1"/>
  <c r="AH312" i="14"/>
  <c r="AL312" i="14" s="1"/>
  <c r="AH308" i="14"/>
  <c r="AL308" i="14" s="1"/>
  <c r="AH304" i="14"/>
  <c r="AL304" i="14" s="1"/>
  <c r="AH300" i="14"/>
  <c r="AL300" i="14" s="1"/>
  <c r="AH296" i="14"/>
  <c r="AL296" i="14" s="1"/>
  <c r="AH292" i="14"/>
  <c r="AL292" i="14" s="1"/>
  <c r="AH288" i="14"/>
  <c r="AL288" i="14" s="1"/>
  <c r="AH284" i="14"/>
  <c r="AL284" i="14" s="1"/>
  <c r="AH280" i="14"/>
  <c r="AL280" i="14" s="1"/>
  <c r="AH276" i="14"/>
  <c r="AL276" i="14" s="1"/>
  <c r="AH272" i="14"/>
  <c r="AL272" i="14" s="1"/>
  <c r="AH354" i="14"/>
  <c r="AL354" i="14" s="1"/>
  <c r="AH359" i="14"/>
  <c r="AL359" i="14" s="1"/>
  <c r="AH355" i="14"/>
  <c r="AL355" i="14" s="1"/>
  <c r="AH351" i="14"/>
  <c r="AL351" i="14" s="1"/>
  <c r="AH347" i="14"/>
  <c r="AL347" i="14" s="1"/>
  <c r="AH343" i="14"/>
  <c r="AL343" i="14" s="1"/>
  <c r="AH339" i="14"/>
  <c r="AL339" i="14" s="1"/>
  <c r="AH335" i="14"/>
  <c r="AL335" i="14" s="1"/>
  <c r="AH331" i="14"/>
  <c r="AL331" i="14" s="1"/>
  <c r="AH327" i="14"/>
  <c r="AL327" i="14" s="1"/>
  <c r="AH323" i="14"/>
  <c r="AL323" i="14" s="1"/>
  <c r="AH319" i="14"/>
  <c r="AL319" i="14" s="1"/>
  <c r="AH315" i="14"/>
  <c r="AL315" i="14" s="1"/>
  <c r="AH311" i="14"/>
  <c r="AL311" i="14" s="1"/>
  <c r="AH307" i="14"/>
  <c r="AL307" i="14" s="1"/>
  <c r="AH303" i="14"/>
  <c r="AL303" i="14" s="1"/>
  <c r="AH299" i="14"/>
  <c r="AL299" i="14" s="1"/>
  <c r="AH295" i="14"/>
  <c r="AL295" i="14" s="1"/>
  <c r="AH291" i="14"/>
  <c r="AL291" i="14" s="1"/>
  <c r="AH287" i="14"/>
  <c r="AL287" i="14" s="1"/>
  <c r="AH283" i="14"/>
  <c r="AL283" i="14" s="1"/>
  <c r="AH279" i="14"/>
  <c r="AL279" i="14" s="1"/>
  <c r="AH275" i="14"/>
  <c r="AL275" i="14" s="1"/>
  <c r="AH271" i="14"/>
  <c r="AL271" i="14" s="1"/>
  <c r="CD287" i="14" l="1"/>
  <c r="CE287" i="14"/>
  <c r="CD335" i="14"/>
  <c r="CE335" i="14"/>
  <c r="CD288" i="14"/>
  <c r="CE288" i="14"/>
  <c r="CD336" i="14"/>
  <c r="CE336" i="14"/>
  <c r="CD338" i="14"/>
  <c r="CE338" i="14"/>
  <c r="CD321" i="14"/>
  <c r="CE321" i="14"/>
  <c r="CD274" i="14"/>
  <c r="CE274" i="14"/>
  <c r="CD306" i="14"/>
  <c r="CE306" i="14"/>
  <c r="CD291" i="14"/>
  <c r="CE291" i="14"/>
  <c r="CD339" i="14"/>
  <c r="CE339" i="14"/>
  <c r="CE276" i="14"/>
  <c r="CD276" i="14"/>
  <c r="CE324" i="14"/>
  <c r="CD324" i="14"/>
  <c r="CE340" i="14"/>
  <c r="CD340" i="14"/>
  <c r="CE356" i="14"/>
  <c r="CD356" i="14"/>
  <c r="CD350" i="14"/>
  <c r="CE350" i="14"/>
  <c r="CD277" i="14"/>
  <c r="CE277" i="14"/>
  <c r="CD293" i="14"/>
  <c r="CE293" i="14"/>
  <c r="CD309" i="14"/>
  <c r="CE309" i="14"/>
  <c r="CD325" i="14"/>
  <c r="CE325" i="14"/>
  <c r="CD341" i="14"/>
  <c r="CE341" i="14"/>
  <c r="CD357" i="14"/>
  <c r="CE357" i="14"/>
  <c r="CD278" i="14"/>
  <c r="CE278" i="14"/>
  <c r="CD294" i="14"/>
  <c r="CE294" i="14"/>
  <c r="CD310" i="14"/>
  <c r="CE310" i="14"/>
  <c r="CD326" i="14"/>
  <c r="CE326" i="14"/>
  <c r="CD346" i="14"/>
  <c r="CE346" i="14"/>
  <c r="E83" i="15"/>
  <c r="E20" i="15" s="1"/>
  <c r="E61" i="15"/>
  <c r="E55" i="15"/>
  <c r="E56" i="15"/>
  <c r="E85" i="15"/>
  <c r="E22" i="15" s="1"/>
  <c r="E87" i="15"/>
  <c r="E24" i="15" s="1"/>
  <c r="AB24" i="15" s="1"/>
  <c r="E89" i="15"/>
  <c r="E54" i="15"/>
  <c r="E40" i="15"/>
  <c r="E91" i="15"/>
  <c r="E38" i="15"/>
  <c r="E39" i="15"/>
  <c r="E86" i="15"/>
  <c r="E92" i="15"/>
  <c r="E19" i="15"/>
  <c r="E88" i="15"/>
  <c r="E93" i="15"/>
  <c r="E37" i="15"/>
  <c r="E44" i="15"/>
  <c r="E57" i="15"/>
  <c r="E90" i="15"/>
  <c r="E41" i="15"/>
  <c r="E42" i="15"/>
  <c r="E43" i="15"/>
  <c r="E58" i="15"/>
  <c r="E82" i="15"/>
  <c r="E45" i="15"/>
  <c r="E59" i="15"/>
  <c r="CD271" i="14"/>
  <c r="CE271" i="14"/>
  <c r="E47" i="15"/>
  <c r="AB47" i="15" s="1"/>
  <c r="E46" i="15"/>
  <c r="E60" i="15"/>
  <c r="CD319" i="14"/>
  <c r="CE319" i="14"/>
  <c r="CD272" i="14"/>
  <c r="CE272" i="14"/>
  <c r="CD320" i="14"/>
  <c r="CE320" i="14"/>
  <c r="CD289" i="14"/>
  <c r="CE289" i="14"/>
  <c r="CD353" i="14"/>
  <c r="CE353" i="14"/>
  <c r="CD322" i="14"/>
  <c r="CE322" i="14"/>
  <c r="CD275" i="14"/>
  <c r="CE275" i="14"/>
  <c r="CD323" i="14"/>
  <c r="CE323" i="14"/>
  <c r="CE292" i="14"/>
  <c r="CD292" i="14"/>
  <c r="CD295" i="14"/>
  <c r="CE295" i="14"/>
  <c r="CD343" i="14"/>
  <c r="CE343" i="14"/>
  <c r="CE312" i="14"/>
  <c r="CD312" i="14"/>
  <c r="CE344" i="14"/>
  <c r="CD344" i="14"/>
  <c r="CD297" i="14"/>
  <c r="CE297" i="14"/>
  <c r="CD329" i="14"/>
  <c r="CE329" i="14"/>
  <c r="CD345" i="14"/>
  <c r="CE345" i="14"/>
  <c r="CD361" i="14"/>
  <c r="CE361" i="14"/>
  <c r="CD282" i="14"/>
  <c r="CE282" i="14"/>
  <c r="CD298" i="14"/>
  <c r="CE298" i="14"/>
  <c r="CD314" i="14"/>
  <c r="CE314" i="14"/>
  <c r="CD330" i="14"/>
  <c r="CE330" i="14"/>
  <c r="CD358" i="14"/>
  <c r="CE358" i="14"/>
  <c r="CD303" i="14"/>
  <c r="CE303" i="14"/>
  <c r="CD351" i="14"/>
  <c r="CE351" i="14"/>
  <c r="CD304" i="14"/>
  <c r="CE304" i="14"/>
  <c r="CD352" i="14"/>
  <c r="CE352" i="14"/>
  <c r="CD273" i="14"/>
  <c r="CE273" i="14"/>
  <c r="CD305" i="14"/>
  <c r="CE305" i="14"/>
  <c r="CD337" i="14"/>
  <c r="CE337" i="14"/>
  <c r="CD290" i="14"/>
  <c r="CE290" i="14"/>
  <c r="CD342" i="14"/>
  <c r="CE342" i="14"/>
  <c r="CD307" i="14"/>
  <c r="CE307" i="14"/>
  <c r="CD355" i="14"/>
  <c r="CE355" i="14"/>
  <c r="CD354" i="14"/>
  <c r="CE354" i="14"/>
  <c r="CE308" i="14"/>
  <c r="CD308" i="14"/>
  <c r="CD279" i="14"/>
  <c r="CE279" i="14"/>
  <c r="CD311" i="14"/>
  <c r="CE311" i="14"/>
  <c r="CD327" i="14"/>
  <c r="CE327" i="14"/>
  <c r="CD359" i="14"/>
  <c r="CE359" i="14"/>
  <c r="CE280" i="14"/>
  <c r="CD280" i="14"/>
  <c r="CE296" i="14"/>
  <c r="CD296" i="14"/>
  <c r="CE328" i="14"/>
  <c r="CD328" i="14"/>
  <c r="CD360" i="14"/>
  <c r="CE360" i="14"/>
  <c r="CD281" i="14"/>
  <c r="CE281" i="14"/>
  <c r="CD313" i="14"/>
  <c r="CE313" i="14"/>
  <c r="CD283" i="14"/>
  <c r="CE283" i="14"/>
  <c r="CD299" i="14"/>
  <c r="CE299" i="14"/>
  <c r="CD315" i="14"/>
  <c r="CE315" i="14"/>
  <c r="CD331" i="14"/>
  <c r="CE331" i="14"/>
  <c r="CD347" i="14"/>
  <c r="CE347" i="14"/>
  <c r="CD284" i="14"/>
  <c r="CE284" i="14"/>
  <c r="CD300" i="14"/>
  <c r="CE300" i="14"/>
  <c r="CD316" i="14"/>
  <c r="CE316" i="14"/>
  <c r="CD332" i="14"/>
  <c r="CE332" i="14"/>
  <c r="CD348" i="14"/>
  <c r="CE348" i="14"/>
  <c r="CD285" i="14"/>
  <c r="CE285" i="14"/>
  <c r="CD301" i="14"/>
  <c r="CE301" i="14"/>
  <c r="CD317" i="14"/>
  <c r="CE317" i="14"/>
  <c r="CD333" i="14"/>
  <c r="CE333" i="14"/>
  <c r="CD349" i="14"/>
  <c r="CE349" i="14"/>
  <c r="CD286" i="14"/>
  <c r="CE286" i="14"/>
  <c r="CD302" i="14"/>
  <c r="CE302" i="14"/>
  <c r="CD318" i="14"/>
  <c r="CE318" i="14"/>
  <c r="CD334" i="14"/>
  <c r="CE334" i="14"/>
  <c r="AB45" i="15" l="1"/>
  <c r="AB44" i="15"/>
  <c r="AB92" i="15"/>
  <c r="E28" i="15"/>
  <c r="G28" i="15" s="1"/>
  <c r="AE91" i="15"/>
  <c r="AI91" i="15"/>
  <c r="AC91" i="15"/>
  <c r="AG91" i="15"/>
  <c r="AK91" i="15"/>
  <c r="AH91" i="15"/>
  <c r="AB91" i="15"/>
  <c r="AJ91" i="15"/>
  <c r="AF91" i="15"/>
  <c r="AD91" i="15"/>
  <c r="AE89" i="15"/>
  <c r="AI89" i="15"/>
  <c r="AC89" i="15"/>
  <c r="AG89" i="15"/>
  <c r="AK89" i="15"/>
  <c r="AH89" i="15"/>
  <c r="AB89" i="15"/>
  <c r="AJ89" i="15"/>
  <c r="AF89" i="15"/>
  <c r="AD89" i="15"/>
  <c r="AB46" i="15"/>
  <c r="AE90" i="15"/>
  <c r="AI90" i="15"/>
  <c r="AC90" i="15"/>
  <c r="AG90" i="15"/>
  <c r="AK90" i="15"/>
  <c r="AH90" i="15"/>
  <c r="AB90" i="15"/>
  <c r="AJ90" i="15"/>
  <c r="AD90" i="15"/>
  <c r="AF90" i="15"/>
  <c r="AB93" i="15"/>
  <c r="AB87" i="15"/>
  <c r="E25" i="15"/>
  <c r="AB25" i="15" s="1"/>
  <c r="AB88" i="15"/>
  <c r="CF548" i="14"/>
  <c r="G10" i="15" s="1"/>
  <c r="G16" i="15" s="1"/>
  <c r="CF547" i="14"/>
  <c r="I10" i="15" s="1"/>
  <c r="I16" i="15" s="1"/>
  <c r="F92" i="15"/>
  <c r="G92" i="15"/>
  <c r="I92" i="15"/>
  <c r="O92" i="15"/>
  <c r="BI92" i="15" s="1"/>
  <c r="H92" i="15"/>
  <c r="O55" i="15"/>
  <c r="AB55" i="15"/>
  <c r="H55" i="15"/>
  <c r="I55" i="15"/>
  <c r="O58" i="15"/>
  <c r="BI58" i="15" s="1"/>
  <c r="I58" i="15"/>
  <c r="H58" i="15"/>
  <c r="AB58" i="15"/>
  <c r="O93" i="15"/>
  <c r="BI93" i="15" s="1"/>
  <c r="H93" i="15"/>
  <c r="G93" i="15"/>
  <c r="I93" i="15"/>
  <c r="F93" i="15"/>
  <c r="O86" i="15"/>
  <c r="BI86" i="15" s="1"/>
  <c r="AB86" i="15"/>
  <c r="H86" i="15"/>
  <c r="F86" i="15"/>
  <c r="G86" i="15"/>
  <c r="I86" i="15"/>
  <c r="E30" i="15"/>
  <c r="O22" i="15"/>
  <c r="I22" i="15"/>
  <c r="H22" i="15"/>
  <c r="AB22" i="15"/>
  <c r="G22" i="15"/>
  <c r="O87" i="15"/>
  <c r="G87" i="15"/>
  <c r="H87" i="15"/>
  <c r="F87" i="15"/>
  <c r="I87" i="15"/>
  <c r="O20" i="15"/>
  <c r="AB20" i="15"/>
  <c r="I20" i="15"/>
  <c r="G20" i="15"/>
  <c r="H20" i="15"/>
  <c r="E23" i="15"/>
  <c r="O35" i="15"/>
  <c r="O37" i="15"/>
  <c r="E49" i="15"/>
  <c r="G45" i="15" s="1"/>
  <c r="AB37" i="15"/>
  <c r="H37" i="15"/>
  <c r="I37" i="15"/>
  <c r="G89" i="15"/>
  <c r="I89" i="15"/>
  <c r="H89" i="15"/>
  <c r="O89" i="15"/>
  <c r="BI89" i="15" s="1"/>
  <c r="F89" i="15"/>
  <c r="O60" i="15"/>
  <c r="BI60" i="15" s="1"/>
  <c r="H60" i="15"/>
  <c r="AB60" i="15"/>
  <c r="I60" i="15"/>
  <c r="H46" i="15"/>
  <c r="O46" i="15"/>
  <c r="BI46" i="15" s="1"/>
  <c r="I46" i="15"/>
  <c r="O57" i="15"/>
  <c r="H57" i="15"/>
  <c r="AB57" i="15"/>
  <c r="I57" i="15"/>
  <c r="O39" i="15"/>
  <c r="I39" i="15"/>
  <c r="AB39" i="15"/>
  <c r="H39" i="15"/>
  <c r="O40" i="15"/>
  <c r="I40" i="15"/>
  <c r="AB40" i="15"/>
  <c r="H40" i="15"/>
  <c r="O85" i="15"/>
  <c r="BI85" i="15" s="1"/>
  <c r="E94" i="15"/>
  <c r="AB85" i="15"/>
  <c r="H85" i="15"/>
  <c r="G85" i="15"/>
  <c r="I85" i="15"/>
  <c r="F85" i="15"/>
  <c r="E29" i="15"/>
  <c r="O61" i="15"/>
  <c r="H61" i="15"/>
  <c r="I61" i="15"/>
  <c r="AB61" i="15"/>
  <c r="O82" i="15"/>
  <c r="I82" i="15"/>
  <c r="G82" i="15"/>
  <c r="AB82" i="15"/>
  <c r="F82" i="15"/>
  <c r="H82" i="15"/>
  <c r="O41" i="15"/>
  <c r="I41" i="15"/>
  <c r="AB41" i="15"/>
  <c r="H41" i="15"/>
  <c r="G91" i="15"/>
  <c r="F91" i="15"/>
  <c r="H91" i="15"/>
  <c r="O91" i="15"/>
  <c r="BI91" i="15" s="1"/>
  <c r="I91" i="15"/>
  <c r="I24" i="15"/>
  <c r="O24" i="15"/>
  <c r="H24" i="15"/>
  <c r="G24" i="15"/>
  <c r="CE548" i="14"/>
  <c r="F90" i="15"/>
  <c r="G90" i="15"/>
  <c r="H90" i="15"/>
  <c r="O90" i="15"/>
  <c r="BI90" i="15" s="1"/>
  <c r="I90" i="15"/>
  <c r="O59" i="15"/>
  <c r="BI59" i="15" s="1"/>
  <c r="I59" i="15"/>
  <c r="H59" i="15"/>
  <c r="AB59" i="15"/>
  <c r="O43" i="15"/>
  <c r="BI43" i="15" s="1"/>
  <c r="H43" i="15"/>
  <c r="I43" i="15"/>
  <c r="AB43" i="15"/>
  <c r="I88" i="15"/>
  <c r="O88" i="15"/>
  <c r="G88" i="15"/>
  <c r="H88" i="15"/>
  <c r="F88" i="15"/>
  <c r="O47" i="15"/>
  <c r="I47" i="15"/>
  <c r="H47" i="15"/>
  <c r="H45" i="15"/>
  <c r="I45" i="15"/>
  <c r="O45" i="15"/>
  <c r="BI45" i="15" s="1"/>
  <c r="O42" i="15"/>
  <c r="BI42" i="15" s="1"/>
  <c r="H42" i="15"/>
  <c r="AB42" i="15"/>
  <c r="I42" i="15"/>
  <c r="I44" i="15"/>
  <c r="H44" i="15"/>
  <c r="O44" i="15"/>
  <c r="BI44" i="15" s="1"/>
  <c r="O19" i="15"/>
  <c r="G19" i="15"/>
  <c r="AB19" i="15"/>
  <c r="I19" i="15"/>
  <c r="H19" i="15"/>
  <c r="O38" i="15"/>
  <c r="I38" i="15"/>
  <c r="AB38" i="15"/>
  <c r="H38" i="15"/>
  <c r="E26" i="15"/>
  <c r="O54" i="15"/>
  <c r="O52" i="15"/>
  <c r="H54" i="15"/>
  <c r="E63" i="15"/>
  <c r="G56" i="15" s="1"/>
  <c r="I54" i="15"/>
  <c r="AB54" i="15"/>
  <c r="O56" i="15"/>
  <c r="AB56" i="15"/>
  <c r="I56" i="15"/>
  <c r="H56" i="15"/>
  <c r="E27" i="15"/>
  <c r="O83" i="15"/>
  <c r="AB83" i="15"/>
  <c r="I83" i="15"/>
  <c r="H83" i="15"/>
  <c r="F83" i="15"/>
  <c r="G83" i="15"/>
  <c r="O25" i="15" l="1"/>
  <c r="G25" i="15"/>
  <c r="I25" i="15"/>
  <c r="H25" i="15"/>
  <c r="O28" i="15"/>
  <c r="BI28" i="15" s="1"/>
  <c r="AR28" i="15" s="1"/>
  <c r="AM44" i="15"/>
  <c r="AP44" i="15"/>
  <c r="AT44" i="15"/>
  <c r="AQ44" i="15"/>
  <c r="AU44" i="15"/>
  <c r="AN44" i="15"/>
  <c r="AV44" i="15"/>
  <c r="AS44" i="15"/>
  <c r="AR44" i="15"/>
  <c r="AO44" i="15"/>
  <c r="AN90" i="15"/>
  <c r="AR90" i="15"/>
  <c r="AV90" i="15"/>
  <c r="AP90" i="15"/>
  <c r="AT90" i="15"/>
  <c r="AQ90" i="15"/>
  <c r="AS90" i="15"/>
  <c r="AU90" i="15"/>
  <c r="AO90" i="15"/>
  <c r="AM90" i="15"/>
  <c r="O80" i="15"/>
  <c r="AB94" i="15"/>
  <c r="AN92" i="15"/>
  <c r="AR92" i="15"/>
  <c r="AV92" i="15"/>
  <c r="AP92" i="15"/>
  <c r="AT92" i="15"/>
  <c r="AQ92" i="15"/>
  <c r="AS92" i="15"/>
  <c r="AU92" i="15"/>
  <c r="AO92" i="15"/>
  <c r="AM92" i="15"/>
  <c r="AB30" i="15"/>
  <c r="AN93" i="15"/>
  <c r="AR93" i="15"/>
  <c r="AV93" i="15"/>
  <c r="AP93" i="15"/>
  <c r="AT93" i="15"/>
  <c r="AQ93" i="15"/>
  <c r="AS93" i="15"/>
  <c r="AM93" i="15"/>
  <c r="AO93" i="15"/>
  <c r="AU93" i="15"/>
  <c r="AE28" i="15"/>
  <c r="AI28" i="15"/>
  <c r="AD28" i="15"/>
  <c r="AH28" i="15"/>
  <c r="AC28" i="15"/>
  <c r="AK28" i="15"/>
  <c r="AF28" i="15"/>
  <c r="AB28" i="15"/>
  <c r="AJ28" i="15"/>
  <c r="AG28" i="15"/>
  <c r="AB29" i="15"/>
  <c r="AB26" i="15"/>
  <c r="AN91" i="15"/>
  <c r="AR91" i="15"/>
  <c r="AV91" i="15"/>
  <c r="AP91" i="15"/>
  <c r="AT91" i="15"/>
  <c r="AQ91" i="15"/>
  <c r="AS91" i="15"/>
  <c r="AM91" i="15"/>
  <c r="AO91" i="15"/>
  <c r="AU91" i="15"/>
  <c r="I28" i="15"/>
  <c r="AB23" i="15"/>
  <c r="AB27" i="15"/>
  <c r="AM45" i="15"/>
  <c r="AQ45" i="15"/>
  <c r="AU45" i="15"/>
  <c r="AN45" i="15"/>
  <c r="AR45" i="15"/>
  <c r="AV45" i="15"/>
  <c r="AO45" i="15"/>
  <c r="AT45" i="15"/>
  <c r="AP45" i="15"/>
  <c r="AS45" i="15"/>
  <c r="AN46" i="15"/>
  <c r="AR46" i="15"/>
  <c r="AV46" i="15"/>
  <c r="AO46" i="15"/>
  <c r="AS46" i="15"/>
  <c r="AP46" i="15"/>
  <c r="AM46" i="15"/>
  <c r="AU46" i="15"/>
  <c r="AT46" i="15"/>
  <c r="AQ46" i="15"/>
  <c r="AN89" i="15"/>
  <c r="AR89" i="15"/>
  <c r="AV89" i="15"/>
  <c r="AP89" i="15"/>
  <c r="AT89" i="15"/>
  <c r="AQ89" i="15"/>
  <c r="AS89" i="15"/>
  <c r="AM89" i="15"/>
  <c r="AO89" i="15"/>
  <c r="AU89" i="15"/>
  <c r="H28" i="15"/>
  <c r="G42" i="15"/>
  <c r="AO178" i="14"/>
  <c r="AO177" i="14"/>
  <c r="AG176" i="14"/>
  <c r="BJ42" i="15"/>
  <c r="AY42" i="15" s="1"/>
  <c r="BJ58" i="15"/>
  <c r="BF58" i="15" s="1"/>
  <c r="BJ46" i="15"/>
  <c r="G54" i="15"/>
  <c r="BJ85" i="15"/>
  <c r="BB85" i="15" s="1"/>
  <c r="BJ59" i="15"/>
  <c r="BD59" i="15" s="1"/>
  <c r="BJ60" i="15"/>
  <c r="BA60" i="15" s="1"/>
  <c r="E48" i="15"/>
  <c r="I49" i="15"/>
  <c r="G49" i="15"/>
  <c r="H49" i="15"/>
  <c r="D48" i="15"/>
  <c r="O23" i="15"/>
  <c r="I23" i="15"/>
  <c r="G23" i="15"/>
  <c r="H23" i="15"/>
  <c r="O30" i="15"/>
  <c r="H30" i="15"/>
  <c r="I30" i="15"/>
  <c r="G30" i="15"/>
  <c r="AN86" i="15"/>
  <c r="AS86" i="15"/>
  <c r="AP86" i="15"/>
  <c r="AQ86" i="15"/>
  <c r="AT86" i="15"/>
  <c r="AO86" i="15"/>
  <c r="AR86" i="15"/>
  <c r="AV86" i="15"/>
  <c r="AU86" i="15"/>
  <c r="AM86" i="15"/>
  <c r="D62" i="15"/>
  <c r="I63" i="15"/>
  <c r="G63" i="15"/>
  <c r="E62" i="15"/>
  <c r="H63" i="15"/>
  <c r="G44" i="15"/>
  <c r="AR42" i="15"/>
  <c r="AO42" i="15"/>
  <c r="AU42" i="15"/>
  <c r="AV42" i="15"/>
  <c r="AQ42" i="15"/>
  <c r="AM42" i="15"/>
  <c r="AN42" i="15"/>
  <c r="AP42" i="15"/>
  <c r="AS42" i="15"/>
  <c r="AT42" i="15"/>
  <c r="BJ43" i="15"/>
  <c r="G59" i="15"/>
  <c r="AP59" i="15"/>
  <c r="AQ59" i="15"/>
  <c r="AM59" i="15"/>
  <c r="AS59" i="15"/>
  <c r="AV59" i="15"/>
  <c r="AO59" i="15"/>
  <c r="AN59" i="15"/>
  <c r="AT59" i="15"/>
  <c r="AU59" i="15"/>
  <c r="AR59" i="15"/>
  <c r="G41" i="15"/>
  <c r="G61" i="15"/>
  <c r="G40" i="15"/>
  <c r="G46" i="15"/>
  <c r="G60" i="15"/>
  <c r="M127" i="15"/>
  <c r="M131" i="15"/>
  <c r="M130" i="15"/>
  <c r="BJ44" i="15"/>
  <c r="BJ45" i="15"/>
  <c r="G47" i="15"/>
  <c r="G43" i="15"/>
  <c r="AS43" i="15"/>
  <c r="AM43" i="15"/>
  <c r="AO43" i="15"/>
  <c r="AN43" i="15"/>
  <c r="AU43" i="15"/>
  <c r="AV43" i="15"/>
  <c r="AR43" i="15"/>
  <c r="AT43" i="15"/>
  <c r="AQ43" i="15"/>
  <c r="AP43" i="15"/>
  <c r="BJ90" i="15"/>
  <c r="BJ91" i="15"/>
  <c r="O29" i="15"/>
  <c r="I29" i="15"/>
  <c r="H29" i="15"/>
  <c r="G29" i="15"/>
  <c r="F94" i="15"/>
  <c r="O94" i="15"/>
  <c r="G94" i="15"/>
  <c r="H94" i="15"/>
  <c r="I94" i="15"/>
  <c r="G39" i="15"/>
  <c r="BJ89" i="15"/>
  <c r="G37" i="15"/>
  <c r="G55" i="15"/>
  <c r="O26" i="15"/>
  <c r="G26" i="15"/>
  <c r="I26" i="15"/>
  <c r="H26" i="15"/>
  <c r="H27" i="15"/>
  <c r="G27" i="15"/>
  <c r="O27" i="15"/>
  <c r="I27" i="15"/>
  <c r="G38" i="15"/>
  <c r="AN85" i="15"/>
  <c r="AP85" i="15"/>
  <c r="AM85" i="15"/>
  <c r="AO85" i="15"/>
  <c r="AS85" i="15"/>
  <c r="AR85" i="15"/>
  <c r="AT85" i="15"/>
  <c r="AQ85" i="15"/>
  <c r="AU85" i="15"/>
  <c r="AV85" i="15"/>
  <c r="G57" i="15"/>
  <c r="AU60" i="15"/>
  <c r="AS60" i="15"/>
  <c r="AO60" i="15"/>
  <c r="AN60" i="15"/>
  <c r="AV60" i="15"/>
  <c r="AQ60" i="15"/>
  <c r="AT60" i="15"/>
  <c r="AR60" i="15"/>
  <c r="AP60" i="15"/>
  <c r="AM60" i="15"/>
  <c r="E31" i="15"/>
  <c r="O17" i="15" s="1"/>
  <c r="BJ86" i="15"/>
  <c r="BJ93" i="15"/>
  <c r="G58" i="15"/>
  <c r="AM58" i="15"/>
  <c r="AO58" i="15"/>
  <c r="AQ58" i="15"/>
  <c r="AT58" i="15"/>
  <c r="AN58" i="15"/>
  <c r="AS58" i="15"/>
  <c r="AV58" i="15"/>
  <c r="AU58" i="15"/>
  <c r="AR58" i="15"/>
  <c r="AP58" i="15"/>
  <c r="BJ92" i="15"/>
  <c r="AV28" i="15" l="1"/>
  <c r="BJ28" i="15"/>
  <c r="BD28" i="15" s="1"/>
  <c r="AP28" i="15"/>
  <c r="AT28" i="15"/>
  <c r="AN28" i="15"/>
  <c r="AQ28" i="15"/>
  <c r="AO28" i="15"/>
  <c r="AM28" i="15"/>
  <c r="AS28" i="15"/>
  <c r="AU28" i="15"/>
  <c r="AZ58" i="15"/>
  <c r="BG42" i="15"/>
  <c r="AZ42" i="15"/>
  <c r="AZ45" i="15"/>
  <c r="BD45" i="15"/>
  <c r="BA45" i="15"/>
  <c r="BE45" i="15"/>
  <c r="AX45" i="15"/>
  <c r="BF45" i="15"/>
  <c r="BC45" i="15"/>
  <c r="BB45" i="15"/>
  <c r="BG45" i="15"/>
  <c r="AY45" i="15"/>
  <c r="BA46" i="15"/>
  <c r="BE46" i="15"/>
  <c r="AX46" i="15"/>
  <c r="BB46" i="15"/>
  <c r="BF46" i="15"/>
  <c r="AY46" i="15"/>
  <c r="BG46" i="15"/>
  <c r="BD46" i="15"/>
  <c r="AZ46" i="15"/>
  <c r="BC46" i="15"/>
  <c r="AY44" i="15"/>
  <c r="BC44" i="15"/>
  <c r="BG44" i="15"/>
  <c r="AZ44" i="15"/>
  <c r="BD44" i="15"/>
  <c r="BE44" i="15"/>
  <c r="BB44" i="15"/>
  <c r="AX44" i="15"/>
  <c r="BA44" i="15"/>
  <c r="BF44" i="15"/>
  <c r="BA92" i="15"/>
  <c r="BE92" i="15"/>
  <c r="AY92" i="15"/>
  <c r="BC92" i="15"/>
  <c r="BG92" i="15"/>
  <c r="AZ92" i="15"/>
  <c r="BB92" i="15"/>
  <c r="BF92" i="15"/>
  <c r="AX92" i="15"/>
  <c r="BD92" i="15"/>
  <c r="BA93" i="15"/>
  <c r="BE93" i="15"/>
  <c r="AY93" i="15"/>
  <c r="BC93" i="15"/>
  <c r="BG93" i="15"/>
  <c r="AZ93" i="15"/>
  <c r="BB93" i="15"/>
  <c r="BD93" i="15"/>
  <c r="AX93" i="15"/>
  <c r="BF93" i="15"/>
  <c r="BA91" i="15"/>
  <c r="BE91" i="15"/>
  <c r="AY91" i="15"/>
  <c r="BC91" i="15"/>
  <c r="BG91" i="15"/>
  <c r="AZ91" i="15"/>
  <c r="BB91" i="15"/>
  <c r="BD91" i="15"/>
  <c r="BF91" i="15"/>
  <c r="AX91" i="15"/>
  <c r="BA89" i="15"/>
  <c r="BE89" i="15"/>
  <c r="AY89" i="15"/>
  <c r="BC89" i="15"/>
  <c r="BG89" i="15"/>
  <c r="AZ89" i="15"/>
  <c r="BB89" i="15"/>
  <c r="BD89" i="15"/>
  <c r="BF89" i="15"/>
  <c r="AX89" i="15"/>
  <c r="BA90" i="15"/>
  <c r="BE90" i="15"/>
  <c r="AY90" i="15"/>
  <c r="BC90" i="15"/>
  <c r="BG90" i="15"/>
  <c r="AZ90" i="15"/>
  <c r="BB90" i="15"/>
  <c r="AX90" i="15"/>
  <c r="BF90" i="15"/>
  <c r="BD90" i="15"/>
  <c r="AX58" i="15"/>
  <c r="BA42" i="15"/>
  <c r="AX42" i="15"/>
  <c r="BE42" i="15"/>
  <c r="BF42" i="15"/>
  <c r="BD42" i="15"/>
  <c r="BB42" i="15"/>
  <c r="BC42" i="15"/>
  <c r="AG177" i="14"/>
  <c r="AG213" i="14" s="1"/>
  <c r="I11" i="15"/>
  <c r="G11" i="15" s="1"/>
  <c r="BC58" i="15"/>
  <c r="BD58" i="15"/>
  <c r="AY60" i="15"/>
  <c r="BG58" i="15"/>
  <c r="AY58" i="15"/>
  <c r="BB58" i="15"/>
  <c r="BD60" i="15"/>
  <c r="BE60" i="15"/>
  <c r="BD85" i="15"/>
  <c r="BC60" i="15"/>
  <c r="BB60" i="15"/>
  <c r="BE58" i="15"/>
  <c r="BA58" i="15"/>
  <c r="BG60" i="15"/>
  <c r="BA85" i="15"/>
  <c r="BF60" i="15"/>
  <c r="AX60" i="15"/>
  <c r="BF59" i="15"/>
  <c r="BG85" i="15"/>
  <c r="AZ60" i="15"/>
  <c r="AY59" i="15"/>
  <c r="AY85" i="15"/>
  <c r="BC85" i="15"/>
  <c r="AZ85" i="15"/>
  <c r="BA59" i="15"/>
  <c r="BC59" i="15"/>
  <c r="AX85" i="15"/>
  <c r="BE85" i="15"/>
  <c r="BB59" i="15"/>
  <c r="BG59" i="15"/>
  <c r="AZ59" i="15"/>
  <c r="BF85" i="15"/>
  <c r="AX59" i="15"/>
  <c r="BE59" i="15"/>
  <c r="N17" i="15"/>
  <c r="AB17" i="15" s="1"/>
  <c r="BC86" i="15"/>
  <c r="BB86" i="15"/>
  <c r="AZ86" i="15"/>
  <c r="BE86" i="15"/>
  <c r="AY86" i="15"/>
  <c r="BA86" i="15"/>
  <c r="BG86" i="15"/>
  <c r="AX86" i="15"/>
  <c r="BD86" i="15"/>
  <c r="BF86" i="15"/>
  <c r="O31" i="15"/>
  <c r="I31" i="15"/>
  <c r="AB31" i="15"/>
  <c r="H31" i="15"/>
  <c r="G31" i="15"/>
  <c r="BE43" i="15"/>
  <c r="AX43" i="15"/>
  <c r="BA43" i="15"/>
  <c r="AZ43" i="15"/>
  <c r="AY43" i="15"/>
  <c r="BF43" i="15"/>
  <c r="BD43" i="15"/>
  <c r="BC43" i="15"/>
  <c r="BG43" i="15"/>
  <c r="BB43" i="15"/>
  <c r="AI26" i="15" l="1"/>
  <c r="AK26" i="15"/>
  <c r="AG26" i="15"/>
  <c r="AH27" i="15"/>
  <c r="AF27" i="15"/>
  <c r="AD26" i="15"/>
  <c r="AF26" i="15"/>
  <c r="AE27" i="15"/>
  <c r="AC27" i="15"/>
  <c r="AH26" i="15"/>
  <c r="AI27" i="15"/>
  <c r="AK27" i="15"/>
  <c r="AJ27" i="15"/>
  <c r="AE26" i="15"/>
  <c r="AC26" i="15"/>
  <c r="AJ26" i="15"/>
  <c r="AD27" i="15"/>
  <c r="AG27" i="15"/>
  <c r="R27" i="15"/>
  <c r="U27" i="15"/>
  <c r="X27" i="15"/>
  <c r="Q26" i="15"/>
  <c r="W26" i="15"/>
  <c r="T27" i="15"/>
  <c r="V26" i="15"/>
  <c r="Y26" i="15"/>
  <c r="X26" i="15"/>
  <c r="V27" i="15"/>
  <c r="Y27" i="15"/>
  <c r="S27" i="15"/>
  <c r="R26" i="15"/>
  <c r="U26" i="15"/>
  <c r="S26" i="15"/>
  <c r="Q27" i="15"/>
  <c r="W27" i="15"/>
  <c r="T26" i="15"/>
  <c r="AX28" i="15"/>
  <c r="AZ28" i="15"/>
  <c r="AY28" i="15"/>
  <c r="BG28" i="15"/>
  <c r="BE28" i="15"/>
  <c r="BB28" i="15"/>
  <c r="BC28" i="15"/>
  <c r="BA28" i="15"/>
  <c r="BF28" i="15"/>
  <c r="N80" i="15"/>
  <c r="AB80" i="15" s="1"/>
  <c r="AI29" i="15"/>
  <c r="AF29" i="15"/>
  <c r="AC29" i="15"/>
  <c r="AD29" i="15"/>
  <c r="AG29" i="15"/>
  <c r="AH29" i="15"/>
  <c r="AE29" i="15"/>
  <c r="AK29" i="15"/>
  <c r="AJ29" i="15"/>
  <c r="Q29" i="15"/>
  <c r="W29" i="15"/>
  <c r="R29" i="15"/>
  <c r="V29" i="15"/>
  <c r="T29" i="15"/>
  <c r="U29" i="15"/>
  <c r="S29" i="15"/>
  <c r="Y29" i="15"/>
  <c r="X29" i="15"/>
  <c r="R30" i="15"/>
  <c r="T30" i="15"/>
  <c r="V30" i="15"/>
  <c r="U30" i="15"/>
  <c r="Y30" i="15"/>
  <c r="Q30" i="15"/>
  <c r="W30" i="15"/>
  <c r="X30" i="15"/>
  <c r="S30" i="15"/>
  <c r="AE30" i="15"/>
  <c r="AJ30" i="15"/>
  <c r="AH30" i="15"/>
  <c r="AI30" i="15"/>
  <c r="AK30" i="15"/>
  <c r="AD30" i="15"/>
  <c r="AC30" i="15"/>
  <c r="AF30" i="15"/>
  <c r="AG30" i="15"/>
  <c r="AJ31" i="15"/>
  <c r="U23" i="15"/>
  <c r="W23" i="15"/>
  <c r="T23" i="15"/>
  <c r="Y23" i="15"/>
  <c r="S23" i="15"/>
  <c r="X23" i="15"/>
  <c r="R23" i="15"/>
  <c r="V23" i="15"/>
  <c r="Q23" i="15"/>
  <c r="AK23" i="15"/>
  <c r="AF23" i="15"/>
  <c r="AC23" i="15"/>
  <c r="AH23" i="15"/>
  <c r="AG23" i="15"/>
  <c r="AD23" i="15"/>
  <c r="AE23" i="15"/>
  <c r="AJ23" i="15"/>
  <c r="AI23" i="15"/>
  <c r="AG228" i="14"/>
  <c r="AG253" i="14"/>
  <c r="AG304" i="14"/>
  <c r="AG284" i="14"/>
  <c r="AF31" i="15"/>
  <c r="Q24" i="15"/>
  <c r="U24" i="15"/>
  <c r="Y24" i="15"/>
  <c r="AD24" i="15"/>
  <c r="AH24" i="15"/>
  <c r="Q25" i="15"/>
  <c r="Y25" i="15"/>
  <c r="AD25" i="15"/>
  <c r="R24" i="15"/>
  <c r="AE24" i="15"/>
  <c r="V25" i="15"/>
  <c r="AI25" i="15"/>
  <c r="AF24" i="15"/>
  <c r="W25" i="15"/>
  <c r="T24" i="15"/>
  <c r="X24" i="15"/>
  <c r="AC24" i="15"/>
  <c r="AG24" i="15"/>
  <c r="AK24" i="15"/>
  <c r="T25" i="15"/>
  <c r="X25" i="15"/>
  <c r="AC25" i="15"/>
  <c r="AG25" i="15"/>
  <c r="AK25" i="15"/>
  <c r="U25" i="15"/>
  <c r="AH25" i="15"/>
  <c r="V24" i="15"/>
  <c r="AI24" i="15"/>
  <c r="R25" i="15"/>
  <c r="AE25" i="15"/>
  <c r="S24" i="15"/>
  <c r="W24" i="15"/>
  <c r="AJ24" i="15"/>
  <c r="S25" i="15"/>
  <c r="AF25" i="15"/>
  <c r="AJ25" i="15"/>
  <c r="AG320" i="14"/>
  <c r="AG324" i="14"/>
  <c r="AG407" i="14"/>
  <c r="AG536" i="14"/>
  <c r="AG366" i="14"/>
  <c r="AG303" i="14"/>
  <c r="AG244" i="14"/>
  <c r="AG397" i="14"/>
  <c r="AG340" i="14"/>
  <c r="AG461" i="14"/>
  <c r="AG198" i="14"/>
  <c r="AG182" i="14"/>
  <c r="AG288" i="14"/>
  <c r="AG386" i="14"/>
  <c r="AG300" i="14"/>
  <c r="AG311" i="14"/>
  <c r="Y22" i="15"/>
  <c r="U22" i="15"/>
  <c r="W22" i="15"/>
  <c r="R31" i="15"/>
  <c r="T31" i="15"/>
  <c r="R19" i="15"/>
  <c r="Q19" i="15"/>
  <c r="W19" i="15"/>
  <c r="Q20" i="15"/>
  <c r="S20" i="15"/>
  <c r="S19" i="15"/>
  <c r="X20" i="15"/>
  <c r="Y31" i="15"/>
  <c r="X19" i="15"/>
  <c r="W20" i="15"/>
  <c r="R22" i="15"/>
  <c r="T22" i="15"/>
  <c r="Q22" i="15"/>
  <c r="V22" i="15"/>
  <c r="X31" i="15"/>
  <c r="Q31" i="15"/>
  <c r="T19" i="15"/>
  <c r="U19" i="15"/>
  <c r="R20" i="15"/>
  <c r="U20" i="15"/>
  <c r="T20" i="15"/>
  <c r="S22" i="15"/>
  <c r="S31" i="15"/>
  <c r="V31" i="15"/>
  <c r="V19" i="15"/>
  <c r="V20" i="15"/>
  <c r="X22" i="15"/>
  <c r="U31" i="15"/>
  <c r="W31" i="15"/>
  <c r="Y19" i="15"/>
  <c r="Y20" i="15"/>
  <c r="AH31" i="15"/>
  <c r="AG191" i="14"/>
  <c r="AG544" i="14"/>
  <c r="AG516" i="14"/>
  <c r="AG297" i="14"/>
  <c r="AG192" i="14"/>
  <c r="AG436" i="14"/>
  <c r="AG290" i="14"/>
  <c r="AG272" i="14"/>
  <c r="AG453" i="14"/>
  <c r="AG532" i="14"/>
  <c r="AG408" i="14"/>
  <c r="AG299" i="14"/>
  <c r="AG277" i="14"/>
  <c r="AG339" i="14"/>
  <c r="AG363" i="14"/>
  <c r="AG396" i="14"/>
  <c r="AG410" i="14"/>
  <c r="AG499" i="14"/>
  <c r="AG406" i="14"/>
  <c r="AG537" i="14"/>
  <c r="AG474" i="14"/>
  <c r="AG325" i="14"/>
  <c r="AG411" i="14"/>
  <c r="AG421" i="14"/>
  <c r="AG240" i="14"/>
  <c r="AG258" i="14"/>
  <c r="AG420" i="14"/>
  <c r="AG318" i="14"/>
  <c r="AG328" i="14"/>
  <c r="AG513" i="14"/>
  <c r="AG377" i="14"/>
  <c r="AG529" i="14"/>
  <c r="AG289" i="14"/>
  <c r="AG523" i="14"/>
  <c r="AG520" i="14"/>
  <c r="AG335" i="14"/>
  <c r="AG200" i="14"/>
  <c r="AG528" i="14"/>
  <c r="AG264" i="14"/>
  <c r="AG481" i="14"/>
  <c r="AG193" i="14"/>
  <c r="AG227" i="14"/>
  <c r="AG399" i="14"/>
  <c r="AG384" i="14"/>
  <c r="AG280" i="14"/>
  <c r="AG292" i="14"/>
  <c r="AG298" i="14"/>
  <c r="AG388" i="14"/>
  <c r="AG205" i="14"/>
  <c r="AG427" i="14"/>
  <c r="AG489" i="14"/>
  <c r="AG226" i="14"/>
  <c r="AG334" i="14"/>
  <c r="AG468" i="14"/>
  <c r="AG368" i="14"/>
  <c r="AG329" i="14"/>
  <c r="AG367" i="14"/>
  <c r="AG352" i="14"/>
  <c r="AG210" i="14"/>
  <c r="AG312" i="14"/>
  <c r="AG482" i="14"/>
  <c r="AG460" i="14"/>
  <c r="AG274" i="14"/>
  <c r="AG357" i="14"/>
  <c r="AG522" i="14"/>
  <c r="AG337" i="14"/>
  <c r="AG323" i="14"/>
  <c r="AG402" i="14"/>
  <c r="AG194" i="14"/>
  <c r="AG218" i="14"/>
  <c r="AG449" i="14"/>
  <c r="AG385" i="14"/>
  <c r="AG202" i="14"/>
  <c r="AG268" i="14"/>
  <c r="AG302" i="14"/>
  <c r="AG416" i="14"/>
  <c r="AG262" i="14"/>
  <c r="AG526" i="14"/>
  <c r="AG404" i="14"/>
  <c r="AG184" i="14"/>
  <c r="AG195" i="14"/>
  <c r="AG511" i="14"/>
  <c r="AG542" i="14"/>
  <c r="AG189" i="14"/>
  <c r="AG473" i="14"/>
  <c r="AG197" i="14"/>
  <c r="AG259" i="14"/>
  <c r="AG233" i="14"/>
  <c r="AG467" i="14"/>
  <c r="AG269" i="14"/>
  <c r="AG501" i="14"/>
  <c r="AG369" i="14"/>
  <c r="AG405" i="14"/>
  <c r="AG211" i="14"/>
  <c r="AG316" i="14"/>
  <c r="AG371" i="14"/>
  <c r="AG361" i="14"/>
  <c r="AG260" i="14"/>
  <c r="AG472" i="14"/>
  <c r="AG181" i="14"/>
  <c r="AG514" i="14"/>
  <c r="AG535" i="14"/>
  <c r="AG442" i="14"/>
  <c r="AG376" i="14"/>
  <c r="AG506" i="14"/>
  <c r="AG426" i="14"/>
  <c r="AG470" i="14"/>
  <c r="AG387" i="14"/>
  <c r="AG359" i="14"/>
  <c r="AG492" i="14"/>
  <c r="AG443" i="14"/>
  <c r="AG291" i="14"/>
  <c r="AG278" i="14"/>
  <c r="AG279" i="14"/>
  <c r="AG445" i="14"/>
  <c r="AG250" i="14"/>
  <c r="AG263" i="14"/>
  <c r="AG497" i="14"/>
  <c r="AG403" i="14"/>
  <c r="AG358" i="14"/>
  <c r="AG448" i="14"/>
  <c r="AG317" i="14"/>
  <c r="AG540" i="14"/>
  <c r="AG283" i="14"/>
  <c r="AG243" i="14"/>
  <c r="AG241" i="14"/>
  <c r="AG400" i="14"/>
  <c r="AG326" i="14"/>
  <c r="AG196" i="14"/>
  <c r="AG525" i="14"/>
  <c r="AG238" i="14"/>
  <c r="AG231" i="14"/>
  <c r="AG375" i="14"/>
  <c r="AG538" i="14"/>
  <c r="AG348" i="14"/>
  <c r="AG483" i="14"/>
  <c r="AG360" i="14"/>
  <c r="AG190" i="14"/>
  <c r="AG504" i="14"/>
  <c r="AG207" i="14"/>
  <c r="AG423" i="14"/>
  <c r="AG355" i="14"/>
  <c r="AG441" i="14"/>
  <c r="AG435" i="14"/>
  <c r="AG428" i="14"/>
  <c r="AG338" i="14"/>
  <c r="AG515" i="14"/>
  <c r="AG413" i="14"/>
  <c r="AG310" i="14"/>
  <c r="AG327" i="14"/>
  <c r="AG530" i="14"/>
  <c r="AG354" i="14"/>
  <c r="AG281" i="14"/>
  <c r="AG239" i="14"/>
  <c r="AG216" i="14"/>
  <c r="AG401" i="14"/>
  <c r="AG414" i="14"/>
  <c r="AG219" i="14"/>
  <c r="AG349" i="14"/>
  <c r="AG306" i="14"/>
  <c r="AG275" i="14"/>
  <c r="AG465" i="14"/>
  <c r="AG321" i="14"/>
  <c r="AG417" i="14"/>
  <c r="AG180" i="14"/>
  <c r="AG450" i="14"/>
  <c r="AG296" i="14"/>
  <c r="AG412" i="14"/>
  <c r="AG251" i="14"/>
  <c r="AG533" i="14"/>
  <c r="AG235" i="14"/>
  <c r="AG286" i="14"/>
  <c r="AG301" i="14"/>
  <c r="AG486" i="14"/>
  <c r="AG333" i="14"/>
  <c r="AG372" i="14"/>
  <c r="AG362" i="14"/>
  <c r="AG469" i="14"/>
  <c r="AG389" i="14"/>
  <c r="AG378" i="14"/>
  <c r="AG478" i="14"/>
  <c r="AG364" i="14"/>
  <c r="AG255" i="14"/>
  <c r="AG344" i="14"/>
  <c r="AG308" i="14"/>
  <c r="AG531" i="14"/>
  <c r="AG315" i="14"/>
  <c r="AG206" i="14"/>
  <c r="AG518" i="14"/>
  <c r="AG229" i="14"/>
  <c r="AG381" i="14"/>
  <c r="AG242" i="14"/>
  <c r="AG309" i="14"/>
  <c r="AG451" i="14"/>
  <c r="AG295" i="14"/>
  <c r="AG247" i="14"/>
  <c r="AG220" i="14"/>
  <c r="AG254" i="14"/>
  <c r="AG285" i="14"/>
  <c r="AG331" i="14"/>
  <c r="AG257" i="14"/>
  <c r="AG336" i="14"/>
  <c r="AG356" i="14"/>
  <c r="AG234" i="14"/>
  <c r="AG543" i="14"/>
  <c r="AG261" i="14"/>
  <c r="AG471" i="14"/>
  <c r="AG313" i="14"/>
  <c r="AG203" i="14"/>
  <c r="AG503" i="14"/>
  <c r="AG519" i="14"/>
  <c r="AG343" i="14"/>
  <c r="AG245" i="14"/>
  <c r="AG541" i="14"/>
  <c r="AG424" i="14"/>
  <c r="AG507" i="14"/>
  <c r="AG236" i="14"/>
  <c r="AG217" i="14"/>
  <c r="AG437" i="14"/>
  <c r="AG430" i="14"/>
  <c r="AG458" i="14"/>
  <c r="AG201" i="14"/>
  <c r="AG270" i="14"/>
  <c r="AG276" i="14"/>
  <c r="AG545" i="14"/>
  <c r="AG508" i="14"/>
  <c r="AG456" i="14"/>
  <c r="AG223" i="14"/>
  <c r="AG462" i="14"/>
  <c r="AG510" i="14"/>
  <c r="AG477" i="14"/>
  <c r="AG434" i="14"/>
  <c r="AG342" i="14"/>
  <c r="AG466" i="14"/>
  <c r="AG314" i="14"/>
  <c r="AG350" i="14"/>
  <c r="AG186" i="14"/>
  <c r="AG287" i="14"/>
  <c r="AG199" i="14"/>
  <c r="AG230" i="14"/>
  <c r="AG488" i="14"/>
  <c r="AG438" i="14"/>
  <c r="AG383" i="14"/>
  <c r="AG419" i="14"/>
  <c r="AG425" i="14"/>
  <c r="AG373" i="14"/>
  <c r="AG454" i="14"/>
  <c r="AG209" i="14"/>
  <c r="AG418" i="14"/>
  <c r="AG527" i="14"/>
  <c r="AG332" i="14"/>
  <c r="AG475" i="14"/>
  <c r="AG374" i="14"/>
  <c r="AG346" i="14"/>
  <c r="AG267" i="14"/>
  <c r="AG415" i="14"/>
  <c r="AG493" i="14"/>
  <c r="AG455" i="14"/>
  <c r="AG380" i="14"/>
  <c r="AG266" i="14"/>
  <c r="AG446" i="14"/>
  <c r="AG391" i="14"/>
  <c r="AG237" i="14"/>
  <c r="AG188" i="14"/>
  <c r="AG394" i="14"/>
  <c r="AG433" i="14"/>
  <c r="AG330" i="14"/>
  <c r="AG496" i="14"/>
  <c r="AG539" i="14"/>
  <c r="AG393" i="14"/>
  <c r="AG221" i="14"/>
  <c r="AG459" i="14"/>
  <c r="AG444" i="14"/>
  <c r="AG224" i="14"/>
  <c r="AG365" i="14"/>
  <c r="AG322" i="14"/>
  <c r="AG463" i="14"/>
  <c r="AG512" i="14"/>
  <c r="AG370" i="14"/>
  <c r="AG485" i="14"/>
  <c r="AG382" i="14"/>
  <c r="AG271" i="14"/>
  <c r="AG183" i="14"/>
  <c r="AG265" i="14"/>
  <c r="AG282" i="14"/>
  <c r="AG422" i="14"/>
  <c r="AG256" i="14"/>
  <c r="AG273" i="14"/>
  <c r="AG214" i="14"/>
  <c r="AG208" i="14"/>
  <c r="AG534" i="14"/>
  <c r="AG307" i="14"/>
  <c r="AG398" i="14"/>
  <c r="AG439" i="14"/>
  <c r="AG494" i="14"/>
  <c r="AG252" i="14"/>
  <c r="AG431" i="14"/>
  <c r="AG225" i="14"/>
  <c r="AG480" i="14"/>
  <c r="AG447" i="14"/>
  <c r="AG484" i="14"/>
  <c r="AG345" i="14"/>
  <c r="AG495" i="14"/>
  <c r="AG353" i="14"/>
  <c r="AG505" i="14"/>
  <c r="AG248" i="14"/>
  <c r="AG517" i="14"/>
  <c r="AG341" i="14"/>
  <c r="AG319" i="14"/>
  <c r="AG294" i="14"/>
  <c r="AG185" i="14"/>
  <c r="AG479" i="14"/>
  <c r="AG491" i="14"/>
  <c r="AG305" i="14"/>
  <c r="AG232" i="14"/>
  <c r="AG521" i="14"/>
  <c r="AG429" i="14"/>
  <c r="AG487" i="14"/>
  <c r="AG204" i="14"/>
  <c r="AG215" i="14"/>
  <c r="AG490" i="14"/>
  <c r="AG392" i="14"/>
  <c r="AG432" i="14"/>
  <c r="AG246" i="14"/>
  <c r="AG509" i="14"/>
  <c r="AG395" i="14"/>
  <c r="AG351" i="14"/>
  <c r="AG440" i="14"/>
  <c r="AG502" i="14"/>
  <c r="AG222" i="14"/>
  <c r="AG249" i="14"/>
  <c r="AG187" i="14"/>
  <c r="AG476" i="14"/>
  <c r="AG379" i="14"/>
  <c r="AG293" i="14"/>
  <c r="AG212" i="14"/>
  <c r="AG500" i="14"/>
  <c r="AG409" i="14"/>
  <c r="AG452" i="14"/>
  <c r="AG498" i="14"/>
  <c r="AG464" i="14"/>
  <c r="AG457" i="14"/>
  <c r="AG347" i="14"/>
  <c r="AG390" i="14"/>
  <c r="AG524" i="14"/>
  <c r="AD31" i="15"/>
  <c r="AE31" i="15"/>
  <c r="AK31" i="15"/>
  <c r="AF22" i="15"/>
  <c r="AK22" i="15"/>
  <c r="AI22" i="15"/>
  <c r="AE22" i="15"/>
  <c r="AG22" i="15"/>
  <c r="AC22" i="15"/>
  <c r="AD22" i="15"/>
  <c r="AH22" i="15"/>
  <c r="AJ22" i="15"/>
  <c r="AC31" i="15"/>
  <c r="N52" i="15"/>
  <c r="AB52" i="15" s="1"/>
  <c r="N35" i="15"/>
  <c r="AB35" i="15" s="1"/>
  <c r="AI31" i="15"/>
  <c r="AG31" i="15"/>
  <c r="AI20" i="15"/>
  <c r="AF20" i="15"/>
  <c r="AE19" i="15"/>
  <c r="AG19" i="15"/>
  <c r="AH19" i="15"/>
  <c r="AG20" i="15"/>
  <c r="AH20" i="15"/>
  <c r="AK20" i="15"/>
  <c r="AF19" i="15"/>
  <c r="AK19" i="15"/>
  <c r="AI19" i="15"/>
  <c r="AC19" i="15"/>
  <c r="AD20" i="15"/>
  <c r="AE20" i="15"/>
  <c r="AC20" i="15"/>
  <c r="AD19" i="15"/>
  <c r="AJ19" i="15"/>
  <c r="AJ20" i="15"/>
  <c r="Q43" i="15" l="1"/>
  <c r="W43" i="15"/>
  <c r="T43" i="15"/>
  <c r="V43" i="15"/>
  <c r="R43" i="15"/>
  <c r="X43" i="15"/>
  <c r="Y43" i="15"/>
  <c r="U43" i="15"/>
  <c r="S43" i="15"/>
  <c r="Q46" i="15"/>
  <c r="V46" i="15"/>
  <c r="S46" i="15"/>
  <c r="Q45" i="15"/>
  <c r="S45" i="15"/>
  <c r="R44" i="15"/>
  <c r="X44" i="15"/>
  <c r="U44" i="15"/>
  <c r="Y45" i="15"/>
  <c r="U46" i="15"/>
  <c r="X46" i="15"/>
  <c r="U45" i="15"/>
  <c r="R45" i="15"/>
  <c r="V44" i="15"/>
  <c r="Q44" i="15"/>
  <c r="W44" i="15"/>
  <c r="Y46" i="15"/>
  <c r="W46" i="15"/>
  <c r="T45" i="15"/>
  <c r="Y44" i="15"/>
  <c r="R46" i="15"/>
  <c r="T46" i="15"/>
  <c r="X45" i="15"/>
  <c r="V45" i="15"/>
  <c r="W45" i="15"/>
  <c r="T44" i="15"/>
  <c r="S44" i="15"/>
  <c r="AJ43" i="15"/>
  <c r="AD45" i="15"/>
  <c r="AK45" i="15"/>
  <c r="AE44" i="15"/>
  <c r="AH44" i="15"/>
  <c r="AD44" i="15"/>
  <c r="AD46" i="15"/>
  <c r="AF46" i="15"/>
  <c r="AG46" i="15"/>
  <c r="AC43" i="15"/>
  <c r="AG43" i="15"/>
  <c r="AD43" i="15"/>
  <c r="AF43" i="15"/>
  <c r="AI46" i="15"/>
  <c r="AK46" i="15"/>
  <c r="AK43" i="15"/>
  <c r="AH43" i="15"/>
  <c r="AJ45" i="15"/>
  <c r="AH45" i="15"/>
  <c r="AI45" i="15"/>
  <c r="AI44" i="15"/>
  <c r="AH46" i="15"/>
  <c r="AC46" i="15"/>
  <c r="AG45" i="15"/>
  <c r="AJ44" i="15"/>
  <c r="AG44" i="15"/>
  <c r="AF44" i="15"/>
  <c r="AJ46" i="15"/>
  <c r="AI43" i="15"/>
  <c r="AC45" i="15"/>
  <c r="AE45" i="15"/>
  <c r="AF45" i="15"/>
  <c r="AC44" i="15"/>
  <c r="AK44" i="15"/>
  <c r="AE46" i="15"/>
  <c r="AE43" i="15"/>
  <c r="R59" i="15"/>
  <c r="W59" i="15"/>
  <c r="W60" i="15"/>
  <c r="R60" i="15"/>
  <c r="T58" i="15"/>
  <c r="X58" i="15"/>
  <c r="S59" i="15"/>
  <c r="T59" i="15"/>
  <c r="V60" i="15"/>
  <c r="X60" i="15"/>
  <c r="S60" i="15"/>
  <c r="R58" i="15"/>
  <c r="Y58" i="15"/>
  <c r="Q59" i="15"/>
  <c r="Y59" i="15"/>
  <c r="U59" i="15"/>
  <c r="Q60" i="15"/>
  <c r="V58" i="15"/>
  <c r="S58" i="15"/>
  <c r="X59" i="15"/>
  <c r="V59" i="15"/>
  <c r="U60" i="15"/>
  <c r="Y60" i="15"/>
  <c r="T60" i="15"/>
  <c r="U58" i="15"/>
  <c r="Q58" i="15"/>
  <c r="W58" i="15"/>
  <c r="AE58" i="15"/>
  <c r="AG58" i="15"/>
  <c r="AJ58" i="15"/>
  <c r="AJ60" i="15"/>
  <c r="AH60" i="15"/>
  <c r="AD59" i="15"/>
  <c r="AF59" i="15"/>
  <c r="AE60" i="15"/>
  <c r="AD60" i="15"/>
  <c r="AI59" i="15"/>
  <c r="AH59" i="15"/>
  <c r="AG60" i="15"/>
  <c r="AG59" i="15"/>
  <c r="AK59" i="15"/>
  <c r="AI58" i="15"/>
  <c r="AK58" i="15"/>
  <c r="AF60" i="15"/>
  <c r="AE59" i="15"/>
  <c r="AF58" i="15"/>
  <c r="AD58" i="15"/>
  <c r="AK60" i="15"/>
  <c r="AC58" i="15"/>
  <c r="AH58" i="15"/>
  <c r="AI60" i="15"/>
  <c r="AC60" i="15"/>
  <c r="AJ59" i="15"/>
  <c r="AC59" i="15"/>
  <c r="U88" i="15"/>
  <c r="W88" i="15"/>
  <c r="Y88" i="15"/>
  <c r="T88" i="15"/>
  <c r="R88" i="15"/>
  <c r="X88" i="15"/>
  <c r="Q88" i="15"/>
  <c r="V88" i="15"/>
  <c r="S88" i="15"/>
  <c r="AI88" i="15"/>
  <c r="AD88" i="15"/>
  <c r="AC88" i="15"/>
  <c r="AF88" i="15"/>
  <c r="AH88" i="15"/>
  <c r="AG88" i="15"/>
  <c r="AJ88" i="15"/>
  <c r="AE88" i="15"/>
  <c r="AK88" i="15"/>
  <c r="R87" i="15"/>
  <c r="X87" i="15"/>
  <c r="T87" i="15"/>
  <c r="Q87" i="15"/>
  <c r="V87" i="15"/>
  <c r="S87" i="15"/>
  <c r="U87" i="15"/>
  <c r="W87" i="15"/>
  <c r="Y87" i="15"/>
  <c r="AH87" i="15"/>
  <c r="AG87" i="15"/>
  <c r="AF87" i="15"/>
  <c r="AJ87" i="15"/>
  <c r="AE87" i="15"/>
  <c r="AK87" i="15"/>
  <c r="AI87" i="15"/>
  <c r="AD87" i="15"/>
  <c r="AC87" i="15"/>
  <c r="U93" i="15"/>
  <c r="S93" i="15"/>
  <c r="S92" i="15"/>
  <c r="R93" i="15"/>
  <c r="T93" i="15"/>
  <c r="Q93" i="15"/>
  <c r="R92" i="15"/>
  <c r="X92" i="15"/>
  <c r="W92" i="15"/>
  <c r="X93" i="15"/>
  <c r="T92" i="15"/>
  <c r="Y93" i="15"/>
  <c r="V93" i="15"/>
  <c r="V92" i="15"/>
  <c r="Q92" i="15"/>
  <c r="U92" i="15"/>
  <c r="Y92" i="15"/>
  <c r="W93" i="15"/>
  <c r="T94" i="15"/>
  <c r="S94" i="15"/>
  <c r="R94" i="15"/>
  <c r="X94" i="15"/>
  <c r="W94" i="15"/>
  <c r="V94" i="15"/>
  <c r="U94" i="15"/>
  <c r="Q94" i="15"/>
  <c r="Y94" i="15"/>
  <c r="U86" i="15"/>
  <c r="Q82" i="15"/>
  <c r="Q86" i="15"/>
  <c r="Q85" i="15"/>
  <c r="Y82" i="15"/>
  <c r="X86" i="15"/>
  <c r="X82" i="15"/>
  <c r="V83" i="15"/>
  <c r="U83" i="15"/>
  <c r="T86" i="15"/>
  <c r="U82" i="15"/>
  <c r="S85" i="15"/>
  <c r="W82" i="15"/>
  <c r="R86" i="15"/>
  <c r="R83" i="15"/>
  <c r="S83" i="15"/>
  <c r="X85" i="15"/>
  <c r="Y86" i="15"/>
  <c r="R85" i="15"/>
  <c r="T85" i="15"/>
  <c r="T83" i="15"/>
  <c r="V82" i="15"/>
  <c r="Y83" i="15"/>
  <c r="S86" i="15"/>
  <c r="Q83" i="15"/>
  <c r="V85" i="15"/>
  <c r="R82" i="15"/>
  <c r="Y85" i="15"/>
  <c r="W85" i="15"/>
  <c r="V86" i="15"/>
  <c r="U85" i="15"/>
  <c r="T82" i="15"/>
  <c r="X83" i="15"/>
  <c r="W83" i="15"/>
  <c r="S82" i="15"/>
  <c r="W86" i="15"/>
  <c r="AE92" i="15"/>
  <c r="AK92" i="15"/>
  <c r="AD92" i="15"/>
  <c r="AI93" i="15"/>
  <c r="AH93" i="15"/>
  <c r="AD93" i="15"/>
  <c r="AG86" i="15"/>
  <c r="AJ86" i="15"/>
  <c r="AD86" i="15"/>
  <c r="AE86" i="15"/>
  <c r="AF85" i="15"/>
  <c r="AI85" i="15"/>
  <c r="AH85" i="15"/>
  <c r="AC85" i="15"/>
  <c r="AF82" i="15"/>
  <c r="AI82" i="15"/>
  <c r="AG82" i="15"/>
  <c r="AH83" i="15"/>
  <c r="AD83" i="15"/>
  <c r="AJ83" i="15"/>
  <c r="AC92" i="15"/>
  <c r="AH86" i="15"/>
  <c r="AH82" i="15"/>
  <c r="AJ82" i="15"/>
  <c r="AF83" i="15"/>
  <c r="AK83" i="15"/>
  <c r="AI92" i="15"/>
  <c r="AH92" i="15"/>
  <c r="AF92" i="15"/>
  <c r="AC93" i="15"/>
  <c r="AF86" i="15"/>
  <c r="AK86" i="15"/>
  <c r="AK85" i="15"/>
  <c r="AG85" i="15"/>
  <c r="AE85" i="15"/>
  <c r="AD85" i="15"/>
  <c r="AK82" i="15"/>
  <c r="AG93" i="15"/>
  <c r="AJ93" i="15"/>
  <c r="AG92" i="15"/>
  <c r="AJ92" i="15"/>
  <c r="AE93" i="15"/>
  <c r="AK93" i="15"/>
  <c r="AF93" i="15"/>
  <c r="AI86" i="15"/>
  <c r="AC86" i="15"/>
  <c r="AC82" i="15"/>
  <c r="AE82" i="15"/>
  <c r="AD82" i="15"/>
  <c r="AI83" i="15"/>
  <c r="AG83" i="15"/>
  <c r="AC83" i="15"/>
  <c r="AE83" i="15"/>
  <c r="AJ85" i="15"/>
  <c r="AE94" i="15"/>
  <c r="AK94" i="15"/>
  <c r="AD94" i="15"/>
  <c r="AC94" i="15"/>
  <c r="AI94" i="15"/>
  <c r="AH94" i="15"/>
  <c r="AF94" i="15"/>
  <c r="AG94" i="15"/>
  <c r="AJ94" i="15"/>
  <c r="R37" i="15"/>
  <c r="T37" i="15"/>
  <c r="S37" i="15"/>
  <c r="V37" i="15"/>
  <c r="W37" i="15"/>
  <c r="Q37" i="15"/>
  <c r="X37" i="15"/>
  <c r="Y37" i="15"/>
  <c r="U37" i="15"/>
  <c r="AJ37" i="15"/>
  <c r="AK37" i="15"/>
  <c r="AH37" i="15"/>
  <c r="AC37" i="15"/>
  <c r="AE37" i="15"/>
  <c r="AG37" i="15"/>
  <c r="AI37" i="15"/>
  <c r="AD37" i="15"/>
  <c r="AF37" i="15"/>
  <c r="R42" i="15"/>
  <c r="X42" i="15"/>
  <c r="W42" i="15"/>
  <c r="Q42" i="15"/>
  <c r="U42" i="15"/>
  <c r="Y42" i="15"/>
  <c r="T42" i="15"/>
  <c r="V42" i="15"/>
  <c r="S42" i="15"/>
  <c r="AJ42" i="15"/>
  <c r="AI42" i="15"/>
  <c r="AK42" i="15"/>
  <c r="AG42" i="15"/>
  <c r="AD42" i="15"/>
  <c r="AE42" i="15"/>
  <c r="AH42" i="15"/>
  <c r="AF42" i="15"/>
  <c r="AC42" i="15"/>
  <c r="AJ41" i="15"/>
  <c r="AJ38" i="15"/>
  <c r="AJ47" i="15"/>
  <c r="AJ40" i="15"/>
  <c r="AJ39" i="15"/>
  <c r="Q47" i="15"/>
  <c r="U47" i="15"/>
  <c r="Y47" i="15"/>
  <c r="AD47" i="15"/>
  <c r="AH47" i="15"/>
  <c r="AI47" i="15"/>
  <c r="W47" i="15"/>
  <c r="T47" i="15"/>
  <c r="X47" i="15"/>
  <c r="AC47" i="15"/>
  <c r="AG47" i="15"/>
  <c r="AK47" i="15"/>
  <c r="R47" i="15"/>
  <c r="V47" i="15"/>
  <c r="AE47" i="15"/>
  <c r="S47" i="15"/>
  <c r="AF47" i="15"/>
  <c r="V41" i="15"/>
  <c r="U41" i="15"/>
  <c r="U40" i="15"/>
  <c r="Q38" i="15"/>
  <c r="T39" i="15"/>
  <c r="V40" i="15"/>
  <c r="R38" i="15"/>
  <c r="V39" i="15"/>
  <c r="T41" i="15"/>
  <c r="AC39" i="15"/>
  <c r="AG41" i="15"/>
  <c r="AH39" i="15"/>
  <c r="AC41" i="15"/>
  <c r="AG39" i="15"/>
  <c r="AH41" i="15"/>
  <c r="AK40" i="15"/>
  <c r="AD41" i="15"/>
  <c r="V38" i="15"/>
  <c r="S39" i="15"/>
  <c r="AI40" i="15"/>
  <c r="AK38" i="15"/>
  <c r="W41" i="15"/>
  <c r="W39" i="15"/>
  <c r="Y40" i="15"/>
  <c r="X38" i="15"/>
  <c r="Q40" i="15"/>
  <c r="X39" i="15"/>
  <c r="S40" i="15"/>
  <c r="S38" i="15"/>
  <c r="S41" i="15"/>
  <c r="Y38" i="15"/>
  <c r="R39" i="15"/>
  <c r="AE41" i="15"/>
  <c r="AG38" i="15"/>
  <c r="AE39" i="15"/>
  <c r="AG40" i="15"/>
  <c r="AH38" i="15"/>
  <c r="AI39" i="15"/>
  <c r="AC40" i="15"/>
  <c r="AC38" i="15"/>
  <c r="AF39" i="15"/>
  <c r="Y41" i="15"/>
  <c r="T40" i="15"/>
  <c r="Q39" i="15"/>
  <c r="U39" i="15"/>
  <c r="W38" i="15"/>
  <c r="X41" i="15"/>
  <c r="U38" i="15"/>
  <c r="AD39" i="15"/>
  <c r="AF38" i="15"/>
  <c r="AD38" i="15"/>
  <c r="AI41" i="15"/>
  <c r="AE40" i="15"/>
  <c r="AF41" i="15"/>
  <c r="Y39" i="15"/>
  <c r="Q41" i="15"/>
  <c r="R40" i="15"/>
  <c r="R41" i="15"/>
  <c r="X40" i="15"/>
  <c r="AD40" i="15"/>
  <c r="AF40" i="15"/>
  <c r="AK41" i="15"/>
  <c r="AE38" i="15"/>
  <c r="W40" i="15"/>
  <c r="AH40" i="15"/>
  <c r="T38" i="15"/>
  <c r="AI38" i="15"/>
  <c r="AK39" i="15"/>
  <c r="X56" i="15"/>
  <c r="Y56" i="15"/>
  <c r="S61" i="15"/>
  <c r="U61" i="15"/>
  <c r="W61" i="15"/>
  <c r="X57" i="15"/>
  <c r="T56" i="15"/>
  <c r="Y55" i="15"/>
  <c r="U55" i="15"/>
  <c r="W56" i="15"/>
  <c r="T55" i="15"/>
  <c r="AC54" i="15"/>
  <c r="AC61" i="15"/>
  <c r="AI57" i="15"/>
  <c r="W54" i="15"/>
  <c r="U54" i="15"/>
  <c r="R55" i="15"/>
  <c r="AI61" i="15"/>
  <c r="AC56" i="15"/>
  <c r="AK54" i="15"/>
  <c r="AD61" i="15"/>
  <c r="R57" i="15"/>
  <c r="Y61" i="15"/>
  <c r="T54" i="15"/>
  <c r="Q55" i="15"/>
  <c r="V55" i="15"/>
  <c r="Q61" i="15"/>
  <c r="T61" i="15"/>
  <c r="Y54" i="15"/>
  <c r="Q57" i="15"/>
  <c r="Q56" i="15"/>
  <c r="S55" i="15"/>
  <c r="AE55" i="15"/>
  <c r="AF61" i="15"/>
  <c r="AJ54" i="15"/>
  <c r="AK57" i="15"/>
  <c r="AG56" i="15"/>
  <c r="AG61" i="15"/>
  <c r="AH54" i="15"/>
  <c r="AI56" i="15"/>
  <c r="AD56" i="15"/>
  <c r="AD57" i="15"/>
  <c r="AK56" i="15"/>
  <c r="AG57" i="15"/>
  <c r="AH56" i="15"/>
  <c r="AE61" i="15"/>
  <c r="AK55" i="15"/>
  <c r="AE54" i="15"/>
  <c r="AD55" i="15"/>
  <c r="AI55" i="15"/>
  <c r="AC55" i="15"/>
  <c r="S57" i="15"/>
  <c r="V61" i="15"/>
  <c r="T57" i="15"/>
  <c r="R54" i="15"/>
  <c r="V57" i="15"/>
  <c r="X61" i="15"/>
  <c r="S54" i="15"/>
  <c r="W57" i="15"/>
  <c r="V56" i="15"/>
  <c r="AF55" i="15"/>
  <c r="AG54" i="15"/>
  <c r="AE56" i="15"/>
  <c r="AF57" i="15"/>
  <c r="AI54" i="15"/>
  <c r="AE57" i="15"/>
  <c r="AJ55" i="15"/>
  <c r="AH55" i="15"/>
  <c r="R56" i="15"/>
  <c r="Q54" i="15"/>
  <c r="X54" i="15"/>
  <c r="AD54" i="15"/>
  <c r="AF54" i="15"/>
  <c r="AJ61" i="15"/>
  <c r="AC57" i="15"/>
  <c r="AF56" i="15"/>
  <c r="X55" i="15"/>
  <c r="AG55" i="15"/>
  <c r="AK61" i="15"/>
  <c r="U57" i="15"/>
  <c r="R61" i="15"/>
  <c r="AH61" i="15"/>
  <c r="AH57" i="15"/>
  <c r="U56" i="15"/>
  <c r="S56" i="15"/>
  <c r="W55" i="15"/>
  <c r="V54" i="15"/>
  <c r="AJ56" i="15"/>
  <c r="Y57" i="15"/>
  <c r="AJ57" i="15"/>
  <c r="BI57" i="15" l="1"/>
  <c r="BJ57" i="15" s="1"/>
  <c r="AO57" i="15" l="1"/>
  <c r="AS57" i="15"/>
  <c r="AU57" i="15"/>
  <c r="AM57" i="15"/>
  <c r="AQ57" i="15"/>
  <c r="AX57" i="15"/>
  <c r="BB57" i="15"/>
  <c r="AZ57" i="15"/>
  <c r="BA57" i="15"/>
  <c r="AY57" i="15"/>
  <c r="BC57" i="15"/>
  <c r="BG57" i="15"/>
  <c r="BD57" i="15"/>
  <c r="BF57" i="15"/>
  <c r="BE57" i="15"/>
  <c r="AR57" i="15"/>
  <c r="AT57" i="15"/>
  <c r="AV57" i="15"/>
  <c r="AP57" i="15"/>
  <c r="AN57" i="15"/>
  <c r="BJ88" i="15" l="1"/>
  <c r="BF88" i="15" s="1"/>
  <c r="AY88" i="15" l="1"/>
  <c r="BC88" i="15"/>
  <c r="BG88" i="15"/>
  <c r="BB88" i="15"/>
  <c r="AX88" i="15"/>
  <c r="BI82" i="15"/>
  <c r="BJ82" i="15" s="1"/>
  <c r="AY82" i="15" s="1"/>
  <c r="BE88" i="15"/>
  <c r="BD88" i="15"/>
  <c r="AZ88" i="15"/>
  <c r="BI88" i="15"/>
  <c r="BA88" i="15"/>
  <c r="BD82" i="15" l="1"/>
  <c r="BE82" i="15"/>
  <c r="BA82" i="15"/>
  <c r="BB82" i="15"/>
  <c r="BF82" i="15"/>
  <c r="BG82" i="15"/>
  <c r="AZ82" i="15"/>
  <c r="BC82" i="15"/>
  <c r="AX82" i="15"/>
  <c r="AN82" i="15"/>
  <c r="AP82" i="15"/>
  <c r="AR82" i="15"/>
  <c r="AU82" i="15"/>
  <c r="AQ82" i="15"/>
  <c r="AS82" i="15"/>
  <c r="AM82" i="15"/>
  <c r="AT82" i="15"/>
  <c r="AV82" i="15"/>
  <c r="AO82" i="15"/>
  <c r="AV88" i="15"/>
  <c r="AU88" i="15"/>
  <c r="AS88" i="15"/>
  <c r="AR88" i="15"/>
  <c r="AT88" i="15"/>
  <c r="AQ88" i="15"/>
  <c r="AN88" i="15"/>
  <c r="AP88" i="15"/>
  <c r="AO88" i="15"/>
  <c r="AM88" i="15"/>
  <c r="BJ87" i="15"/>
  <c r="AY87" i="15" s="1"/>
  <c r="AX87" i="15" l="1"/>
  <c r="BI87" i="15"/>
  <c r="AP87" i="15" s="1"/>
  <c r="BF87" i="15"/>
  <c r="AZ87" i="15"/>
  <c r="BE87" i="15"/>
  <c r="BA87" i="15"/>
  <c r="BD87" i="15"/>
  <c r="BC87" i="15"/>
  <c r="BG87" i="15"/>
  <c r="BI94" i="15"/>
  <c r="BB87" i="15"/>
  <c r="BJ22" i="15"/>
  <c r="BF22" i="15" s="1"/>
  <c r="BJ30" i="15"/>
  <c r="BG30" i="15" s="1"/>
  <c r="BJ29" i="15"/>
  <c r="BG29" i="15" s="1"/>
  <c r="AQ94" i="15" l="1"/>
  <c r="BJ94" i="15"/>
  <c r="BJ47" i="15"/>
  <c r="BI47" i="15" s="1"/>
  <c r="AP47" i="15" s="1"/>
  <c r="BJ40" i="15"/>
  <c r="BI40" i="15" s="1"/>
  <c r="AP40" i="15" s="1"/>
  <c r="AQ87" i="15"/>
  <c r="AT87" i="15"/>
  <c r="AY29" i="15"/>
  <c r="BD30" i="15"/>
  <c r="AO87" i="15"/>
  <c r="BF30" i="15"/>
  <c r="AS87" i="15"/>
  <c r="AR87" i="15"/>
  <c r="AU87" i="15"/>
  <c r="AV87" i="15"/>
  <c r="AM87" i="15"/>
  <c r="BE29" i="15"/>
  <c r="AZ30" i="15"/>
  <c r="BC30" i="15"/>
  <c r="BB30" i="15"/>
  <c r="AY30" i="15"/>
  <c r="BE30" i="15"/>
  <c r="BI30" i="15"/>
  <c r="AS30" i="15" s="1"/>
  <c r="AN87" i="15"/>
  <c r="BD29" i="15"/>
  <c r="BB29" i="15"/>
  <c r="BA29" i="15"/>
  <c r="BI29" i="15"/>
  <c r="AU29" i="15" s="1"/>
  <c r="BA22" i="15"/>
  <c r="AR94" i="15"/>
  <c r="AN94" i="15"/>
  <c r="AP94" i="15"/>
  <c r="AX29" i="15"/>
  <c r="AS94" i="15"/>
  <c r="BC29" i="15"/>
  <c r="BF29" i="15"/>
  <c r="AO94" i="15"/>
  <c r="AU94" i="15"/>
  <c r="AZ29" i="15"/>
  <c r="AX30" i="15"/>
  <c r="BA30" i="15"/>
  <c r="AZ22" i="15"/>
  <c r="BB22" i="15"/>
  <c r="BE22" i="15"/>
  <c r="BG22" i="15"/>
  <c r="AY22" i="15"/>
  <c r="BI22" i="15"/>
  <c r="BC22" i="15"/>
  <c r="BD22" i="15"/>
  <c r="AT94" i="15"/>
  <c r="AM94" i="15"/>
  <c r="AV94" i="15"/>
  <c r="AX22" i="15"/>
  <c r="BG94" i="15" l="1"/>
  <c r="AY94" i="15"/>
  <c r="BD94" i="15"/>
  <c r="BB94" i="15"/>
  <c r="BE94" i="15"/>
  <c r="AX94" i="15"/>
  <c r="BC94" i="15"/>
  <c r="BF94" i="15"/>
  <c r="BA94" i="15"/>
  <c r="AZ94" i="15"/>
  <c r="AQ47" i="15"/>
  <c r="AO47" i="15"/>
  <c r="AN47" i="15"/>
  <c r="AV47" i="15"/>
  <c r="AS47" i="15"/>
  <c r="AR47" i="15"/>
  <c r="AU47" i="15"/>
  <c r="AT47" i="15"/>
  <c r="AM47" i="15"/>
  <c r="AR40" i="15"/>
  <c r="AO40" i="15"/>
  <c r="AN40" i="15"/>
  <c r="AM40" i="15"/>
  <c r="AU40" i="15"/>
  <c r="AS40" i="15"/>
  <c r="AT40" i="15"/>
  <c r="AV40" i="15"/>
  <c r="AQ40" i="15"/>
  <c r="BA40" i="15"/>
  <c r="BG40" i="15"/>
  <c r="AX40" i="15"/>
  <c r="BF40" i="15"/>
  <c r="BE40" i="15"/>
  <c r="AZ40" i="15"/>
  <c r="BD40" i="15"/>
  <c r="AY40" i="15"/>
  <c r="BC40" i="15"/>
  <c r="BB40" i="15"/>
  <c r="AZ47" i="15"/>
  <c r="BB47" i="15"/>
  <c r="BG47" i="15"/>
  <c r="BF47" i="15"/>
  <c r="BD47" i="15"/>
  <c r="AX47" i="15"/>
  <c r="BC47" i="15"/>
  <c r="BA47" i="15"/>
  <c r="AY47" i="15"/>
  <c r="BE47" i="15"/>
  <c r="AN29" i="15"/>
  <c r="AM29" i="15"/>
  <c r="AV29" i="15"/>
  <c r="AM30" i="15"/>
  <c r="AV30" i="15"/>
  <c r="AR30" i="15"/>
  <c r="AP30" i="15"/>
  <c r="AN30" i="15"/>
  <c r="AQ30" i="15"/>
  <c r="AU30" i="15"/>
  <c r="AT30" i="15"/>
  <c r="AO30" i="15"/>
  <c r="AP29" i="15"/>
  <c r="AS29" i="15"/>
  <c r="AQ29" i="15"/>
  <c r="AR29" i="15"/>
  <c r="AT29" i="15"/>
  <c r="AO29" i="15"/>
  <c r="AQ22" i="15"/>
  <c r="AV22" i="15"/>
  <c r="AN22" i="15"/>
  <c r="AU22" i="15"/>
  <c r="AR22" i="15"/>
  <c r="AT22" i="15"/>
  <c r="AM22" i="15"/>
  <c r="AS22" i="15"/>
  <c r="AP22" i="15"/>
  <c r="AO22" i="15"/>
  <c r="BI25" i="15" l="1"/>
  <c r="AN25" i="15" s="1"/>
  <c r="BJ24" i="15" l="1"/>
  <c r="BJ25" i="15"/>
  <c r="BC25" i="15" s="1"/>
  <c r="AU25" i="15"/>
  <c r="AS25" i="15"/>
  <c r="AT25" i="15"/>
  <c r="AV25" i="15"/>
  <c r="AM25" i="15"/>
  <c r="AR25" i="15"/>
  <c r="AQ25" i="15"/>
  <c r="AP25" i="15"/>
  <c r="AO25" i="15"/>
  <c r="BE24" i="15" l="1"/>
  <c r="BI24" i="15"/>
  <c r="BA24" i="15"/>
  <c r="AY24" i="15"/>
  <c r="AX24" i="15"/>
  <c r="BD24" i="15"/>
  <c r="BB24" i="15"/>
  <c r="BE25" i="15"/>
  <c r="AX25" i="15"/>
  <c r="AZ25" i="15"/>
  <c r="BB25" i="15"/>
  <c r="BD25" i="15"/>
  <c r="BA25" i="15"/>
  <c r="BC24" i="15"/>
  <c r="AZ24" i="15"/>
  <c r="BF24" i="15"/>
  <c r="BG24" i="15"/>
  <c r="BF25" i="15"/>
  <c r="AY25" i="15"/>
  <c r="BG25" i="15"/>
  <c r="AQ24" i="15" l="1"/>
  <c r="AN24" i="15"/>
  <c r="AP24" i="15"/>
  <c r="AT24" i="15"/>
  <c r="AO24" i="15"/>
  <c r="AR24" i="15"/>
  <c r="AU24" i="15"/>
  <c r="AM24" i="15"/>
  <c r="AV24" i="15"/>
  <c r="AS24" i="15"/>
  <c r="BJ41" i="15" l="1"/>
  <c r="BI41" i="15" s="1"/>
  <c r="AV41" i="15" s="1"/>
  <c r="AU41" i="15" l="1"/>
  <c r="AS41" i="15"/>
  <c r="AM41" i="15"/>
  <c r="AQ41" i="15"/>
  <c r="AO41" i="15"/>
  <c r="AP41" i="15"/>
  <c r="AN41" i="15"/>
  <c r="AR41" i="15"/>
  <c r="AT41" i="15"/>
  <c r="BB41" i="15"/>
  <c r="AZ41" i="15"/>
  <c r="BF41" i="15"/>
  <c r="AY41" i="15"/>
  <c r="BG41" i="15"/>
  <c r="AX41" i="15"/>
  <c r="BE41" i="15"/>
  <c r="BA41" i="15"/>
  <c r="BC41" i="15"/>
  <c r="BD41" i="15"/>
  <c r="BJ61" i="15"/>
  <c r="AY61" i="15" s="1"/>
  <c r="BF61" i="15" l="1"/>
  <c r="BE61" i="15"/>
  <c r="BD61" i="15"/>
  <c r="AZ61" i="15"/>
  <c r="BI61" i="15"/>
  <c r="AN61" i="15" s="1"/>
  <c r="BA61" i="15"/>
  <c r="BB61" i="15"/>
  <c r="AX61" i="15"/>
  <c r="BC61" i="15"/>
  <c r="BG61" i="15"/>
  <c r="AP61" i="15" l="1"/>
  <c r="AV61" i="15"/>
  <c r="AR61" i="15"/>
  <c r="AS61" i="15"/>
  <c r="AT61" i="15"/>
  <c r="AU61" i="15"/>
  <c r="AQ61" i="15"/>
  <c r="AM61" i="15"/>
  <c r="AO61" i="15"/>
  <c r="BI56" i="15" l="1"/>
  <c r="BJ56" i="15" s="1"/>
  <c r="AU56" i="15" l="1"/>
  <c r="AO56" i="15"/>
  <c r="AT56" i="15"/>
  <c r="AN56" i="15"/>
  <c r="AM56" i="15"/>
  <c r="AV56" i="15"/>
  <c r="AS56" i="15"/>
  <c r="AR56" i="15"/>
  <c r="BF56" i="15"/>
  <c r="BC56" i="15"/>
  <c r="AX56" i="15"/>
  <c r="BE56" i="15"/>
  <c r="BA56" i="15"/>
  <c r="BG56" i="15"/>
  <c r="BB56" i="15"/>
  <c r="AY56" i="15"/>
  <c r="BD56" i="15"/>
  <c r="AZ56" i="15"/>
  <c r="AQ56" i="15"/>
  <c r="AP56" i="15"/>
  <c r="BI39" i="15" l="1"/>
  <c r="BJ39" i="15" s="1"/>
  <c r="BI31" i="15"/>
  <c r="BJ31" i="15" s="1"/>
  <c r="BI20" i="15"/>
  <c r="BJ20" i="15" s="1"/>
  <c r="BI55" i="15"/>
  <c r="AR55" i="15" s="1"/>
  <c r="BI19" i="15"/>
  <c r="AS19" i="15" s="1"/>
  <c r="BI54" i="15"/>
  <c r="AR54" i="15" s="1"/>
  <c r="BI38" i="15"/>
  <c r="AV38" i="15" s="1"/>
  <c r="BI37" i="15"/>
  <c r="AT37" i="15" s="1"/>
  <c r="BI23" i="15"/>
  <c r="BJ23" i="15" s="1"/>
  <c r="BI27" i="15"/>
  <c r="AO27" i="15" s="1"/>
  <c r="BI26" i="15"/>
  <c r="AO26" i="15" s="1"/>
  <c r="AV55" i="15" l="1"/>
  <c r="AR39" i="15"/>
  <c r="AS39" i="15"/>
  <c r="AQ31" i="15"/>
  <c r="AS37" i="15"/>
  <c r="AP39" i="15"/>
  <c r="AQ37" i="15"/>
  <c r="AT31" i="15"/>
  <c r="AN38" i="15"/>
  <c r="AM39" i="15"/>
  <c r="AT39" i="15"/>
  <c r="AV31" i="15"/>
  <c r="AO39" i="15"/>
  <c r="AO31" i="15"/>
  <c r="AN31" i="15"/>
  <c r="AN39" i="15"/>
  <c r="AQ39" i="15"/>
  <c r="AU31" i="15"/>
  <c r="AR31" i="15"/>
  <c r="AM38" i="15"/>
  <c r="AM20" i="15"/>
  <c r="AT27" i="15"/>
  <c r="AP37" i="15"/>
  <c r="AQ55" i="15"/>
  <c r="AN19" i="15"/>
  <c r="AP20" i="15"/>
  <c r="AV39" i="15"/>
  <c r="AU39" i="15"/>
  <c r="AS31" i="15"/>
  <c r="AP31" i="15"/>
  <c r="AM31" i="15"/>
  <c r="AP19" i="15"/>
  <c r="AP26" i="15"/>
  <c r="AT38" i="15"/>
  <c r="AQ23" i="15"/>
  <c r="AV23" i="15"/>
  <c r="AQ54" i="15"/>
  <c r="AO20" i="15"/>
  <c r="AP23" i="15"/>
  <c r="AO23" i="15"/>
  <c r="AT54" i="15"/>
  <c r="AN20" i="15"/>
  <c r="AS27" i="15"/>
  <c r="AS26" i="15"/>
  <c r="AN27" i="15"/>
  <c r="AT23" i="15"/>
  <c r="AN23" i="15"/>
  <c r="AT19" i="15"/>
  <c r="AS20" i="15"/>
  <c r="AQ20" i="15"/>
  <c r="BC23" i="15"/>
  <c r="BA23" i="15"/>
  <c r="BG23" i="15"/>
  <c r="AX23" i="15"/>
  <c r="BB23" i="15"/>
  <c r="BD23" i="15"/>
  <c r="BE23" i="15"/>
  <c r="AZ23" i="15"/>
  <c r="AY23" i="15"/>
  <c r="BF23" i="15"/>
  <c r="BD31" i="15"/>
  <c r="BA31" i="15"/>
  <c r="AY31" i="15"/>
  <c r="AX31" i="15"/>
  <c r="BF31" i="15"/>
  <c r="AZ31" i="15"/>
  <c r="BB31" i="15"/>
  <c r="BE31" i="15"/>
  <c r="BC31" i="15"/>
  <c r="BG31" i="15"/>
  <c r="AY20" i="15"/>
  <c r="BG20" i="15"/>
  <c r="BD20" i="15"/>
  <c r="BA20" i="15"/>
  <c r="AZ20" i="15"/>
  <c r="BE20" i="15"/>
  <c r="BF20" i="15"/>
  <c r="AX20" i="15"/>
  <c r="BC20" i="15"/>
  <c r="BB20" i="15"/>
  <c r="BC39" i="15"/>
  <c r="BF39" i="15"/>
  <c r="AZ39" i="15"/>
  <c r="BE39" i="15"/>
  <c r="BG39" i="15"/>
  <c r="AX39" i="15"/>
  <c r="AY39" i="15"/>
  <c r="BD39" i="15"/>
  <c r="BA39" i="15"/>
  <c r="BB39" i="15"/>
  <c r="AU26" i="15"/>
  <c r="AT26" i="15"/>
  <c r="AQ26" i="15"/>
  <c r="AV26" i="15"/>
  <c r="AR27" i="15"/>
  <c r="AM27" i="15"/>
  <c r="AV27" i="15"/>
  <c r="BJ26" i="15"/>
  <c r="BJ27" i="15"/>
  <c r="AM23" i="15"/>
  <c r="AN37" i="15"/>
  <c r="AO37" i="15"/>
  <c r="AU37" i="15"/>
  <c r="AT55" i="15"/>
  <c r="AM55" i="15"/>
  <c r="AU38" i="15"/>
  <c r="AR38" i="15"/>
  <c r="AQ38" i="15"/>
  <c r="AM54" i="15"/>
  <c r="AS54" i="15"/>
  <c r="AM19" i="15"/>
  <c r="AO19" i="15"/>
  <c r="AU19" i="15"/>
  <c r="BJ37" i="15"/>
  <c r="BJ38" i="15"/>
  <c r="BJ54" i="15"/>
  <c r="BJ19" i="15"/>
  <c r="BJ55" i="15"/>
  <c r="AR20" i="15"/>
  <c r="AN26" i="15"/>
  <c r="AM26" i="15"/>
  <c r="AR26" i="15"/>
  <c r="AQ27" i="15"/>
  <c r="AP27" i="15"/>
  <c r="AU23" i="15"/>
  <c r="AR23" i="15"/>
  <c r="AS23" i="15"/>
  <c r="AV37" i="15"/>
  <c r="AR37" i="15"/>
  <c r="AU55" i="15"/>
  <c r="AS55" i="15"/>
  <c r="AO55" i="15"/>
  <c r="AS38" i="15"/>
  <c r="AP38" i="15"/>
  <c r="AO54" i="15"/>
  <c r="AU54" i="15"/>
  <c r="AV54" i="15"/>
  <c r="AR19" i="15"/>
  <c r="AV19" i="15"/>
  <c r="AV20" i="15"/>
  <c r="AU20" i="15"/>
  <c r="AT20" i="15"/>
  <c r="AU27" i="15"/>
  <c r="AM37" i="15"/>
  <c r="AP55" i="15"/>
  <c r="AN55" i="15"/>
  <c r="AO38" i="15"/>
  <c r="AP54" i="15"/>
  <c r="AN54" i="15"/>
  <c r="AQ19" i="15"/>
  <c r="BE55" i="15" l="1"/>
  <c r="BD55" i="15"/>
  <c r="AX55" i="15"/>
  <c r="BC55" i="15"/>
  <c r="BG55" i="15"/>
  <c r="BA55" i="15"/>
  <c r="BF55" i="15"/>
  <c r="AZ55" i="15"/>
  <c r="BB55" i="15"/>
  <c r="AY55" i="15"/>
  <c r="BF37" i="15"/>
  <c r="BE37" i="15"/>
  <c r="BB37" i="15"/>
  <c r="BG37" i="15"/>
  <c r="BD37" i="15"/>
  <c r="BA37" i="15"/>
  <c r="AZ37" i="15"/>
  <c r="BC37" i="15"/>
  <c r="AX37" i="15"/>
  <c r="AY37" i="15"/>
  <c r="AY26" i="15"/>
  <c r="BG26" i="15"/>
  <c r="BC26" i="15"/>
  <c r="BF26" i="15"/>
  <c r="BE26" i="15"/>
  <c r="BD26" i="15"/>
  <c r="AX26" i="15"/>
  <c r="BA26" i="15"/>
  <c r="AZ26" i="15"/>
  <c r="BB26" i="15"/>
  <c r="BA54" i="15"/>
  <c r="BE54" i="15"/>
  <c r="BG54" i="15"/>
  <c r="AX54" i="15"/>
  <c r="AZ54" i="15"/>
  <c r="BC54" i="15"/>
  <c r="BD54" i="15"/>
  <c r="BB54" i="15"/>
  <c r="AY54" i="15"/>
  <c r="BF54" i="15"/>
  <c r="BA19" i="15"/>
  <c r="AY19" i="15"/>
  <c r="BG19" i="15"/>
  <c r="BB19" i="15"/>
  <c r="BD19" i="15"/>
  <c r="BC19" i="15"/>
  <c r="BF19" i="15"/>
  <c r="AX19" i="15"/>
  <c r="BE19" i="15"/>
  <c r="AZ19" i="15"/>
  <c r="AX38" i="15"/>
  <c r="BG38" i="15"/>
  <c r="BB38" i="15"/>
  <c r="AY38" i="15"/>
  <c r="BF38" i="15"/>
  <c r="BE38" i="15"/>
  <c r="AZ38" i="15"/>
  <c r="BC38" i="15"/>
  <c r="BD38" i="15"/>
  <c r="BA38" i="15"/>
  <c r="BB27" i="15"/>
  <c r="BD27" i="15"/>
  <c r="AX27" i="15"/>
  <c r="BA27" i="15"/>
  <c r="AZ27" i="15"/>
  <c r="BC27" i="15"/>
  <c r="BF27" i="15"/>
  <c r="BE27" i="15"/>
  <c r="BG27" i="15"/>
  <c r="AY27" i="15"/>
  <c r="BI83" i="15" l="1"/>
  <c r="AS83" i="15" s="1"/>
  <c r="BJ83" i="15"/>
  <c r="BE83" i="15" s="1"/>
  <c r="AR83" i="15" l="1"/>
  <c r="AY83" i="15"/>
  <c r="BF83" i="15"/>
  <c r="BG83" i="15"/>
  <c r="BA83" i="15"/>
  <c r="BD83" i="15"/>
  <c r="BB83" i="15"/>
  <c r="AU83" i="15"/>
  <c r="AV83" i="15"/>
  <c r="AQ83" i="15"/>
  <c r="AM83" i="15"/>
  <c r="AN83" i="15"/>
  <c r="AP83" i="15"/>
  <c r="AT83" i="15"/>
  <c r="AZ83" i="15"/>
  <c r="AX83" i="15"/>
  <c r="AO83" i="15"/>
  <c r="BC83" i="15"/>
</calcChain>
</file>

<file path=xl/sharedStrings.xml><?xml version="1.0" encoding="utf-8"?>
<sst xmlns="http://schemas.openxmlformats.org/spreadsheetml/2006/main" count="2054" uniqueCount="727">
  <si>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</si>
  <si>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</si>
  <si>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I valori che via via inserisci sono sempre disponibili.</t>
  </si>
  <si>
    <t>----&gt;</t>
  </si>
  <si>
    <t>3° TRIMESTRE</t>
  </si>
  <si>
    <t>4° TRIMESTRE</t>
  </si>
  <si>
    <t>Errore: Colonne e Mesi si accavallano</t>
  </si>
  <si>
    <t>i valori da te calcolati.</t>
  </si>
  <si>
    <t>sulla somma</t>
  </si>
  <si>
    <t>della riga</t>
  </si>
  <si>
    <t>01</t>
  </si>
  <si>
    <t>02</t>
  </si>
  <si>
    <t>04</t>
  </si>
  <si>
    <t>06</t>
  </si>
  <si>
    <t>11</t>
  </si>
  <si>
    <t>15</t>
  </si>
  <si>
    <t>12</t>
  </si>
  <si>
    <t>18</t>
  </si>
  <si>
    <t>25</t>
  </si>
  <si>
    <t>26</t>
  </si>
  <si>
    <t>03</t>
  </si>
  <si>
    <t>13</t>
  </si>
  <si>
    <t>05</t>
  </si>
  <si>
    <t>07</t>
  </si>
  <si>
    <t>08</t>
  </si>
  <si>
    <t>09</t>
  </si>
  <si>
    <t>14</t>
  </si>
  <si>
    <t>16</t>
  </si>
  <si>
    <t>17</t>
  </si>
  <si>
    <t>19</t>
  </si>
  <si>
    <t>20</t>
  </si>
  <si>
    <t>21</t>
  </si>
  <si>
    <t>22</t>
  </si>
  <si>
    <t>23</t>
  </si>
  <si>
    <t>24</t>
  </si>
  <si>
    <t>27</t>
  </si>
  <si>
    <t>SC</t>
  </si>
  <si>
    <t>TIPO</t>
  </si>
  <si>
    <t>ALIQUOTE DIVERSE</t>
  </si>
  <si>
    <t>gg lavorativi su</t>
  </si>
  <si>
    <t>Specifica</t>
  </si>
  <si>
    <t>TOTALI NEL SISTEMA</t>
  </si>
  <si>
    <t>IVA USATA</t>
  </si>
  <si>
    <t>ESCLUDI</t>
  </si>
  <si>
    <t>SUDDIVIDI</t>
  </si>
  <si>
    <t>cassa +</t>
  </si>
  <si>
    <t>MESE</t>
  </si>
  <si>
    <t>convalida</t>
  </si>
  <si>
    <t>Devi convalidare il foglio IMPOSTAZIONI</t>
  </si>
  <si>
    <t xml:space="preserve"> ESEMPI di configurazione (per il foglio IMPOSTAZIONI) li trovi on line</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</si>
  <si>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</si>
  <si>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</si>
  <si>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</si>
  <si>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</si>
  <si>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</si>
  <si>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</si>
  <si>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</si>
  <si>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</si>
  <si>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</si>
  <si>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Verifica la punteggiatura e l' assenza di spazi iniziali / finali. Controlla la P.E.C. ricevuta.</t>
  </si>
  <si>
    <t>Questo file si considera funzionante al momento della richiesta del codice.</t>
  </si>
  <si>
    <t>Parte 4</t>
  </si>
  <si>
    <t>Parte 3</t>
  </si>
  <si>
    <t>Parte 2</t>
  </si>
  <si>
    <t>Parte 1</t>
  </si>
  <si>
    <t>Tieni costantemente una copia di sicurezza ed una MATRICE in bianco per gli anni successivi.</t>
  </si>
  <si>
    <t>A.C. cell di Marco Piccoli</t>
  </si>
  <si>
    <t>5)</t>
  </si>
  <si>
    <t>RIEPILOGO degli importi annotati nel sistema</t>
  </si>
  <si>
    <t>Note pratiche:</t>
  </si>
  <si>
    <t>Professionista Web di cui alla legge nr. 4/2013</t>
  </si>
  <si>
    <t>info@marcopiccoli.it</t>
  </si>
  <si>
    <t>QUI</t>
  </si>
  <si>
    <t>F.A.Q.</t>
  </si>
  <si>
    <t>Inserisci qui il tuo codice di proprietà  ---&gt;</t>
  </si>
  <si>
    <t>disattivato</t>
  </si>
  <si>
    <t>Configurazione del foglio:</t>
  </si>
  <si>
    <t>STORICO</t>
  </si>
  <si>
    <t>in corso</t>
  </si>
  <si>
    <t>Visualizza il grafico per importo:</t>
  </si>
  <si>
    <t>ANNO IN CORSO</t>
  </si>
  <si>
    <t>ANNO PRECEDENTE 1</t>
  </si>
  <si>
    <t>ANNO PRECEDENTE 2</t>
  </si>
  <si>
    <t>ANNO PRECEDENTE 3</t>
  </si>
  <si>
    <t>Unità M. €</t>
  </si>
  <si>
    <t>Anno precedente 1</t>
  </si>
  <si>
    <t>Anno precedente 2</t>
  </si>
  <si>
    <t>Anno precedente 3</t>
  </si>
  <si>
    <t>Note Legali</t>
  </si>
  <si>
    <t>6)</t>
  </si>
  <si>
    <t>L' unità di misura dei grafici di questo foglio è uguale al 20% dell' importo più alto.</t>
  </si>
  <si>
    <t>NOMINATIVO</t>
  </si>
  <si>
    <t>Riferimento</t>
  </si>
  <si>
    <t>Importo</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</si>
  <si>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</si>
  <si>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</si>
  <si>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</si>
  <si>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</si>
  <si>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Torna su</t>
  </si>
  <si>
    <t>PROTOCOLLO</t>
  </si>
  <si>
    <t>Nr. REG.</t>
  </si>
  <si>
    <t>Seleziona per data</t>
  </si>
  <si>
    <t>Seleziona per settimana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</si>
  <si>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</si>
  <si>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</si>
  <si>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</si>
  <si>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</si>
  <si>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</si>
  <si>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</si>
  <si>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</si>
  <si>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</si>
  <si>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</si>
  <si>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</si>
  <si>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</si>
  <si>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</si>
  <si>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</si>
  <si>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</si>
  <si>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</si>
  <si>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</si>
  <si>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</si>
  <si>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</si>
  <si>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Giorni Lavorativi Precedenti</t>
  </si>
  <si>
    <t>Impostazioni attive:</t>
  </si>
  <si>
    <t>A confronto con:</t>
  </si>
  <si>
    <t>Selezione per DATE dal</t>
  </si>
  <si>
    <t>al</t>
  </si>
  <si>
    <t>Selezione per SETTIMANE COMPLETE dalla</t>
  </si>
  <si>
    <t>alla</t>
  </si>
  <si>
    <t>SOMMA</t>
  </si>
  <si>
    <t>ATTIVO</t>
  </si>
  <si>
    <t>NO</t>
  </si>
  <si>
    <t>Monfalcone - GO - Tel. 333 46 39 497</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</si>
  <si>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</si>
  <si>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</si>
  <si>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</si>
  <si>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al primo mese disattivato</t>
  </si>
  <si>
    <t>INFORMA CHIUNQUE ENTRI IN POSSESSO DI QUESTO FILE CHE NON E'</t>
  </si>
  <si>
    <t>dal Sistema e funziona come nell' esempio che ti viene proposto. SALVA una copia del file IN BIANCO</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</si>
  <si>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</si>
  <si>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t>Contattami liberamente per maggiori informazioni.</t>
  </si>
  <si>
    <t>COMMENTI</t>
  </si>
  <si>
    <t>3) Il codice che ti ho fornito non è stato correttamente inserito.</t>
  </si>
  <si>
    <t>Attiva il calendario perpetuo del sistema   -------&gt;</t>
  </si>
  <si>
    <t>Differenza rilevata</t>
  </si>
  <si>
    <t>Sezione Grafici</t>
  </si>
  <si>
    <t>e con:</t>
  </si>
  <si>
    <t>Queste tabelle possono rimanere vuote</t>
  </si>
  <si>
    <t>EXTRA NOTE  fuori stampa</t>
  </si>
  <si>
    <t>Questa colonna esiste già !!!</t>
  </si>
  <si>
    <t>Riepilogo degli importi annotati nelle COLONNE ESCLUSE</t>
  </si>
  <si>
    <t>01234567891</t>
  </si>
  <si>
    <t>% MENSILE</t>
  </si>
  <si>
    <t>Questa è la configurazione iniziale del tuo registro.</t>
  </si>
  <si>
    <t>Unità M. %</t>
  </si>
  <si>
    <t>DIFFERENZA  %</t>
  </si>
  <si>
    <t>RELATIVA</t>
  </si>
  <si>
    <t>TOTALE del giorno registrato nel sistema EURO</t>
  </si>
  <si>
    <t>Importo giornaliero modificato manualmente EURO</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</si>
  <si>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</si>
  <si>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</si>
  <si>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</si>
  <si>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</si>
  <si>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</si>
  <si>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Campo Testo</t>
  </si>
  <si>
    <t>Unità M.</t>
  </si>
  <si>
    <t>NR. Prot. / NR. Reg.ne</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</si>
  <si>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</si>
  <si>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</si>
  <si>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</si>
  <si>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</si>
  <si>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</si>
  <si>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</si>
  <si>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</si>
  <si>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</si>
  <si>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Giorno per giorno compila il registro nel foglio del relativo MESE</t>
    </r>
    <r>
      <rPr>
        <sz val="10"/>
        <color indexed="63"/>
        <rFont val="Tahoma"/>
        <family val="2"/>
      </rPr>
      <t>.     (GEN/FEB/MAR/ecc..).</t>
    </r>
  </si>
  <si>
    <t>GRAFICO 1</t>
  </si>
  <si>
    <t>GRAFICO 2</t>
  </si>
  <si>
    <t>Seleziona il tipo di unità di misura</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</si>
  <si>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</si>
  <si>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</si>
  <si>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</si>
  <si>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</si>
  <si>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</si>
  <si>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</si>
  <si>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L' inserimento del Codice di Proprietà, che viene inviato via P.E.C., estende tutti</t>
  </si>
  <si>
    <t>i diritti anche al Titolare del Sistema individuato nell' ANAGRAFICA di questo file.</t>
  </si>
  <si>
    <t>Rimuovere le protezioni originali, far circolare una parte del sistema o qualsiasi altro utilizzo (anche parziale, anche dei</t>
  </si>
  <si>
    <t>Se questo file è attivato illimitatamente con Codice di Proprietà e lo stai usando impropriamente, violi anche i diritti del</t>
  </si>
  <si>
    <t>TITOLARE DEL SISTEMA individuato nell' ANAGRAFICA di questo file.</t>
  </si>
  <si>
    <t>Verifica le NOTE che trovi qui a destra</t>
  </si>
  <si>
    <t>---&gt;</t>
  </si>
  <si>
    <t>Per qualsiasi altra cosa, contattami dopo aver considerato questi punti.</t>
  </si>
  <si>
    <t>Sezione info</t>
  </si>
  <si>
    <t>I tuoi</t>
  </si>
  <si>
    <t>About me</t>
  </si>
  <si>
    <t>Sistema interamente originale. Versione completa. Non necessita di aggiornamenti.</t>
  </si>
  <si>
    <t>PROPRIETA' illimitata del file</t>
  </si>
  <si>
    <t>L' ANAGRAFICA si compila nel foglio  IMPOSTAZIONI</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</si>
  <si>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</si>
  <si>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che non richiede aggiornamenti e si può utilizzare ogni anno.</t>
  </si>
  <si>
    <t>Se sei già in possesso del Codice di Proprietà di una versione precedente,</t>
  </si>
  <si>
    <t>contemporaneamente (sempre attivate con lo stesso codice).</t>
  </si>
  <si>
    <t>puoi utilizzarlo ANCHE in questa versione.</t>
  </si>
  <si>
    <t>Questo foglio restituisce tutti gli importi anche per un periodo di tempo individuato da un numero preciso di "Giorni Lavorativi".</t>
  </si>
  <si>
    <t>"Giorni Lavorativi" per il sistema sono quelli selezionati con un "SI" nel foglio IMPOSTAZIONI.</t>
  </si>
  <si>
    <t>Verifica il foglio IMPOSTAZIONI e modifica eventualmente da lì la configurazione.</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</si>
  <si>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</si>
  <si>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</si>
  <si>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t>Questo file risulta al momento completamente funzionante ed il sistema rileva tutti i suoi fogli.</t>
  </si>
  <si>
    <t>Con  "OK"  accetti le regole</t>
  </si>
  <si>
    <t>sull' utilizzo di questo file</t>
  </si>
  <si>
    <t>Colonna 8</t>
  </si>
  <si>
    <t>Colonna 9</t>
  </si>
  <si>
    <t>Colonna 10</t>
  </si>
  <si>
    <t>&lt;-----  Visualizza il grafico per tipo di importo</t>
  </si>
  <si>
    <t>CODICE di PROPRIETA'</t>
  </si>
  <si>
    <t>II</t>
  </si>
  <si>
    <t>III</t>
  </si>
  <si>
    <t>Agisci in questo pannello seguendo le specifiche richieste: 1) Nr. colonna da modificare, 2) Configurazione della colonna temporanea, 3) indicazioni dei MESI nei quali applicare la modifica.</t>
  </si>
  <si>
    <t>Modifiche temporanee al tuo registro standard   -   AREA NON OBBLIGATORIA</t>
  </si>
  <si>
    <t>MESE:</t>
  </si>
  <si>
    <t>Segui le istruzioni che trovi nel foglio; ricorda che puoi modificare tutte le diciture che ora trovi solo per esempio.</t>
  </si>
  <si>
    <t>Se già utilizzavi una versione precedente, puoi passare a questa nuova con il TUO STESSO codice di proprietà.</t>
  </si>
  <si>
    <t>ricerca PER DATA (dal giorno/al giorno), oppure PER SETTIMANA (dalla numero/alla numero). Ottenuta questa</t>
  </si>
  <si>
    <t>prima informazioni, puoi ancora effettuare una SECONDA RICERCA parallela alla prima. Il sistema CONFRONTA</t>
  </si>
  <si>
    <t>Puoi usare anche più di una copia di questi sistemi contemporaneamente.</t>
  </si>
  <si>
    <t>al tuo Registro standard".</t>
  </si>
  <si>
    <t>Le colonne 8, 9 e 10 si attivano dall' area "Modifiche temporanee</t>
  </si>
  <si>
    <t>Prima di tutto compila il foglio IMPOSTAZIONI. Devi convalidare il sistema con UNA TUA configurazione idonea.</t>
  </si>
  <si>
    <t>on line al sito www.marcopiccoli.it.</t>
  </si>
  <si>
    <t>Sei in possesso di un sistema originale, completo, versione</t>
  </si>
  <si>
    <r>
      <t xml:space="preserve">CONTENUTO DI UNA CELLA. CON </t>
    </r>
    <r>
      <rPr>
        <sz val="8"/>
        <color indexed="10"/>
        <rFont val="Tahoma"/>
        <family val="2"/>
      </rPr>
      <t>MAC</t>
    </r>
    <r>
      <rPr>
        <sz val="8"/>
        <color indexed="23"/>
        <rFont val="Tahoma"/>
        <family val="2"/>
      </rPr>
      <t xml:space="preserve"> USA IL</t>
    </r>
  </si>
  <si>
    <t>Ti ricordo che si possono usare anche più copie del sistema</t>
  </si>
  <si>
    <t>testi, anche a titolo gratuito) diverso dalle disposizioni originarie del file, sarà considerata violazione delle norme sulle</t>
  </si>
  <si>
    <t>opere d' ingegno. Il sistema originale privo di virus e malware si scarica al sito www.marcopiccoli.it.</t>
  </si>
  <si>
    <t>Contattami liberamente via mail in caso di necessità particolari.</t>
  </si>
  <si>
    <t>Inserisci la tua Ragione Sociale</t>
  </si>
  <si>
    <r>
      <t xml:space="preserve">Visualizza una delle opzioni, così come registrato nel foglio  </t>
    </r>
    <r>
      <rPr>
        <sz val="10"/>
        <color indexed="23"/>
        <rFont val="Tahoma"/>
        <family val="2"/>
      </rPr>
      <t>STORICO</t>
    </r>
  </si>
  <si>
    <t>Indirizzo per esteso</t>
  </si>
  <si>
    <t>Calendario Annuale (area facoltativa)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</si>
  <si>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</si>
  <si>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t>Codice di integrità sistema</t>
  </si>
  <si>
    <t>I</t>
  </si>
  <si>
    <t>ANNO</t>
  </si>
  <si>
    <t>Riporto</t>
  </si>
  <si>
    <t>Ragione sociale</t>
  </si>
  <si>
    <t>Partita IVA</t>
  </si>
  <si>
    <t>Indirizzo</t>
  </si>
  <si>
    <t>C.A.P.</t>
  </si>
  <si>
    <t>Città</t>
  </si>
  <si>
    <t>Provincia</t>
  </si>
  <si>
    <t>Visto Direzione</t>
  </si>
  <si>
    <t>%</t>
  </si>
  <si>
    <t>.</t>
  </si>
  <si>
    <t>F</t>
  </si>
  <si>
    <t>GENNAIO</t>
  </si>
  <si>
    <t>NETTO</t>
  </si>
  <si>
    <t>IVA</t>
  </si>
  <si>
    <t>Data</t>
  </si>
  <si>
    <t>+</t>
  </si>
  <si>
    <t>-</t>
  </si>
  <si>
    <t>FEBBRAIO</t>
  </si>
  <si>
    <t>GG/MM/AAAA</t>
  </si>
  <si>
    <t>P</t>
  </si>
  <si>
    <t>#</t>
  </si>
  <si>
    <t>F.do CASSA iniziale</t>
  </si>
  <si>
    <t>Note:</t>
  </si>
  <si>
    <t>Compilato da:</t>
  </si>
  <si>
    <t>Registrazione nr.</t>
  </si>
  <si>
    <t>OK</t>
  </si>
  <si>
    <t>Gennaio</t>
  </si>
  <si>
    <t>Febbraio</t>
  </si>
  <si>
    <t>Marzo</t>
  </si>
  <si>
    <t>I Trim.</t>
  </si>
  <si>
    <t>Aprile</t>
  </si>
  <si>
    <t>Maggio</t>
  </si>
  <si>
    <t>Giugno</t>
  </si>
  <si>
    <t>II Trim.</t>
  </si>
  <si>
    <t>Luglio</t>
  </si>
  <si>
    <t>Agosto</t>
  </si>
  <si>
    <t>Settembre</t>
  </si>
  <si>
    <t>III Trim.</t>
  </si>
  <si>
    <t>Ottobre</t>
  </si>
  <si>
    <t>Novembre</t>
  </si>
  <si>
    <t>Dicembre</t>
  </si>
  <si>
    <t>IV Trim.</t>
  </si>
  <si>
    <t>DATA</t>
  </si>
  <si>
    <r>
      <t>www.marcopiccoli.it</t>
    </r>
    <r>
      <rPr>
        <i/>
        <sz val="8"/>
        <color indexed="23"/>
        <rFont val="Verdana"/>
        <family val="2"/>
      </rPr>
      <t/>
    </r>
  </si>
  <si>
    <t>Codice di rinnovo</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</si>
  <si>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</si>
  <si>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</si>
  <si>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</si>
  <si>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</si>
  <si>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</si>
  <si>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</si>
  <si>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</si>
  <si>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</si>
  <si>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</si>
  <si>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</si>
  <si>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</si>
  <si>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</si>
  <si>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</si>
  <si>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</si>
  <si>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</si>
  <si>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</si>
  <si>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</si>
  <si>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</si>
  <si>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</si>
  <si>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</si>
  <si>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</si>
  <si>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</si>
  <si>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</si>
  <si>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</si>
  <si>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</si>
  <si>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</si>
  <si>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</si>
  <si>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</si>
  <si>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</si>
  <si>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</si>
  <si>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</si>
  <si>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</si>
  <si>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</si>
  <si>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ESCLUSO</t>
  </si>
  <si>
    <t>01/01 - 31/01</t>
  </si>
  <si>
    <t>TOTALI DEL PERIODO:</t>
  </si>
  <si>
    <t>Codice integrità</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</si>
  <si>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</si>
  <si>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</si>
  <si>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</si>
  <si>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</si>
  <si>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</si>
  <si>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</si>
  <si>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</si>
  <si>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</si>
  <si>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</si>
  <si>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</si>
  <si>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</si>
  <si>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</si>
  <si>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</si>
  <si>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</si>
  <si>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</si>
  <si>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</si>
  <si>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</si>
  <si>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</si>
  <si>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</si>
  <si>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</si>
  <si>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Attenzione:</t>
  </si>
  <si>
    <t>ì</t>
  </si>
  <si>
    <t>"</t>
  </si>
  <si>
    <t>1</t>
  </si>
  <si>
    <t>2</t>
  </si>
  <si>
    <t>3</t>
  </si>
  <si>
    <t>4</t>
  </si>
  <si>
    <t>5</t>
  </si>
  <si>
    <t>6</t>
  </si>
  <si>
    <t>7</t>
  </si>
  <si>
    <t>8</t>
  </si>
  <si>
    <t>9</t>
  </si>
  <si>
    <t>0</t>
  </si>
  <si>
    <t>LUNG. Txt</t>
  </si>
  <si>
    <t>Codice Fiscale</t>
  </si>
  <si>
    <t>Codice Fiscale attività</t>
  </si>
  <si>
    <t>Inserisci nel sistema</t>
  </si>
  <si>
    <t>INSERISCI</t>
  </si>
  <si>
    <t>VERIFICA</t>
  </si>
  <si>
    <t>ERROR</t>
  </si>
  <si>
    <t>CANCELLA</t>
  </si>
  <si>
    <t>10</t>
  </si>
  <si>
    <t>Pagina WEB del sistema</t>
  </si>
  <si>
    <r>
      <t>non funzionerà</t>
    </r>
    <r>
      <rPr>
        <sz val="10"/>
        <color indexed="23"/>
        <rFont val="Tahoma"/>
        <family val="2"/>
      </rPr>
      <t>. Se succede involontariamente NON SALVARE IL FILE ma chiudilo e riaprilo nuovamente.</t>
    </r>
  </si>
  <si>
    <t>PERIODO</t>
  </si>
  <si>
    <t>Lavorativo</t>
  </si>
  <si>
    <t>CONFRONTA CON</t>
  </si>
  <si>
    <t>GEN</t>
  </si>
  <si>
    <t>FEB</t>
  </si>
  <si>
    <t>MAR</t>
  </si>
  <si>
    <t>APR</t>
  </si>
  <si>
    <t>MAG</t>
  </si>
  <si>
    <t>GIU</t>
  </si>
  <si>
    <t>LUG</t>
  </si>
  <si>
    <t>AGO</t>
  </si>
  <si>
    <t>SET</t>
  </si>
  <si>
    <t>OTT</t>
  </si>
  <si>
    <t>NOV</t>
  </si>
  <si>
    <t>DIC</t>
  </si>
  <si>
    <t>TOOLS</t>
  </si>
  <si>
    <t>LAV</t>
  </si>
  <si>
    <t>Giorno lavorativo massimo</t>
  </si>
  <si>
    <t>Giorno lavorativo minimo</t>
  </si>
  <si>
    <t>Y primo =</t>
  </si>
  <si>
    <t>Y ultimo =</t>
  </si>
  <si>
    <t>selezionato</t>
  </si>
  <si>
    <t>Anagrafica:</t>
  </si>
  <si>
    <t>Indirizzo:</t>
  </si>
  <si>
    <t>Partita IVA:</t>
  </si>
  <si>
    <t>BIT INTEGRITA'</t>
  </si>
  <si>
    <t>PROPRIETA'</t>
  </si>
  <si>
    <t>SCADENZA</t>
  </si>
  <si>
    <t>INTEGRITA'</t>
  </si>
  <si>
    <t>OK ! Codice corretto.</t>
  </si>
  <si>
    <t>SISTEMA DANNEGGIATO !!! Chiudere senza salvare!</t>
  </si>
  <si>
    <t>CODICE NON VALIDO</t>
  </si>
  <si>
    <t>Visto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</si>
  <si>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</si>
  <si>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</si>
  <si>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</si>
  <si>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</si>
  <si>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</si>
  <si>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</si>
  <si>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</si>
  <si>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</si>
  <si>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</si>
  <si>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</si>
  <si>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</si>
  <si>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</si>
  <si>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Riga 1</t>
  </si>
  <si>
    <t>Riga 3</t>
  </si>
  <si>
    <t>REGISTRO</t>
  </si>
  <si>
    <t>Colonna 1</t>
  </si>
  <si>
    <t>Colonna 2</t>
  </si>
  <si>
    <t>Colonna 3</t>
  </si>
  <si>
    <t>Colonna 4</t>
  </si>
  <si>
    <t>Colonna 5</t>
  </si>
  <si>
    <t>Colonna 6</t>
  </si>
  <si>
    <t>Colonna 7</t>
  </si>
  <si>
    <t>TOTALE</t>
  </si>
  <si>
    <t>In questo momento il tuo registro risulta</t>
  </si>
  <si>
    <t>CONVALIDATO</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</si>
  <si>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</si>
  <si>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</si>
  <si>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</si>
  <si>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</si>
  <si>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</si>
  <si>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</si>
  <si>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</si>
  <si>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</si>
  <si>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</si>
  <si>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</si>
  <si>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</si>
  <si>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</si>
  <si>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</si>
  <si>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</si>
  <si>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</si>
  <si>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</si>
  <si>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</si>
  <si>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</si>
  <si>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</si>
  <si>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</si>
  <si>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</si>
  <si>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</si>
  <si>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</si>
  <si>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</si>
  <si>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</si>
  <si>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</si>
  <si>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</si>
  <si>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</si>
  <si>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</si>
  <si>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</si>
  <si>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</si>
  <si>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1° TRIMESTRE</t>
  </si>
  <si>
    <t>2° TRIMESTRE</t>
  </si>
  <si>
    <t>Questo sistema può funzionare in enne copie rinominate a piacere. Funziona con calendario PERPETUO.</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</si>
  <si>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</si>
  <si>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</si>
  <si>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</si>
  <si>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</si>
  <si>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</si>
  <si>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www.marcopiccoli.it.</t>
  </si>
  <si>
    <t xml:space="preserve">E' coperto da diritti d' autore dal momento della sua pubblicazione sul sito </t>
  </si>
  <si>
    <t>Questo strumento è LIBERAMENTE utilizzabile DA TUTTI.  Funziona per SINGOLO trimestre di OGNI anno.</t>
  </si>
  <si>
    <t>Puoi sbloccarlo in qualsiasi momento per l' INTERO ANNO. I valori che inserisci sono sempre disponibili.</t>
  </si>
  <si>
    <t>Mese al momento disattivato.</t>
  </si>
  <si>
    <t>Intervieni dal foglio Presentazione.</t>
  </si>
  <si>
    <t>assicurati di salvare il file nel formato con macro ATTIVE (icona con punto esclamativo). Le macro sono COMANDI automatici che</t>
  </si>
  <si>
    <t>di Marco Piccoli - P. IVA 01151800313</t>
  </si>
  <si>
    <r>
      <t>USA IL TASTO -</t>
    </r>
    <r>
      <rPr>
        <sz val="8"/>
        <color indexed="10"/>
        <rFont val="Tahoma"/>
        <family val="2"/>
      </rPr>
      <t xml:space="preserve"> Canc</t>
    </r>
    <r>
      <rPr>
        <sz val="8"/>
        <color indexed="23"/>
        <rFont val="Tahoma"/>
        <family val="2"/>
      </rPr>
      <t xml:space="preserve"> - PER ELIMINARE IL</t>
    </r>
  </si>
  <si>
    <t>Sistema NON DISPONIBILE per OPEN OFFICE o altro.</t>
  </si>
  <si>
    <t>Solo EXCEL .xlsx / .xlsm</t>
  </si>
  <si>
    <t>completano le funzionalità di questo strumento, non contengono virus o altro.  Qui trovi la spiegazione di Microsoft:</t>
  </si>
  <si>
    <t>Questo è il Sistema</t>
  </si>
  <si>
    <t>Registro Contabile Giornaliero 6.0.7 - per EXCEL .xlsm</t>
  </si>
  <si>
    <t>Versione 6.0 con 7 colonne disponibili</t>
  </si>
  <si>
    <t>PREZZO per 1 codice di proprietà EUR 39,00</t>
  </si>
  <si>
    <t>Questo sistema utilizza il codice ID: Contabilità #1</t>
  </si>
  <si>
    <t>TITOLARE dei SISTEMI con codice ID: Contabilità #1</t>
  </si>
  <si>
    <t>Per qualsiasi informazione contattami liberamente via mail.</t>
  </si>
  <si>
    <t xml:space="preserve">Riga 1 - </t>
  </si>
  <si>
    <t xml:space="preserve">Riga 2 - </t>
  </si>
  <si>
    <t xml:space="preserve">Riga 3 - </t>
  </si>
  <si>
    <t>RIGA 1 / Testo esteso</t>
  </si>
  <si>
    <t>Descrizione libera dei CONTI</t>
  </si>
  <si>
    <t>Valore percentuale</t>
  </si>
  <si>
    <t>Opzione II</t>
  </si>
  <si>
    <t>Conto da monitorare #1</t>
  </si>
  <si>
    <t>Conto da monitorare #2</t>
  </si>
  <si>
    <t>Conto da monitorare #3</t>
  </si>
  <si>
    <t>Conto da monitorare #4</t>
  </si>
  <si>
    <t>Percentuali diverse</t>
  </si>
  <si>
    <t>Descrizione #1</t>
  </si>
  <si>
    <t>Descrizione #2</t>
  </si>
  <si>
    <t>GRUPPO #1</t>
  </si>
  <si>
    <t>GRUPPO #2</t>
  </si>
  <si>
    <t>In ADDIZIONE</t>
  </si>
  <si>
    <t>−</t>
  </si>
  <si>
    <t>In SOTTRAZIONE</t>
  </si>
  <si>
    <t>In SCORPORO</t>
  </si>
  <si>
    <t>Inserisci fino a 4 diverse %</t>
  </si>
  <si>
    <t>R.1</t>
  </si>
  <si>
    <t>R.2</t>
  </si>
  <si>
    <t>R.3</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</si>
  <si>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t>
    </r>
    <r>
      <rPr>
        <i/>
        <sz val="11"/>
        <color indexed="23"/>
        <rFont val="Corbel"/>
        <family val="2"/>
      </rPr>
      <t>.</t>
    </r>
  </si>
  <si>
    <r>
      <t>Quest' area si utilizza anche in caso di modifiche alle PERCENTUALI in corso d' anno, per lo stesso Conto</t>
    </r>
    <r>
      <rPr>
        <i/>
        <sz val="11"/>
        <color indexed="63"/>
        <rFont val="Corbel"/>
        <family val="2"/>
      </rPr>
      <t>. In alternativa puoi usare un file con una o più colonne vuote, di riserva.</t>
    </r>
  </si>
  <si>
    <t>genera un errore in questa area.</t>
  </si>
  <si>
    <t>INSERITO</t>
  </si>
  <si>
    <t>Percent.</t>
  </si>
  <si>
    <t>a CONTO</t>
  </si>
  <si>
    <t>Deseleziona QUI</t>
  </si>
  <si>
    <t>Riporto Iniziale EUR</t>
  </si>
  <si>
    <t>Riporto Finale EUR</t>
  </si>
  <si>
    <t>il TOTALE in riga di RIPORTO INIZIALE (EUR)</t>
  </si>
  <si>
    <t>ed il TOTALE in riga di RIPORTO FINALE (EUR)</t>
  </si>
  <si>
    <t>tengono in memoria anche valori relativi ad operazioni che in questo mese</t>
  </si>
  <si>
    <t>NON SI SONO VERIFICATE e che pertanto non sono inserite in questo foglio MENSILE.</t>
  </si>
  <si>
    <t>Le operazioni da considerare per la QUADRATURA del TOTALE dell' ANNO sono le seguenti:</t>
  </si>
  <si>
    <t>PERCENTUALE</t>
  </si>
  <si>
    <t>Hai delle colonne PERCENTUALI DIVERSE che devi calcolare manualmente qui.</t>
  </si>
  <si>
    <t>Quest' area si attiva con colonne "Percentuali diverse" - Al momento non c'è nessun importo da calcolare manualmente.</t>
  </si>
  <si>
    <t>Valori percentuali:</t>
  </si>
  <si>
    <t>Verifica le PERCENTUALI</t>
  </si>
  <si>
    <t>DESCRIZIONE !!!</t>
  </si>
  <si>
    <t>GG</t>
  </si>
  <si>
    <t>MM</t>
  </si>
  <si>
    <t>formattazione condizionale</t>
  </si>
  <si>
    <t>Somma percentuali</t>
  </si>
  <si>
    <t>Riga 1: DESCRIZIONE DEI CONTI</t>
  </si>
  <si>
    <t>Titolare del sistema</t>
  </si>
  <si>
    <t>Valori percentuali</t>
  </si>
  <si>
    <t>RIGA 1</t>
  </si>
  <si>
    <t>R.1 %</t>
  </si>
  <si>
    <t>SENZA RIGA 1</t>
  </si>
  <si>
    <t>..</t>
  </si>
  <si>
    <t>SENZA RIGA 3</t>
  </si>
  <si>
    <t>R.3 %</t>
  </si>
  <si>
    <t>a GRUPPO</t>
  </si>
  <si>
    <t>ELEMENTI RIEPILOGATIVI</t>
  </si>
  <si>
    <t>RIFERIMENTO</t>
  </si>
  <si>
    <t>Eventuali integrazioni</t>
  </si>
  <si>
    <t>Valori già registrati quotidianamente</t>
  </si>
  <si>
    <t>Inserisci eventuali importi  +/-</t>
  </si>
  <si>
    <t>Note</t>
  </si>
  <si>
    <t>Totale RICALCOLATO</t>
  </si>
  <si>
    <t>Area "Eventuali integrazioni"</t>
  </si>
  <si>
    <t>riporto del piè di pagina dei fogli mensili</t>
  </si>
  <si>
    <t>Integrazione 1</t>
  </si>
  <si>
    <t>Integrazione 2</t>
  </si>
  <si>
    <t>RICALCOLATO</t>
  </si>
  <si>
    <t>I TRIM.</t>
  </si>
  <si>
    <t>II TRIM.</t>
  </si>
  <si>
    <t>III TRIM.</t>
  </si>
  <si>
    <t>IV TRIM.</t>
  </si>
  <si>
    <t>Ins.</t>
  </si>
  <si>
    <t>Unità di misura relativa</t>
  </si>
  <si>
    <t>Unità di misura assoluta</t>
  </si>
  <si>
    <t>Danneggiato</t>
  </si>
  <si>
    <t>Disattivato</t>
  </si>
  <si>
    <t>IVA USATA / ALIQUOTE DIVERSE</t>
  </si>
  <si>
    <t>Aliquote diverse A CONTO</t>
  </si>
  <si>
    <t>Aliquote diverse INSERITO</t>
  </si>
  <si>
    <t>A CONTO</t>
  </si>
  <si>
    <t>ESCLUSO A CONTO</t>
  </si>
  <si>
    <t>DAL GG.</t>
  </si>
  <si>
    <t>AL GG.</t>
  </si>
  <si>
    <t>DALLA</t>
  </si>
  <si>
    <t>ALLA</t>
  </si>
  <si>
    <t>NR. GG. lavorativi precedenti</t>
  </si>
  <si>
    <t>singolo MESE specificato</t>
  </si>
  <si>
    <t>periodo per DATA specificata DAL GG. / AL GG.</t>
  </si>
  <si>
    <t>periodo per SETTIMANA specificata dalla / alla</t>
  </si>
  <si>
    <t>ASSOLUTA</t>
  </si>
  <si>
    <t>Altri elementi di personalizzazione:</t>
  </si>
  <si>
    <t>Nome del registro</t>
  </si>
  <si>
    <t>Valuta</t>
  </si>
  <si>
    <t>Codice di proprietà</t>
  </si>
  <si>
    <t>Attenzione !!!</t>
  </si>
  <si>
    <t>Fin tanto che non attivi il sistema per la totalità dell' anno (vedi il foglio "Presentazione"), l' area</t>
  </si>
  <si>
    <t>"modifiche temporanee" funziona correttamente solo per il PRIMO TRIMESTRE. Per i trimestri successivi,</t>
  </si>
  <si>
    <t>il sistema non rileva "modifiche temporanee" nei mesi DISATTIVATI e possono quindi emergere importi</t>
  </si>
  <si>
    <t>senza quadratura. Richiedi il tuo codice di proprietà del sistema per l' attivazione illimitata di questo file.</t>
  </si>
  <si>
    <t>Al momento, nel foglio Presentazione, il sistema è attivato per il</t>
  </si>
  <si>
    <t>RAPPORTINO di chiusura per il periodo DAL / AL</t>
  </si>
  <si>
    <t>ENTATA Monetaria</t>
  </si>
  <si>
    <t>USCITA Monetaria</t>
  </si>
  <si>
    <t>TOTALE DEL PERIODO</t>
  </si>
  <si>
    <t>Procedura guidata per la quadratura degli importi annotati</t>
  </si>
  <si>
    <t>Quadratura dei movimenti MONETARI:</t>
  </si>
  <si>
    <t>ENTRATE - USCITE</t>
  </si>
  <si>
    <t>Importo da portare a ZERO</t>
  </si>
  <si>
    <t>Totale pagamenti DOCUMENTATI</t>
  </si>
  <si>
    <t>RESTO</t>
  </si>
  <si>
    <t>RESTO = Contante atteso</t>
  </si>
  <si>
    <t>CONTEGGIO TAGLI BANCONOTE / inserisci il numero dei pezzi</t>
  </si>
  <si>
    <t>CONTEGGIO MONETE / inserisci il numero dei pezzi</t>
  </si>
  <si>
    <t>Totali</t>
  </si>
  <si>
    <t>ENTRATE</t>
  </si>
  <si>
    <t>USCITE</t>
  </si>
  <si>
    <t>DIFFERENZA</t>
  </si>
  <si>
    <t>ALTRE POSTE</t>
  </si>
  <si>
    <t>da quadrare</t>
  </si>
  <si>
    <t>Importo libero di riferimento</t>
  </si>
  <si>
    <t>Il sistema restituisce "OK" in quadratura</t>
  </si>
  <si>
    <t>TESTO LIBERO / importi in detrazione</t>
  </si>
  <si>
    <t>IMPORTO</t>
  </si>
  <si>
    <t>SALDO</t>
  </si>
  <si>
    <r>
      <t xml:space="preserve">Componi il TUO registro sulla base di queste TABELLE. </t>
    </r>
    <r>
      <rPr>
        <i/>
        <u/>
        <sz val="11"/>
        <color indexed="63"/>
        <rFont val="Corbel"/>
        <family val="2"/>
      </rPr>
      <t>Puoi modificare i testi - al momento presenti a titolo di esempio - ed utilizzare gli spazi vuoti per ulteriori personalizzazioni</t>
    </r>
    <r>
      <rPr>
        <i/>
        <sz val="11"/>
        <color indexed="63"/>
        <rFont val="Corbel"/>
        <family val="2"/>
      </rPr>
      <t>.</t>
    </r>
  </si>
  <si>
    <t>Il sistema si sviluppa in 3 righe. E' obbligatoria la configurazione di 1 riga di almeno 1 colonna del registro per CONVALIDARE le tue impostazioni. La convalida è AUTOMATICA.</t>
  </si>
  <si>
    <t>PERCENTUALI</t>
  </si>
  <si>
    <t>IMPORTO LIBERO</t>
  </si>
  <si>
    <t>EUR</t>
  </si>
  <si>
    <t>IV</t>
  </si>
  <si>
    <t>VI</t>
  </si>
  <si>
    <t>ENTRATE M.</t>
  </si>
  <si>
    <t>USCITE M.</t>
  </si>
  <si>
    <t>IN QUADRAT.</t>
  </si>
  <si>
    <t>Quadratura per totali</t>
  </si>
  <si>
    <t>PZ</t>
  </si>
  <si>
    <t>CONTANTE EURO</t>
  </si>
  <si>
    <t>TOT. banconote</t>
  </si>
  <si>
    <t>TOT. monete</t>
  </si>
  <si>
    <t>AREA QUADRATURA ANALITICA</t>
  </si>
  <si>
    <t>Totale in quadratura analitica</t>
  </si>
  <si>
    <t>Quadratura Extra</t>
  </si>
  <si>
    <t>Q1</t>
  </si>
  <si>
    <t>Q2</t>
  </si>
  <si>
    <t>Q3</t>
  </si>
  <si>
    <t>Totale movimenti DOCUMENTATI   Tabella Q1 e Q2</t>
  </si>
  <si>
    <t>ESTRAI IMPORTO</t>
  </si>
  <si>
    <t>AREA DOCUMENTALE</t>
  </si>
  <si>
    <t>Quadratura EXTRA, per totali</t>
  </si>
  <si>
    <t>quadratura analitica</t>
  </si>
  <si>
    <t>Leggi attentamente questa presentazione e contattami liberamente per informazioni via mail.</t>
  </si>
  <si>
    <t>Questo file contiene TRE MACRO (non indispensabili) nel foglio CASSA.  Puoi attivarle anche in un secondo momento. Per usarle,</t>
  </si>
  <si>
    <r>
      <t>Il sistema si sviluppa in COLONNE che PUOI CONFIGURARE LIBERAMENTE</t>
    </r>
    <r>
      <rPr>
        <sz val="10"/>
        <color indexed="63"/>
        <rFont val="Tahoma"/>
        <family val="2"/>
      </rPr>
      <t>. Nr. di colonne disponibili: 3, 4, 7 e 10.</t>
    </r>
  </si>
  <si>
    <t>Qui le versioni da 3 / 4 / 10 COLONNE.</t>
  </si>
  <si>
    <t>Questo sistema, oltre che per i corrispettivi, si può personalizzare per operazioni PASSIVE (acquisti), COSTI del</t>
  </si>
  <si>
    <t>personale o spese per collaboratori. Si possono annotare poste di Debito/Credito con importi positivi e negativi.</t>
  </si>
  <si>
    <t>Il sistema si configura liberamente impostando almeno 1 RIGA di 3 disponibili, per almeno 1 COLONNA di 7 disp.</t>
  </si>
  <si>
    <t>NOME DEL CONTO PRINCIPALE</t>
  </si>
  <si>
    <t>Riga 2</t>
  </si>
  <si>
    <t>Eventuale inserimento di un CONTO in PERCENTUALE (calcolo automatico)</t>
  </si>
  <si>
    <t>Eventuale inserimento di un CONTO di RAGGRUPPAMENTO</t>
  </si>
  <si>
    <t>Prelevamento Banca X</t>
  </si>
  <si>
    <t>BANCA X</t>
  </si>
  <si>
    <t>Versamento Banca X</t>
  </si>
  <si>
    <t>Esempi:</t>
  </si>
  <si>
    <t>ENTRATE Zona y</t>
  </si>
  <si>
    <t>Collaboratore Zona y</t>
  </si>
  <si>
    <t>ONERI in %</t>
  </si>
  <si>
    <t>ZONA Y</t>
  </si>
  <si>
    <t>IVA in %</t>
  </si>
  <si>
    <t>ONERI BANCARI</t>
  </si>
  <si>
    <t>Il foglio "CASSA" si utilizza per verificare la QUADRATURA degli importi annotati; con il contante (ad esempio)</t>
  </si>
  <si>
    <t>oppure con altri elementi DOCUMENTATI (transazioni elettroniche, assegni, contratti, finanziamenti, ecc.).</t>
  </si>
  <si>
    <t>E' strutturato per la STAMPA e l' archivio cartaceo (3 pagine, puoi scegliere quale stampare).</t>
  </si>
  <si>
    <t>I VALORI restituiti sono 3:</t>
  </si>
  <si>
    <t>E' il valore che INSERISCI TU giorno per giorno</t>
  </si>
  <si>
    <t>E' il valore che il sistema CALCOLA secondo TUE impostazioni</t>
  </si>
  <si>
    <t>PERCENT.</t>
  </si>
  <si>
    <t>E' il valore % che il sistema CALCOLA secondo TUE impostazioni</t>
  </si>
  <si>
    <t>PERCENTUALE:</t>
  </si>
  <si>
    <t>può essere calcolata IN ADDIZIONE</t>
  </si>
  <si>
    <t>IN SOTTRAZIONE oppure IN SCORPORO</t>
  </si>
  <si>
    <t>Tu inserisci € 1.000,00</t>
  </si>
  <si>
    <r>
      <t xml:space="preserve">Nel foglio VERIFICA c'è un </t>
    </r>
    <r>
      <rPr>
        <u/>
        <sz val="10"/>
        <color indexed="63"/>
        <rFont val="Tahoma"/>
        <family val="2"/>
      </rPr>
      <t>pannello di controllo</t>
    </r>
    <r>
      <rPr>
        <sz val="10"/>
        <color indexed="63"/>
        <rFont val="Tahoma"/>
        <family val="2"/>
      </rPr>
      <t xml:space="preserve"> dove agisci per VERIFICARE e CONFRONTARE gli importi annotati.</t>
    </r>
  </si>
  <si>
    <t>Le settimane COMPLETE vanno da Lunedì a Domenica.</t>
  </si>
  <si>
    <r>
      <t xml:space="preserve">ai valori inseriti nel foglio STORICO. </t>
    </r>
    <r>
      <rPr>
        <u/>
        <sz val="10"/>
        <color indexed="63"/>
        <rFont val="Tahoma"/>
        <family val="2"/>
      </rPr>
      <t>Non è obbligatorio utilizzare quest' ultimo foglio, è un qualcosa in più.</t>
    </r>
  </si>
  <si>
    <r>
      <t xml:space="preserve">Questo file funziona solo se lasciato </t>
    </r>
    <r>
      <rPr>
        <b/>
        <sz val="10"/>
        <color indexed="23"/>
        <rFont val="Tahoma"/>
        <family val="2"/>
      </rPr>
      <t>integro in tutte le sue parti</t>
    </r>
    <r>
      <rPr>
        <sz val="10"/>
        <color indexed="23"/>
        <rFont val="Tahoma"/>
        <family val="2"/>
      </rPr>
      <t>. E' garantito il funzionamento con PC-EXCEL .xlsx o sup.</t>
    </r>
  </si>
  <si>
    <t>Se desideri attivare questo sistema per l' INTERO ANNO di QUALSIASI ANNO, richiedi via mail il tuo Codice di Proprietà ed</t>
  </si>
  <si>
    <t>TOTALITA' di qualsiasi anno SOLO CON REGOLARE CODICE DI PROPRIETA'.</t>
  </si>
  <si>
    <t>Testo BREVE</t>
  </si>
  <si>
    <t>RIGA 2 / Testo libero</t>
  </si>
  <si>
    <t>RIGA 3 / Testo libero</t>
  </si>
  <si>
    <r>
      <t>Agisci nell' area evidenziata dai rettangoli rossi</t>
    </r>
    <r>
      <rPr>
        <i/>
        <sz val="11"/>
        <color indexed="23"/>
        <rFont val="Corbel"/>
        <family val="2"/>
      </rPr>
      <t xml:space="preserve">. In questo file hai a disposizione </t>
    </r>
    <r>
      <rPr>
        <sz val="11"/>
        <color indexed="18"/>
        <rFont val="Tahoma"/>
        <family val="2"/>
      </rPr>
      <t>7 COLONNE</t>
    </r>
    <r>
      <rPr>
        <i/>
        <sz val="11"/>
        <color indexed="23"/>
        <rFont val="Corbel"/>
        <family val="2"/>
      </rPr>
      <t>. Puoi usare più di un file contemporaneamente, rinominato a piacere.</t>
    </r>
  </si>
  <si>
    <r>
      <t>Questo sistema è valido per enne copie che puoi rinominare liberamente</t>
    </r>
    <r>
      <rPr>
        <i/>
        <sz val="11"/>
        <color indexed="63"/>
        <rFont val="Corbel"/>
        <family val="2"/>
      </rPr>
      <t>.</t>
    </r>
    <r>
      <rPr>
        <i/>
        <sz val="11"/>
        <color indexed="23"/>
        <rFont val="Corbel"/>
        <family val="2"/>
      </rPr>
      <t xml:space="preserve"> </t>
    </r>
    <r>
      <rPr>
        <i/>
        <sz val="11"/>
        <color theme="0" tint="-0.499984740745262"/>
        <rFont val="Corbel"/>
        <family val="2"/>
      </rPr>
      <t>In futuro, o per il passato, usa una copia del tuo file ed aggiorna il campo "ANNO corrente".</t>
    </r>
  </si>
  <si>
    <r>
      <t xml:space="preserve">Con il Calendario Settimanale imposti i  "Giorni Lavorativi" ordinari. Questa particolare informazione è gestita dal sistema e la ritrovi nel foglio </t>
    </r>
    <r>
      <rPr>
        <sz val="11"/>
        <color theme="0" tint="-0.499984740745262"/>
        <rFont val="Tahoma"/>
        <family val="2"/>
      </rPr>
      <t>VERIFICA</t>
    </r>
    <r>
      <rPr>
        <i/>
        <sz val="11"/>
        <color theme="0" tint="-0.499984740745262"/>
        <rFont val="Corbel"/>
        <family val="2"/>
      </rPr>
      <t>.</t>
    </r>
  </si>
  <si>
    <t>EVENTUALE SPECIFICA</t>
  </si>
  <si>
    <t>Eventuali indicazioni EXTRA / SEZIONI / UBICAZIONE</t>
  </si>
  <si>
    <t>REGISTRO GIORNALIERO</t>
  </si>
  <si>
    <t>Questo registro può essere modificato a richiesta; con preventivo.</t>
  </si>
  <si>
    <t>6.0 o superiore</t>
  </si>
  <si>
    <t>ESEMPI e spiegazioni dettagliate sono sempre disponibili anche</t>
  </si>
  <si>
    <t>Esistono registri con TRE / QUATTRO / SETTE / DIECI colonne.</t>
  </si>
  <si>
    <t>Puoi rinominare liberamente il file; NON ELIMINARE fogli o celle.</t>
  </si>
  <si>
    <r>
      <t xml:space="preserve">L' utilizzo di questo foglio NON è obbligatorio né necessario per il corretto funzionamento dell' intero sistema. </t>
    </r>
    <r>
      <rPr>
        <i/>
        <u/>
        <sz val="11"/>
        <color indexed="23"/>
        <rFont val="Corbel"/>
        <family val="2"/>
      </rPr>
      <t>NON ELIMINARE comunque il foglio</t>
    </r>
    <r>
      <rPr>
        <i/>
        <sz val="11"/>
        <color indexed="23"/>
        <rFont val="Corbel"/>
        <family val="2"/>
      </rPr>
      <t>.</t>
    </r>
  </si>
  <si>
    <t>Se lo compili, attiverai  tutti i grafici relativi anche al valore delle tue colonne negli ANNI PRECEDENTI.</t>
  </si>
  <si>
    <t>Il Registro risulta:</t>
  </si>
  <si>
    <t>Per ogni colonna usata, inserisci manualmente qui sotto gli importi  A CONTO e PERCENTUALE  relativi agli anni precedenti.</t>
  </si>
  <si>
    <t>Scala degli importi</t>
  </si>
  <si>
    <t>Quota dell' importo</t>
  </si>
  <si>
    <t>restituiti</t>
  </si>
  <si>
    <t>restituito</t>
  </si>
  <si>
    <t>I giorni della settimana per i quali NON è impostato "SI" saranno COMUNQUE considerati "Giorni Lavorativi"</t>
  </si>
  <si>
    <t>in presenza di un importo inserito (ad eccezione dei giorni anche impostati come FESTIVI).</t>
  </si>
  <si>
    <t>Percentuale TOT.</t>
  </si>
  <si>
    <t>dettaglio %</t>
  </si>
  <si>
    <t>Suddivisione % TOT.</t>
  </si>
  <si>
    <t>Questo file funziona tutti i MESI per qualsiasi anno,</t>
  </si>
  <si>
    <t>Eventuale PERCENTUALE</t>
  </si>
  <si>
    <t>Valore a CONTO</t>
  </si>
  <si>
    <t>Valore INSERITO</t>
  </si>
  <si>
    <t>TESTO LIBERO</t>
  </si>
  <si>
    <t>con tutte le impostazioni iniziali del TUO Registro. Tienila come MATRICE per gli anni successivi.</t>
  </si>
  <si>
    <t>Tutti i valori mensili li ritrovi nel foglio RIEPILOGO. Questo foglio NON può essere modificato in nessuna parte.</t>
  </si>
  <si>
    <r>
      <t xml:space="preserve">Ipotesi 1   </t>
    </r>
    <r>
      <rPr>
        <sz val="8"/>
        <color theme="2" tint="-0.89999084444715716"/>
        <rFont val="Tahoma"/>
        <family val="2"/>
      </rPr>
      <t>0%</t>
    </r>
    <r>
      <rPr>
        <sz val="8"/>
        <color theme="0" tint="-0.499984740745262"/>
        <rFont val="Tahoma"/>
        <family val="2"/>
      </rPr>
      <t xml:space="preserve"> oppure </t>
    </r>
    <r>
      <rPr>
        <sz val="8"/>
        <color theme="2" tint="-0.89999084444715716"/>
        <rFont val="Tahoma"/>
        <family val="2"/>
      </rPr>
      <t>omesso</t>
    </r>
  </si>
  <si>
    <r>
      <t xml:space="preserve">Ipotesi 2  </t>
    </r>
    <r>
      <rPr>
        <sz val="8"/>
        <color theme="2" tint="-0.89999084444715716"/>
        <rFont val="Tahoma"/>
        <family val="2"/>
      </rPr>
      <t>10%</t>
    </r>
    <r>
      <rPr>
        <sz val="8"/>
        <color theme="0" tint="-0.499984740745262"/>
        <rFont val="Tahoma"/>
        <family val="2"/>
      </rPr>
      <t xml:space="preserve">   in </t>
    </r>
    <r>
      <rPr>
        <sz val="8"/>
        <color theme="2" tint="-0.89999084444715716"/>
        <rFont val="Tahoma"/>
        <family val="2"/>
      </rPr>
      <t>addizione</t>
    </r>
  </si>
  <si>
    <r>
      <t xml:space="preserve">Ipotesi 3  </t>
    </r>
    <r>
      <rPr>
        <sz val="8"/>
        <color theme="2" tint="-0.89999084444715716"/>
        <rFont val="Tahoma"/>
        <family val="2"/>
      </rPr>
      <t>10%</t>
    </r>
    <r>
      <rPr>
        <sz val="8"/>
        <color theme="0" tint="-0.499984740745262"/>
        <rFont val="Tahoma"/>
        <family val="2"/>
      </rPr>
      <t xml:space="preserve">   in </t>
    </r>
    <r>
      <rPr>
        <sz val="8"/>
        <color theme="2" tint="-0.89999084444715716"/>
        <rFont val="Tahoma"/>
        <family val="2"/>
      </rPr>
      <t>sottrazione</t>
    </r>
  </si>
  <si>
    <r>
      <t xml:space="preserve">Ipotesi 4  </t>
    </r>
    <r>
      <rPr>
        <sz val="8"/>
        <color theme="2" tint="-0.89999084444715716"/>
        <rFont val="Tahoma"/>
        <family val="2"/>
      </rPr>
      <t>10%</t>
    </r>
    <r>
      <rPr>
        <sz val="8"/>
        <color theme="0" tint="-0.499984740745262"/>
        <rFont val="Tahoma"/>
        <family val="2"/>
      </rPr>
      <t xml:space="preserve">   in </t>
    </r>
    <r>
      <rPr>
        <sz val="8"/>
        <color theme="2" tint="-0.89999084444715716"/>
        <rFont val="Tahoma"/>
        <family val="2"/>
      </rPr>
      <t>scorporo</t>
    </r>
  </si>
  <si>
    <t>POSSIBILE - utilizzarlo senza protezioni originali - e che si può attivare per la</t>
  </si>
  <si>
    <t>Crea un account Microsoft</t>
  </si>
  <si>
    <t>5) Hai cambiato Ragione Sociale o Partita IVA? Contattami, il codice è una monoutenza specifica.</t>
  </si>
  <si>
    <t>6) Hai usato il codice di un altro sistema? Non tutti i sistemi hanno lo stesso codice.</t>
  </si>
  <si>
    <t>Questo file utilizza il codice di proprietà ID: Contabilità #1.</t>
  </si>
  <si>
    <t>Excel gratuito</t>
  </si>
  <si>
    <t>Conto # 4</t>
  </si>
  <si>
    <t>Conto # 1</t>
  </si>
  <si>
    <t>Conto # 2</t>
  </si>
  <si>
    <t>Conto # 3</t>
  </si>
  <si>
    <t>Descrizione #3</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</si>
</sst>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quot;°&quot;"/>
    <numFmt numFmtId="183" formatCode="&quot;+&quot;\ 0\ &quot;%&quot;\ ;\ \-\ 0\ &quot;%&quot;\ "/>
    <numFmt numFmtId="184" formatCode="&quot;€&quot;\ #,##0.00"/>
    <numFmt numFmtId="185" formatCode="0.00\ &quot;%&quot;\ "/>
    <numFmt numFmtId="186" formatCode="&quot;Pagina:&quot;\ 0"/>
    <numFmt numFmtId="187" formatCode="0.00000000"/>
    <numFmt numFmtId="188" formatCode="#,##0.00\ "/>
    <numFmt numFmtId="189" formatCode="\ 0.0\ &quot;%&quot;\ "/>
    <numFmt numFmtId="190" formatCode="&quot;+&quot;\ 0.0\ &quot;%&quot;\ ;\ \-\ 0.0\ &quot;%&quot;\ "/>
  </numFmts>
  <fonts count="184"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sz val="10"/>
      <color indexed="63"/>
      <name val="Arial"/>
      <family val="2"/>
    </font>
    <font>
      <sz val="10"/>
      <color indexed="23"/>
      <name val="Arial"/>
      <family val="2"/>
    </font>
    <font>
      <sz val="10"/>
      <color indexed="8"/>
      <name val="Tahoma"/>
      <family val="2"/>
    </font>
    <font>
      <b/>
      <sz val="10"/>
      <name val="Tahoma"/>
      <family val="2"/>
    </font>
    <font>
      <b/>
      <sz val="10"/>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2"/>
      <color indexed="18"/>
      <name val="Tahoma"/>
      <family val="2"/>
    </font>
    <font>
      <sz val="11"/>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i/>
      <sz val="11"/>
      <color indexed="23"/>
      <name val="Corbel"/>
      <family val="2"/>
    </font>
    <font>
      <i/>
      <u/>
      <sz val="11"/>
      <color indexed="18"/>
      <name val="Corbel"/>
      <family val="2"/>
    </font>
    <font>
      <sz val="8"/>
      <color indexed="9"/>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8"/>
      <color indexed="10"/>
      <name val="Arial"/>
      <family val="2"/>
    </font>
    <font>
      <sz val="8"/>
      <color indexed="63"/>
      <name val="Arial"/>
      <family val="2"/>
    </font>
    <font>
      <sz val="11"/>
      <color indexed="9"/>
      <name val="Tahoma"/>
      <family val="2"/>
    </font>
    <font>
      <u/>
      <sz val="10"/>
      <color indexed="2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8"/>
      <color indexed="46"/>
      <name val="Tahoma"/>
      <family val="2"/>
    </font>
    <font>
      <b/>
      <sz val="10"/>
      <color indexed="9"/>
      <name val="Tahoma"/>
      <family val="2"/>
    </font>
    <font>
      <u/>
      <sz val="10"/>
      <color indexed="10"/>
      <name val="Tahoma"/>
      <family val="2"/>
    </font>
    <font>
      <u/>
      <sz val="11"/>
      <color indexed="10"/>
      <name val="Tahoma"/>
      <family val="2"/>
    </font>
    <font>
      <i/>
      <sz val="10"/>
      <color indexed="10"/>
      <name val="Corbel"/>
      <family val="2"/>
    </font>
    <font>
      <i/>
      <sz val="10"/>
      <name val="Corbel"/>
      <family val="2"/>
    </font>
    <font>
      <sz val="12"/>
      <color indexed="63"/>
      <name val="Tahoma"/>
      <family val="2"/>
    </font>
    <font>
      <i/>
      <sz val="10"/>
      <color indexed="18"/>
      <name val="Corbel"/>
      <family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u/>
      <sz val="10"/>
      <color indexed="23"/>
      <name val="Corbel"/>
      <family val="2"/>
    </font>
    <font>
      <sz val="10"/>
      <color indexed="63"/>
      <name val="Arial"/>
      <family val="2"/>
    </font>
    <font>
      <i/>
      <u/>
      <sz val="10"/>
      <color indexed="63"/>
      <name val="Corbel"/>
      <family val="2"/>
    </font>
    <font>
      <i/>
      <u/>
      <sz val="10"/>
      <color indexed="18"/>
      <name val="Corbel"/>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rgb="FF333333"/>
      <name val="Tahoma"/>
      <family val="2"/>
    </font>
    <font>
      <sz val="8"/>
      <color rgb="FFFF0000"/>
      <name val="Tahoma"/>
      <family val="2"/>
    </font>
    <font>
      <sz val="10"/>
      <color theme="0" tint="-0.499984740745262"/>
      <name val="Arial"/>
      <family val="2"/>
    </font>
    <font>
      <sz val="8"/>
      <color theme="0" tint="-0.499984740745262"/>
      <name val="Tahoma"/>
      <family val="2"/>
    </font>
    <font>
      <sz val="10"/>
      <color theme="0" tint="-0.499984740745262"/>
      <name val="Tahoma"/>
      <family val="2"/>
    </font>
    <font>
      <u/>
      <sz val="8"/>
      <color rgb="FFFF0000"/>
      <name val="Tahoma"/>
      <family val="2"/>
    </font>
    <font>
      <sz val="8"/>
      <color theme="1" tint="0.249977111117893"/>
      <name val="Tahoma"/>
      <family val="2"/>
    </font>
    <font>
      <u/>
      <sz val="11"/>
      <color theme="0" tint="-0.499984740745262"/>
      <name val="Tahoma"/>
      <family val="2"/>
    </font>
    <font>
      <sz val="11"/>
      <color theme="0" tint="-0.499984740745262"/>
      <name val="Tahoma"/>
      <family val="2"/>
    </font>
    <font>
      <sz val="11"/>
      <color rgb="FF002060"/>
      <name val="Tahoma"/>
      <family val="2"/>
    </font>
    <font>
      <sz val="10"/>
      <color rgb="FF002060"/>
      <name val="Tahoma"/>
      <family val="2"/>
    </font>
    <font>
      <sz val="10"/>
      <color theme="1" tint="4.9989318521683403E-2"/>
      <name val="Tahoma"/>
      <family val="2"/>
    </font>
    <font>
      <sz val="11"/>
      <color theme="1" tint="4.9989318521683403E-2"/>
      <name val="Tahoma"/>
      <family val="2"/>
    </font>
    <font>
      <sz val="9"/>
      <color theme="1" tint="4.9989318521683403E-2"/>
      <name val="Tahoma"/>
      <family val="2"/>
    </font>
    <font>
      <sz val="10"/>
      <color rgb="FF333333"/>
      <name val="Tahoma"/>
      <family val="2"/>
    </font>
    <font>
      <sz val="10"/>
      <color rgb="FFFF0000"/>
      <name val="Tahoma"/>
      <family val="2"/>
    </font>
    <font>
      <i/>
      <u/>
      <sz val="10"/>
      <color rgb="FF002060"/>
      <name val="Corbel"/>
      <family val="2"/>
    </font>
    <font>
      <sz val="8"/>
      <color rgb="FF002060"/>
      <name val="Tahoma"/>
      <family val="2"/>
    </font>
    <font>
      <sz val="8"/>
      <color rgb="FF000080"/>
      <name val="Tahoma"/>
      <family val="2"/>
    </font>
    <font>
      <sz val="8"/>
      <color theme="0"/>
      <name val="Tahoma"/>
      <family val="2"/>
    </font>
    <font>
      <sz val="10"/>
      <color theme="0"/>
      <name val="Tahoma"/>
      <family val="2"/>
    </font>
    <font>
      <sz val="11"/>
      <color theme="1" tint="0.14999847407452621"/>
      <name val="Tahoma"/>
      <family val="2"/>
    </font>
    <font>
      <sz val="8"/>
      <color indexed="8"/>
      <name val="Tahoma"/>
      <family val="2"/>
    </font>
    <font>
      <i/>
      <sz val="10"/>
      <color rgb="FFFF0000"/>
      <name val="Corbel"/>
      <family val="2"/>
    </font>
    <font>
      <i/>
      <sz val="10"/>
      <color theme="0" tint="-0.499984740745262"/>
      <name val="Corbel"/>
      <family val="2"/>
    </font>
    <font>
      <sz val="11"/>
      <color rgb="FF000080"/>
      <name val="Tahoma"/>
      <family val="2"/>
    </font>
    <font>
      <sz val="10"/>
      <color rgb="FF000080"/>
      <name val="Tahoma"/>
      <family val="2"/>
    </font>
    <font>
      <sz val="9"/>
      <color rgb="FF002060"/>
      <name val="Tahoma"/>
      <family val="2"/>
    </font>
    <font>
      <b/>
      <i/>
      <sz val="8"/>
      <color rgb="FFFF0000"/>
      <name val="Arial"/>
      <family val="2"/>
    </font>
    <font>
      <b/>
      <sz val="8"/>
      <color rgb="FFFF0000"/>
      <name val="Tahoma"/>
      <family val="2"/>
    </font>
    <font>
      <b/>
      <sz val="10"/>
      <color rgb="FFFF0000"/>
      <name val="Arial"/>
      <family val="2"/>
    </font>
    <font>
      <sz val="11"/>
      <color theme="2" tint="-0.89999084444715716"/>
      <name val="Tahoma"/>
      <family val="2"/>
    </font>
    <font>
      <i/>
      <sz val="11"/>
      <color theme="2" tint="-0.89999084444715716"/>
      <name val="Corbel"/>
      <family val="2"/>
    </font>
    <font>
      <i/>
      <sz val="9"/>
      <color theme="2" tint="-0.89999084444715716"/>
      <name val="Corbel"/>
      <family val="2"/>
    </font>
    <font>
      <sz val="10"/>
      <color theme="2" tint="-0.89999084444715716"/>
      <name val="Tahoma"/>
      <family val="2"/>
    </font>
    <font>
      <sz val="8"/>
      <color theme="2" tint="-0.89999084444715716"/>
      <name val="Tahoma"/>
      <family val="2"/>
    </font>
    <font>
      <i/>
      <sz val="10"/>
      <color theme="2" tint="-0.89999084444715716"/>
      <name val="Corbel"/>
      <family val="2"/>
    </font>
    <font>
      <i/>
      <sz val="11"/>
      <color theme="0" tint="-0.499984740745262"/>
      <name val="Corbel"/>
      <family val="2"/>
    </font>
    <font>
      <sz val="8"/>
      <color theme="2" tint="-0.89999084444715716"/>
      <name val="Arial"/>
      <family val="2"/>
    </font>
    <font>
      <i/>
      <sz val="9"/>
      <color rgb="FF800000"/>
      <name val="Corbel"/>
      <family val="2"/>
    </font>
    <font>
      <sz val="12"/>
      <color theme="0" tint="-0.499984740745262"/>
      <name val="Tahoma"/>
      <family val="2"/>
    </font>
    <font>
      <sz val="10"/>
      <color rgb="FF800000"/>
      <name val="Tahoma"/>
      <family val="2"/>
    </font>
    <font>
      <sz val="8"/>
      <color rgb="FF009900"/>
      <name val="Tahoma"/>
      <family val="2"/>
    </font>
    <font>
      <u/>
      <sz val="8"/>
      <color theme="0" tint="-0.499984740745262"/>
      <name val="Tahoma"/>
      <family val="2"/>
    </font>
    <font>
      <sz val="11"/>
      <color theme="0"/>
      <name val="Tahoma"/>
      <family val="2"/>
    </font>
    <font>
      <i/>
      <sz val="10"/>
      <color theme="0"/>
      <name val="Corbel"/>
      <family val="2"/>
    </font>
    <font>
      <sz val="10"/>
      <color theme="2" tint="-0.89999084444715716"/>
      <name val="Arial"/>
      <family val="2"/>
    </font>
    <font>
      <u/>
      <sz val="10"/>
      <color rgb="FF333333"/>
      <name val="Tahoma"/>
      <family val="2"/>
    </font>
    <font>
      <u/>
      <sz val="10"/>
      <color theme="0" tint="-0.499984740745262"/>
      <name val="Tahoma"/>
      <family val="2"/>
    </font>
    <font>
      <sz val="10"/>
      <color theme="8" tint="-0.499984740745262"/>
      <name val="Tahoma"/>
      <family val="2"/>
    </font>
    <font>
      <sz val="8"/>
      <color theme="0"/>
      <name val="Arial"/>
      <family val="2"/>
    </font>
    <font>
      <b/>
      <i/>
      <sz val="8"/>
      <color theme="0"/>
      <name val="Arial"/>
      <family val="2"/>
    </font>
  </fonts>
  <fills count="11">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tint="0.79998168889431442"/>
        <bgColor indexed="64"/>
      </patternFill>
    </fill>
  </fills>
  <borders count="227">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style="hair">
        <color indexed="23"/>
      </left>
      <right style="hair">
        <color indexed="23"/>
      </right>
      <top style="thin">
        <color indexed="23"/>
      </top>
      <bottom/>
      <diagonal/>
    </border>
    <border>
      <left style="hair">
        <color indexed="23"/>
      </left>
      <right style="hair">
        <color indexed="23"/>
      </right>
      <top/>
      <bottom style="thin">
        <color indexed="23"/>
      </bottom>
      <diagonal/>
    </border>
    <border>
      <left style="thin">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thin">
        <color indexed="23"/>
      </bottom>
      <diagonal/>
    </border>
    <border>
      <left style="thin">
        <color indexed="23"/>
      </left>
      <right style="hair">
        <color indexed="23"/>
      </right>
      <top style="thin">
        <color indexed="23"/>
      </top>
      <bottom/>
      <diagonal/>
    </border>
    <border>
      <left style="thin">
        <color indexed="23"/>
      </left>
      <right style="hair">
        <color indexed="23"/>
      </right>
      <top/>
      <bottom style="thin">
        <color indexed="23"/>
      </bottom>
      <diagonal/>
    </border>
    <border>
      <left style="thin">
        <color indexed="23"/>
      </left>
      <right style="hair">
        <color indexed="23"/>
      </right>
      <top/>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hair">
        <color indexed="23"/>
      </left>
      <right style="hair">
        <color indexed="23"/>
      </right>
      <top style="hair">
        <color indexed="23"/>
      </top>
      <bottom style="thin">
        <color indexed="23"/>
      </bottom>
      <diagonal/>
    </border>
    <border>
      <left style="thin">
        <color indexed="23"/>
      </left>
      <right/>
      <top style="hair">
        <color indexed="23"/>
      </top>
      <bottom style="hair">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right style="hair">
        <color indexed="23"/>
      </right>
      <top style="thin">
        <color indexed="23"/>
      </top>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style="thin">
        <color indexed="16"/>
      </left>
      <right/>
      <top/>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8"/>
      </left>
      <right/>
      <top style="hair">
        <color indexed="23"/>
      </top>
      <bottom style="hair">
        <color indexed="23"/>
      </bottom>
      <diagonal/>
    </border>
    <border>
      <left/>
      <right style="thin">
        <color indexed="18"/>
      </right>
      <top style="hair">
        <color indexed="23"/>
      </top>
      <bottom style="hair">
        <color indexed="23"/>
      </bottom>
      <diagonal/>
    </border>
    <border>
      <left/>
      <right/>
      <top/>
      <bottom style="thin">
        <color indexed="18"/>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right style="hair">
        <color indexed="23"/>
      </right>
      <top style="hair">
        <color indexed="23"/>
      </top>
      <bottom style="thin">
        <color indexed="18"/>
      </bottom>
      <diagonal/>
    </border>
    <border>
      <left/>
      <right/>
      <top style="thin">
        <color indexed="10"/>
      </top>
      <bottom style="thin">
        <color indexed="10"/>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style="hair">
        <color indexed="23"/>
      </left>
      <right/>
      <top style="thin">
        <color indexed="23"/>
      </top>
      <bottom style="hair">
        <color indexed="23"/>
      </bottom>
      <diagonal/>
    </border>
    <border>
      <left/>
      <right style="hair">
        <color indexed="23"/>
      </right>
      <top style="thin">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right style="hair">
        <color indexed="23"/>
      </right>
      <top style="hair">
        <color indexed="23"/>
      </top>
      <bottom style="thin">
        <color indexed="23"/>
      </bottom>
      <diagonal/>
    </border>
    <border>
      <left style="hair">
        <color indexed="23"/>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right style="thin">
        <color indexed="16"/>
      </right>
      <top/>
      <bottom style="hair">
        <color indexed="23"/>
      </bottom>
      <diagonal/>
    </border>
    <border>
      <left/>
      <right style="thin">
        <color indexed="16"/>
      </right>
      <top style="hair">
        <color indexed="23"/>
      </top>
      <bottom style="thin">
        <color indexed="16"/>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thin">
        <color indexed="16"/>
      </right>
      <top style="thin">
        <color indexed="16"/>
      </top>
      <bottom style="hair">
        <color indexed="23"/>
      </bottom>
      <diagonal/>
    </border>
    <border>
      <left/>
      <right style="hair">
        <color indexed="23"/>
      </right>
      <top style="thin">
        <color indexed="16"/>
      </top>
      <bottom style="hair">
        <color indexed="23"/>
      </bottom>
      <diagonal/>
    </border>
    <border>
      <left style="hair">
        <color indexed="23"/>
      </left>
      <right/>
      <top/>
      <bottom style="thin">
        <color indexed="23"/>
      </bottom>
      <diagonal/>
    </border>
    <border>
      <left/>
      <right style="hair">
        <color indexed="23"/>
      </right>
      <top/>
      <bottom style="thin">
        <color indexed="23"/>
      </bottom>
      <diagonal/>
    </border>
    <border>
      <left/>
      <right/>
      <top style="thin">
        <color indexed="23"/>
      </top>
      <bottom style="thin">
        <color indexed="10"/>
      </bottom>
      <diagonal/>
    </border>
    <border>
      <left style="thin">
        <color indexed="10"/>
      </left>
      <right/>
      <top style="thin">
        <color indexed="10"/>
      </top>
      <bottom style="thin">
        <color indexed="10"/>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right style="thin">
        <color indexed="10"/>
      </right>
      <top style="thin">
        <color indexed="10"/>
      </top>
      <bottom style="thin">
        <color indexed="10"/>
      </bottom>
      <diagonal/>
    </border>
    <border>
      <left style="thin">
        <color indexed="16"/>
      </left>
      <right/>
      <top style="hair">
        <color indexed="23"/>
      </top>
      <bottom style="thin">
        <color indexed="16"/>
      </bottom>
      <diagonal/>
    </border>
    <border>
      <left style="thin">
        <color indexed="16"/>
      </left>
      <right/>
      <top style="thin">
        <color indexed="16"/>
      </top>
      <bottom style="hair">
        <color indexed="23"/>
      </bottom>
      <diagonal/>
    </border>
    <border>
      <left style="hair">
        <color indexed="23"/>
      </left>
      <right style="thin">
        <color indexed="23"/>
      </right>
      <top style="hair">
        <color indexed="23"/>
      </top>
      <bottom/>
      <diagonal/>
    </border>
    <border>
      <left style="thin">
        <color indexed="23"/>
      </left>
      <right style="hair">
        <color indexed="23"/>
      </right>
      <top style="hair">
        <color indexed="23"/>
      </top>
      <bottom/>
      <diagonal/>
    </border>
    <border>
      <left/>
      <right style="thin">
        <color indexed="18"/>
      </right>
      <top style="hair">
        <color indexed="55"/>
      </top>
      <bottom style="hair">
        <color indexed="55"/>
      </bottom>
      <diagonal/>
    </border>
    <border>
      <left style="thin">
        <color indexed="18"/>
      </left>
      <right/>
      <top style="hair">
        <color indexed="55"/>
      </top>
      <bottom style="hair">
        <color indexed="55"/>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style="double">
        <color indexed="23"/>
      </left>
      <right/>
      <top/>
      <bottom style="hair">
        <color indexed="23"/>
      </bottom>
      <diagonal/>
    </border>
    <border>
      <left style="double">
        <color indexed="23"/>
      </left>
      <right/>
      <top style="hair">
        <color indexed="23"/>
      </top>
      <bottom style="hair">
        <color indexed="23"/>
      </bottom>
      <diagonal/>
    </border>
    <border>
      <left style="double">
        <color indexed="23"/>
      </left>
      <right/>
      <top style="hair">
        <color indexed="23"/>
      </top>
      <bottom style="thin">
        <color indexed="23"/>
      </bottom>
      <diagonal/>
    </border>
    <border>
      <left style="double">
        <color indexed="23"/>
      </left>
      <right/>
      <top style="thin">
        <color indexed="23"/>
      </top>
      <bottom style="thin">
        <color indexed="23"/>
      </bottom>
      <diagonal/>
    </border>
    <border>
      <left style="thin">
        <color rgb="FF002060"/>
      </left>
      <right/>
      <top style="thin">
        <color rgb="FF002060"/>
      </top>
      <bottom style="hair">
        <color indexed="23"/>
      </bottom>
      <diagonal/>
    </border>
    <border>
      <left/>
      <right/>
      <top style="thin">
        <color rgb="FF002060"/>
      </top>
      <bottom style="hair">
        <color indexed="23"/>
      </bottom>
      <diagonal/>
    </border>
    <border>
      <left/>
      <right style="hair">
        <color indexed="23"/>
      </right>
      <top style="thin">
        <color rgb="FF002060"/>
      </top>
      <bottom style="hair">
        <color indexed="23"/>
      </bottom>
      <diagonal/>
    </border>
    <border>
      <left style="hair">
        <color indexed="23"/>
      </left>
      <right/>
      <top style="thin">
        <color rgb="FF002060"/>
      </top>
      <bottom style="hair">
        <color indexed="23"/>
      </bottom>
      <diagonal/>
    </border>
    <border>
      <left/>
      <right style="thin">
        <color rgb="FF002060"/>
      </right>
      <top style="thin">
        <color rgb="FF002060"/>
      </top>
      <bottom style="hair">
        <color indexed="23"/>
      </bottom>
      <diagonal/>
    </border>
    <border>
      <left style="thin">
        <color rgb="FF002060"/>
      </left>
      <right/>
      <top style="hair">
        <color indexed="23"/>
      </top>
      <bottom style="hair">
        <color indexed="23"/>
      </bottom>
      <diagonal/>
    </border>
    <border>
      <left/>
      <right style="thin">
        <color rgb="FF002060"/>
      </right>
      <top style="hair">
        <color indexed="23"/>
      </top>
      <bottom style="hair">
        <color indexed="23"/>
      </bottom>
      <diagonal/>
    </border>
    <border>
      <left style="thin">
        <color rgb="FF002060"/>
      </left>
      <right/>
      <top/>
      <bottom style="hair">
        <color indexed="23"/>
      </bottom>
      <diagonal/>
    </border>
    <border>
      <left/>
      <right style="thin">
        <color rgb="FF002060"/>
      </right>
      <top/>
      <bottom style="hair">
        <color indexed="23"/>
      </bottom>
      <diagonal/>
    </border>
    <border>
      <left style="thin">
        <color rgb="FF002060"/>
      </left>
      <right/>
      <top style="hair">
        <color indexed="23"/>
      </top>
      <bottom style="thin">
        <color rgb="FF002060"/>
      </bottom>
      <diagonal/>
    </border>
    <border>
      <left/>
      <right/>
      <top style="hair">
        <color indexed="23"/>
      </top>
      <bottom style="thin">
        <color rgb="FF002060"/>
      </bottom>
      <diagonal/>
    </border>
    <border>
      <left/>
      <right style="thin">
        <color rgb="FF002060"/>
      </right>
      <top style="hair">
        <color indexed="23"/>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theme="8" tint="-0.499984740745262"/>
      </right>
      <top style="hair">
        <color theme="0" tint="-0.499984740745262"/>
      </top>
      <bottom style="hair">
        <color theme="0" tint="-0.499984740745262"/>
      </bottom>
      <diagonal/>
    </border>
    <border>
      <left style="thin">
        <color theme="8" tint="-0.499984740745262"/>
      </left>
      <right style="thin">
        <color theme="8" tint="-0.499984740745262"/>
      </right>
      <top/>
      <bottom style="thin">
        <color theme="8"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rgb="FF002060"/>
      </left>
      <right/>
      <top/>
      <bottom style="hair">
        <color theme="0" tint="-0.499984740745262"/>
      </bottom>
      <diagonal/>
    </border>
    <border>
      <left/>
      <right/>
      <top/>
      <bottom style="hair">
        <color theme="0" tint="-0.499984740745262"/>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style="hair">
        <color theme="0" tint="-0.499984740745262"/>
      </top>
      <bottom style="hair">
        <color indexed="23"/>
      </bottom>
      <diagonal/>
    </border>
    <border>
      <left style="hair">
        <color theme="0" tint="-0.499984740745262"/>
      </left>
      <right style="hair">
        <color theme="0" tint="-0.499984740745262"/>
      </right>
      <top style="hair">
        <color indexed="23"/>
      </top>
      <bottom style="hair">
        <color indexed="23"/>
      </bottom>
      <diagonal/>
    </border>
    <border>
      <left style="hair">
        <color theme="0" tint="-0.499984740745262"/>
      </left>
      <right style="hair">
        <color theme="0" tint="-0.499984740745262"/>
      </right>
      <top style="hair">
        <color indexed="23"/>
      </top>
      <bottom style="hair">
        <color theme="0" tint="-0.499984740745262"/>
      </bottom>
      <diagonal/>
    </border>
    <border>
      <left/>
      <right style="hair">
        <color theme="0" tint="-0.499984740745262"/>
      </right>
      <top/>
      <bottom style="thin">
        <color indexed="23"/>
      </bottom>
      <diagonal/>
    </border>
    <border>
      <left/>
      <right/>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2060"/>
      </left>
      <right style="thin">
        <color rgb="FF800000"/>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002060"/>
      </left>
      <right style="hair">
        <color indexed="23"/>
      </right>
      <top style="thin">
        <color rgb="FF002060"/>
      </top>
      <bottom style="hair">
        <color indexed="23"/>
      </bottom>
      <diagonal/>
    </border>
    <border>
      <left style="hair">
        <color indexed="23"/>
      </left>
      <right style="hair">
        <color indexed="23"/>
      </right>
      <top style="thin">
        <color rgb="FF002060"/>
      </top>
      <bottom style="hair">
        <color indexed="23"/>
      </bottom>
      <diagonal/>
    </border>
    <border>
      <left style="hair">
        <color indexed="23"/>
      </left>
      <right style="thin">
        <color rgb="FF002060"/>
      </right>
      <top style="thin">
        <color rgb="FF002060"/>
      </top>
      <bottom style="hair">
        <color indexed="23"/>
      </bottom>
      <diagonal/>
    </border>
    <border>
      <left style="thin">
        <color rgb="FF002060"/>
      </left>
      <right style="hair">
        <color indexed="23"/>
      </right>
      <top style="hair">
        <color indexed="23"/>
      </top>
      <bottom style="hair">
        <color indexed="23"/>
      </bottom>
      <diagonal/>
    </border>
    <border>
      <left style="hair">
        <color indexed="23"/>
      </left>
      <right style="thin">
        <color rgb="FF002060"/>
      </right>
      <top style="hair">
        <color indexed="23"/>
      </top>
      <bottom style="hair">
        <color indexed="23"/>
      </bottom>
      <diagonal/>
    </border>
    <border>
      <left style="thin">
        <color rgb="FF002060"/>
      </left>
      <right style="hair">
        <color indexed="23"/>
      </right>
      <top style="hair">
        <color indexed="23"/>
      </top>
      <bottom style="thin">
        <color rgb="FF002060"/>
      </bottom>
      <diagonal/>
    </border>
    <border>
      <left style="hair">
        <color indexed="23"/>
      </left>
      <right style="hair">
        <color indexed="23"/>
      </right>
      <top style="hair">
        <color indexed="23"/>
      </top>
      <bottom style="thin">
        <color rgb="FF002060"/>
      </bottom>
      <diagonal/>
    </border>
    <border>
      <left style="hair">
        <color indexed="23"/>
      </left>
      <right style="thin">
        <color rgb="FF002060"/>
      </right>
      <top style="hair">
        <color indexed="23"/>
      </top>
      <bottom style="thin">
        <color rgb="FF002060"/>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right/>
      <top style="thin">
        <color indexed="23"/>
      </top>
      <bottom style="hair">
        <color theme="0" tint="-0.499984740745262"/>
      </bottom>
      <diagonal/>
    </border>
    <border>
      <left/>
      <right/>
      <top style="thin">
        <color theme="0" tint="-0.499984740745262"/>
      </top>
      <bottom/>
      <diagonal/>
    </border>
    <border>
      <left/>
      <right style="thin">
        <color indexed="23"/>
      </right>
      <top style="thin">
        <color theme="0" tint="-0.499984740745262"/>
      </top>
      <bottom/>
      <diagonal/>
    </border>
    <border>
      <left style="thin">
        <color indexed="23"/>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
      <left style="thin">
        <color rgb="FF002060"/>
      </left>
      <right style="hair">
        <color indexed="23"/>
      </right>
      <top style="thin">
        <color rgb="FF002060"/>
      </top>
      <bottom style="thin">
        <color rgb="FF002060"/>
      </bottom>
      <diagonal/>
    </border>
    <border>
      <left style="hair">
        <color indexed="23"/>
      </left>
      <right style="hair">
        <color indexed="23"/>
      </right>
      <top style="thin">
        <color rgb="FF002060"/>
      </top>
      <bottom style="thin">
        <color rgb="FF002060"/>
      </bottom>
      <diagonal/>
    </border>
    <border>
      <left style="hair">
        <color indexed="23"/>
      </left>
      <right style="thin">
        <color rgb="FF002060"/>
      </right>
      <top style="thin">
        <color rgb="FF002060"/>
      </top>
      <bottom style="thin">
        <color rgb="FF002060"/>
      </bottom>
      <diagonal/>
    </border>
  </borders>
  <cellStyleXfs count="7">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xf numFmtId="0" fontId="1" fillId="0" borderId="0"/>
  </cellStyleXfs>
  <cellXfs count="2498">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8" fillId="2" borderId="2" xfId="2" applyFont="1" applyFill="1" applyBorder="1" applyAlignment="1" applyProtection="1">
      <alignment horizontal="center" vertical="center"/>
      <protection hidden="1"/>
    </xf>
    <xf numFmtId="0" fontId="28"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166" fontId="12" fillId="2" borderId="0" xfId="2" applyNumberFormat="1" applyFont="1" applyFill="1" applyBorder="1" applyAlignment="1" applyProtection="1">
      <alignment horizontal="right"/>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0" fontId="35" fillId="2" borderId="0" xfId="2" applyFont="1" applyFill="1" applyProtection="1">
      <protection hidden="1"/>
    </xf>
    <xf numFmtId="0" fontId="6" fillId="2" borderId="7" xfId="2" applyFont="1" applyFill="1" applyBorder="1" applyAlignment="1" applyProtection="1">
      <alignment horizontal="right" vertical="center" indent="1"/>
      <protection hidden="1"/>
    </xf>
    <xf numFmtId="0" fontId="37" fillId="2" borderId="8" xfId="2" applyFont="1" applyFill="1" applyBorder="1" applyAlignment="1" applyProtection="1">
      <alignment horizontal="left" vertical="center" indent="1"/>
      <protection hidden="1"/>
    </xf>
    <xf numFmtId="0" fontId="37" fillId="2" borderId="9" xfId="2" applyFont="1" applyFill="1" applyBorder="1" applyAlignment="1" applyProtection="1">
      <alignment horizontal="center" vertical="center"/>
      <protection hidden="1"/>
    </xf>
    <xf numFmtId="0" fontId="37" fillId="2" borderId="10" xfId="2" applyFont="1" applyFill="1" applyBorder="1" applyAlignment="1" applyProtection="1">
      <alignment horizontal="center" vertical="center"/>
      <protection hidden="1"/>
    </xf>
    <xf numFmtId="0" fontId="3" fillId="2" borderId="11" xfId="2" applyFill="1" applyBorder="1" applyProtection="1">
      <protection hidden="1"/>
    </xf>
    <xf numFmtId="0" fontId="0" fillId="2" borderId="0" xfId="0" applyFill="1" applyProtection="1">
      <protection hidden="1"/>
    </xf>
    <xf numFmtId="0" fontId="19" fillId="2" borderId="0" xfId="0" applyFont="1" applyFill="1" applyBorder="1" applyAlignment="1" applyProtection="1">
      <alignment vertical="center"/>
      <protection hidden="1"/>
    </xf>
    <xf numFmtId="168" fontId="38" fillId="2" borderId="0" xfId="0" applyNumberFormat="1" applyFont="1" applyFill="1" applyBorder="1" applyAlignment="1" applyProtection="1">
      <alignment horizontal="right" vertical="center"/>
      <protection hidden="1"/>
    </xf>
    <xf numFmtId="168" fontId="30" fillId="2" borderId="0" xfId="0" applyNumberFormat="1" applyFont="1" applyFill="1" applyBorder="1" applyAlignment="1" applyProtection="1">
      <alignment horizontal="right" vertical="center"/>
      <protection hidden="1"/>
    </xf>
    <xf numFmtId="168" fontId="26" fillId="2" borderId="0"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2"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48" fillId="2" borderId="13" xfId="2" applyFont="1" applyFill="1" applyBorder="1" applyAlignment="1" applyProtection="1">
      <alignment horizontal="center" vertical="top"/>
      <protection hidden="1"/>
    </xf>
    <xf numFmtId="0" fontId="41" fillId="2" borderId="0" xfId="2" applyFont="1" applyFill="1" applyBorder="1" applyAlignment="1" applyProtection="1">
      <alignment horizontal="centerContinuous"/>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168" fontId="11" fillId="2" borderId="0" xfId="0" applyNumberFormat="1" applyFont="1" applyFill="1" applyBorder="1" applyAlignment="1" applyProtection="1">
      <alignment horizontal="right" vertical="center"/>
      <protection hidden="1"/>
    </xf>
    <xf numFmtId="168" fontId="39" fillId="2" borderId="0" xfId="0" applyNumberFormat="1" applyFont="1" applyFill="1" applyBorder="1" applyAlignment="1" applyProtection="1">
      <alignment horizontal="right" vertical="center"/>
      <protection hidden="1"/>
    </xf>
    <xf numFmtId="166" fontId="43" fillId="2" borderId="0" xfId="0" applyNumberFormat="1" applyFont="1" applyFill="1" applyBorder="1" applyAlignment="1" applyProtection="1">
      <alignment horizontal="right" vertical="center"/>
      <protection hidden="1"/>
    </xf>
    <xf numFmtId="172" fontId="51"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vertical="top"/>
      <protection hidden="1"/>
    </xf>
    <xf numFmtId="168" fontId="18" fillId="2" borderId="0" xfId="0" applyNumberFormat="1" applyFont="1" applyFill="1" applyBorder="1" applyAlignment="1" applyProtection="1">
      <alignment horizontal="center" vertical="top"/>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0" fillId="2" borderId="7" xfId="0" applyNumberFormat="1" applyFont="1" applyFill="1" applyBorder="1" applyAlignment="1" applyProtection="1">
      <alignment horizontal="right" vertical="center"/>
      <protection hidden="1"/>
    </xf>
    <xf numFmtId="168" fontId="39" fillId="2" borderId="7" xfId="0" applyNumberFormat="1" applyFont="1" applyFill="1" applyBorder="1" applyAlignment="1" applyProtection="1">
      <alignment horizontal="righ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46" fillId="2" borderId="4" xfId="2" applyFont="1" applyFill="1" applyBorder="1" applyAlignment="1" applyProtection="1">
      <alignment horizontal="center" vertical="center"/>
      <protection hidden="1"/>
    </xf>
    <xf numFmtId="0" fontId="34" fillId="2" borderId="0" xfId="2" applyFont="1" applyFill="1" applyAlignment="1" applyProtection="1">
      <alignment horizontal="center" vertical="center"/>
      <protection hidden="1"/>
    </xf>
    <xf numFmtId="168" fontId="27" fillId="2" borderId="17" xfId="2" applyNumberFormat="1" applyFont="1" applyFill="1" applyBorder="1" applyAlignment="1" applyProtection="1">
      <alignment horizontal="right" vertical="center"/>
      <protection hidden="1"/>
    </xf>
    <xf numFmtId="168" fontId="27" fillId="2" borderId="18" xfId="2" applyNumberFormat="1" applyFont="1" applyFill="1" applyBorder="1" applyAlignment="1" applyProtection="1">
      <alignment horizontal="right" vertical="center"/>
      <protection hidden="1"/>
    </xf>
    <xf numFmtId="168" fontId="27" fillId="2" borderId="19" xfId="2" applyNumberFormat="1" applyFont="1" applyFill="1" applyBorder="1" applyAlignment="1" applyProtection="1">
      <alignment horizontal="right" vertical="center"/>
      <protection hidden="1"/>
    </xf>
    <xf numFmtId="0" fontId="17" fillId="2" borderId="20" xfId="2" applyFont="1" applyFill="1" applyBorder="1" applyAlignment="1" applyProtection="1">
      <alignment vertical="center"/>
      <protection hidden="1"/>
    </xf>
    <xf numFmtId="166" fontId="7" fillId="2" borderId="12" xfId="2" applyNumberFormat="1" applyFont="1" applyFill="1" applyBorder="1" applyAlignment="1" applyProtection="1">
      <alignment vertical="top"/>
      <protection hidden="1"/>
    </xf>
    <xf numFmtId="170" fontId="30" fillId="2" borderId="12" xfId="2" applyNumberFormat="1" applyFont="1" applyFill="1" applyBorder="1" applyAlignment="1" applyProtection="1">
      <alignment vertical="top"/>
      <protection hidden="1"/>
    </xf>
    <xf numFmtId="166" fontId="29" fillId="2" borderId="12" xfId="2" applyNumberFormat="1" applyFont="1" applyFill="1" applyBorder="1" applyAlignment="1" applyProtection="1">
      <alignment vertical="top"/>
      <protection hidden="1"/>
    </xf>
    <xf numFmtId="173" fontId="32" fillId="2" borderId="1" xfId="0" applyNumberFormat="1" applyFont="1" applyFill="1" applyBorder="1" applyAlignment="1" applyProtection="1">
      <alignment vertical="center"/>
      <protection hidden="1"/>
    </xf>
    <xf numFmtId="0" fontId="34" fillId="2" borderId="0" xfId="2" applyFont="1" applyFill="1" applyBorder="1" applyAlignment="1" applyProtection="1">
      <alignment vertical="center"/>
      <protection hidden="1"/>
    </xf>
    <xf numFmtId="0" fontId="45" fillId="2" borderId="0" xfId="2" applyFont="1" applyFill="1" applyAlignment="1" applyProtection="1">
      <alignment horizontal="center" vertical="center"/>
      <protection hidden="1"/>
    </xf>
    <xf numFmtId="0" fontId="3" fillId="2" borderId="0" xfId="2" applyFill="1" applyAlignment="1" applyProtection="1">
      <protection hidden="1"/>
    </xf>
    <xf numFmtId="0" fontId="37" fillId="2" borderId="0" xfId="2" applyFont="1" applyFill="1" applyBorder="1" applyAlignment="1" applyProtection="1">
      <alignment horizontal="center" vertical="center"/>
      <protection hidden="1"/>
    </xf>
    <xf numFmtId="0" fontId="37" fillId="2" borderId="9" xfId="2" applyFont="1" applyFill="1" applyBorder="1" applyAlignment="1" applyProtection="1">
      <alignment horizontal="left" vertical="center" indent="1"/>
      <protection hidden="1"/>
    </xf>
    <xf numFmtId="0" fontId="6" fillId="2" borderId="0" xfId="2" applyFont="1" applyFill="1" applyBorder="1" applyAlignment="1" applyProtection="1">
      <alignment horizontal="left"/>
      <protection hidden="1"/>
    </xf>
    <xf numFmtId="0" fontId="35" fillId="2" borderId="0" xfId="2" applyFont="1" applyFill="1" applyAlignment="1" applyProtection="1">
      <protection hidden="1"/>
    </xf>
    <xf numFmtId="0" fontId="34" fillId="2" borderId="0" xfId="2" applyFont="1" applyFill="1" applyBorder="1" applyAlignment="1" applyProtection="1">
      <alignment horizontal="center" vertical="center"/>
      <protection hidden="1"/>
    </xf>
    <xf numFmtId="0" fontId="47" fillId="2" borderId="0" xfId="2" applyFont="1" applyFill="1" applyBorder="1" applyAlignment="1" applyProtection="1">
      <alignment horizontal="center" vertical="center"/>
      <protection hidden="1"/>
    </xf>
    <xf numFmtId="0" fontId="47" fillId="2" borderId="0" xfId="2" applyFont="1" applyFill="1" applyBorder="1" applyAlignment="1" applyProtection="1">
      <alignment horizontal="center" vertical="top"/>
      <protection hidden="1"/>
    </xf>
    <xf numFmtId="166" fontId="55" fillId="2" borderId="0" xfId="0" applyNumberFormat="1" applyFont="1" applyFill="1" applyAlignment="1" applyProtection="1">
      <protection hidden="1"/>
    </xf>
    <xf numFmtId="0" fontId="0" fillId="2" borderId="0" xfId="0" applyFill="1" applyBorder="1" applyProtection="1">
      <protection hidden="1"/>
    </xf>
    <xf numFmtId="14" fontId="56" fillId="2" borderId="17" xfId="2" applyNumberFormat="1" applyFont="1" applyFill="1" applyBorder="1" applyAlignment="1" applyProtection="1">
      <alignment horizontal="center" vertical="center"/>
      <protection hidden="1"/>
    </xf>
    <xf numFmtId="14" fontId="56" fillId="2" borderId="18" xfId="2" applyNumberFormat="1" applyFont="1" applyFill="1" applyBorder="1" applyAlignment="1" applyProtection="1">
      <alignment horizontal="center" vertical="center"/>
      <protection hidden="1"/>
    </xf>
    <xf numFmtId="14" fontId="56" fillId="2" borderId="19"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4" fillId="2" borderId="0" xfId="2" applyFont="1" applyFill="1" applyAlignment="1" applyProtection="1">
      <alignment horizontal="center"/>
      <protection hidden="1"/>
    </xf>
    <xf numFmtId="0" fontId="45"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46" fillId="2" borderId="6" xfId="2" applyFont="1" applyFill="1" applyBorder="1" applyAlignment="1" applyProtection="1">
      <alignment horizontal="center" vertical="center"/>
      <protection hidden="1"/>
    </xf>
    <xf numFmtId="14" fontId="56" fillId="2" borderId="23" xfId="2"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45" fillId="2" borderId="1" xfId="2" applyFont="1" applyFill="1" applyBorder="1" applyAlignment="1" applyProtection="1">
      <alignment horizontal="center" vertical="center"/>
      <protection hidden="1"/>
    </xf>
    <xf numFmtId="0" fontId="45" fillId="2" borderId="20" xfId="2" applyFont="1" applyFill="1" applyBorder="1" applyAlignment="1" applyProtection="1">
      <alignment horizontal="center" vertical="center"/>
      <protection hidden="1"/>
    </xf>
    <xf numFmtId="0" fontId="3" fillId="2" borderId="20" xfId="2" applyFill="1" applyBorder="1" applyProtection="1">
      <protection hidden="1"/>
    </xf>
    <xf numFmtId="0" fontId="46" fillId="4" borderId="24" xfId="2" applyFont="1" applyFill="1" applyBorder="1" applyAlignment="1" applyProtection="1">
      <alignment horizontal="center" vertical="center"/>
      <protection hidden="1"/>
    </xf>
    <xf numFmtId="0" fontId="46" fillId="4" borderId="19" xfId="2" applyFont="1" applyFill="1" applyBorder="1" applyAlignment="1" applyProtection="1">
      <alignment horizontal="center" vertical="center"/>
      <protection hidden="1"/>
    </xf>
    <xf numFmtId="0" fontId="34" fillId="2" borderId="0" xfId="2" applyFont="1" applyFill="1" applyAlignment="1" applyProtection="1">
      <alignment horizontal="right" vertical="top" indent="1"/>
      <protection hidden="1"/>
    </xf>
    <xf numFmtId="0" fontId="34" fillId="2" borderId="0" xfId="2" applyFont="1" applyFill="1" applyAlignment="1" applyProtection="1">
      <alignment horizontal="right" indent="1"/>
      <protection hidden="1"/>
    </xf>
    <xf numFmtId="174" fontId="46" fillId="2" borderId="0" xfId="2" applyNumberFormat="1" applyFont="1" applyFill="1" applyAlignment="1" applyProtection="1">
      <alignment horizontal="center"/>
      <protection hidden="1"/>
    </xf>
    <xf numFmtId="174" fontId="46" fillId="2" borderId="0" xfId="2" applyNumberFormat="1" applyFont="1" applyFill="1" applyAlignment="1" applyProtection="1">
      <alignment horizontal="center" vertical="top"/>
      <protection hidden="1"/>
    </xf>
    <xf numFmtId="0" fontId="46" fillId="2" borderId="0" xfId="2" applyNumberFormat="1" applyFont="1" applyFill="1" applyBorder="1" applyAlignment="1" applyProtection="1">
      <alignment horizontal="left" vertical="center" indent="1"/>
      <protection hidden="1"/>
    </xf>
    <xf numFmtId="0" fontId="61"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3" fillId="2" borderId="0" xfId="0" applyFont="1" applyFill="1" applyAlignment="1" applyProtection="1">
      <alignment horizontal="left" vertical="center"/>
      <protection hidden="1"/>
    </xf>
    <xf numFmtId="14" fontId="34" fillId="2" borderId="0" xfId="2" applyNumberFormat="1" applyFont="1" applyFill="1" applyAlignment="1" applyProtection="1">
      <alignment horizontal="center" vertical="center"/>
      <protection hidden="1"/>
    </xf>
    <xf numFmtId="14" fontId="46" fillId="4" borderId="17" xfId="2" applyNumberFormat="1" applyFont="1" applyFill="1" applyBorder="1" applyAlignment="1" applyProtection="1">
      <alignment horizontal="center" vertical="center"/>
      <protection hidden="1"/>
    </xf>
    <xf numFmtId="14" fontId="46" fillId="4" borderId="19" xfId="2" applyNumberFormat="1" applyFont="1" applyFill="1" applyBorder="1" applyAlignment="1" applyProtection="1">
      <alignment horizontal="center" vertical="center"/>
      <protection hidden="1"/>
    </xf>
    <xf numFmtId="0" fontId="46" fillId="2" borderId="17" xfId="2" applyFont="1" applyFill="1" applyBorder="1" applyAlignment="1" applyProtection="1">
      <alignment horizontal="center" vertical="center"/>
      <protection hidden="1"/>
    </xf>
    <xf numFmtId="0" fontId="44" fillId="2" borderId="0" xfId="0" applyFont="1" applyFill="1" applyAlignment="1" applyProtection="1">
      <alignment horizontal="center"/>
      <protection hidden="1"/>
    </xf>
    <xf numFmtId="0" fontId="33" fillId="2" borderId="0" xfId="0" applyFont="1" applyFill="1" applyBorder="1" applyAlignment="1" applyProtection="1">
      <alignment horizontal="center" vertical="center"/>
      <protection hidden="1"/>
    </xf>
    <xf numFmtId="0" fontId="18" fillId="2" borderId="0" xfId="0" applyFont="1" applyFill="1" applyAlignment="1" applyProtection="1">
      <alignment horizontal="center"/>
      <protection hidden="1"/>
    </xf>
    <xf numFmtId="0" fontId="66" fillId="2" borderId="0" xfId="0" applyFont="1" applyFill="1" applyProtection="1">
      <protection hidden="1"/>
    </xf>
    <xf numFmtId="0" fontId="33"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17" fillId="2" borderId="0" xfId="0" applyFont="1" applyFill="1" applyAlignment="1" applyProtection="1">
      <protection hidden="1"/>
    </xf>
    <xf numFmtId="0" fontId="73"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65" fillId="2" borderId="0" xfId="0" applyFont="1" applyFill="1" applyBorder="1" applyAlignment="1" applyProtection="1">
      <alignment horizontal="lef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75"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protection hidden="1"/>
    </xf>
    <xf numFmtId="0" fontId="33" fillId="2" borderId="25" xfId="0" applyFont="1" applyFill="1" applyBorder="1" applyAlignment="1" applyProtection="1">
      <alignment horizontal="center" vertical="center"/>
      <protection hidden="1"/>
    </xf>
    <xf numFmtId="0" fontId="33"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14" fillId="2" borderId="0" xfId="0" applyNumberFormat="1" applyFont="1" applyFill="1" applyBorder="1" applyAlignment="1" applyProtection="1">
      <alignment vertical="center"/>
      <protection hidden="1"/>
    </xf>
    <xf numFmtId="0" fontId="33" fillId="2" borderId="0" xfId="0" applyFont="1" applyFill="1" applyAlignment="1" applyProtection="1">
      <protection hidden="1"/>
    </xf>
    <xf numFmtId="0" fontId="33"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4"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166" fontId="63" fillId="2" borderId="0" xfId="0" applyNumberFormat="1" applyFont="1" applyFill="1" applyBorder="1" applyAlignment="1" applyProtection="1">
      <alignment vertical="top"/>
      <protection hidden="1"/>
    </xf>
    <xf numFmtId="0" fontId="86" fillId="2" borderId="0" xfId="2" applyFont="1" applyFill="1" applyAlignment="1" applyProtection="1">
      <alignment horizontal="right" vertical="center"/>
      <protection hidden="1"/>
    </xf>
    <xf numFmtId="0" fontId="84" fillId="2" borderId="0" xfId="0" applyFont="1" applyFill="1" applyAlignment="1" applyProtection="1">
      <alignment horizontal="center" vertical="center"/>
      <protection hidden="1"/>
    </xf>
    <xf numFmtId="166" fontId="63"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3"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3"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167" fontId="62" fillId="2" borderId="32" xfId="2" applyNumberFormat="1" applyFont="1" applyFill="1" applyBorder="1" applyAlignment="1" applyProtection="1">
      <alignment horizontal="center" vertical="center"/>
      <protection hidden="1"/>
    </xf>
    <xf numFmtId="167" fontId="62" fillId="2" borderId="33" xfId="2" applyNumberFormat="1" applyFont="1" applyFill="1" applyBorder="1" applyAlignment="1" applyProtection="1">
      <alignment horizontal="center" vertical="center"/>
      <protection hidden="1"/>
    </xf>
    <xf numFmtId="0" fontId="8" fillId="2" borderId="1" xfId="0" applyNumberFormat="1" applyFont="1" applyFill="1" applyBorder="1" applyAlignment="1" applyProtection="1">
      <alignment horizontal="right" vertical="center"/>
      <protection hidden="1"/>
    </xf>
    <xf numFmtId="0" fontId="18" fillId="2" borderId="13" xfId="0" applyFont="1" applyFill="1" applyBorder="1" applyAlignment="1" applyProtection="1">
      <alignment horizontal="center" vertical="center"/>
      <protection hidden="1"/>
    </xf>
    <xf numFmtId="167" fontId="33" fillId="2" borderId="6" xfId="0" applyNumberFormat="1" applyFont="1" applyFill="1" applyBorder="1" applyAlignment="1" applyProtection="1">
      <alignment horizontal="center" vertical="center"/>
      <protection hidden="1"/>
    </xf>
    <xf numFmtId="167" fontId="55"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3" fillId="3" borderId="6" xfId="0" applyNumberFormat="1" applyFont="1" applyFill="1" applyBorder="1" applyAlignment="1" applyProtection="1">
      <alignment horizontal="center" vertical="center"/>
      <protection hidden="1"/>
    </xf>
    <xf numFmtId="167" fontId="33" fillId="2" borderId="26" xfId="0" applyNumberFormat="1" applyFont="1" applyFill="1" applyBorder="1" applyAlignment="1" applyProtection="1">
      <alignment horizontal="center" vertical="center"/>
      <protection hidden="1"/>
    </xf>
    <xf numFmtId="167" fontId="33" fillId="2" borderId="21"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0" fontId="46" fillId="2" borderId="0" xfId="2" applyFont="1" applyFill="1" applyAlignment="1" applyProtection="1">
      <alignment horizontal="center"/>
      <protection hidden="1"/>
    </xf>
    <xf numFmtId="167" fontId="33"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55" fillId="2" borderId="0" xfId="0" applyFont="1" applyFill="1" applyAlignment="1" applyProtection="1">
      <alignment horizontal="center"/>
      <protection hidden="1"/>
    </xf>
    <xf numFmtId="0" fontId="55" fillId="2" borderId="0" xfId="0" applyFont="1" applyFill="1" applyAlignment="1" applyProtection="1">
      <alignment horizontal="center" vertical="center"/>
      <protection hidden="1"/>
    </xf>
    <xf numFmtId="0" fontId="55" fillId="2" borderId="0" xfId="0" applyFont="1" applyFill="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82" fillId="2" borderId="0" xfId="2" applyFont="1" applyFill="1" applyAlignment="1" applyProtection="1">
      <alignment horizontal="right" indent="1"/>
      <protection hidden="1"/>
    </xf>
    <xf numFmtId="0" fontId="82" fillId="2" borderId="0" xfId="2" applyFont="1" applyFill="1" applyAlignment="1" applyProtection="1">
      <alignment horizontal="right" vertical="top" indent="1"/>
      <protection hidden="1"/>
    </xf>
    <xf numFmtId="0" fontId="3" fillId="2" borderId="7" xfId="2" applyFill="1" applyBorder="1" applyProtection="1">
      <protection hidden="1"/>
    </xf>
    <xf numFmtId="167" fontId="33" fillId="2" borderId="0" xfId="0" applyNumberFormat="1" applyFont="1" applyFill="1" applyAlignment="1" applyProtection="1">
      <alignment horizontal="center" vertical="center"/>
      <protection hidden="1"/>
    </xf>
    <xf numFmtId="0" fontId="41" fillId="2" borderId="24" xfId="2" applyFont="1" applyFill="1" applyBorder="1" applyAlignment="1" applyProtection="1">
      <alignment horizontal="centerContinuous"/>
      <protection hidden="1"/>
    </xf>
    <xf numFmtId="0" fontId="79" fillId="2" borderId="0" xfId="2" applyFont="1" applyFill="1" applyBorder="1" applyAlignment="1" applyProtection="1">
      <alignment horizontal="center" vertical="center"/>
      <protection hidden="1"/>
    </xf>
    <xf numFmtId="0" fontId="3" fillId="2" borderId="3" xfId="2" applyFill="1" applyBorder="1" applyProtection="1">
      <protection hidden="1"/>
    </xf>
    <xf numFmtId="166" fontId="65" fillId="2" borderId="47"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65" fillId="2" borderId="0" xfId="0" applyNumberFormat="1" applyFont="1" applyFill="1" applyBorder="1" applyAlignment="1" applyProtection="1">
      <alignment vertical="top"/>
      <protection hidden="1"/>
    </xf>
    <xf numFmtId="168" fontId="18" fillId="2" borderId="24" xfId="0" applyNumberFormat="1" applyFont="1" applyFill="1" applyBorder="1" applyAlignment="1" applyProtection="1">
      <alignment horizontal="right" vertical="center"/>
      <protection hidden="1"/>
    </xf>
    <xf numFmtId="168" fontId="18" fillId="2" borderId="18" xfId="0" applyNumberFormat="1" applyFont="1" applyFill="1" applyBorder="1" applyAlignment="1" applyProtection="1">
      <alignment horizontal="right" vertical="center"/>
      <protection hidden="1"/>
    </xf>
    <xf numFmtId="168" fontId="18" fillId="2" borderId="13" xfId="0" applyNumberFormat="1" applyFont="1" applyFill="1" applyBorder="1" applyAlignment="1" applyProtection="1">
      <alignment horizontal="right" vertical="center"/>
      <protection hidden="1"/>
    </xf>
    <xf numFmtId="167" fontId="44" fillId="2" borderId="0" xfId="0" applyNumberFormat="1" applyFont="1" applyFill="1" applyBorder="1" applyAlignment="1" applyProtection="1">
      <alignment horizontal="center" vertical="center"/>
      <protection hidden="1"/>
    </xf>
    <xf numFmtId="168" fontId="14" fillId="2" borderId="0" xfId="0" applyNumberFormat="1" applyFont="1" applyFill="1" applyBorder="1" applyAlignment="1" applyProtection="1">
      <alignment horizontal="left" vertical="center"/>
      <protection hidden="1"/>
    </xf>
    <xf numFmtId="0" fontId="19" fillId="2" borderId="0" xfId="0" applyFont="1" applyFill="1" applyBorder="1" applyAlignment="1" applyProtection="1">
      <protection hidden="1"/>
    </xf>
    <xf numFmtId="170" fontId="18" fillId="2" borderId="57" xfId="0" applyNumberFormat="1" applyFont="1" applyFill="1" applyBorder="1" applyAlignment="1" applyProtection="1">
      <alignment horizontal="center" vertical="center"/>
      <protection hidden="1"/>
    </xf>
    <xf numFmtId="170" fontId="18" fillId="2" borderId="58" xfId="0" applyNumberFormat="1" applyFont="1" applyFill="1" applyBorder="1" applyAlignment="1" applyProtection="1">
      <alignment horizontal="center" vertical="center"/>
      <protection hidden="1"/>
    </xf>
    <xf numFmtId="170" fontId="18" fillId="2" borderId="59" xfId="0" applyNumberFormat="1" applyFont="1" applyFill="1" applyBorder="1" applyAlignment="1" applyProtection="1">
      <alignment horizontal="center" vertical="center"/>
      <protection hidden="1"/>
    </xf>
    <xf numFmtId="3" fontId="18" fillId="2" borderId="37" xfId="0" applyNumberFormat="1" applyFont="1" applyFill="1" applyBorder="1" applyAlignment="1" applyProtection="1">
      <alignment horizontal="center" vertical="center"/>
      <protection hidden="1"/>
    </xf>
    <xf numFmtId="3" fontId="18" fillId="2" borderId="60" xfId="0" applyNumberFormat="1" applyFont="1" applyFill="1" applyBorder="1" applyAlignment="1" applyProtection="1">
      <alignment horizontal="center" vertical="center"/>
      <protection hidden="1"/>
    </xf>
    <xf numFmtId="3" fontId="18" fillId="2" borderId="38" xfId="0" applyNumberFormat="1" applyFont="1" applyFill="1" applyBorder="1" applyAlignment="1" applyProtection="1">
      <alignment horizontal="center" vertical="center"/>
      <protection hidden="1"/>
    </xf>
    <xf numFmtId="0" fontId="64" fillId="2" borderId="0" xfId="0" applyNumberFormat="1" applyFont="1" applyFill="1" applyBorder="1" applyAlignment="1" applyProtection="1">
      <alignment horizontal="center" vertical="center"/>
      <protection hidden="1"/>
    </xf>
    <xf numFmtId="0" fontId="54" fillId="2" borderId="7" xfId="0" applyNumberFormat="1" applyFont="1" applyFill="1" applyBorder="1" applyAlignment="1" applyProtection="1">
      <alignment horizontal="center" vertical="center"/>
      <protection hidden="1"/>
    </xf>
    <xf numFmtId="0" fontId="60" fillId="2" borderId="0" xfId="0" applyNumberFormat="1" applyFont="1" applyFill="1" applyBorder="1" applyAlignment="1" applyProtection="1">
      <alignment horizontal="center" vertical="top"/>
      <protection hidden="1"/>
    </xf>
    <xf numFmtId="0" fontId="39" fillId="2" borderId="0" xfId="0" applyNumberFormat="1" applyFont="1" applyFill="1" applyBorder="1" applyAlignment="1" applyProtection="1">
      <alignment horizontal="left" vertical="center" indent="1"/>
      <protection hidden="1"/>
    </xf>
    <xf numFmtId="0" fontId="60" fillId="2" borderId="0" xfId="0" applyFont="1" applyFill="1" applyBorder="1" applyAlignment="1" applyProtection="1">
      <alignment horizontal="center"/>
      <protection hidden="1"/>
    </xf>
    <xf numFmtId="0" fontId="63" fillId="2" borderId="0" xfId="0" applyFont="1" applyFill="1" applyAlignment="1" applyProtection="1">
      <protection hidden="1"/>
    </xf>
    <xf numFmtId="0" fontId="63" fillId="2" borderId="7" xfId="0" applyNumberFormat="1" applyFont="1" applyFill="1" applyBorder="1" applyAlignment="1" applyProtection="1">
      <alignment horizontal="right" vertical="center" indent="1"/>
      <protection hidden="1"/>
    </xf>
    <xf numFmtId="0" fontId="63" fillId="2" borderId="7" xfId="0" applyNumberFormat="1" applyFont="1" applyFill="1" applyBorder="1" applyAlignment="1" applyProtection="1">
      <alignment horizontal="left" vertical="center" indent="1"/>
      <protection hidden="1"/>
    </xf>
    <xf numFmtId="168" fontId="18" fillId="2" borderId="33" xfId="0" applyNumberFormat="1" applyFont="1" applyFill="1" applyBorder="1" applyAlignment="1" applyProtection="1">
      <alignment horizontal="right" vertical="center"/>
      <protection hidden="1"/>
    </xf>
    <xf numFmtId="0" fontId="75" fillId="2" borderId="7" xfId="0" applyNumberFormat="1" applyFont="1" applyFill="1" applyBorder="1" applyAlignment="1" applyProtection="1">
      <alignment horizontal="right" vertical="center" indent="1"/>
      <protection hidden="1"/>
    </xf>
    <xf numFmtId="0" fontId="53" fillId="2" borderId="7" xfId="0" applyFont="1" applyFill="1" applyBorder="1" applyAlignment="1" applyProtection="1">
      <alignment horizontal="center" vertical="center"/>
      <protection hidden="1"/>
    </xf>
    <xf numFmtId="0" fontId="75"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3" fillId="2" borderId="0" xfId="0" applyFont="1" applyFill="1" applyBorder="1" applyAlignment="1" applyProtection="1">
      <alignment horizontal="center" vertical="center"/>
      <protection hidden="1"/>
    </xf>
    <xf numFmtId="0" fontId="44" fillId="2" borderId="0" xfId="0" applyFont="1" applyFill="1" applyAlignment="1" applyProtection="1">
      <alignment horizontal="center" vertical="center"/>
      <protection hidden="1"/>
    </xf>
    <xf numFmtId="168" fontId="18" fillId="2" borderId="38"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4" fillId="2" borderId="13" xfId="0" applyFont="1" applyFill="1" applyBorder="1" applyAlignment="1" applyProtection="1">
      <alignment horizontal="center" vertical="center"/>
      <protection hidden="1"/>
    </xf>
    <xf numFmtId="168" fontId="44" fillId="5" borderId="0" xfId="0" applyNumberFormat="1" applyFont="1" applyFill="1" applyBorder="1" applyAlignment="1" applyProtection="1">
      <alignment vertical="center"/>
      <protection hidden="1"/>
    </xf>
    <xf numFmtId="168" fontId="44" fillId="5" borderId="7" xfId="0" applyNumberFormat="1" applyFont="1" applyFill="1" applyBorder="1" applyAlignment="1" applyProtection="1">
      <alignment horizontal="center" vertical="center"/>
      <protection hidden="1"/>
    </xf>
    <xf numFmtId="14" fontId="34" fillId="4" borderId="65" xfId="2" applyNumberFormat="1" applyFont="1" applyFill="1" applyBorder="1" applyAlignment="1" applyProtection="1">
      <alignment horizontal="center" vertical="center"/>
      <protection hidden="1"/>
    </xf>
    <xf numFmtId="0" fontId="46"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76"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57" fillId="2" borderId="32" xfId="2" applyNumberFormat="1" applyFont="1" applyFill="1" applyBorder="1" applyAlignment="1" applyProtection="1">
      <alignment vertical="center"/>
      <protection hidden="1"/>
    </xf>
    <xf numFmtId="168" fontId="57" fillId="2" borderId="6" xfId="2" applyNumberFormat="1" applyFont="1" applyFill="1" applyBorder="1" applyAlignment="1" applyProtection="1">
      <alignment vertical="center"/>
      <protection hidden="1"/>
    </xf>
    <xf numFmtId="168" fontId="57" fillId="2" borderId="14" xfId="2" applyNumberFormat="1" applyFont="1" applyFill="1" applyBorder="1" applyAlignment="1" applyProtection="1">
      <alignment vertical="center"/>
      <protection hidden="1"/>
    </xf>
    <xf numFmtId="168" fontId="57" fillId="2" borderId="33" xfId="2" applyNumberFormat="1" applyFont="1" applyFill="1" applyBorder="1" applyAlignment="1" applyProtection="1">
      <alignment vertical="center"/>
      <protection hidden="1"/>
    </xf>
    <xf numFmtId="168" fontId="57" fillId="2" borderId="15" xfId="2" applyNumberFormat="1" applyFont="1" applyFill="1" applyBorder="1" applyAlignment="1" applyProtection="1">
      <alignment vertical="center"/>
      <protection hidden="1"/>
    </xf>
    <xf numFmtId="168" fontId="57" fillId="2" borderId="37" xfId="2" applyNumberFormat="1" applyFont="1" applyFill="1" applyBorder="1" applyAlignment="1" applyProtection="1">
      <alignment vertical="center"/>
      <protection hidden="1"/>
    </xf>
    <xf numFmtId="168" fontId="57" fillId="2" borderId="60" xfId="2" applyNumberFormat="1" applyFont="1" applyFill="1" applyBorder="1" applyAlignment="1" applyProtection="1">
      <alignment vertical="center"/>
      <protection hidden="1"/>
    </xf>
    <xf numFmtId="168" fontId="57" fillId="2" borderId="66" xfId="2" applyNumberFormat="1" applyFont="1" applyFill="1" applyBorder="1" applyAlignment="1" applyProtection="1">
      <alignment vertical="center"/>
      <protection hidden="1"/>
    </xf>
    <xf numFmtId="168" fontId="57" fillId="2" borderId="38" xfId="2" applyNumberFormat="1" applyFont="1" applyFill="1" applyBorder="1" applyAlignment="1" applyProtection="1">
      <alignment vertical="center"/>
      <protection hidden="1"/>
    </xf>
    <xf numFmtId="168" fontId="57" fillId="2" borderId="67" xfId="2" applyNumberFormat="1" applyFont="1" applyFill="1" applyBorder="1" applyAlignment="1" applyProtection="1">
      <alignment vertical="center"/>
      <protection hidden="1"/>
    </xf>
    <xf numFmtId="168" fontId="57" fillId="2" borderId="68" xfId="2" applyNumberFormat="1" applyFont="1" applyFill="1" applyBorder="1" applyAlignment="1" applyProtection="1">
      <alignment vertical="center"/>
      <protection hidden="1"/>
    </xf>
    <xf numFmtId="168" fontId="57" fillId="2" borderId="31" xfId="2" applyNumberFormat="1" applyFont="1" applyFill="1" applyBorder="1" applyAlignment="1" applyProtection="1">
      <alignment vertical="center"/>
      <protection hidden="1"/>
    </xf>
    <xf numFmtId="168" fontId="57" fillId="2" borderId="27" xfId="2" applyNumberFormat="1" applyFont="1" applyFill="1" applyBorder="1" applyAlignment="1" applyProtection="1">
      <alignment vertical="center"/>
      <protection hidden="1"/>
    </xf>
    <xf numFmtId="168" fontId="57" fillId="2" borderId="69"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0" fontId="46" fillId="3" borderId="6" xfId="2" applyNumberFormat="1" applyFont="1" applyFill="1" applyBorder="1" applyAlignment="1" applyProtection="1">
      <alignment horizontal="right" vertical="center" indent="1"/>
      <protection hidden="1"/>
    </xf>
    <xf numFmtId="168" fontId="27" fillId="2" borderId="25"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46" fillId="2" borderId="0" xfId="2" applyFont="1" applyFill="1" applyAlignment="1" applyProtection="1">
      <alignment horizontal="center" vertical="top"/>
      <protection hidden="1"/>
    </xf>
    <xf numFmtId="0" fontId="44" fillId="2" borderId="0" xfId="0" applyFont="1" applyFill="1" applyBorder="1" applyAlignment="1" applyProtection="1">
      <alignment vertical="top"/>
      <protection hidden="1"/>
    </xf>
    <xf numFmtId="166" fontId="18" fillId="2" borderId="0" xfId="0" applyNumberFormat="1" applyFont="1" applyFill="1" applyBorder="1" applyAlignment="1" applyProtection="1">
      <alignment vertical="center"/>
      <protection hidden="1"/>
    </xf>
    <xf numFmtId="0" fontId="64"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168" fontId="57" fillId="2" borderId="0" xfId="2" applyNumberFormat="1" applyFont="1" applyFill="1" applyBorder="1" applyAlignment="1" applyProtection="1">
      <alignment vertical="center"/>
      <protection hidden="1"/>
    </xf>
    <xf numFmtId="168" fontId="18" fillId="2" borderId="59" xfId="0" applyNumberFormat="1" applyFont="1" applyFill="1" applyBorder="1" applyAlignment="1" applyProtection="1">
      <alignment horizontal="right" vertical="center"/>
      <protection hidden="1"/>
    </xf>
    <xf numFmtId="168" fontId="57" fillId="2" borderId="57" xfId="2" applyNumberFormat="1" applyFont="1" applyFill="1" applyBorder="1" applyAlignment="1" applyProtection="1">
      <alignment vertical="center"/>
      <protection hidden="1"/>
    </xf>
    <xf numFmtId="168" fontId="57" fillId="2" borderId="58" xfId="2" applyNumberFormat="1" applyFont="1" applyFill="1" applyBorder="1" applyAlignment="1" applyProtection="1">
      <alignment vertical="center"/>
      <protection hidden="1"/>
    </xf>
    <xf numFmtId="168" fontId="57" fillId="2" borderId="59" xfId="2" applyNumberFormat="1" applyFont="1" applyFill="1" applyBorder="1" applyAlignment="1" applyProtection="1">
      <alignment vertical="center"/>
      <protection hidden="1"/>
    </xf>
    <xf numFmtId="168" fontId="8" fillId="2" borderId="0" xfId="0" applyNumberFormat="1"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3" fillId="2" borderId="7" xfId="0" applyFont="1" applyFill="1" applyBorder="1" applyAlignment="1" applyProtection="1">
      <alignment horizontal="center" vertical="center"/>
      <protection hidden="1"/>
    </xf>
    <xf numFmtId="0" fontId="34" fillId="2" borderId="0" xfId="2" applyFont="1" applyFill="1" applyAlignment="1" applyProtection="1">
      <alignment vertical="top"/>
      <protection hidden="1"/>
    </xf>
    <xf numFmtId="168" fontId="59" fillId="2" borderId="70" xfId="2" applyNumberFormat="1" applyFont="1" applyFill="1" applyBorder="1" applyAlignment="1" applyProtection="1">
      <alignment horizontal="center" vertical="center"/>
      <protection hidden="1"/>
    </xf>
    <xf numFmtId="0" fontId="34"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168" fontId="76"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67" fillId="2" borderId="0" xfId="0" applyFont="1" applyFill="1" applyAlignment="1" applyProtection="1">
      <alignment vertical="top"/>
      <protection hidden="1"/>
    </xf>
    <xf numFmtId="0" fontId="0" fillId="2" borderId="0" xfId="0" applyFill="1" applyProtection="1">
      <protection locked="0"/>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0" fillId="2" borderId="4" xfId="0" applyNumberFormat="1" applyFont="1" applyFill="1" applyBorder="1" applyAlignment="1" applyProtection="1">
      <alignment horizontal="right" vertical="center"/>
      <protection hidden="1"/>
    </xf>
    <xf numFmtId="168" fontId="39" fillId="2" borderId="4" xfId="0" applyNumberFormat="1" applyFont="1" applyFill="1" applyBorder="1" applyAlignment="1" applyProtection="1">
      <alignment horizontal="right" vertical="center"/>
      <protection hidden="1"/>
    </xf>
    <xf numFmtId="168" fontId="54" fillId="2" borderId="0" xfId="0" applyNumberFormat="1" applyFont="1" applyFill="1" applyBorder="1" applyAlignment="1" applyProtection="1">
      <alignment vertical="center"/>
      <protection hidden="1"/>
    </xf>
    <xf numFmtId="0" fontId="45" fillId="2" borderId="45" xfId="2" applyFont="1" applyFill="1" applyBorder="1" applyAlignment="1" applyProtection="1">
      <alignment horizontal="center" vertical="center"/>
      <protection hidden="1"/>
    </xf>
    <xf numFmtId="0" fontId="45" fillId="2" borderId="47" xfId="2" applyFont="1" applyFill="1" applyBorder="1" applyAlignment="1" applyProtection="1">
      <alignment horizontal="center" vertical="center"/>
      <protection hidden="1"/>
    </xf>
    <xf numFmtId="0" fontId="45" fillId="2" borderId="0" xfId="2" applyFont="1" applyFill="1" applyAlignment="1" applyProtection="1">
      <alignment horizontal="left" vertical="center" indent="1"/>
      <protection hidden="1"/>
    </xf>
    <xf numFmtId="0" fontId="45" fillId="2" borderId="17" xfId="2" applyFont="1" applyFill="1" applyBorder="1" applyAlignment="1" applyProtection="1">
      <alignment horizontal="center" vertical="center"/>
      <protection hidden="1"/>
    </xf>
    <xf numFmtId="0" fontId="45" fillId="2" borderId="19" xfId="2" applyFont="1" applyFill="1" applyBorder="1" applyAlignment="1" applyProtection="1">
      <alignment horizontal="center" vertical="center"/>
      <protection hidden="1"/>
    </xf>
    <xf numFmtId="0" fontId="61" fillId="2" borderId="0" xfId="2" applyFont="1" applyFill="1" applyBorder="1" applyAlignment="1" applyProtection="1">
      <alignment horizontal="center" vertical="center"/>
      <protection hidden="1"/>
    </xf>
    <xf numFmtId="14" fontId="33" fillId="2" borderId="0" xfId="2" applyNumberFormat="1" applyFont="1" applyFill="1" applyBorder="1" applyAlignment="1" applyProtection="1">
      <alignment horizontal="center" vertical="center"/>
      <protection hidden="1"/>
    </xf>
    <xf numFmtId="0" fontId="98" fillId="2" borderId="0" xfId="0" applyFont="1" applyFill="1" applyAlignment="1" applyProtection="1">
      <alignment horizontal="left" vertical="center"/>
      <protection hidden="1"/>
    </xf>
    <xf numFmtId="0" fontId="46" fillId="2" borderId="0" xfId="2" applyFont="1" applyFill="1" applyAlignment="1" applyProtection="1">
      <alignment horizontal="left" vertical="center"/>
      <protection hidden="1"/>
    </xf>
    <xf numFmtId="0" fontId="64" fillId="2" borderId="0" xfId="0" applyFont="1" applyFill="1" applyBorder="1" applyAlignment="1" applyProtection="1">
      <alignment horizontal="center" vertical="top"/>
      <protection hidden="1"/>
    </xf>
    <xf numFmtId="0" fontId="92" fillId="2" borderId="0" xfId="0" applyFont="1" applyFill="1" applyBorder="1" applyAlignment="1" applyProtection="1">
      <alignment vertical="top"/>
      <protection hidden="1"/>
    </xf>
    <xf numFmtId="14" fontId="54" fillId="2" borderId="0" xfId="0" applyNumberFormat="1" applyFont="1" applyFill="1" applyBorder="1" applyAlignment="1" applyProtection="1">
      <alignment horizontal="center" vertical="center"/>
      <protection hidden="1"/>
    </xf>
    <xf numFmtId="14" fontId="75" fillId="2" borderId="0" xfId="0" applyNumberFormat="1" applyFont="1" applyFill="1" applyBorder="1" applyAlignment="1" applyProtection="1">
      <alignment horizontal="center" vertical="center"/>
      <protection hidden="1"/>
    </xf>
    <xf numFmtId="0" fontId="99"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56"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1" fillId="2" borderId="0" xfId="0" applyFont="1" applyFill="1" applyAlignment="1" applyProtection="1">
      <alignment vertical="center"/>
      <protection hidden="1"/>
    </xf>
    <xf numFmtId="167" fontId="79" fillId="2" borderId="0" xfId="0" applyNumberFormat="1" applyFont="1" applyFill="1" applyAlignment="1" applyProtection="1">
      <alignment horizontal="center" vertical="center"/>
      <protection hidden="1"/>
    </xf>
    <xf numFmtId="0" fontId="96" fillId="2" borderId="0" xfId="0" applyNumberFormat="1" applyFont="1" applyFill="1" applyAlignment="1" applyProtection="1">
      <alignment horizontal="left" vertical="top"/>
      <protection hidden="1"/>
    </xf>
    <xf numFmtId="0" fontId="84" fillId="2" borderId="0" xfId="0" applyFont="1" applyFill="1" applyAlignment="1" applyProtection="1">
      <alignment vertical="center"/>
      <protection hidden="1"/>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84" fillId="2" borderId="0" xfId="0" applyNumberFormat="1" applyFont="1" applyFill="1" applyBorder="1" applyAlignment="1" applyProtection="1">
      <alignment horizontal="center" vertical="center"/>
      <protection hidden="1"/>
    </xf>
    <xf numFmtId="0" fontId="79" fillId="2" borderId="0" xfId="0" applyFont="1" applyFill="1" applyAlignment="1" applyProtection="1">
      <alignment horizontal="left" vertical="center"/>
      <protection hidden="1"/>
    </xf>
    <xf numFmtId="0" fontId="17" fillId="2" borderId="0" xfId="0" applyNumberFormat="1" applyFont="1" applyFill="1" applyAlignment="1" applyProtection="1">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01" fillId="2" borderId="0" xfId="1" applyFont="1" applyFill="1" applyAlignment="1" applyProtection="1">
      <alignment horizontal="right" vertical="top"/>
      <protection hidden="1"/>
    </xf>
    <xf numFmtId="0" fontId="69" fillId="2" borderId="0" xfId="0" applyFont="1" applyFill="1" applyAlignment="1" applyProtection="1">
      <alignment horizontal="center"/>
      <protection hidden="1"/>
    </xf>
    <xf numFmtId="0" fontId="84" fillId="2" borderId="0" xfId="3" applyFont="1" applyFill="1" applyAlignment="1" applyProtection="1">
      <alignment horizontal="center" vertical="center"/>
      <protection hidden="1"/>
    </xf>
    <xf numFmtId="0" fontId="17" fillId="2" borderId="0" xfId="0" applyFont="1" applyFill="1" applyAlignment="1" applyProtection="1">
      <alignment horizontal="right" vertical="center"/>
      <protection hidden="1"/>
    </xf>
    <xf numFmtId="0" fontId="103" fillId="2" borderId="0" xfId="5" applyFont="1" applyFill="1" applyAlignment="1" applyProtection="1">
      <alignment horizontal="center" vertical="center"/>
      <protection hidden="1"/>
    </xf>
    <xf numFmtId="0" fontId="102" fillId="2" borderId="0" xfId="1" applyFont="1" applyFill="1" applyAlignment="1" applyProtection="1">
      <alignment vertical="top"/>
      <protection hidden="1"/>
    </xf>
    <xf numFmtId="0" fontId="78" fillId="2" borderId="0" xfId="1" applyFont="1" applyFill="1" applyAlignment="1" applyProtection="1">
      <protection locked="0"/>
    </xf>
    <xf numFmtId="49" fontId="63" fillId="2" borderId="0" xfId="0" applyNumberFormat="1" applyFont="1" applyFill="1" applyAlignment="1" applyProtection="1">
      <alignment horizontal="left" vertical="center"/>
      <protection hidden="1"/>
    </xf>
    <xf numFmtId="0" fontId="77" fillId="2" borderId="0" xfId="0" applyNumberFormat="1" applyFont="1" applyFill="1" applyAlignment="1" applyProtection="1">
      <alignment vertical="top"/>
      <protection hidden="1"/>
    </xf>
    <xf numFmtId="0" fontId="65" fillId="2" borderId="0" xfId="0" applyFont="1" applyFill="1" applyAlignment="1" applyProtection="1">
      <protection hidden="1"/>
    </xf>
    <xf numFmtId="0" fontId="81"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3" fillId="0" borderId="0" xfId="2" applyFill="1" applyProtection="1">
      <protection hidden="1"/>
    </xf>
    <xf numFmtId="0" fontId="34" fillId="2" borderId="0" xfId="2" applyFont="1" applyFill="1" applyAlignment="1" applyProtection="1">
      <alignment horizontal="left" vertical="center"/>
      <protection hidden="1"/>
    </xf>
    <xf numFmtId="0" fontId="45" fillId="2" borderId="0" xfId="2" applyFont="1" applyFill="1" applyAlignment="1" applyProtection="1">
      <alignment horizontal="left" vertical="center"/>
      <protection hidden="1"/>
    </xf>
    <xf numFmtId="0" fontId="61" fillId="2" borderId="0" xfId="2" applyFont="1" applyFill="1" applyAlignment="1" applyProtection="1">
      <alignment vertical="center"/>
      <protection hidden="1"/>
    </xf>
    <xf numFmtId="168" fontId="28" fillId="2" borderId="0" xfId="2" applyNumberFormat="1" applyFont="1" applyFill="1" applyBorder="1" applyAlignment="1" applyProtection="1">
      <alignment horizontal="center" vertical="center"/>
      <protection hidden="1"/>
    </xf>
    <xf numFmtId="168" fontId="28" fillId="2" borderId="0" xfId="2" applyNumberFormat="1" applyFont="1" applyFill="1" applyBorder="1" applyAlignment="1" applyProtection="1">
      <alignment horizontal="center"/>
      <protection hidden="1"/>
    </xf>
    <xf numFmtId="168" fontId="28" fillId="2" borderId="0" xfId="2" applyNumberFormat="1" applyFont="1" applyFill="1" applyBorder="1" applyAlignment="1" applyProtection="1">
      <alignment horizontal="center" vertical="top"/>
      <protection hidden="1"/>
    </xf>
    <xf numFmtId="0" fontId="77" fillId="2" borderId="7" xfId="0" applyFont="1" applyFill="1" applyBorder="1" applyAlignment="1" applyProtection="1">
      <alignment horizontal="center" vertical="center"/>
      <protection hidden="1"/>
    </xf>
    <xf numFmtId="0" fontId="109" fillId="2" borderId="7" xfId="0" applyFont="1" applyFill="1" applyBorder="1" applyAlignment="1" applyProtection="1">
      <alignment horizontal="center" vertical="center"/>
      <protection hidden="1"/>
    </xf>
    <xf numFmtId="0" fontId="75" fillId="2" borderId="0" xfId="0" applyFont="1" applyFill="1" applyAlignment="1" applyProtection="1">
      <alignment horizontal="left" vertical="center"/>
      <protection hidden="1"/>
    </xf>
    <xf numFmtId="0" fontId="8" fillId="2" borderId="0" xfId="0" applyFont="1" applyFill="1" applyBorder="1" applyAlignment="1" applyProtection="1">
      <alignment vertical="top"/>
      <protection hidden="1"/>
    </xf>
    <xf numFmtId="0" fontId="60" fillId="2" borderId="0" xfId="0" applyFont="1" applyFill="1" applyBorder="1" applyAlignment="1" applyProtection="1">
      <alignment horizontal="center" vertical="center"/>
      <protection hidden="1"/>
    </xf>
    <xf numFmtId="0" fontId="79" fillId="2" borderId="0" xfId="0" applyFont="1" applyFill="1" applyAlignment="1" applyProtection="1">
      <alignment horizontal="center" vertical="center"/>
      <protection hidden="1"/>
    </xf>
    <xf numFmtId="0" fontId="77" fillId="2" borderId="0" xfId="0" applyFont="1" applyFill="1" applyAlignment="1" applyProtection="1">
      <alignment horizontal="right" vertical="center"/>
      <protection hidden="1"/>
    </xf>
    <xf numFmtId="0" fontId="84" fillId="2" borderId="0" xfId="0" applyFont="1" applyFill="1" applyBorder="1" applyAlignment="1" applyProtection="1">
      <alignment horizontal="center"/>
      <protection hidden="1"/>
    </xf>
    <xf numFmtId="0" fontId="84" fillId="2" borderId="0" xfId="0" applyFont="1" applyFill="1" applyBorder="1" applyAlignment="1" applyProtection="1">
      <alignment horizontal="center" vertical="center"/>
      <protection hidden="1"/>
    </xf>
    <xf numFmtId="0" fontId="77" fillId="2" borderId="0" xfId="0" applyNumberFormat="1" applyFont="1" applyFill="1" applyAlignment="1" applyProtection="1">
      <protection hidden="1"/>
    </xf>
    <xf numFmtId="0" fontId="18" fillId="2" borderId="4" xfId="0" applyFont="1" applyFill="1" applyBorder="1" applyAlignment="1" applyProtection="1">
      <alignment horizontal="center" vertical="center"/>
      <protection hidden="1"/>
    </xf>
    <xf numFmtId="0" fontId="19" fillId="2" borderId="71" xfId="0" applyFont="1" applyFill="1" applyBorder="1" applyAlignment="1" applyProtection="1">
      <alignment horizontal="center" vertical="center"/>
      <protection hidden="1"/>
    </xf>
    <xf numFmtId="0" fontId="18" fillId="2" borderId="0" xfId="0" applyNumberFormat="1" applyFont="1" applyFill="1" applyBorder="1" applyAlignment="1" applyProtection="1">
      <alignment horizontal="center" vertical="top"/>
      <protection hidden="1"/>
    </xf>
    <xf numFmtId="0" fontId="44" fillId="2" borderId="0" xfId="0" applyFont="1" applyFill="1" applyBorder="1" applyAlignment="1" applyProtection="1">
      <alignment horizontal="center"/>
      <protection hidden="1"/>
    </xf>
    <xf numFmtId="0" fontId="18" fillId="2" borderId="0" xfId="0" applyNumberFormat="1" applyFont="1" applyFill="1" applyBorder="1" applyAlignment="1" applyProtection="1">
      <alignment horizontal="center" vertical="center"/>
      <protection hidden="1"/>
    </xf>
    <xf numFmtId="168" fontId="62" fillId="2" borderId="0" xfId="0" applyNumberFormat="1" applyFont="1" applyFill="1" applyBorder="1" applyAlignment="1" applyProtection="1">
      <alignment horizontal="right"/>
      <protection hidden="1"/>
    </xf>
    <xf numFmtId="168" fontId="62" fillId="2" borderId="0" xfId="0" applyNumberFormat="1" applyFont="1" applyFill="1" applyBorder="1" applyAlignment="1" applyProtection="1">
      <alignment horizontal="right" vertical="top"/>
      <protection hidden="1"/>
    </xf>
    <xf numFmtId="0" fontId="110" fillId="3" borderId="0" xfId="2" applyFont="1" applyFill="1" applyBorder="1" applyAlignment="1" applyProtection="1">
      <alignment horizontal="center"/>
      <protection hidden="1"/>
    </xf>
    <xf numFmtId="0" fontId="110" fillId="4" borderId="0" xfId="2" applyFont="1" applyFill="1" applyBorder="1" applyAlignment="1" applyProtection="1">
      <alignment horizontal="center"/>
      <protection hidden="1"/>
    </xf>
    <xf numFmtId="168" fontId="62" fillId="2" borderId="0" xfId="0" applyNumberFormat="1" applyFont="1" applyFill="1" applyBorder="1" applyAlignment="1" applyProtection="1">
      <alignment horizontal="right" vertical="center"/>
      <protection hidden="1"/>
    </xf>
    <xf numFmtId="0" fontId="19" fillId="2" borderId="1" xfId="0" applyFont="1" applyFill="1" applyBorder="1" applyProtection="1">
      <protection hidden="1"/>
    </xf>
    <xf numFmtId="0" fontId="17" fillId="2" borderId="0" xfId="0" applyFont="1" applyFill="1" applyAlignment="1" applyProtection="1">
      <alignment horizontal="left" vertical="top" indent="2"/>
      <protection hidden="1"/>
    </xf>
    <xf numFmtId="0" fontId="17" fillId="0" borderId="0" xfId="0" applyFont="1" applyAlignment="1" applyProtection="1">
      <protection hidden="1"/>
    </xf>
    <xf numFmtId="0" fontId="46" fillId="2" borderId="0" xfId="0" applyFont="1" applyFill="1" applyBorder="1" applyAlignment="1" applyProtection="1">
      <protection hidden="1"/>
    </xf>
    <xf numFmtId="0" fontId="35" fillId="2" borderId="0" xfId="0" applyFont="1" applyFill="1" applyBorder="1" applyAlignment="1" applyProtection="1">
      <alignment horizontal="right" vertical="top"/>
      <protection hidden="1"/>
    </xf>
    <xf numFmtId="0" fontId="76" fillId="2" borderId="0" xfId="0" applyNumberFormat="1" applyFont="1" applyFill="1" applyBorder="1" applyAlignment="1" applyProtection="1">
      <alignment horizontal="right" vertical="center" indent="1"/>
      <protection hidden="1"/>
    </xf>
    <xf numFmtId="180" fontId="18" fillId="2" borderId="0" xfId="0" applyNumberFormat="1" applyFont="1" applyFill="1" applyBorder="1" applyAlignment="1" applyProtection="1">
      <alignment horizontal="right" vertical="center"/>
      <protection hidden="1"/>
    </xf>
    <xf numFmtId="180" fontId="54" fillId="2" borderId="0" xfId="0" applyNumberFormat="1" applyFont="1" applyFill="1" applyBorder="1" applyAlignment="1" applyProtection="1">
      <alignment vertical="center"/>
      <protection hidden="1"/>
    </xf>
    <xf numFmtId="0" fontId="62" fillId="2" borderId="0" xfId="0" applyFont="1" applyFill="1" applyBorder="1" applyAlignment="1" applyProtection="1">
      <protection hidden="1"/>
    </xf>
    <xf numFmtId="0" fontId="35" fillId="2" borderId="0" xfId="0" applyFont="1" applyFill="1" applyBorder="1" applyAlignment="1" applyProtection="1">
      <alignment horizontal="left" vertical="top"/>
      <protection hidden="1"/>
    </xf>
    <xf numFmtId="0" fontId="61" fillId="2" borderId="0" xfId="0" applyFont="1" applyFill="1" applyBorder="1" applyAlignment="1" applyProtection="1">
      <alignment horizontal="left"/>
      <protection hidden="1"/>
    </xf>
    <xf numFmtId="0" fontId="45" fillId="2" borderId="0" xfId="0" applyNumberFormat="1" applyFont="1" applyFill="1" applyAlignment="1" applyProtection="1">
      <alignment horizontal="left" vertical="top"/>
      <protection hidden="1"/>
    </xf>
    <xf numFmtId="0" fontId="17" fillId="2" borderId="0" xfId="0" applyNumberFormat="1" applyFont="1" applyFill="1" applyAlignment="1" applyProtection="1">
      <alignment horizontal="left"/>
      <protection hidden="1"/>
    </xf>
    <xf numFmtId="0" fontId="45" fillId="2" borderId="0" xfId="0" applyNumberFormat="1" applyFont="1" applyFill="1" applyAlignment="1" applyProtection="1">
      <alignment horizontal="right" vertical="top"/>
      <protection hidden="1"/>
    </xf>
    <xf numFmtId="0" fontId="65"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72" fillId="2" borderId="0" xfId="0" applyFont="1" applyFill="1" applyBorder="1" applyAlignment="1" applyProtection="1">
      <alignment vertical="top"/>
      <protection hidden="1"/>
    </xf>
    <xf numFmtId="0" fontId="61" fillId="2" borderId="0" xfId="0" applyFont="1" applyFill="1" applyBorder="1" applyAlignment="1" applyProtection="1">
      <alignment horizontal="right"/>
      <protection hidden="1"/>
    </xf>
    <xf numFmtId="0" fontId="19" fillId="2" borderId="0" xfId="0" applyFont="1" applyFill="1" applyProtection="1">
      <protection locked="0"/>
    </xf>
    <xf numFmtId="166" fontId="65" fillId="2" borderId="0" xfId="0" applyNumberFormat="1" applyFont="1" applyFill="1" applyAlignment="1" applyProtection="1">
      <alignment horizontal="right"/>
      <protection hidden="1"/>
    </xf>
    <xf numFmtId="0" fontId="66" fillId="0" borderId="0" xfId="0" applyFont="1" applyFill="1" applyBorder="1" applyAlignment="1" applyProtection="1">
      <alignment horizontal="justify"/>
      <protection hidden="1"/>
    </xf>
    <xf numFmtId="0" fontId="66" fillId="0" borderId="0" xfId="3" applyFont="1" applyFill="1" applyBorder="1" applyAlignment="1" applyProtection="1">
      <alignment horizontal="justify"/>
      <protection hidden="1"/>
    </xf>
    <xf numFmtId="0" fontId="111" fillId="0" borderId="0" xfId="0" applyFont="1" applyFill="1" applyBorder="1" applyAlignment="1" applyProtection="1">
      <alignment horizontal="justify"/>
      <protection hidden="1"/>
    </xf>
    <xf numFmtId="0" fontId="66" fillId="0" borderId="0" xfId="0" applyFont="1" applyFill="1" applyBorder="1" applyAlignment="1" applyProtection="1">
      <alignment horizontal="left"/>
      <protection hidden="1"/>
    </xf>
    <xf numFmtId="0" fontId="46" fillId="2" borderId="0" xfId="0" applyFont="1" applyFill="1" applyBorder="1" applyAlignment="1" applyProtection="1">
      <alignment horizontal="right"/>
      <protection hidden="1"/>
    </xf>
    <xf numFmtId="0" fontId="3" fillId="2" borderId="72" xfId="2" applyFill="1" applyBorder="1" applyAlignment="1" applyProtection="1">
      <protection hidden="1"/>
    </xf>
    <xf numFmtId="0" fontId="61" fillId="2" borderId="0" xfId="2" applyFont="1" applyFill="1" applyAlignment="1" applyProtection="1">
      <alignment horizontal="left" vertical="center" indent="1"/>
      <protection hidden="1"/>
    </xf>
    <xf numFmtId="0" fontId="17" fillId="2" borderId="0" xfId="0" applyNumberFormat="1" applyFont="1" applyFill="1" applyAlignment="1" applyProtection="1">
      <alignment horizontal="right"/>
      <protection hidden="1"/>
    </xf>
    <xf numFmtId="168" fontId="18" fillId="2" borderId="12" xfId="0" applyNumberFormat="1" applyFont="1" applyFill="1" applyBorder="1" applyAlignment="1" applyProtection="1">
      <alignment horizontal="right" vertical="center"/>
      <protection hidden="1"/>
    </xf>
    <xf numFmtId="0" fontId="77" fillId="2" borderId="0" xfId="0" applyFont="1" applyFill="1" applyAlignment="1" applyProtection="1">
      <alignment vertical="center"/>
      <protection hidden="1"/>
    </xf>
    <xf numFmtId="168" fontId="118" fillId="2" borderId="0" xfId="0" applyNumberFormat="1" applyFont="1" applyFill="1" applyBorder="1" applyAlignment="1" applyProtection="1">
      <alignment horizontal="right"/>
      <protection hidden="1"/>
    </xf>
    <xf numFmtId="182" fontId="8" fillId="2" borderId="0" xfId="0" applyNumberFormat="1" applyFont="1" applyFill="1" applyAlignment="1" applyProtection="1">
      <alignment horizontal="center"/>
      <protection hidden="1"/>
    </xf>
    <xf numFmtId="166" fontId="47" fillId="2" borderId="0" xfId="0" applyNumberFormat="1" applyFont="1" applyFill="1" applyBorder="1" applyAlignment="1" applyProtection="1">
      <alignment horizontal="center"/>
      <protection hidden="1"/>
    </xf>
    <xf numFmtId="166" fontId="47" fillId="2" borderId="7" xfId="0" applyNumberFormat="1" applyFont="1" applyFill="1" applyBorder="1" applyAlignment="1" applyProtection="1">
      <alignment horizontal="center" vertical="top"/>
      <protection hidden="1"/>
    </xf>
    <xf numFmtId="0" fontId="0" fillId="0" borderId="0" xfId="0" applyFill="1" applyBorder="1" applyProtection="1">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19"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3" fontId="18" fillId="2" borderId="0" xfId="0" applyNumberFormat="1" applyFont="1" applyFill="1" applyAlignment="1" applyProtection="1">
      <alignment vertical="center"/>
      <protection hidden="1"/>
    </xf>
    <xf numFmtId="183" fontId="18" fillId="2" borderId="0" xfId="0" applyNumberFormat="1" applyFont="1" applyFill="1" applyAlignment="1" applyProtection="1">
      <alignment horizontal="left" vertical="center"/>
      <protection hidden="1"/>
    </xf>
    <xf numFmtId="166" fontId="47"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0" fontId="64" fillId="2" borderId="0" xfId="0" applyFont="1" applyFill="1" applyBorder="1" applyAlignment="1" applyProtection="1">
      <alignment horizontal="center" vertical="center"/>
      <protection hidden="1"/>
    </xf>
    <xf numFmtId="182" fontId="46" fillId="2" borderId="0" xfId="2" applyNumberFormat="1" applyFont="1" applyFill="1" applyAlignment="1" applyProtection="1">
      <alignment horizontal="center"/>
      <protection hidden="1"/>
    </xf>
    <xf numFmtId="182" fontId="46" fillId="2" borderId="0" xfId="2" applyNumberFormat="1" applyFont="1" applyFill="1" applyAlignment="1" applyProtection="1">
      <alignment horizontal="center" vertical="top"/>
      <protection hidden="1"/>
    </xf>
    <xf numFmtId="182" fontId="121" fillId="2" borderId="0" xfId="2" applyNumberFormat="1" applyFont="1" applyFill="1" applyAlignment="1" applyProtection="1">
      <alignment horizontal="center"/>
      <protection hidden="1"/>
    </xf>
    <xf numFmtId="182" fontId="121" fillId="2" borderId="0" xfId="2" applyNumberFormat="1" applyFont="1" applyFill="1" applyAlignment="1" applyProtection="1">
      <alignment horizontal="center" vertical="top"/>
      <protection hidden="1"/>
    </xf>
    <xf numFmtId="0" fontId="46" fillId="4" borderId="76"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74" fillId="2" borderId="0" xfId="0" applyNumberFormat="1" applyFont="1" applyFill="1" applyBorder="1" applyAlignment="1" applyProtection="1">
      <alignment horizontal="right"/>
      <protection hidden="1"/>
    </xf>
    <xf numFmtId="0" fontId="34" fillId="2" borderId="0" xfId="2" applyFont="1" applyFill="1" applyAlignment="1" applyProtection="1">
      <alignment horizontal="center" vertical="top"/>
      <protection hidden="1"/>
    </xf>
    <xf numFmtId="0" fontId="105" fillId="2" borderId="0" xfId="2" applyFont="1" applyFill="1" applyAlignment="1" applyProtection="1">
      <alignment horizontal="center" vertical="center"/>
      <protection hidden="1"/>
    </xf>
    <xf numFmtId="0" fontId="121"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65"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57" fillId="2" borderId="0" xfId="0" applyFont="1" applyFill="1" applyBorder="1" applyAlignment="1" applyProtection="1">
      <alignment horizontal="right" vertical="top"/>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182" fontId="56" fillId="2" borderId="6" xfId="2" applyNumberFormat="1" applyFont="1" applyFill="1" applyBorder="1" applyAlignment="1" applyProtection="1">
      <alignment horizontal="center" vertical="center"/>
      <protection hidden="1"/>
    </xf>
    <xf numFmtId="166" fontId="17" fillId="2" borderId="0" xfId="0" applyNumberFormat="1" applyFont="1" applyFill="1" applyBorder="1" applyAlignment="1" applyProtection="1">
      <alignment vertical="center"/>
      <protection hidden="1"/>
    </xf>
    <xf numFmtId="0" fontId="53" fillId="2" borderId="0" xfId="2" applyNumberFormat="1" applyFont="1" applyFill="1" applyBorder="1" applyAlignment="1" applyProtection="1">
      <alignment horizontal="center" vertical="center"/>
      <protection hidden="1"/>
    </xf>
    <xf numFmtId="0" fontId="3" fillId="2" borderId="0" xfId="2" applyNumberFormat="1" applyFill="1" applyProtection="1">
      <protection hidden="1"/>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13" xfId="2" applyFont="1" applyFill="1" applyBorder="1" applyAlignment="1" applyProtection="1">
      <alignment vertical="center"/>
      <protection hidden="1"/>
    </xf>
    <xf numFmtId="0" fontId="90" fillId="2" borderId="0" xfId="2" applyFont="1" applyFill="1" applyBorder="1" applyProtection="1">
      <protection hidden="1"/>
    </xf>
    <xf numFmtId="0" fontId="3" fillId="2" borderId="0" xfId="2" applyFont="1" applyFill="1" applyBorder="1" applyAlignment="1" applyProtection="1">
      <protection hidden="1"/>
    </xf>
    <xf numFmtId="178" fontId="3" fillId="2" borderId="0" xfId="2" applyNumberFormat="1" applyFill="1" applyBorder="1" applyProtection="1">
      <protection hidden="1"/>
    </xf>
    <xf numFmtId="179" fontId="8" fillId="2" borderId="0" xfId="2" applyNumberFormat="1" applyFont="1" applyFill="1" applyBorder="1" applyProtection="1">
      <protection hidden="1"/>
    </xf>
    <xf numFmtId="178" fontId="3" fillId="2" borderId="0" xfId="2" applyNumberFormat="1" applyFill="1" applyBorder="1" applyAlignment="1" applyProtection="1">
      <alignment vertical="top"/>
      <protection hidden="1"/>
    </xf>
    <xf numFmtId="179" fontId="8" fillId="2" borderId="0" xfId="2" applyNumberFormat="1" applyFont="1" applyFill="1" applyBorder="1" applyAlignment="1" applyProtection="1">
      <alignment vertical="top"/>
      <protection hidden="1"/>
    </xf>
    <xf numFmtId="0" fontId="57" fillId="2" borderId="0" xfId="2" applyFont="1" applyFill="1" applyBorder="1" applyAlignment="1" applyProtection="1">
      <alignment horizontal="center"/>
      <protection hidden="1"/>
    </xf>
    <xf numFmtId="0" fontId="57" fillId="2" borderId="0" xfId="2" applyFont="1" applyFill="1" applyBorder="1" applyAlignment="1" applyProtection="1">
      <alignment horizontal="center" vertical="top"/>
      <protection hidden="1"/>
    </xf>
    <xf numFmtId="0" fontId="58" fillId="2" borderId="0" xfId="2" applyFont="1" applyFill="1" applyBorder="1" applyAlignment="1" applyProtection="1">
      <alignment horizontal="center" vertical="top"/>
      <protection hidden="1"/>
    </xf>
    <xf numFmtId="0" fontId="82" fillId="2" borderId="0" xfId="2" applyFont="1" applyFill="1" applyBorder="1" applyAlignment="1" applyProtection="1">
      <alignment horizontal="right" indent="1"/>
      <protection hidden="1"/>
    </xf>
    <xf numFmtId="178" fontId="3" fillId="2" borderId="0" xfId="2" applyNumberFormat="1" applyFont="1" applyFill="1" applyBorder="1" applyAlignment="1" applyProtection="1">
      <alignment vertical="center"/>
      <protection hidden="1"/>
    </xf>
    <xf numFmtId="0" fontId="82" fillId="2" borderId="0" xfId="2" applyFont="1" applyFill="1" applyBorder="1" applyAlignment="1" applyProtection="1">
      <alignment horizontal="right" vertical="top" indent="1"/>
      <protection hidden="1"/>
    </xf>
    <xf numFmtId="178" fontId="3" fillId="2" borderId="0" xfId="2" applyNumberFormat="1" applyFill="1" applyBorder="1" applyAlignment="1" applyProtection="1">
      <alignment vertical="center"/>
      <protection hidden="1"/>
    </xf>
    <xf numFmtId="0" fontId="3" fillId="2" borderId="0" xfId="2" applyFont="1" applyFill="1" applyBorder="1" applyProtection="1">
      <protection hidden="1"/>
    </xf>
    <xf numFmtId="14" fontId="56" fillId="2" borderId="48" xfId="2" applyNumberFormat="1" applyFont="1" applyFill="1" applyBorder="1" applyAlignment="1" applyProtection="1">
      <alignment horizontal="center" vertical="center"/>
      <protection hidden="1"/>
    </xf>
    <xf numFmtId="0" fontId="17" fillId="2" borderId="59" xfId="0" applyFont="1" applyFill="1" applyBorder="1" applyAlignment="1" applyProtection="1">
      <alignment horizontal="left" vertical="center" indent="1"/>
      <protection hidden="1"/>
    </xf>
    <xf numFmtId="14" fontId="56" fillId="2" borderId="61" xfId="2" applyNumberFormat="1" applyFont="1" applyFill="1" applyBorder="1" applyAlignment="1" applyProtection="1">
      <alignment horizontal="center" vertical="center"/>
      <protection hidden="1"/>
    </xf>
    <xf numFmtId="0" fontId="17" fillId="2" borderId="33" xfId="0" applyFont="1" applyFill="1" applyBorder="1" applyAlignment="1" applyProtection="1">
      <alignment horizontal="left" vertical="center" indent="1"/>
      <protection hidden="1"/>
    </xf>
    <xf numFmtId="14" fontId="56" fillId="2" borderId="49" xfId="2" applyNumberFormat="1" applyFont="1" applyFill="1" applyBorder="1" applyAlignment="1" applyProtection="1">
      <alignment horizontal="center" vertical="center"/>
      <protection hidden="1"/>
    </xf>
    <xf numFmtId="0" fontId="17" fillId="2" borderId="38" xfId="0" applyFont="1" applyFill="1" applyBorder="1" applyAlignment="1" applyProtection="1">
      <alignment horizontal="left" vertical="center" indent="1"/>
      <protection hidden="1"/>
    </xf>
    <xf numFmtId="0" fontId="65" fillId="2" borderId="20" xfId="0" applyFont="1" applyFill="1" applyBorder="1" applyAlignment="1" applyProtection="1">
      <alignment vertical="center"/>
      <protection hidden="1"/>
    </xf>
    <xf numFmtId="0" fontId="18" fillId="2" borderId="0" xfId="0" applyFont="1" applyFill="1" applyBorder="1" applyAlignment="1" applyProtection="1">
      <protection hidden="1"/>
    </xf>
    <xf numFmtId="0" fontId="80" fillId="2" borderId="0" xfId="0" applyNumberFormat="1" applyFont="1" applyFill="1" applyAlignment="1" applyProtection="1">
      <alignment vertical="top"/>
      <protection hidden="1"/>
    </xf>
    <xf numFmtId="174" fontId="63" fillId="3" borderId="25" xfId="5" applyNumberFormat="1" applyFont="1" applyFill="1" applyBorder="1" applyAlignment="1" applyProtection="1">
      <alignment horizontal="center" vertical="center"/>
      <protection hidden="1"/>
    </xf>
    <xf numFmtId="0" fontId="77" fillId="2" borderId="0" xfId="0" applyFont="1" applyFill="1" applyBorder="1" applyAlignment="1" applyProtection="1">
      <alignment vertical="center"/>
      <protection hidden="1"/>
    </xf>
    <xf numFmtId="0" fontId="63" fillId="2" borderId="0" xfId="5" applyFont="1" applyFill="1" applyAlignment="1" applyProtection="1">
      <protection hidden="1"/>
    </xf>
    <xf numFmtId="0" fontId="64" fillId="2" borderId="0" xfId="0" applyFont="1" applyFill="1" applyAlignment="1" applyProtection="1">
      <alignment vertical="center"/>
      <protection hidden="1"/>
    </xf>
    <xf numFmtId="0" fontId="64" fillId="2" borderId="0" xfId="0" applyFont="1" applyFill="1" applyAlignment="1" applyProtection="1">
      <alignment vertical="top"/>
      <protection hidden="1"/>
    </xf>
    <xf numFmtId="0" fontId="72" fillId="2" borderId="0" xfId="0" applyNumberFormat="1" applyFont="1" applyFill="1" applyAlignment="1" applyProtection="1">
      <protection hidden="1"/>
    </xf>
    <xf numFmtId="0" fontId="63" fillId="2" borderId="0" xfId="0" applyNumberFormat="1" applyFont="1" applyFill="1" applyAlignment="1" applyProtection="1">
      <protection hidden="1"/>
    </xf>
    <xf numFmtId="0" fontId="63" fillId="2" borderId="0" xfId="0" applyNumberFormat="1" applyFont="1" applyFill="1" applyAlignment="1" applyProtection="1">
      <alignment vertical="center"/>
      <protection hidden="1"/>
    </xf>
    <xf numFmtId="0" fontId="65" fillId="2" borderId="0" xfId="0" applyNumberFormat="1" applyFont="1" applyFill="1" applyAlignment="1" applyProtection="1">
      <alignment vertical="top"/>
      <protection hidden="1"/>
    </xf>
    <xf numFmtId="166" fontId="8" fillId="2" borderId="0" xfId="0" applyNumberFormat="1" applyFont="1" applyFill="1" applyAlignment="1" applyProtection="1">
      <protection hidden="1"/>
    </xf>
    <xf numFmtId="0" fontId="112" fillId="2" borderId="0" xfId="1" applyNumberFormat="1" applyFont="1" applyFill="1" applyAlignment="1" applyProtection="1">
      <alignment horizontal="left" indent="1"/>
      <protection locked="0"/>
    </xf>
    <xf numFmtId="0" fontId="121" fillId="6" borderId="83" xfId="2" applyFont="1" applyFill="1" applyBorder="1" applyAlignment="1" applyProtection="1">
      <alignment horizontal="center" vertical="center"/>
      <protection hidden="1"/>
    </xf>
    <xf numFmtId="0" fontId="112" fillId="2" borderId="0" xfId="1"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3" fillId="2" borderId="0" xfId="0" applyNumberFormat="1" applyFont="1" applyFill="1" applyAlignment="1" applyProtection="1">
      <alignment horizontal="center" vertical="center"/>
      <protection hidden="1"/>
    </xf>
    <xf numFmtId="0" fontId="82" fillId="2" borderId="0" xfId="2" applyFont="1" applyFill="1" applyAlignment="1" applyProtection="1">
      <protection hidden="1"/>
    </xf>
    <xf numFmtId="0" fontId="34" fillId="2" borderId="0" xfId="2" applyFont="1" applyFill="1" applyAlignment="1" applyProtection="1">
      <alignment horizontal="left"/>
      <protection hidden="1"/>
    </xf>
    <xf numFmtId="0" fontId="31"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24" fillId="2" borderId="0" xfId="0" applyFont="1" applyFill="1" applyProtection="1">
      <protection hidden="1"/>
    </xf>
    <xf numFmtId="0" fontId="33" fillId="2" borderId="0" xfId="0" applyNumberFormat="1" applyFont="1" applyFill="1" applyAlignment="1" applyProtection="1">
      <protection hidden="1"/>
    </xf>
    <xf numFmtId="0" fontId="120" fillId="2" borderId="0" xfId="0" applyNumberFormat="1" applyFont="1" applyFill="1" applyAlignment="1" applyProtection="1">
      <protection hidden="1"/>
    </xf>
    <xf numFmtId="0" fontId="33" fillId="2" borderId="0" xfId="0" applyNumberFormat="1" applyFont="1" applyFill="1" applyAlignment="1" applyProtection="1">
      <alignment horizontal="left" indent="2"/>
      <protection hidden="1"/>
    </xf>
    <xf numFmtId="0" fontId="41" fillId="2" borderId="0" xfId="2" applyFont="1" applyFill="1" applyBorder="1" applyAlignment="1" applyProtection="1">
      <protection hidden="1"/>
    </xf>
    <xf numFmtId="0" fontId="33" fillId="2" borderId="0" xfId="0" applyFont="1" applyFill="1" applyAlignment="1" applyProtection="1">
      <alignment horizontal="right" vertical="center" indent="1"/>
      <protection hidden="1"/>
    </xf>
    <xf numFmtId="0" fontId="44"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0" fontId="10" fillId="2" borderId="16" xfId="0" applyFont="1" applyFill="1" applyBorder="1" applyAlignment="1" applyProtection="1">
      <alignment horizontal="left" vertical="center" indent="1"/>
      <protection hidden="1"/>
    </xf>
    <xf numFmtId="168" fontId="14" fillId="2" borderId="24" xfId="0" applyNumberFormat="1" applyFont="1" applyFill="1" applyBorder="1" applyAlignment="1" applyProtection="1">
      <alignment horizontal="center"/>
      <protection hidden="1"/>
    </xf>
    <xf numFmtId="168" fontId="14" fillId="2" borderId="12" xfId="0" applyNumberFormat="1" applyFont="1" applyFill="1" applyBorder="1" applyAlignment="1" applyProtection="1">
      <alignment horizontal="center" vertical="top"/>
      <protection hidden="1"/>
    </xf>
    <xf numFmtId="168" fontId="14" fillId="2" borderId="13" xfId="0"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54" fillId="2" borderId="0" xfId="0" applyFont="1" applyFill="1" applyAlignment="1" applyProtection="1">
      <protection hidden="1"/>
    </xf>
    <xf numFmtId="181" fontId="65" fillId="2" borderId="0" xfId="0" applyNumberFormat="1" applyFont="1" applyFill="1" applyBorder="1" applyAlignment="1" applyProtection="1">
      <alignment horizontal="center"/>
      <protection hidden="1"/>
    </xf>
    <xf numFmtId="0" fontId="33" fillId="2" borderId="7" xfId="0" applyNumberFormat="1" applyFont="1" applyFill="1" applyBorder="1" applyAlignment="1" applyProtection="1">
      <alignment horizontal="center" vertical="center"/>
      <protection hidden="1"/>
    </xf>
    <xf numFmtId="168" fontId="109"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04" fillId="2" borderId="0" xfId="0" applyNumberFormat="1" applyFont="1" applyFill="1" applyBorder="1" applyAlignment="1" applyProtection="1">
      <alignment horizontal="left" vertical="top"/>
      <protection hidden="1"/>
    </xf>
    <xf numFmtId="180" fontId="62" fillId="2" borderId="0" xfId="0" applyNumberFormat="1" applyFont="1" applyFill="1" applyBorder="1" applyAlignment="1" applyProtection="1">
      <alignment horizontal="center"/>
      <protection hidden="1"/>
    </xf>
    <xf numFmtId="180" fontId="65" fillId="2" borderId="0" xfId="0" applyNumberFormat="1" applyFont="1" applyFill="1" applyBorder="1" applyAlignment="1" applyProtection="1">
      <alignment horizontal="center"/>
      <protection hidden="1"/>
    </xf>
    <xf numFmtId="0" fontId="33" fillId="2" borderId="0" xfId="0" applyNumberFormat="1" applyFont="1" applyFill="1" applyAlignment="1" applyProtection="1">
      <alignment horizontal="center" vertical="center"/>
      <protection hidden="1"/>
    </xf>
    <xf numFmtId="168" fontId="8" fillId="2" borderId="57" xfId="2" applyNumberFormat="1" applyFont="1" applyFill="1" applyBorder="1" applyAlignment="1" applyProtection="1">
      <alignment horizontal="right" vertical="center"/>
      <protection hidden="1"/>
    </xf>
    <xf numFmtId="168" fontId="8" fillId="2" borderId="58" xfId="2" applyNumberFormat="1" applyFont="1" applyFill="1" applyBorder="1" applyAlignment="1" applyProtection="1">
      <alignment horizontal="right" vertical="center"/>
      <protection hidden="1"/>
    </xf>
    <xf numFmtId="168" fontId="8" fillId="2" borderId="59" xfId="2" applyNumberFormat="1" applyFont="1" applyFill="1" applyBorder="1" applyAlignment="1" applyProtection="1">
      <alignment horizontal="right" vertical="center"/>
      <protection hidden="1"/>
    </xf>
    <xf numFmtId="168" fontId="8" fillId="2" borderId="32"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3" xfId="2" applyNumberFormat="1" applyFont="1" applyFill="1" applyBorder="1" applyAlignment="1" applyProtection="1">
      <alignment horizontal="right" vertical="center"/>
      <protection hidden="1"/>
    </xf>
    <xf numFmtId="168" fontId="8" fillId="2" borderId="37" xfId="2" applyNumberFormat="1" applyFont="1" applyFill="1" applyBorder="1" applyAlignment="1" applyProtection="1">
      <alignment horizontal="right" vertical="center"/>
      <protection hidden="1"/>
    </xf>
    <xf numFmtId="168" fontId="8" fillId="2" borderId="60" xfId="2" applyNumberFormat="1" applyFont="1" applyFill="1" applyBorder="1" applyAlignment="1" applyProtection="1">
      <alignment horizontal="right" vertical="center"/>
      <protection hidden="1"/>
    </xf>
    <xf numFmtId="168" fontId="8" fillId="2" borderId="38"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1" fillId="2" borderId="0" xfId="2" applyFont="1" applyFill="1" applyProtection="1">
      <protection hidden="1"/>
    </xf>
    <xf numFmtId="0" fontId="34" fillId="2" borderId="0" xfId="2" applyFont="1" applyFill="1" applyBorder="1" applyAlignment="1" applyProtection="1">
      <protection hidden="1"/>
    </xf>
    <xf numFmtId="168" fontId="45"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0" xfId="0" applyNumberFormat="1" applyFont="1" applyFill="1" applyBorder="1" applyAlignment="1" applyProtection="1">
      <alignment horizontal="center" vertical="center"/>
      <protection hidden="1"/>
    </xf>
    <xf numFmtId="168" fontId="8" fillId="2" borderId="40" xfId="0" applyNumberFormat="1" applyFont="1" applyFill="1" applyBorder="1" applyAlignment="1" applyProtection="1">
      <alignment horizontal="center" vertical="center"/>
      <protection hidden="1"/>
    </xf>
    <xf numFmtId="0" fontId="21" fillId="2" borderId="40" xfId="0" applyFont="1" applyFill="1" applyBorder="1" applyProtection="1">
      <protection hidden="1"/>
    </xf>
    <xf numFmtId="168" fontId="8" fillId="2" borderId="31" xfId="0" applyNumberFormat="1" applyFont="1" applyFill="1" applyBorder="1" applyAlignment="1" applyProtection="1">
      <alignment horizontal="center" vertical="center"/>
      <protection hidden="1"/>
    </xf>
    <xf numFmtId="166" fontId="45" fillId="2" borderId="25" xfId="2" applyNumberFormat="1" applyFont="1" applyFill="1" applyBorder="1" applyAlignment="1" applyProtection="1">
      <protection hidden="1"/>
    </xf>
    <xf numFmtId="0" fontId="15" fillId="2" borderId="0" xfId="0" applyFont="1" applyFill="1" applyAlignment="1" applyProtection="1">
      <alignment vertical="center"/>
      <protection hidden="1"/>
    </xf>
    <xf numFmtId="0" fontId="34" fillId="2" borderId="0" xfId="2" applyFont="1" applyFill="1" applyProtection="1">
      <protection hidden="1"/>
    </xf>
    <xf numFmtId="168" fontId="8" fillId="2" borderId="17" xfId="2" applyNumberFormat="1" applyFont="1" applyFill="1" applyBorder="1" applyAlignment="1" applyProtection="1">
      <alignment horizontal="right" vertical="center"/>
      <protection hidden="1"/>
    </xf>
    <xf numFmtId="168" fontId="8" fillId="2" borderId="82"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18" xfId="2" applyNumberFormat="1" applyFont="1" applyFill="1" applyBorder="1" applyAlignment="1" applyProtection="1">
      <alignment horizontal="right" vertical="center"/>
      <protection hidden="1"/>
    </xf>
    <xf numFmtId="168" fontId="8" fillId="2" borderId="15"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168" fontId="8" fillId="2" borderId="19" xfId="2" applyNumberFormat="1" applyFont="1" applyFill="1" applyBorder="1" applyAlignment="1" applyProtection="1">
      <alignment horizontal="right" vertical="center"/>
      <protection hidden="1"/>
    </xf>
    <xf numFmtId="168" fontId="8" fillId="2" borderId="67"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6" fontId="34" fillId="2" borderId="0" xfId="2" applyNumberFormat="1" applyFont="1" applyFill="1" applyAlignment="1" applyProtection="1">
      <alignment horizontal="center" vertical="center"/>
      <protection hidden="1"/>
    </xf>
    <xf numFmtId="0" fontId="58" fillId="2" borderId="0" xfId="2" applyFont="1" applyFill="1" applyAlignment="1" applyProtection="1">
      <alignment horizontal="center" vertical="center"/>
      <protection hidden="1"/>
    </xf>
    <xf numFmtId="168" fontId="57" fillId="2" borderId="85" xfId="2" applyNumberFormat="1" applyFont="1" applyFill="1" applyBorder="1" applyAlignment="1" applyProtection="1">
      <alignment vertical="center"/>
      <protection hidden="1"/>
    </xf>
    <xf numFmtId="168" fontId="57" fillId="2" borderId="86" xfId="2" applyNumberFormat="1" applyFont="1" applyFill="1" applyBorder="1" applyAlignment="1" applyProtection="1">
      <alignment vertical="center"/>
      <protection hidden="1"/>
    </xf>
    <xf numFmtId="168" fontId="57" fillId="2" borderId="87" xfId="2" applyNumberFormat="1" applyFont="1" applyFill="1" applyBorder="1" applyAlignment="1" applyProtection="1">
      <alignment vertical="center"/>
      <protection hidden="1"/>
    </xf>
    <xf numFmtId="168" fontId="57" fillId="2" borderId="88" xfId="2" applyNumberFormat="1" applyFont="1" applyFill="1" applyBorder="1" applyAlignment="1" applyProtection="1">
      <alignment vertical="center"/>
      <protection hidden="1"/>
    </xf>
    <xf numFmtId="168" fontId="57" fillId="2" borderId="89" xfId="2" applyNumberFormat="1" applyFont="1" applyFill="1" applyBorder="1" applyAlignment="1" applyProtection="1">
      <alignment vertical="center"/>
      <protection hidden="1"/>
    </xf>
    <xf numFmtId="168" fontId="8" fillId="2" borderId="48" xfId="2" applyNumberFormat="1" applyFont="1" applyFill="1" applyBorder="1" applyAlignment="1" applyProtection="1">
      <alignment horizontal="right" vertical="center"/>
      <protection hidden="1"/>
    </xf>
    <xf numFmtId="168" fontId="8" fillId="2" borderId="61" xfId="2" applyNumberFormat="1" applyFont="1" applyFill="1" applyBorder="1" applyAlignment="1" applyProtection="1">
      <alignment horizontal="right" vertical="center"/>
      <protection hidden="1"/>
    </xf>
    <xf numFmtId="168" fontId="8" fillId="2" borderId="49" xfId="2" applyNumberFormat="1" applyFont="1" applyFill="1" applyBorder="1" applyAlignment="1" applyProtection="1">
      <alignment horizontal="right" vertical="center"/>
      <protection hidden="1"/>
    </xf>
    <xf numFmtId="0" fontId="45" fillId="2" borderId="34" xfId="2" applyFont="1" applyFill="1" applyBorder="1" applyAlignment="1" applyProtection="1">
      <alignment horizontal="center" vertical="center"/>
      <protection hidden="1"/>
    </xf>
    <xf numFmtId="0" fontId="45" fillId="2" borderId="4" xfId="2" applyFont="1" applyFill="1" applyBorder="1" applyAlignment="1" applyProtection="1">
      <alignment horizontal="center" vertical="center"/>
      <protection hidden="1"/>
    </xf>
    <xf numFmtId="0" fontId="45" fillId="2" borderId="22" xfId="2" applyFont="1" applyFill="1" applyBorder="1" applyAlignment="1" applyProtection="1">
      <alignment horizontal="center" vertical="center"/>
      <protection hidden="1"/>
    </xf>
    <xf numFmtId="185" fontId="45" fillId="2" borderId="0" xfId="2" applyNumberFormat="1" applyFont="1" applyFill="1" applyAlignment="1" applyProtection="1">
      <alignment horizontal="right" vertical="center"/>
      <protection hidden="1"/>
    </xf>
    <xf numFmtId="0" fontId="14" fillId="2" borderId="7" xfId="2" applyFont="1" applyFill="1" applyBorder="1" applyAlignment="1" applyProtection="1">
      <alignment horizontal="right" vertical="top"/>
      <protection hidden="1"/>
    </xf>
    <xf numFmtId="167" fontId="62" fillId="2" borderId="32" xfId="0" applyNumberFormat="1" applyFont="1" applyFill="1" applyBorder="1" applyAlignment="1" applyProtection="1">
      <alignment horizontal="center" vertical="center"/>
      <protection hidden="1"/>
    </xf>
    <xf numFmtId="167" fontId="62" fillId="2" borderId="6" xfId="0" applyNumberFormat="1" applyFont="1" applyFill="1" applyBorder="1" applyAlignment="1" applyProtection="1">
      <alignment horizontal="center" vertical="center"/>
      <protection hidden="1"/>
    </xf>
    <xf numFmtId="167" fontId="62" fillId="2" borderId="33" xfId="0" applyNumberFormat="1" applyFont="1" applyFill="1" applyBorder="1" applyAlignment="1" applyProtection="1">
      <alignment horizontal="center" vertical="center"/>
      <protection hidden="1"/>
    </xf>
    <xf numFmtId="0" fontId="125" fillId="2" borderId="0" xfId="0" applyFont="1" applyFill="1" applyBorder="1" applyAlignment="1" applyProtection="1">
      <alignment horizontal="left" vertical="top" indent="1"/>
      <protection hidden="1"/>
    </xf>
    <xf numFmtId="0" fontId="125" fillId="2" borderId="0" xfId="0" applyFont="1" applyFill="1" applyBorder="1" applyAlignment="1" applyProtection="1">
      <alignment horizontal="right" vertical="top" indent="1"/>
      <protection hidden="1"/>
    </xf>
    <xf numFmtId="0" fontId="123" fillId="2" borderId="0" xfId="0" applyFont="1" applyFill="1" applyBorder="1" applyAlignment="1" applyProtection="1">
      <alignment horizontal="right" vertical="top" indent="1"/>
      <protection hidden="1"/>
    </xf>
    <xf numFmtId="0" fontId="74" fillId="2" borderId="0" xfId="5" applyNumberFormat="1" applyFont="1" applyFill="1" applyAlignment="1" applyProtection="1">
      <protection hidden="1"/>
    </xf>
    <xf numFmtId="0" fontId="54" fillId="2" borderId="0" xfId="5" applyFont="1" applyFill="1" applyAlignment="1" applyProtection="1">
      <protection hidden="1"/>
    </xf>
    <xf numFmtId="0" fontId="73" fillId="0" borderId="0" xfId="5" applyFont="1" applyFill="1" applyAlignment="1" applyProtection="1">
      <alignment vertical="top"/>
      <protection hidden="1"/>
    </xf>
    <xf numFmtId="0" fontId="74" fillId="2" borderId="0" xfId="5" applyNumberFormat="1" applyFont="1" applyFill="1" applyAlignment="1" applyProtection="1">
      <alignment horizontal="left" vertical="top" indent="1"/>
      <protection hidden="1"/>
    </xf>
    <xf numFmtId="166" fontId="65" fillId="2" borderId="0" xfId="0" applyNumberFormat="1" applyFont="1" applyFill="1" applyAlignment="1" applyProtection="1">
      <alignment vertical="center"/>
      <protection hidden="1"/>
    </xf>
    <xf numFmtId="166" fontId="63"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3" fillId="2" borderId="0" xfId="0" applyNumberFormat="1" applyFont="1" applyFill="1" applyAlignment="1" applyProtection="1">
      <alignment horizontal="right"/>
      <protection hidden="1"/>
    </xf>
    <xf numFmtId="0" fontId="112" fillId="2" borderId="0" xfId="1" applyNumberFormat="1" applyFont="1" applyFill="1" applyAlignment="1" applyProtection="1">
      <alignment horizontal="left" vertical="center" indent="1"/>
      <protection locked="0"/>
    </xf>
    <xf numFmtId="0" fontId="8" fillId="2" borderId="7" xfId="0" applyFont="1" applyFill="1" applyBorder="1" applyAlignment="1" applyProtection="1">
      <alignment horizontal="left" vertical="top"/>
      <protection hidden="1"/>
    </xf>
    <xf numFmtId="0" fontId="74" fillId="0" borderId="0" xfId="0" applyFont="1" applyFill="1" applyAlignment="1" applyProtection="1">
      <alignment horizontal="left" vertical="top" indent="1"/>
      <protection hidden="1"/>
    </xf>
    <xf numFmtId="0" fontId="97" fillId="2" borderId="0" xfId="0" applyFont="1" applyFill="1" applyAlignment="1" applyProtection="1">
      <alignment horizontal="left" indent="1"/>
      <protection hidden="1"/>
    </xf>
    <xf numFmtId="0" fontId="97" fillId="2" borderId="0" xfId="0" applyFont="1" applyFill="1" applyAlignment="1" applyProtection="1">
      <alignment horizontal="left" vertical="top" indent="1"/>
      <protection hidden="1"/>
    </xf>
    <xf numFmtId="0" fontId="97" fillId="2" borderId="0" xfId="0" applyFont="1" applyFill="1" applyAlignment="1" applyProtection="1">
      <alignment horizontal="left" vertical="center" indent="1"/>
      <protection hidden="1"/>
    </xf>
    <xf numFmtId="0" fontId="33" fillId="2" borderId="0" xfId="2" applyFont="1" applyFill="1" applyAlignment="1" applyProtection="1">
      <alignment vertical="top"/>
      <protection hidden="1"/>
    </xf>
    <xf numFmtId="49" fontId="129" fillId="2" borderId="0" xfId="0" applyNumberFormat="1" applyFont="1" applyFill="1" applyBorder="1" applyAlignment="1" applyProtection="1">
      <alignment horizontal="center" vertical="center"/>
      <protection hidden="1"/>
    </xf>
    <xf numFmtId="0" fontId="77" fillId="2" borderId="0" xfId="4" applyFont="1" applyFill="1" applyAlignment="1" applyProtection="1">
      <alignment horizontal="left"/>
      <protection hidden="1"/>
    </xf>
    <xf numFmtId="0" fontId="74" fillId="2" borderId="0" xfId="4" applyFont="1" applyFill="1" applyAlignment="1" applyProtection="1">
      <protection hidden="1"/>
    </xf>
    <xf numFmtId="0" fontId="78" fillId="2" borderId="0" xfId="1" applyFont="1" applyFill="1" applyAlignment="1" applyProtection="1">
      <alignment horizontal="left"/>
      <protection locked="0"/>
    </xf>
    <xf numFmtId="0" fontId="0" fillId="2" borderId="0" xfId="0" applyFill="1" applyAlignment="1" applyProtection="1">
      <protection hidden="1"/>
    </xf>
    <xf numFmtId="0" fontId="125"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0" fontId="76" fillId="2" borderId="0" xfId="0" applyFont="1" applyFill="1" applyProtection="1">
      <protection hidden="1"/>
    </xf>
    <xf numFmtId="0" fontId="76" fillId="2" borderId="0" xfId="0" applyFont="1" applyFill="1" applyAlignment="1" applyProtection="1">
      <protection hidden="1"/>
    </xf>
    <xf numFmtId="0" fontId="19" fillId="2" borderId="0" xfId="2" applyFont="1" applyFill="1" applyBorder="1" applyAlignment="1" applyProtection="1">
      <alignment vertical="top"/>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0" fontId="19" fillId="0" borderId="0" xfId="2" applyFont="1" applyFill="1" applyBorder="1" applyAlignment="1" applyProtection="1">
      <alignment vertical="center"/>
      <protection hidden="1"/>
    </xf>
    <xf numFmtId="0" fontId="19" fillId="0" borderId="0" xfId="2" applyFont="1" applyFill="1" applyBorder="1" applyAlignment="1" applyProtection="1">
      <alignment vertical="top"/>
      <protection hidden="1"/>
    </xf>
    <xf numFmtId="0" fontId="42" fillId="2" borderId="0" xfId="5" applyFont="1" applyFill="1" applyAlignment="1" applyProtection="1">
      <protection locked="0"/>
    </xf>
    <xf numFmtId="0" fontId="73"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0" fontId="75" fillId="2" borderId="0" xfId="0" applyNumberFormat="1" applyFont="1" applyFill="1" applyAlignment="1" applyProtection="1">
      <protection hidden="1"/>
    </xf>
    <xf numFmtId="0" fontId="106" fillId="2" borderId="0" xfId="1" applyNumberFormat="1" applyFont="1" applyFill="1" applyAlignment="1" applyProtection="1">
      <alignment horizontal="center" vertical="center"/>
      <protection locked="0"/>
    </xf>
    <xf numFmtId="0" fontId="131"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0" fontId="71" fillId="2" borderId="0" xfId="0" applyNumberFormat="1" applyFont="1" applyFill="1" applyAlignment="1" applyProtection="1">
      <alignment horizontal="left" vertical="top"/>
      <protection hidden="1"/>
    </xf>
    <xf numFmtId="0" fontId="77" fillId="2" borderId="0" xfId="4" applyFont="1" applyFill="1" applyAlignment="1" applyProtection="1">
      <alignment horizontal="left" indent="1"/>
      <protection hidden="1"/>
    </xf>
    <xf numFmtId="0" fontId="128" fillId="2" borderId="0" xfId="1" applyFont="1" applyFill="1" applyAlignment="1" applyProtection="1">
      <alignment vertical="top"/>
      <protection hidden="1"/>
    </xf>
    <xf numFmtId="0" fontId="78" fillId="2" borderId="0" xfId="1" applyFont="1" applyFill="1" applyAlignment="1" applyProtection="1">
      <alignment horizontal="left" indent="1"/>
      <protection locked="0"/>
    </xf>
    <xf numFmtId="0" fontId="77" fillId="2" borderId="0" xfId="1" applyFont="1" applyFill="1" applyAlignment="1" applyProtection="1">
      <alignment horizontal="center" vertical="top"/>
      <protection locked="0"/>
    </xf>
    <xf numFmtId="0" fontId="102" fillId="2" borderId="0" xfId="1" applyFont="1" applyFill="1" applyAlignment="1" applyProtection="1">
      <alignment horizontal="left" vertical="top"/>
      <protection hidden="1"/>
    </xf>
    <xf numFmtId="0" fontId="77" fillId="2" borderId="0" xfId="1" applyFont="1" applyFill="1" applyAlignment="1" applyProtection="1">
      <alignment horizontal="left" vertical="top"/>
      <protection hidden="1"/>
    </xf>
    <xf numFmtId="0" fontId="78" fillId="2" borderId="0" xfId="1" applyFont="1" applyFill="1" applyAlignment="1" applyProtection="1">
      <protection hidden="1"/>
    </xf>
    <xf numFmtId="0" fontId="70" fillId="2" borderId="0" xfId="0" applyFont="1" applyFill="1" applyAlignment="1" applyProtection="1">
      <alignment horizontal="left" vertical="center"/>
      <protection hidden="1"/>
    </xf>
    <xf numFmtId="0" fontId="122" fillId="2" borderId="0" xfId="0" applyFont="1" applyFill="1" applyProtection="1">
      <protection hidden="1"/>
    </xf>
    <xf numFmtId="0" fontId="44" fillId="2" borderId="0" xfId="0" applyFont="1" applyFill="1" applyBorder="1" applyAlignment="1" applyProtection="1">
      <alignment horizontal="center" vertical="center"/>
      <protection hidden="1"/>
    </xf>
    <xf numFmtId="0" fontId="125" fillId="2" borderId="0" xfId="1" applyFont="1" applyFill="1" applyAlignment="1" applyProtection="1">
      <alignment horizontal="center" vertical="top"/>
      <protection hidden="1"/>
    </xf>
    <xf numFmtId="0" fontId="74" fillId="2" borderId="0" xfId="2" applyFont="1" applyFill="1" applyAlignment="1" applyProtection="1">
      <alignment horizontal="center" vertical="center"/>
      <protection hidden="1"/>
    </xf>
    <xf numFmtId="0" fontId="62" fillId="2" borderId="0" xfId="0" applyFont="1" applyFill="1" applyAlignment="1" applyProtection="1">
      <alignment vertical="top"/>
      <protection hidden="1"/>
    </xf>
    <xf numFmtId="0" fontId="63" fillId="2" borderId="0" xfId="0" applyFont="1" applyFill="1" applyAlignment="1" applyProtection="1">
      <alignment vertical="top"/>
      <protection hidden="1"/>
    </xf>
    <xf numFmtId="0" fontId="74" fillId="2" borderId="0" xfId="0" applyFont="1" applyFill="1" applyAlignment="1" applyProtection="1">
      <alignment horizontal="right" indent="2"/>
      <protection hidden="1"/>
    </xf>
    <xf numFmtId="0" fontId="74" fillId="2" borderId="0" xfId="0" applyFont="1" applyFill="1" applyAlignment="1" applyProtection="1">
      <alignment horizontal="right" vertical="top" indent="2"/>
      <protection hidden="1"/>
    </xf>
    <xf numFmtId="0" fontId="96" fillId="2" borderId="0" xfId="0" applyNumberFormat="1" applyFont="1" applyFill="1" applyBorder="1" applyAlignment="1" applyProtection="1">
      <alignment vertical="center"/>
      <protection hidden="1"/>
    </xf>
    <xf numFmtId="0" fontId="66" fillId="0" borderId="0" xfId="0" applyFont="1" applyProtection="1">
      <protection hidden="1"/>
    </xf>
    <xf numFmtId="0" fontId="126" fillId="2" borderId="0" xfId="1" applyFont="1" applyFill="1" applyAlignment="1" applyProtection="1">
      <alignment vertical="center"/>
      <protection hidden="1"/>
    </xf>
    <xf numFmtId="0" fontId="117" fillId="2" borderId="0" xfId="0" applyFont="1" applyFill="1" applyAlignment="1" applyProtection="1">
      <protection hidden="1"/>
    </xf>
    <xf numFmtId="0" fontId="126" fillId="2" borderId="0" xfId="0" applyFont="1" applyFill="1" applyAlignment="1" applyProtection="1">
      <protection hidden="1"/>
    </xf>
    <xf numFmtId="0" fontId="71" fillId="2" borderId="0" xfId="0" applyFont="1" applyFill="1" applyAlignment="1" applyProtection="1">
      <protection hidden="1"/>
    </xf>
    <xf numFmtId="0" fontId="93" fillId="2" borderId="0" xfId="0" applyFont="1" applyFill="1" applyAlignment="1" applyProtection="1">
      <protection hidden="1"/>
    </xf>
    <xf numFmtId="0" fontId="1" fillId="2" borderId="0" xfId="3" applyFont="1" applyFill="1" applyProtection="1">
      <protection hidden="1"/>
    </xf>
    <xf numFmtId="0" fontId="8" fillId="2" borderId="0" xfId="3" applyFont="1" applyFill="1" applyAlignment="1" applyProtection="1">
      <alignment horizontal="left" vertical="top" indent="1"/>
      <protection hidden="1"/>
    </xf>
    <xf numFmtId="0" fontId="134" fillId="0" borderId="0" xfId="0" applyFont="1" applyFill="1" applyBorder="1" applyAlignment="1" applyProtection="1">
      <alignment horizontal="justify"/>
      <protection hidden="1"/>
    </xf>
    <xf numFmtId="0" fontId="135" fillId="0" borderId="0" xfId="0" applyFont="1" applyFill="1" applyBorder="1" applyAlignment="1" applyProtection="1">
      <alignment horizontal="justify" vertical="center"/>
      <protection hidden="1"/>
    </xf>
    <xf numFmtId="0" fontId="136" fillId="0" borderId="0" xfId="0" applyFont="1" applyFill="1" applyBorder="1" applyAlignment="1" applyProtection="1">
      <alignment horizontal="justify"/>
      <protection hidden="1"/>
    </xf>
    <xf numFmtId="0" fontId="135" fillId="0" borderId="0" xfId="0" applyFont="1" applyFill="1" applyBorder="1" applyAlignment="1" applyProtection="1">
      <alignment horizontal="justify"/>
      <protection hidden="1"/>
    </xf>
    <xf numFmtId="0" fontId="134" fillId="0" borderId="0" xfId="3" applyFont="1" applyProtection="1">
      <protection hidden="1"/>
    </xf>
    <xf numFmtId="0" fontId="134" fillId="0" borderId="0" xfId="3" applyFont="1" applyFill="1" applyBorder="1" applyAlignment="1" applyProtection="1">
      <alignment horizontal="justify"/>
      <protection hidden="1"/>
    </xf>
    <xf numFmtId="0" fontId="135" fillId="0" borderId="0" xfId="0" applyFont="1" applyFill="1" applyBorder="1" applyAlignment="1" applyProtection="1">
      <alignment horizontal="justify" vertical="top"/>
      <protection hidden="1"/>
    </xf>
    <xf numFmtId="0" fontId="136" fillId="0" borderId="0" xfId="0" applyFont="1" applyFill="1" applyBorder="1" applyAlignment="1" applyProtection="1">
      <alignment vertical="center"/>
      <protection hidden="1"/>
    </xf>
    <xf numFmtId="0" fontId="136" fillId="0" borderId="0" xfId="0" applyFont="1" applyFill="1" applyBorder="1" applyAlignment="1" applyProtection="1">
      <alignment horizontal="justify" vertical="top"/>
      <protection hidden="1"/>
    </xf>
    <xf numFmtId="0" fontId="136" fillId="0" borderId="0" xfId="0" applyFont="1" applyFill="1" applyBorder="1" applyAlignment="1" applyProtection="1">
      <protection hidden="1"/>
    </xf>
    <xf numFmtId="0" fontId="0" fillId="7" borderId="0" xfId="0" applyFill="1" applyProtection="1">
      <protection hidden="1"/>
    </xf>
    <xf numFmtId="0" fontId="78" fillId="2" borderId="0" xfId="0" applyFont="1" applyFill="1" applyBorder="1" applyAlignment="1" applyProtection="1">
      <alignment horizontal="left" indent="1"/>
      <protection hidden="1"/>
    </xf>
    <xf numFmtId="0" fontId="14" fillId="7" borderId="0" xfId="0" applyFont="1" applyFill="1" applyAlignment="1" applyProtection="1">
      <alignment horizontal="left" vertical="top" indent="1"/>
      <protection hidden="1"/>
    </xf>
    <xf numFmtId="49" fontId="14" fillId="2" borderId="0" xfId="0" applyNumberFormat="1" applyFont="1" applyFill="1" applyAlignment="1" applyProtection="1">
      <alignment horizontal="right" vertical="center" indent="1"/>
      <protection hidden="1"/>
    </xf>
    <xf numFmtId="0" fontId="1" fillId="7" borderId="0" xfId="3" applyFill="1" applyProtection="1">
      <protection hidden="1"/>
    </xf>
    <xf numFmtId="0" fontId="134" fillId="0" borderId="0" xfId="0" applyFont="1" applyFill="1" applyBorder="1" applyAlignment="1" applyProtection="1">
      <alignment horizontal="left"/>
      <protection hidden="1"/>
    </xf>
    <xf numFmtId="0" fontId="134" fillId="0" borderId="0" xfId="3" applyFont="1" applyFill="1" applyAlignment="1" applyProtection="1">
      <alignment horizontal="justify"/>
      <protection hidden="1"/>
    </xf>
    <xf numFmtId="0" fontId="136" fillId="0" borderId="0" xfId="3" applyFont="1" applyFill="1" applyAlignment="1" applyProtection="1">
      <alignment horizontal="center"/>
      <protection hidden="1"/>
    </xf>
    <xf numFmtId="0" fontId="136" fillId="0" borderId="0" xfId="3" applyFont="1" applyFill="1" applyAlignment="1" applyProtection="1">
      <protection hidden="1"/>
    </xf>
    <xf numFmtId="14" fontId="135" fillId="0" borderId="0" xfId="3" applyNumberFormat="1" applyFont="1" applyFill="1" applyAlignment="1" applyProtection="1">
      <alignment horizontal="center" vertical="center"/>
      <protection hidden="1"/>
    </xf>
    <xf numFmtId="0" fontId="134" fillId="0" borderId="0" xfId="0" applyFont="1" applyAlignment="1" applyProtection="1">
      <alignment horizontal="left"/>
      <protection hidden="1"/>
    </xf>
    <xf numFmtId="0" fontId="134" fillId="0" borderId="0" xfId="0" applyFont="1" applyProtection="1">
      <protection hidden="1"/>
    </xf>
    <xf numFmtId="0" fontId="134" fillId="0" borderId="0" xfId="0" applyFont="1" applyFill="1" applyProtection="1">
      <protection hidden="1"/>
    </xf>
    <xf numFmtId="0" fontId="0" fillId="0" borderId="0" xfId="0" applyProtection="1">
      <protection hidden="1"/>
    </xf>
    <xf numFmtId="0" fontId="52" fillId="2" borderId="0" xfId="0" applyNumberFormat="1" applyFont="1" applyFill="1" applyAlignment="1" applyProtection="1">
      <alignment horizontal="right"/>
      <protection hidden="1"/>
    </xf>
    <xf numFmtId="0" fontId="52" fillId="2" borderId="0" xfId="0" applyNumberFormat="1" applyFont="1" applyFill="1" applyAlignment="1" applyProtection="1">
      <alignment horizontal="right" vertical="center"/>
      <protection hidden="1"/>
    </xf>
    <xf numFmtId="0" fontId="19" fillId="7" borderId="0" xfId="0" applyFont="1" applyFill="1" applyProtection="1">
      <protection hidden="1"/>
    </xf>
    <xf numFmtId="0" fontId="3" fillId="2" borderId="0" xfId="0" applyFont="1" applyFill="1" applyProtection="1">
      <protection hidden="1"/>
    </xf>
    <xf numFmtId="166" fontId="52" fillId="2" borderId="0" xfId="0" applyNumberFormat="1" applyFont="1" applyFill="1" applyAlignment="1" applyProtection="1">
      <protection hidden="1"/>
    </xf>
    <xf numFmtId="0" fontId="3" fillId="0" borderId="0" xfId="0" applyFont="1" applyProtection="1">
      <protection hidden="1"/>
    </xf>
    <xf numFmtId="0" fontId="3" fillId="2" borderId="0" xfId="0" applyFont="1" applyFill="1" applyAlignment="1" applyProtection="1">
      <alignment horizontal="center" vertical="center"/>
      <protection hidden="1"/>
    </xf>
    <xf numFmtId="166" fontId="141" fillId="2" borderId="0" xfId="0" applyNumberFormat="1" applyFont="1" applyFill="1" applyBorder="1" applyAlignment="1" applyProtection="1">
      <alignment vertical="top"/>
      <protection hidden="1"/>
    </xf>
    <xf numFmtId="49" fontId="141" fillId="2" borderId="0" xfId="0" applyNumberFormat="1" applyFont="1" applyFill="1" applyAlignment="1" applyProtection="1">
      <alignment horizontal="left" vertical="center"/>
      <protection hidden="1"/>
    </xf>
    <xf numFmtId="0" fontId="142" fillId="2" borderId="0" xfId="0" applyNumberFormat="1" applyFont="1" applyFill="1" applyAlignment="1" applyProtection="1">
      <alignment horizontal="right" vertical="top"/>
      <protection hidden="1"/>
    </xf>
    <xf numFmtId="0" fontId="63" fillId="2" borderId="0" xfId="0" applyNumberFormat="1" applyFont="1" applyFill="1" applyBorder="1" applyAlignment="1" applyProtection="1">
      <alignment horizontal="left"/>
      <protection hidden="1"/>
    </xf>
    <xf numFmtId="0" fontId="77" fillId="2" borderId="0" xfId="0" applyNumberFormat="1" applyFont="1" applyFill="1" applyBorder="1" applyAlignment="1" applyProtection="1">
      <alignment horizontal="left" vertical="top"/>
      <protection hidden="1"/>
    </xf>
    <xf numFmtId="0" fontId="72" fillId="2" borderId="0" xfId="0" applyNumberFormat="1" applyFont="1" applyFill="1" applyAlignment="1" applyProtection="1">
      <alignment horizontal="left" vertical="top" indent="2"/>
      <protection hidden="1"/>
    </xf>
    <xf numFmtId="0" fontId="77" fillId="2" borderId="0" xfId="0" applyNumberFormat="1" applyFont="1" applyFill="1" applyAlignment="1" applyProtection="1">
      <alignment horizontal="left" vertical="top" indent="2"/>
      <protection hidden="1"/>
    </xf>
    <xf numFmtId="0" fontId="77" fillId="2" borderId="0" xfId="0" applyNumberFormat="1" applyFont="1" applyFill="1" applyAlignment="1" applyProtection="1">
      <alignment horizontal="left" indent="2"/>
      <protection hidden="1"/>
    </xf>
    <xf numFmtId="0" fontId="77" fillId="2" borderId="0" xfId="0" applyNumberFormat="1" applyFont="1" applyFill="1" applyBorder="1" applyAlignment="1" applyProtection="1">
      <alignment horizontal="left" vertical="top" indent="2"/>
      <protection hidden="1"/>
    </xf>
    <xf numFmtId="166" fontId="63" fillId="2" borderId="0" xfId="0" applyNumberFormat="1" applyFont="1" applyFill="1" applyBorder="1" applyAlignment="1" applyProtection="1">
      <alignment horizontal="center" vertical="top"/>
      <protection hidden="1"/>
    </xf>
    <xf numFmtId="167" fontId="44" fillId="2" borderId="14" xfId="0" applyNumberFormat="1" applyFont="1" applyFill="1" applyBorder="1" applyAlignment="1" applyProtection="1">
      <alignment horizontal="left" vertical="center" indent="1"/>
      <protection hidden="1"/>
    </xf>
    <xf numFmtId="167" fontId="44" fillId="2" borderId="15" xfId="0" applyNumberFormat="1" applyFont="1" applyFill="1" applyBorder="1" applyAlignment="1" applyProtection="1">
      <alignment horizontal="left" vertical="center" indent="1"/>
      <protection hidden="1"/>
    </xf>
    <xf numFmtId="167" fontId="44" fillId="2" borderId="16" xfId="0" applyNumberFormat="1" applyFont="1" applyFill="1" applyBorder="1" applyAlignment="1" applyProtection="1">
      <alignment horizontal="left" vertical="center" indent="1"/>
      <protection hidden="1"/>
    </xf>
    <xf numFmtId="0" fontId="3" fillId="7" borderId="0" xfId="0" applyFont="1" applyFill="1" applyProtection="1">
      <protection hidden="1"/>
    </xf>
    <xf numFmtId="0" fontId="42" fillId="8" borderId="171" xfId="0" applyFont="1" applyFill="1" applyBorder="1" applyAlignment="1" applyProtection="1">
      <alignment horizontal="center" vertical="center"/>
      <protection hidden="1"/>
    </xf>
    <xf numFmtId="0" fontId="146" fillId="7" borderId="0" xfId="0" applyFont="1" applyFill="1" applyAlignment="1" applyProtection="1">
      <alignment horizontal="left" vertical="center" indent="1"/>
      <protection hidden="1"/>
    </xf>
    <xf numFmtId="0" fontId="42" fillId="8" borderId="172" xfId="0" applyFont="1" applyFill="1" applyBorder="1" applyAlignment="1" applyProtection="1">
      <alignment horizontal="center" vertical="center"/>
      <protection hidden="1"/>
    </xf>
    <xf numFmtId="0" fontId="42" fillId="8" borderId="173" xfId="0" applyFont="1" applyFill="1" applyBorder="1" applyAlignment="1" applyProtection="1">
      <alignment horizontal="center" vertical="center"/>
      <protection hidden="1"/>
    </xf>
    <xf numFmtId="167" fontId="17" fillId="7" borderId="0" xfId="0" applyNumberFormat="1" applyFont="1" applyFill="1" applyAlignment="1" applyProtection="1">
      <alignment horizontal="center" vertical="center"/>
      <protection hidden="1"/>
    </xf>
    <xf numFmtId="0" fontId="147" fillId="2" borderId="0" xfId="0" applyFont="1" applyFill="1" applyAlignment="1" applyProtection="1">
      <alignment horizontal="left"/>
      <protection hidden="1"/>
    </xf>
    <xf numFmtId="0" fontId="147" fillId="2" borderId="0" xfId="0" applyFont="1" applyFill="1" applyAlignment="1" applyProtection="1">
      <alignment horizontal="left" vertical="top"/>
      <protection hidden="1"/>
    </xf>
    <xf numFmtId="49" fontId="17" fillId="8" borderId="5" xfId="0" applyNumberFormat="1" applyFont="1" applyFill="1" applyBorder="1" applyAlignment="1" applyProtection="1">
      <alignment horizontal="center" vertical="center"/>
      <protection hidden="1"/>
    </xf>
    <xf numFmtId="0" fontId="17" fillId="8" borderId="54" xfId="0" applyFont="1" applyFill="1" applyBorder="1" applyAlignment="1" applyProtection="1">
      <alignment horizontal="center" vertical="center"/>
      <protection hidden="1"/>
    </xf>
    <xf numFmtId="49" fontId="17" fillId="2" borderId="48" xfId="0" applyNumberFormat="1" applyFont="1" applyFill="1" applyBorder="1" applyAlignment="1" applyProtection="1">
      <alignment horizontal="center" vertical="center"/>
      <protection hidden="1"/>
    </xf>
    <xf numFmtId="49" fontId="17" fillId="2" borderId="61" xfId="0" applyNumberFormat="1" applyFont="1" applyFill="1" applyBorder="1" applyAlignment="1" applyProtection="1">
      <alignment horizontal="center" vertical="center"/>
      <protection hidden="1"/>
    </xf>
    <xf numFmtId="49" fontId="17" fillId="2" borderId="80" xfId="0" applyNumberFormat="1" applyFont="1" applyFill="1" applyBorder="1" applyAlignment="1" applyProtection="1">
      <alignment horizontal="center" vertical="center"/>
      <protection hidden="1"/>
    </xf>
    <xf numFmtId="0" fontId="17" fillId="2" borderId="34" xfId="0" applyNumberFormat="1" applyFont="1" applyFill="1" applyBorder="1" applyAlignment="1" applyProtection="1">
      <alignment horizontal="center" vertical="center"/>
      <protection hidden="1"/>
    </xf>
    <xf numFmtId="0" fontId="17" fillId="2" borderId="1" xfId="0" applyNumberFormat="1" applyFont="1" applyFill="1" applyBorder="1" applyAlignment="1" applyProtection="1">
      <alignment horizontal="center" vertical="center"/>
      <protection hidden="1"/>
    </xf>
    <xf numFmtId="0" fontId="33" fillId="8" borderId="45" xfId="0" applyFont="1" applyFill="1" applyBorder="1" applyAlignment="1" applyProtection="1">
      <alignment horizontal="center" vertical="center"/>
      <protection hidden="1"/>
    </xf>
    <xf numFmtId="0" fontId="149" fillId="8" borderId="174" xfId="0" applyFont="1" applyFill="1" applyBorder="1" applyAlignment="1" applyProtection="1">
      <alignment horizontal="center" vertical="center"/>
      <protection hidden="1"/>
    </xf>
    <xf numFmtId="0" fontId="149" fillId="7" borderId="174" xfId="0" applyFont="1" applyFill="1" applyBorder="1" applyAlignment="1" applyProtection="1">
      <alignment horizontal="center" vertical="center"/>
      <protection hidden="1"/>
    </xf>
    <xf numFmtId="0" fontId="135" fillId="7" borderId="0" xfId="0" applyFont="1" applyFill="1" applyAlignment="1" applyProtection="1">
      <alignment horizontal="center" vertical="center"/>
      <protection hidden="1"/>
    </xf>
    <xf numFmtId="1" fontId="135" fillId="7" borderId="0" xfId="0" applyNumberFormat="1" applyFont="1" applyFill="1" applyAlignment="1" applyProtection="1">
      <alignment horizontal="center" vertical="center"/>
      <protection hidden="1"/>
    </xf>
    <xf numFmtId="2" fontId="150" fillId="7" borderId="0" xfId="0" applyNumberFormat="1" applyFont="1" applyFill="1" applyAlignment="1" applyProtection="1">
      <alignment horizontal="center" vertical="center"/>
      <protection hidden="1"/>
    </xf>
    <xf numFmtId="2" fontId="133" fillId="7" borderId="0" xfId="0" applyNumberFormat="1" applyFont="1" applyFill="1" applyAlignment="1" applyProtection="1">
      <alignment horizontal="center" vertical="center"/>
      <protection hidden="1"/>
    </xf>
    <xf numFmtId="166" fontId="18" fillId="2" borderId="175" xfId="0" applyNumberFormat="1" applyFont="1" applyFill="1" applyBorder="1" applyAlignment="1" applyProtection="1">
      <alignment vertical="center"/>
      <protection hidden="1"/>
    </xf>
    <xf numFmtId="166" fontId="18" fillId="2" borderId="176" xfId="0" applyNumberFormat="1" applyFont="1" applyFill="1" applyBorder="1" applyAlignment="1" applyProtection="1">
      <alignment vertical="center"/>
      <protection hidden="1"/>
    </xf>
    <xf numFmtId="0" fontId="33" fillId="7" borderId="0" xfId="0" applyFont="1" applyFill="1" applyBorder="1" applyAlignment="1" applyProtection="1">
      <alignment horizontal="center" vertical="center"/>
      <protection hidden="1"/>
    </xf>
    <xf numFmtId="0" fontId="147" fillId="2" borderId="0" xfId="0" applyFont="1" applyFill="1" applyAlignment="1" applyProtection="1">
      <alignment horizontal="center" vertical="center"/>
      <protection hidden="1"/>
    </xf>
    <xf numFmtId="175" fontId="135" fillId="7" borderId="0" xfId="0" applyNumberFormat="1" applyFont="1" applyFill="1" applyBorder="1" applyAlignment="1" applyProtection="1">
      <alignment horizontal="center" vertical="center"/>
      <protection hidden="1"/>
    </xf>
    <xf numFmtId="168" fontId="133" fillId="7" borderId="0" xfId="0" applyNumberFormat="1" applyFont="1" applyFill="1" applyBorder="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71" fillId="2" borderId="0" xfId="0" applyNumberFormat="1" applyFont="1" applyFill="1" applyAlignment="1" applyProtection="1">
      <protection hidden="1"/>
    </xf>
    <xf numFmtId="0" fontId="72" fillId="2" borderId="0" xfId="0" applyNumberFormat="1" applyFont="1" applyFill="1" applyAlignment="1" applyProtection="1">
      <alignment vertical="top"/>
      <protection hidden="1"/>
    </xf>
    <xf numFmtId="0" fontId="151" fillId="2" borderId="0" xfId="0" applyFont="1" applyFill="1" applyBorder="1" applyAlignment="1" applyProtection="1">
      <alignment vertical="top"/>
      <protection hidden="1"/>
    </xf>
    <xf numFmtId="0" fontId="136" fillId="2" borderId="0" xfId="0" applyNumberFormat="1" applyFont="1" applyFill="1" applyAlignment="1" applyProtection="1">
      <alignment horizontal="left" vertical="center"/>
      <protection hidden="1"/>
    </xf>
    <xf numFmtId="0" fontId="3" fillId="0" borderId="0" xfId="0" applyFont="1" applyFill="1" applyProtection="1">
      <protection hidden="1"/>
    </xf>
    <xf numFmtId="0" fontId="3" fillId="7" borderId="177" xfId="0" applyFont="1" applyFill="1" applyBorder="1" applyAlignment="1" applyProtection="1">
      <alignment horizontal="center" vertical="center"/>
      <protection hidden="1"/>
    </xf>
    <xf numFmtId="0" fontId="17" fillId="7" borderId="178" xfId="0" applyFont="1" applyFill="1" applyBorder="1" applyAlignment="1" applyProtection="1">
      <alignment horizontal="center" vertical="center"/>
      <protection hidden="1"/>
    </xf>
    <xf numFmtId="0" fontId="19" fillId="7" borderId="0" xfId="0" applyFont="1" applyFill="1" applyAlignment="1" applyProtection="1">
      <alignment horizontal="center" vertical="center"/>
      <protection hidden="1"/>
    </xf>
    <xf numFmtId="0" fontId="33" fillId="8" borderId="30" xfId="0" applyFont="1" applyFill="1" applyBorder="1" applyAlignment="1" applyProtection="1">
      <alignment horizontal="center" vertical="center"/>
      <protection hidden="1"/>
    </xf>
    <xf numFmtId="0" fontId="33" fillId="8" borderId="40" xfId="0" applyFont="1" applyFill="1" applyBorder="1" applyAlignment="1" applyProtection="1">
      <alignment horizontal="center" vertical="center"/>
      <protection hidden="1"/>
    </xf>
    <xf numFmtId="167" fontId="33" fillId="2" borderId="66" xfId="0" applyNumberFormat="1" applyFont="1" applyFill="1" applyBorder="1" applyAlignment="1" applyProtection="1">
      <alignment horizontal="center" vertical="center"/>
      <protection hidden="1"/>
    </xf>
    <xf numFmtId="0" fontId="33" fillId="8" borderId="31" xfId="0" applyFont="1" applyFill="1" applyBorder="1" applyAlignment="1" applyProtection="1">
      <alignment horizontal="center" vertical="center"/>
      <protection hidden="1"/>
    </xf>
    <xf numFmtId="166" fontId="18" fillId="7" borderId="0" xfId="0" applyNumberFormat="1" applyFont="1" applyFill="1" applyBorder="1" applyAlignment="1" applyProtection="1">
      <alignment vertical="center"/>
      <protection hidden="1"/>
    </xf>
    <xf numFmtId="0" fontId="19" fillId="7" borderId="0" xfId="0" applyFont="1" applyFill="1" applyBorder="1" applyAlignment="1" applyProtection="1">
      <alignment vertical="center"/>
      <protection hidden="1"/>
    </xf>
    <xf numFmtId="0" fontId="6" fillId="2" borderId="0" xfId="2" applyFont="1" applyFill="1" applyBorder="1" applyAlignment="1" applyProtection="1">
      <alignment vertical="center"/>
      <protection hidden="1"/>
    </xf>
    <xf numFmtId="0" fontId="62" fillId="2" borderId="7" xfId="2" applyFont="1" applyFill="1" applyBorder="1" applyAlignment="1" applyProtection="1">
      <alignment vertical="top"/>
      <protection hidden="1"/>
    </xf>
    <xf numFmtId="0" fontId="44" fillId="9" borderId="6" xfId="0" applyFont="1" applyFill="1" applyBorder="1" applyAlignment="1" applyProtection="1">
      <alignment horizontal="center" vertical="center"/>
      <protection hidden="1"/>
    </xf>
    <xf numFmtId="0" fontId="19" fillId="2" borderId="0" xfId="2" applyFont="1" applyFill="1" applyBorder="1" applyAlignment="1" applyProtection="1">
      <alignment vertical="top" textRotation="90"/>
      <protection hidden="1"/>
    </xf>
    <xf numFmtId="0" fontId="3" fillId="7" borderId="2" xfId="2" applyFill="1" applyBorder="1" applyProtection="1">
      <protection hidden="1"/>
    </xf>
    <xf numFmtId="0" fontId="3" fillId="7" borderId="0" xfId="2" applyFill="1" applyProtection="1">
      <protection hidden="1"/>
    </xf>
    <xf numFmtId="0" fontId="14" fillId="2" borderId="7" xfId="2" applyFont="1" applyFill="1" applyBorder="1" applyAlignment="1" applyProtection="1">
      <alignment horizontal="centerContinuous" vertical="top"/>
      <protection hidden="1"/>
    </xf>
    <xf numFmtId="0" fontId="14" fillId="2" borderId="0" xfId="2" applyFont="1" applyFill="1" applyBorder="1" applyAlignment="1" applyProtection="1">
      <alignment horizontal="centerContinuous" vertical="top"/>
      <protection hidden="1"/>
    </xf>
    <xf numFmtId="168" fontId="153" fillId="8" borderId="174" xfId="2" applyNumberFormat="1" applyFont="1" applyFill="1" applyBorder="1" applyAlignment="1" applyProtection="1">
      <alignment vertical="center"/>
      <protection hidden="1"/>
    </xf>
    <xf numFmtId="0" fontId="8" fillId="2" borderId="0" xfId="2" applyNumberFormat="1" applyFont="1" applyFill="1" applyBorder="1" applyAlignment="1" applyProtection="1">
      <alignment horizontal="left" vertical="center" indent="1"/>
      <protection hidden="1"/>
    </xf>
    <xf numFmtId="0" fontId="52" fillId="2" borderId="0" xfId="2" applyNumberFormat="1" applyFont="1" applyFill="1" applyBorder="1" applyAlignment="1" applyProtection="1">
      <alignment horizontal="left" indent="1"/>
      <protection hidden="1"/>
    </xf>
    <xf numFmtId="0" fontId="52" fillId="2" borderId="7" xfId="2" applyNumberFormat="1" applyFont="1" applyFill="1" applyBorder="1" applyAlignment="1" applyProtection="1">
      <alignment horizontal="left" vertical="top" indent="1"/>
      <protection hidden="1"/>
    </xf>
    <xf numFmtId="0" fontId="8" fillId="2" borderId="7" xfId="2" applyFont="1" applyFill="1" applyBorder="1" applyAlignment="1" applyProtection="1">
      <alignment horizontal="left" vertical="center" indent="1"/>
      <protection hidden="1"/>
    </xf>
    <xf numFmtId="0" fontId="8" fillId="2" borderId="0" xfId="2" applyFont="1" applyFill="1" applyBorder="1" applyAlignment="1" applyProtection="1">
      <alignment horizontal="left" vertical="center" indent="1"/>
      <protection hidden="1"/>
    </xf>
    <xf numFmtId="175" fontId="45" fillId="10" borderId="177" xfId="2" applyNumberFormat="1" applyFont="1" applyFill="1" applyBorder="1" applyAlignment="1" applyProtection="1">
      <alignment horizontal="center" vertical="center"/>
      <protection hidden="1"/>
    </xf>
    <xf numFmtId="0" fontId="44" fillId="10" borderId="6" xfId="0" applyNumberFormat="1" applyFont="1" applyFill="1" applyBorder="1" applyAlignment="1" applyProtection="1">
      <alignment horizontal="center" vertical="center"/>
      <protection hidden="1"/>
    </xf>
    <xf numFmtId="0" fontId="44" fillId="10" borderId="30" xfId="0" applyNumberFormat="1" applyFont="1" applyFill="1" applyBorder="1" applyAlignment="1" applyProtection="1">
      <alignment horizontal="center" vertical="center"/>
      <protection hidden="1"/>
    </xf>
    <xf numFmtId="175" fontId="45" fillId="10" borderId="6" xfId="2" applyNumberFormat="1" applyFont="1" applyFill="1" applyBorder="1" applyAlignment="1" applyProtection="1">
      <alignment horizontal="center" vertical="center"/>
      <protection hidden="1"/>
    </xf>
    <xf numFmtId="0" fontId="46" fillId="2" borderId="21" xfId="2" applyFont="1" applyFill="1" applyBorder="1" applyAlignment="1" applyProtection="1">
      <alignment horizontal="left" vertical="center" indent="1"/>
      <protection hidden="1"/>
    </xf>
    <xf numFmtId="0" fontId="61" fillId="2" borderId="21" xfId="2" applyFont="1" applyFill="1" applyBorder="1" applyAlignment="1" applyProtection="1">
      <alignment horizontal="left" vertical="center" indent="1"/>
      <protection hidden="1"/>
    </xf>
    <xf numFmtId="0" fontId="61" fillId="2" borderId="0" xfId="2" applyFont="1" applyFill="1" applyBorder="1" applyAlignment="1" applyProtection="1">
      <alignment vertical="center"/>
      <protection hidden="1"/>
    </xf>
    <xf numFmtId="0" fontId="46" fillId="2" borderId="0" xfId="2" applyFont="1" applyFill="1" applyBorder="1" applyAlignment="1" applyProtection="1">
      <alignment vertical="center"/>
      <protection hidden="1"/>
    </xf>
    <xf numFmtId="0" fontId="45" fillId="10" borderId="6" xfId="2" applyFont="1" applyFill="1" applyBorder="1" applyAlignment="1" applyProtection="1">
      <alignment horizontal="center" vertical="center"/>
      <protection hidden="1"/>
    </xf>
    <xf numFmtId="0" fontId="24" fillId="10" borderId="26" xfId="2" applyFont="1" applyFill="1" applyBorder="1" applyAlignment="1" applyProtection="1">
      <alignment horizontal="center"/>
      <protection hidden="1"/>
    </xf>
    <xf numFmtId="0" fontId="24" fillId="10" borderId="30" xfId="2" applyFont="1" applyFill="1" applyBorder="1" applyAlignment="1" applyProtection="1">
      <alignment horizontal="center"/>
      <protection hidden="1"/>
    </xf>
    <xf numFmtId="0" fontId="24" fillId="10" borderId="41" xfId="2" applyFont="1" applyFill="1" applyBorder="1" applyAlignment="1" applyProtection="1">
      <alignment horizontal="center"/>
      <protection hidden="1"/>
    </xf>
    <xf numFmtId="0" fontId="24" fillId="10" borderId="21" xfId="2" applyFont="1" applyFill="1" applyBorder="1" applyAlignment="1" applyProtection="1">
      <alignment horizontal="center" vertical="center"/>
      <protection hidden="1"/>
    </xf>
    <xf numFmtId="0" fontId="24" fillId="10" borderId="40" xfId="2" applyFont="1" applyFill="1" applyBorder="1" applyAlignment="1" applyProtection="1">
      <alignment horizontal="center" vertical="center"/>
      <protection hidden="1"/>
    </xf>
    <xf numFmtId="0" fontId="24" fillId="10" borderId="39" xfId="2" applyFont="1" applyFill="1" applyBorder="1" applyAlignment="1" applyProtection="1">
      <alignment horizontal="center" vertical="center"/>
      <protection hidden="1"/>
    </xf>
    <xf numFmtId="0" fontId="24" fillId="10" borderId="27" xfId="2" applyFont="1" applyFill="1" applyBorder="1" applyAlignment="1" applyProtection="1">
      <alignment horizontal="center" vertical="top"/>
      <protection hidden="1"/>
    </xf>
    <xf numFmtId="0" fontId="24" fillId="10" borderId="31" xfId="2" applyFont="1" applyFill="1" applyBorder="1" applyAlignment="1" applyProtection="1">
      <alignment horizontal="center" vertical="top"/>
      <protection hidden="1"/>
    </xf>
    <xf numFmtId="0" fontId="24" fillId="10" borderId="29" xfId="2" applyFont="1" applyFill="1" applyBorder="1" applyAlignment="1" applyProtection="1">
      <alignment horizontal="center" vertical="top"/>
      <protection hidden="1"/>
    </xf>
    <xf numFmtId="0" fontId="34" fillId="10" borderId="6" xfId="2" applyFont="1" applyFill="1" applyBorder="1" applyAlignment="1" applyProtection="1">
      <alignment horizontal="center" vertical="center"/>
      <protection hidden="1"/>
    </xf>
    <xf numFmtId="0" fontId="24" fillId="10" borderId="14" xfId="2" applyFont="1" applyFill="1" applyBorder="1" applyAlignment="1" applyProtection="1">
      <alignment horizontal="center" vertical="center"/>
      <protection hidden="1"/>
    </xf>
    <xf numFmtId="0" fontId="24" fillId="10" borderId="6" xfId="2" applyFont="1" applyFill="1" applyBorder="1" applyAlignment="1" applyProtection="1">
      <alignment horizontal="center" vertical="center"/>
      <protection hidden="1"/>
    </xf>
    <xf numFmtId="0" fontId="24" fillId="10" borderId="16" xfId="2" applyFont="1" applyFill="1" applyBorder="1" applyAlignment="1" applyProtection="1">
      <alignment horizontal="center" vertical="center"/>
      <protection hidden="1"/>
    </xf>
    <xf numFmtId="0" fontId="44" fillId="10" borderId="27" xfId="2" applyFont="1" applyFill="1" applyBorder="1" applyAlignment="1" applyProtection="1">
      <alignment horizontal="center" vertical="center"/>
      <protection hidden="1"/>
    </xf>
    <xf numFmtId="0" fontId="147" fillId="10" borderId="174" xfId="2" applyFont="1" applyFill="1" applyBorder="1" applyAlignment="1" applyProtection="1">
      <alignment horizontal="center" vertical="center"/>
      <protection hidden="1"/>
    </xf>
    <xf numFmtId="0" fontId="34" fillId="10" borderId="174" xfId="2" applyFont="1" applyFill="1" applyBorder="1" applyAlignment="1" applyProtection="1">
      <alignment horizontal="center" vertical="center"/>
      <protection hidden="1"/>
    </xf>
    <xf numFmtId="1" fontId="44" fillId="10" borderId="174" xfId="2" applyNumberFormat="1" applyFont="1" applyFill="1" applyBorder="1" applyAlignment="1" applyProtection="1">
      <alignment horizontal="center" vertical="center"/>
      <protection hidden="1"/>
    </xf>
    <xf numFmtId="0" fontId="61" fillId="10" borderId="14" xfId="2" applyFont="1" applyFill="1" applyBorder="1" applyAlignment="1" applyProtection="1">
      <alignment horizontal="center" vertical="center"/>
      <protection hidden="1"/>
    </xf>
    <xf numFmtId="0" fontId="61" fillId="10" borderId="15" xfId="2" applyFont="1" applyFill="1" applyBorder="1" applyAlignment="1" applyProtection="1">
      <alignment horizontal="center" vertical="center"/>
      <protection hidden="1"/>
    </xf>
    <xf numFmtId="0" fontId="61" fillId="10" borderId="16" xfId="2" applyFont="1" applyFill="1" applyBorder="1" applyAlignment="1" applyProtection="1">
      <alignment horizontal="center" vertical="center"/>
      <protection hidden="1"/>
    </xf>
    <xf numFmtId="0" fontId="3" fillId="10" borderId="6" xfId="2" applyFont="1" applyFill="1" applyBorder="1" applyAlignment="1" applyProtection="1">
      <alignment horizontal="center" vertical="center"/>
      <protection hidden="1"/>
    </xf>
    <xf numFmtId="0" fontId="24" fillId="10" borderId="21" xfId="2" applyFont="1" applyFill="1" applyBorder="1" applyAlignment="1" applyProtection="1">
      <alignment horizontal="center" vertical="top"/>
      <protection hidden="1"/>
    </xf>
    <xf numFmtId="0" fontId="24" fillId="10" borderId="40" xfId="2" applyFont="1" applyFill="1" applyBorder="1" applyAlignment="1" applyProtection="1">
      <alignment horizontal="center" vertical="top"/>
      <protection hidden="1"/>
    </xf>
    <xf numFmtId="0" fontId="24" fillId="10" borderId="39" xfId="2" applyFont="1" applyFill="1" applyBorder="1" applyAlignment="1" applyProtection="1">
      <alignment horizontal="center" vertical="top"/>
      <protection hidden="1"/>
    </xf>
    <xf numFmtId="0" fontId="3" fillId="10" borderId="14" xfId="2" applyFill="1" applyBorder="1" applyAlignment="1" applyProtection="1">
      <alignment horizontal="center" vertical="center"/>
      <protection hidden="1"/>
    </xf>
    <xf numFmtId="0" fontId="3" fillId="10" borderId="15" xfId="2" applyFill="1" applyBorder="1" applyAlignment="1" applyProtection="1">
      <alignment horizontal="center" vertical="center"/>
      <protection hidden="1"/>
    </xf>
    <xf numFmtId="0" fontId="3" fillId="10" borderId="16" xfId="2" applyFill="1" applyBorder="1" applyAlignment="1" applyProtection="1">
      <alignment horizontal="center" vertical="center"/>
      <protection hidden="1"/>
    </xf>
    <xf numFmtId="0" fontId="34" fillId="10" borderId="26" xfId="2" applyFont="1" applyFill="1" applyBorder="1" applyAlignment="1" applyProtection="1">
      <alignment horizontal="center"/>
      <protection hidden="1"/>
    </xf>
    <xf numFmtId="0" fontId="34" fillId="10" borderId="77" xfId="2" applyFont="1" applyFill="1" applyBorder="1" applyAlignment="1" applyProtection="1">
      <alignment horizontal="center"/>
      <protection hidden="1"/>
    </xf>
    <xf numFmtId="0" fontId="34" fillId="10" borderId="41" xfId="2" applyFont="1" applyFill="1" applyBorder="1" applyAlignment="1" applyProtection="1">
      <alignment horizontal="center"/>
      <protection hidden="1"/>
    </xf>
    <xf numFmtId="0" fontId="24" fillId="10" borderId="28" xfId="2" applyFont="1" applyFill="1" applyBorder="1" applyAlignment="1" applyProtection="1">
      <alignment horizontal="center" vertical="top"/>
      <protection hidden="1"/>
    </xf>
    <xf numFmtId="0" fontId="61" fillId="10" borderId="177" xfId="2" applyFont="1" applyFill="1" applyBorder="1" applyAlignment="1" applyProtection="1">
      <alignment horizontal="center" vertical="center"/>
      <protection hidden="1"/>
    </xf>
    <xf numFmtId="0" fontId="61" fillId="10" borderId="184" xfId="2" applyFont="1" applyFill="1" applyBorder="1" applyAlignment="1" applyProtection="1">
      <alignment horizontal="center" vertical="center"/>
      <protection hidden="1"/>
    </xf>
    <xf numFmtId="0" fontId="61" fillId="10" borderId="178" xfId="2" applyFont="1" applyFill="1" applyBorder="1" applyAlignment="1" applyProtection="1">
      <alignment horizontal="center" vertical="center"/>
      <protection hidden="1"/>
    </xf>
    <xf numFmtId="0" fontId="45" fillId="10" borderId="184" xfId="2" applyFont="1" applyFill="1" applyBorder="1" applyAlignment="1" applyProtection="1">
      <alignment horizontal="center" vertical="center"/>
      <protection hidden="1"/>
    </xf>
    <xf numFmtId="0" fontId="45" fillId="10" borderId="178" xfId="2" applyFont="1" applyFill="1" applyBorder="1" applyAlignment="1" applyProtection="1">
      <alignment horizontal="center" vertical="center"/>
      <protection hidden="1"/>
    </xf>
    <xf numFmtId="0" fontId="45" fillId="10" borderId="185" xfId="2" applyFont="1" applyFill="1" applyBorder="1" applyAlignment="1" applyProtection="1">
      <alignment horizontal="center" vertical="center"/>
      <protection hidden="1"/>
    </xf>
    <xf numFmtId="0" fontId="45" fillId="10" borderId="186" xfId="2" applyFont="1" applyFill="1" applyBorder="1" applyAlignment="1" applyProtection="1">
      <alignment horizontal="center" vertical="center"/>
      <protection hidden="1"/>
    </xf>
    <xf numFmtId="0" fontId="61" fillId="10" borderId="187" xfId="2" applyFont="1" applyFill="1" applyBorder="1" applyAlignment="1" applyProtection="1">
      <alignment horizontal="center" vertical="center"/>
      <protection hidden="1"/>
    </xf>
    <xf numFmtId="1" fontId="44" fillId="10" borderId="178" xfId="2" applyNumberFormat="1" applyFont="1" applyFill="1" applyBorder="1" applyAlignment="1" applyProtection="1">
      <alignment horizontal="center" vertical="center"/>
      <protection hidden="1"/>
    </xf>
    <xf numFmtId="0" fontId="61" fillId="10" borderId="6" xfId="2" applyFont="1" applyFill="1" applyBorder="1" applyAlignment="1" applyProtection="1">
      <alignment horizontal="center" vertical="center"/>
      <protection hidden="1"/>
    </xf>
    <xf numFmtId="0" fontId="46" fillId="10" borderId="16" xfId="2" applyFont="1" applyFill="1" applyBorder="1" applyAlignment="1" applyProtection="1">
      <alignment horizontal="center" vertical="center"/>
      <protection hidden="1"/>
    </xf>
    <xf numFmtId="178" fontId="45" fillId="10" borderId="6" xfId="2" applyNumberFormat="1" applyFont="1" applyFill="1" applyBorder="1" applyAlignment="1" applyProtection="1">
      <alignment vertical="center"/>
      <protection hidden="1"/>
    </xf>
    <xf numFmtId="0" fontId="37" fillId="10" borderId="6" xfId="2" applyFont="1" applyFill="1" applyBorder="1" applyAlignment="1" applyProtection="1">
      <alignment horizontal="center" vertical="center"/>
      <protection hidden="1"/>
    </xf>
    <xf numFmtId="0" fontId="24" fillId="7" borderId="0" xfId="2" applyFont="1" applyFill="1" applyAlignment="1" applyProtection="1">
      <alignment horizontal="right" vertical="center"/>
      <protection hidden="1"/>
    </xf>
    <xf numFmtId="0" fontId="46" fillId="7" borderId="0" xfId="2" applyFont="1" applyFill="1" applyAlignment="1" applyProtection="1">
      <alignment horizontal="center" vertical="center"/>
      <protection hidden="1"/>
    </xf>
    <xf numFmtId="0" fontId="17" fillId="7" borderId="0" xfId="0" applyFont="1" applyFill="1" applyAlignment="1" applyProtection="1">
      <alignment vertical="center"/>
      <protection hidden="1"/>
    </xf>
    <xf numFmtId="0" fontId="20" fillId="7" borderId="0" xfId="0" applyNumberFormat="1" applyFont="1" applyFill="1" applyBorder="1" applyAlignment="1" applyProtection="1">
      <alignment horizontal="left" vertical="center"/>
      <protection hidden="1"/>
    </xf>
    <xf numFmtId="0" fontId="10" fillId="7" borderId="0" xfId="0" applyNumberFormat="1" applyFont="1" applyFill="1" applyBorder="1" applyAlignment="1" applyProtection="1">
      <alignment horizontal="right" vertical="center"/>
      <protection hidden="1"/>
    </xf>
    <xf numFmtId="0" fontId="46" fillId="7" borderId="0" xfId="2" applyFont="1" applyFill="1" applyProtection="1">
      <protection hidden="1"/>
    </xf>
    <xf numFmtId="0" fontId="19" fillId="2" borderId="0" xfId="2" applyFont="1" applyFill="1" applyBorder="1" applyAlignment="1" applyProtection="1">
      <protection hidden="1"/>
    </xf>
    <xf numFmtId="0" fontId="3" fillId="2" borderId="0" xfId="2" applyFont="1" applyFill="1" applyAlignment="1" applyProtection="1">
      <alignment vertical="top"/>
      <protection hidden="1"/>
    </xf>
    <xf numFmtId="0" fontId="3" fillId="2" borderId="0" xfId="2" applyFont="1" applyFill="1" applyBorder="1" applyAlignment="1" applyProtection="1">
      <alignment vertical="top"/>
      <protection hidden="1"/>
    </xf>
    <xf numFmtId="0" fontId="91" fillId="2" borderId="0" xfId="2" applyFont="1" applyFill="1" applyAlignment="1" applyProtection="1">
      <protection hidden="1"/>
    </xf>
    <xf numFmtId="0" fontId="91" fillId="2" borderId="0" xfId="2" applyFont="1" applyFill="1" applyBorder="1" applyAlignment="1" applyProtection="1">
      <protection hidden="1"/>
    </xf>
    <xf numFmtId="0" fontId="91" fillId="2" borderId="0" xfId="2" applyFont="1" applyFill="1" applyAlignment="1" applyProtection="1">
      <alignment vertical="top"/>
      <protection hidden="1"/>
    </xf>
    <xf numFmtId="0" fontId="91" fillId="2" borderId="0" xfId="2" applyFont="1" applyFill="1" applyBorder="1" applyAlignment="1" applyProtection="1">
      <alignment vertical="top"/>
      <protection hidden="1"/>
    </xf>
    <xf numFmtId="0" fontId="45" fillId="10" borderId="0" xfId="2" applyFont="1" applyFill="1" applyAlignment="1" applyProtection="1">
      <alignment horizontal="center" vertical="center"/>
      <protection hidden="1"/>
    </xf>
    <xf numFmtId="0" fontId="45" fillId="10" borderId="0" xfId="2" applyFont="1" applyFill="1" applyBorder="1" applyAlignment="1" applyProtection="1">
      <alignment horizontal="center" vertical="center"/>
      <protection hidden="1"/>
    </xf>
    <xf numFmtId="0" fontId="34" fillId="10" borderId="0" xfId="2" applyFont="1" applyFill="1" applyBorder="1" applyAlignment="1" applyProtection="1">
      <alignment horizontal="center" vertical="center"/>
      <protection hidden="1"/>
    </xf>
    <xf numFmtId="0" fontId="57" fillId="2" borderId="50" xfId="2" applyFont="1" applyFill="1" applyBorder="1" applyAlignment="1" applyProtection="1">
      <alignment horizontal="center"/>
      <protection hidden="1"/>
    </xf>
    <xf numFmtId="0" fontId="57" fillId="2" borderId="35" xfId="2" applyFont="1" applyFill="1" applyBorder="1" applyAlignment="1" applyProtection="1">
      <alignment horizontal="center"/>
      <protection hidden="1"/>
    </xf>
    <xf numFmtId="0" fontId="57" fillId="2" borderId="55" xfId="2" applyFont="1" applyFill="1" applyBorder="1" applyAlignment="1" applyProtection="1">
      <alignment horizontal="center"/>
      <protection hidden="1"/>
    </xf>
    <xf numFmtId="0" fontId="57" fillId="2" borderId="52" xfId="2" applyFont="1" applyFill="1" applyBorder="1" applyAlignment="1" applyProtection="1">
      <alignment horizontal="center" vertical="top"/>
      <protection hidden="1"/>
    </xf>
    <xf numFmtId="0" fontId="57" fillId="2" borderId="40" xfId="2" applyFont="1" applyFill="1" applyBorder="1" applyAlignment="1" applyProtection="1">
      <alignment horizontal="center" vertical="top"/>
      <protection hidden="1"/>
    </xf>
    <xf numFmtId="0" fontId="57" fillId="2" borderId="73" xfId="2" applyFont="1" applyFill="1" applyBorder="1" applyAlignment="1" applyProtection="1">
      <alignment horizontal="center" vertical="top"/>
      <protection hidden="1"/>
    </xf>
    <xf numFmtId="0" fontId="58" fillId="2" borderId="51" xfId="2" applyFont="1" applyFill="1" applyBorder="1" applyAlignment="1" applyProtection="1">
      <alignment horizontal="center" vertical="top"/>
      <protection hidden="1"/>
    </xf>
    <xf numFmtId="0" fontId="58" fillId="2" borderId="36" xfId="2" applyFont="1" applyFill="1" applyBorder="1" applyAlignment="1" applyProtection="1">
      <alignment horizontal="center" vertical="top"/>
      <protection hidden="1"/>
    </xf>
    <xf numFmtId="0" fontId="58" fillId="2" borderId="56" xfId="2" applyFont="1" applyFill="1" applyBorder="1" applyAlignment="1" applyProtection="1">
      <alignment horizontal="center" vertical="top"/>
      <protection hidden="1"/>
    </xf>
    <xf numFmtId="168" fontId="3" fillId="8" borderId="45" xfId="2" applyNumberFormat="1" applyFont="1" applyFill="1" applyBorder="1" applyAlignment="1" applyProtection="1">
      <alignment vertical="center"/>
      <protection hidden="1"/>
    </xf>
    <xf numFmtId="168" fontId="3" fillId="8" borderId="46" xfId="2" applyNumberFormat="1" applyFont="1" applyFill="1" applyBorder="1" applyAlignment="1" applyProtection="1">
      <alignment vertical="center"/>
      <protection hidden="1"/>
    </xf>
    <xf numFmtId="168" fontId="3" fillId="8" borderId="47" xfId="2" applyNumberFormat="1" applyFont="1" applyFill="1" applyBorder="1" applyAlignment="1" applyProtection="1">
      <alignment vertical="center"/>
      <protection hidden="1"/>
    </xf>
    <xf numFmtId="168" fontId="3" fillId="2" borderId="25" xfId="2" applyNumberFormat="1" applyFill="1" applyBorder="1" applyAlignment="1" applyProtection="1">
      <alignment vertical="center"/>
      <protection hidden="1"/>
    </xf>
    <xf numFmtId="168" fontId="3" fillId="8" borderId="45" xfId="2" applyNumberFormat="1" applyFill="1" applyBorder="1" applyAlignment="1" applyProtection="1">
      <alignment vertical="center"/>
      <protection hidden="1"/>
    </xf>
    <xf numFmtId="168" fontId="3" fillId="8" borderId="46" xfId="2" applyNumberFormat="1" applyFill="1" applyBorder="1" applyAlignment="1" applyProtection="1">
      <alignment vertical="center"/>
      <protection hidden="1"/>
    </xf>
    <xf numFmtId="168" fontId="3" fillId="8" borderId="47" xfId="2" applyNumberFormat="1" applyFill="1" applyBorder="1" applyAlignment="1" applyProtection="1">
      <alignment vertical="center"/>
      <protection hidden="1"/>
    </xf>
    <xf numFmtId="169" fontId="8" fillId="2" borderId="24" xfId="2" applyNumberFormat="1" applyFont="1" applyFill="1" applyBorder="1" applyProtection="1">
      <protection hidden="1"/>
    </xf>
    <xf numFmtId="169" fontId="8" fillId="2" borderId="13" xfId="2" applyNumberFormat="1" applyFont="1" applyFill="1" applyBorder="1" applyAlignment="1" applyProtection="1">
      <alignment vertical="top"/>
      <protection hidden="1"/>
    </xf>
    <xf numFmtId="0" fontId="91" fillId="2" borderId="20" xfId="2" applyFont="1" applyFill="1" applyBorder="1" applyAlignment="1" applyProtection="1">
      <protection hidden="1"/>
    </xf>
    <xf numFmtId="0" fontId="91" fillId="2" borderId="20" xfId="2" applyFont="1" applyFill="1" applyBorder="1" applyAlignment="1" applyProtection="1">
      <alignment vertical="top"/>
      <protection hidden="1"/>
    </xf>
    <xf numFmtId="0" fontId="3" fillId="2" borderId="20" xfId="2" applyFill="1" applyBorder="1" applyAlignment="1" applyProtection="1">
      <protection hidden="1"/>
    </xf>
    <xf numFmtId="0" fontId="3" fillId="2" borderId="2" xfId="2" applyFill="1" applyBorder="1" applyProtection="1">
      <protection hidden="1"/>
    </xf>
    <xf numFmtId="168" fontId="3" fillId="2" borderId="0" xfId="2" applyNumberFormat="1" applyFill="1" applyProtection="1">
      <protection hidden="1"/>
    </xf>
    <xf numFmtId="168" fontId="3" fillId="2" borderId="0" xfId="2" applyNumberFormat="1" applyFill="1" applyAlignment="1" applyProtection="1">
      <alignment vertical="top"/>
      <protection hidden="1"/>
    </xf>
    <xf numFmtId="0" fontId="64" fillId="2" borderId="0" xfId="2" applyFont="1" applyFill="1" applyProtection="1">
      <protection hidden="1"/>
    </xf>
    <xf numFmtId="167" fontId="62" fillId="2" borderId="57" xfId="2" applyNumberFormat="1" applyFont="1" applyFill="1" applyBorder="1" applyAlignment="1" applyProtection="1">
      <alignment horizontal="center" vertical="center"/>
      <protection hidden="1"/>
    </xf>
    <xf numFmtId="167" fontId="62" fillId="2" borderId="59" xfId="2" applyNumberFormat="1" applyFont="1" applyFill="1" applyBorder="1" applyAlignment="1" applyProtection="1">
      <alignment horizontal="center" vertical="center"/>
      <protection hidden="1"/>
    </xf>
    <xf numFmtId="167" fontId="62" fillId="2" borderId="45" xfId="2" applyNumberFormat="1" applyFont="1" applyFill="1" applyBorder="1" applyAlignment="1" applyProtection="1">
      <alignment horizontal="center" vertical="center"/>
      <protection hidden="1"/>
    </xf>
    <xf numFmtId="167" fontId="62" fillId="2" borderId="47" xfId="2" applyNumberFormat="1" applyFont="1" applyFill="1" applyBorder="1" applyAlignment="1" applyProtection="1">
      <alignment horizontal="center" vertical="center"/>
      <protection hidden="1"/>
    </xf>
    <xf numFmtId="0" fontId="44" fillId="9" borderId="6" xfId="0" applyNumberFormat="1" applyFont="1" applyFill="1" applyBorder="1" applyAlignment="1" applyProtection="1">
      <alignment horizontal="center" vertical="center"/>
      <protection hidden="1"/>
    </xf>
    <xf numFmtId="0" fontId="44" fillId="7" borderId="16" xfId="0" applyNumberFormat="1" applyFont="1" applyFill="1" applyBorder="1" applyAlignment="1" applyProtection="1">
      <alignment horizontal="center" vertical="center"/>
      <protection hidden="1"/>
    </xf>
    <xf numFmtId="0" fontId="44" fillId="10" borderId="174" xfId="0" applyNumberFormat="1" applyFont="1" applyFill="1" applyBorder="1" applyAlignment="1" applyProtection="1">
      <alignment horizontal="center" vertical="center"/>
      <protection hidden="1"/>
    </xf>
    <xf numFmtId="167" fontId="33" fillId="2" borderId="27" xfId="0" applyNumberFormat="1" applyFont="1" applyFill="1" applyBorder="1" applyAlignment="1" applyProtection="1">
      <alignment horizontal="center" vertical="center"/>
      <protection hidden="1"/>
    </xf>
    <xf numFmtId="167" fontId="133" fillId="10" borderId="6"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vertical="center"/>
      <protection hidden="1"/>
    </xf>
    <xf numFmtId="166" fontId="18" fillId="0" borderId="0" xfId="0" applyNumberFormat="1" applyFont="1" applyFill="1" applyBorder="1" applyAlignment="1" applyProtection="1">
      <alignment vertical="center"/>
      <protection hidden="1"/>
    </xf>
    <xf numFmtId="0" fontId="19" fillId="0" borderId="0" xfId="0" applyFont="1" applyFill="1" applyBorder="1" applyAlignment="1" applyProtection="1">
      <alignment horizontal="center" vertical="center"/>
      <protection hidden="1"/>
    </xf>
    <xf numFmtId="168" fontId="18" fillId="2" borderId="25" xfId="2" applyNumberFormat="1" applyFont="1" applyFill="1" applyBorder="1" applyAlignment="1" applyProtection="1">
      <alignment horizontal="right" vertical="center"/>
      <protection hidden="1"/>
    </xf>
    <xf numFmtId="168" fontId="8" fillId="2" borderId="25" xfId="2" applyNumberFormat="1" applyFont="1" applyFill="1" applyBorder="1" applyAlignment="1" applyProtection="1">
      <alignment vertical="center"/>
      <protection hidden="1"/>
    </xf>
    <xf numFmtId="168" fontId="18" fillId="2" borderId="17" xfId="2" applyNumberFormat="1" applyFont="1" applyFill="1" applyBorder="1" applyAlignment="1" applyProtection="1">
      <alignment horizontal="right" vertical="center"/>
      <protection hidden="1"/>
    </xf>
    <xf numFmtId="168" fontId="18" fillId="2" borderId="34" xfId="2" applyNumberFormat="1" applyFont="1" applyFill="1" applyBorder="1" applyAlignment="1" applyProtection="1">
      <protection hidden="1"/>
    </xf>
    <xf numFmtId="168" fontId="18" fillId="2" borderId="35" xfId="2" applyNumberFormat="1" applyFont="1" applyFill="1" applyBorder="1" applyAlignment="1" applyProtection="1">
      <protection hidden="1"/>
    </xf>
    <xf numFmtId="168" fontId="18" fillId="2" borderId="22" xfId="2" applyNumberFormat="1" applyFont="1" applyFill="1" applyBorder="1" applyAlignment="1" applyProtection="1">
      <protection hidden="1"/>
    </xf>
    <xf numFmtId="168" fontId="18" fillId="2" borderId="2" xfId="2" applyNumberFormat="1" applyFont="1" applyFill="1" applyBorder="1" applyAlignment="1" applyProtection="1">
      <alignment vertical="top"/>
      <protection hidden="1"/>
    </xf>
    <xf numFmtId="168" fontId="18" fillId="2" borderId="36" xfId="2" applyNumberFormat="1" applyFont="1" applyFill="1" applyBorder="1" applyAlignment="1" applyProtection="1">
      <alignment vertical="top"/>
      <protection hidden="1"/>
    </xf>
    <xf numFmtId="168" fontId="18" fillId="2" borderId="3" xfId="2" applyNumberFormat="1" applyFont="1" applyFill="1" applyBorder="1" applyAlignment="1" applyProtection="1">
      <alignment vertical="top"/>
      <protection hidden="1"/>
    </xf>
    <xf numFmtId="0" fontId="140" fillId="2" borderId="5" xfId="2" applyFont="1" applyFill="1" applyBorder="1" applyAlignment="1" applyProtection="1">
      <alignment horizontal="center" vertical="center"/>
      <protection hidden="1"/>
    </xf>
    <xf numFmtId="0" fontId="140" fillId="2" borderId="47" xfId="2" applyFont="1" applyFill="1" applyBorder="1" applyAlignment="1" applyProtection="1">
      <alignment horizontal="center" vertical="center"/>
      <protection hidden="1"/>
    </xf>
    <xf numFmtId="0" fontId="156" fillId="2" borderId="4" xfId="2" applyFont="1" applyFill="1" applyBorder="1" applyAlignment="1" applyProtection="1">
      <alignment horizontal="center" vertical="top"/>
      <protection hidden="1"/>
    </xf>
    <xf numFmtId="0" fontId="14" fillId="2" borderId="12" xfId="2" applyFont="1" applyFill="1" applyBorder="1" applyAlignment="1" applyProtection="1">
      <alignment horizontal="center" vertical="top"/>
      <protection hidden="1"/>
    </xf>
    <xf numFmtId="0" fontId="3" fillId="10" borderId="174" xfId="2" applyFont="1" applyFill="1" applyBorder="1" applyAlignment="1" applyProtection="1">
      <alignment horizontal="center" vertical="center"/>
      <protection hidden="1"/>
    </xf>
    <xf numFmtId="0" fontId="135" fillId="7" borderId="0" xfId="2" applyFont="1" applyFill="1" applyAlignment="1" applyProtection="1">
      <alignment horizontal="left" vertical="center" indent="1"/>
      <protection hidden="1"/>
    </xf>
    <xf numFmtId="0" fontId="63" fillId="2" borderId="25" xfId="0" applyNumberFormat="1" applyFont="1" applyFill="1" applyBorder="1" applyAlignment="1" applyProtection="1">
      <alignment horizontal="center" vertical="center"/>
      <protection hidden="1"/>
    </xf>
    <xf numFmtId="168" fontId="143" fillId="2" borderId="32" xfId="0" applyNumberFormat="1" applyFont="1" applyFill="1" applyBorder="1" applyAlignment="1" applyProtection="1">
      <alignment horizontal="right" vertical="center"/>
      <protection hidden="1"/>
    </xf>
    <xf numFmtId="168" fontId="143" fillId="2" borderId="6" xfId="0" applyNumberFormat="1" applyFont="1" applyFill="1" applyBorder="1" applyAlignment="1" applyProtection="1">
      <alignment horizontal="right" vertical="center"/>
      <protection hidden="1"/>
    </xf>
    <xf numFmtId="168" fontId="143" fillId="2" borderId="84" xfId="0" applyNumberFormat="1" applyFont="1" applyFill="1" applyBorder="1" applyAlignment="1" applyProtection="1">
      <alignment horizontal="right" vertical="center"/>
      <protection hidden="1"/>
    </xf>
    <xf numFmtId="168" fontId="143" fillId="2" borderId="35" xfId="0" applyNumberFormat="1" applyFont="1" applyFill="1" applyBorder="1" applyAlignment="1" applyProtection="1">
      <alignment horizontal="right" vertical="center"/>
      <protection hidden="1"/>
    </xf>
    <xf numFmtId="168" fontId="143" fillId="2" borderId="52" xfId="0" applyNumberFormat="1" applyFont="1" applyFill="1" applyBorder="1" applyAlignment="1" applyProtection="1">
      <alignment horizontal="right"/>
      <protection hidden="1"/>
    </xf>
    <xf numFmtId="168" fontId="143" fillId="2" borderId="40" xfId="0" applyNumberFormat="1" applyFont="1" applyFill="1" applyBorder="1" applyAlignment="1" applyProtection="1">
      <alignment horizontal="right"/>
      <protection hidden="1"/>
    </xf>
    <xf numFmtId="168" fontId="143" fillId="2" borderId="52" xfId="0" applyNumberFormat="1" applyFont="1" applyFill="1" applyBorder="1" applyAlignment="1" applyProtection="1">
      <alignment horizontal="right" vertical="center"/>
      <protection hidden="1"/>
    </xf>
    <xf numFmtId="168" fontId="143" fillId="2" borderId="40" xfId="0" applyNumberFormat="1" applyFont="1" applyFill="1" applyBorder="1" applyAlignment="1" applyProtection="1">
      <alignment horizontal="right" vertical="center"/>
      <protection hidden="1"/>
    </xf>
    <xf numFmtId="168" fontId="143" fillId="2" borderId="68" xfId="0" applyNumberFormat="1" applyFont="1" applyFill="1" applyBorder="1" applyAlignment="1" applyProtection="1">
      <alignment horizontal="right" vertical="top"/>
      <protection hidden="1"/>
    </xf>
    <xf numFmtId="168" fontId="143" fillId="2" borderId="31" xfId="0" applyNumberFormat="1" applyFont="1" applyFill="1" applyBorder="1" applyAlignment="1" applyProtection="1">
      <alignment horizontal="right" vertical="top"/>
      <protection hidden="1"/>
    </xf>
    <xf numFmtId="168" fontId="143" fillId="2" borderId="18" xfId="0" applyNumberFormat="1" applyFont="1" applyFill="1" applyBorder="1" applyAlignment="1" applyProtection="1">
      <alignment horizontal="right" vertical="center"/>
      <protection hidden="1"/>
    </xf>
    <xf numFmtId="0" fontId="44" fillId="2" borderId="0" xfId="2" applyFont="1" applyFill="1" applyBorder="1" applyAlignment="1" applyProtection="1">
      <alignment horizontal="center" vertical="center"/>
      <protection hidden="1"/>
    </xf>
    <xf numFmtId="0" fontId="3" fillId="2" borderId="0" xfId="0" applyFont="1" applyFill="1" applyAlignment="1" applyProtection="1">
      <alignment vertical="center"/>
      <protection hidden="1"/>
    </xf>
    <xf numFmtId="166" fontId="87" fillId="8" borderId="45" xfId="0" applyNumberFormat="1" applyFont="1" applyFill="1" applyBorder="1" applyAlignment="1" applyProtection="1">
      <alignment horizontal="center" vertical="center"/>
      <protection hidden="1"/>
    </xf>
    <xf numFmtId="166" fontId="87" fillId="8" borderId="46" xfId="0" applyNumberFormat="1" applyFont="1" applyFill="1" applyBorder="1" applyAlignment="1" applyProtection="1">
      <alignment horizontal="center" vertical="center"/>
      <protection hidden="1"/>
    </xf>
    <xf numFmtId="166" fontId="87" fillId="8" borderId="53" xfId="0" applyNumberFormat="1" applyFont="1" applyFill="1" applyBorder="1" applyAlignment="1" applyProtection="1">
      <alignment horizontal="center" vertical="center"/>
      <protection hidden="1"/>
    </xf>
    <xf numFmtId="166" fontId="87" fillId="8" borderId="54"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vertical="center"/>
      <protection hidden="1"/>
    </xf>
    <xf numFmtId="166" fontId="140" fillId="8" borderId="18" xfId="0" applyNumberFormat="1" applyFont="1" applyFill="1" applyBorder="1" applyAlignment="1" applyProtection="1">
      <alignment vertical="center"/>
      <protection hidden="1"/>
    </xf>
    <xf numFmtId="168" fontId="143" fillId="8" borderId="33" xfId="0" applyNumberFormat="1" applyFont="1" applyFill="1" applyBorder="1" applyAlignment="1" applyProtection="1">
      <alignment horizontal="right" vertical="center"/>
      <protection hidden="1"/>
    </xf>
    <xf numFmtId="168" fontId="1" fillId="2" borderId="0" xfId="0" applyNumberFormat="1" applyFont="1" applyFill="1" applyBorder="1" applyAlignment="1" applyProtection="1">
      <alignment horizontal="right" vertical="center"/>
      <protection hidden="1"/>
    </xf>
    <xf numFmtId="166" fontId="157" fillId="7" borderId="19" xfId="0" applyNumberFormat="1" applyFont="1" applyFill="1" applyBorder="1" applyAlignment="1" applyProtection="1">
      <alignment vertical="center"/>
      <protection hidden="1"/>
    </xf>
    <xf numFmtId="168" fontId="158" fillId="8" borderId="60" xfId="0" applyNumberFormat="1" applyFont="1" applyFill="1" applyBorder="1" applyAlignment="1" applyProtection="1">
      <alignment horizontal="right" vertical="center"/>
      <protection hidden="1"/>
    </xf>
    <xf numFmtId="168" fontId="158" fillId="7" borderId="38" xfId="0" applyNumberFormat="1" applyFont="1" applyFill="1" applyBorder="1" applyAlignment="1" applyProtection="1">
      <alignment horizontal="right" vertical="center"/>
      <protection hidden="1"/>
    </xf>
    <xf numFmtId="168" fontId="158" fillId="8" borderId="19" xfId="0" applyNumberFormat="1" applyFont="1" applyFill="1" applyBorder="1" applyAlignment="1" applyProtection="1">
      <alignment horizontal="right" vertical="center"/>
      <protection hidden="1"/>
    </xf>
    <xf numFmtId="166" fontId="154" fillId="8" borderId="12" xfId="0" applyNumberFormat="1" applyFont="1" applyFill="1" applyBorder="1" applyAlignment="1" applyProtection="1">
      <protection hidden="1"/>
    </xf>
    <xf numFmtId="166" fontId="154" fillId="8" borderId="12" xfId="0" applyNumberFormat="1" applyFont="1" applyFill="1" applyBorder="1" applyAlignment="1" applyProtection="1">
      <alignment vertical="center"/>
      <protection hidden="1"/>
    </xf>
    <xf numFmtId="166" fontId="154" fillId="8" borderId="44" xfId="0" applyNumberFormat="1" applyFont="1" applyFill="1" applyBorder="1" applyAlignment="1" applyProtection="1">
      <alignment vertical="top"/>
      <protection hidden="1"/>
    </xf>
    <xf numFmtId="168" fontId="143" fillId="8" borderId="55" xfId="0" applyNumberFormat="1" applyFont="1" applyFill="1" applyBorder="1" applyAlignment="1" applyProtection="1">
      <alignment horizontal="right" vertical="center"/>
      <protection hidden="1"/>
    </xf>
    <xf numFmtId="168" fontId="143" fillId="8" borderId="73" xfId="0" applyNumberFormat="1" applyFont="1" applyFill="1" applyBorder="1" applyAlignment="1" applyProtection="1">
      <alignment horizontal="right"/>
      <protection hidden="1"/>
    </xf>
    <xf numFmtId="168" fontId="143" fillId="8" borderId="73" xfId="0" applyNumberFormat="1" applyFont="1" applyFill="1" applyBorder="1" applyAlignment="1" applyProtection="1">
      <alignment horizontal="right" vertical="center"/>
      <protection hidden="1"/>
    </xf>
    <xf numFmtId="168" fontId="143" fillId="8" borderId="69" xfId="0" applyNumberFormat="1" applyFont="1" applyFill="1" applyBorder="1" applyAlignment="1" applyProtection="1">
      <alignment horizontal="right" vertical="top"/>
      <protection hidden="1"/>
    </xf>
    <xf numFmtId="168" fontId="143" fillId="8" borderId="24" xfId="0" applyNumberFormat="1" applyFont="1" applyFill="1" applyBorder="1" applyAlignment="1" applyProtection="1">
      <alignment horizontal="right" vertical="center"/>
      <protection hidden="1"/>
    </xf>
    <xf numFmtId="168" fontId="143" fillId="8" borderId="12" xfId="0" applyNumberFormat="1" applyFont="1" applyFill="1" applyBorder="1" applyAlignment="1" applyProtection="1">
      <alignment horizontal="right"/>
      <protection hidden="1"/>
    </xf>
    <xf numFmtId="168" fontId="143" fillId="8" borderId="12" xfId="0" applyNumberFormat="1" applyFont="1" applyFill="1" applyBorder="1" applyAlignment="1" applyProtection="1">
      <alignment horizontal="right" vertical="center"/>
      <protection hidden="1"/>
    </xf>
    <xf numFmtId="168" fontId="142" fillId="8" borderId="45" xfId="0" applyNumberFormat="1" applyFont="1" applyFill="1" applyBorder="1" applyAlignment="1" applyProtection="1">
      <alignment horizontal="right" vertical="center"/>
      <protection hidden="1"/>
    </xf>
    <xf numFmtId="168" fontId="142" fillId="8" borderId="46" xfId="0" applyNumberFormat="1" applyFont="1" applyFill="1" applyBorder="1" applyAlignment="1" applyProtection="1">
      <alignment horizontal="right" vertical="center"/>
      <protection hidden="1"/>
    </xf>
    <xf numFmtId="168" fontId="142" fillId="2" borderId="47" xfId="0" applyNumberFormat="1" applyFont="1" applyFill="1" applyBorder="1" applyAlignment="1" applyProtection="1">
      <alignment horizontal="right" vertical="center"/>
      <protection hidden="1"/>
    </xf>
    <xf numFmtId="168" fontId="142" fillId="2" borderId="25" xfId="0" applyNumberFormat="1" applyFont="1" applyFill="1" applyBorder="1" applyAlignment="1" applyProtection="1">
      <alignment horizontal="right" vertical="center"/>
      <protection hidden="1"/>
    </xf>
    <xf numFmtId="166" fontId="52" fillId="8" borderId="25" xfId="0" applyNumberFormat="1" applyFont="1" applyFill="1" applyBorder="1" applyAlignment="1" applyProtection="1">
      <alignment horizontal="left" vertical="center"/>
      <protection hidden="1"/>
    </xf>
    <xf numFmtId="168" fontId="136" fillId="2" borderId="45" xfId="0" applyNumberFormat="1" applyFont="1" applyFill="1" applyBorder="1" applyAlignment="1" applyProtection="1">
      <alignment horizontal="right" vertical="center"/>
      <protection hidden="1"/>
    </xf>
    <xf numFmtId="168" fontId="136" fillId="2" borderId="46" xfId="0" applyNumberFormat="1" applyFont="1" applyFill="1" applyBorder="1" applyAlignment="1" applyProtection="1">
      <alignment horizontal="right" vertical="center"/>
      <protection hidden="1"/>
    </xf>
    <xf numFmtId="168" fontId="136" fillId="8" borderId="47" xfId="0" applyNumberFormat="1" applyFont="1" applyFill="1" applyBorder="1" applyAlignment="1" applyProtection="1">
      <alignment horizontal="right" vertical="center"/>
      <protection hidden="1"/>
    </xf>
    <xf numFmtId="168" fontId="136" fillId="8" borderId="25" xfId="0" applyNumberFormat="1" applyFont="1" applyFill="1" applyBorder="1" applyAlignment="1" applyProtection="1">
      <alignment horizontal="right" vertical="center"/>
      <protection hidden="1"/>
    </xf>
    <xf numFmtId="168" fontId="142" fillId="8" borderId="50" xfId="0" applyNumberFormat="1" applyFont="1" applyFill="1" applyBorder="1" applyAlignment="1" applyProtection="1">
      <alignment horizontal="right"/>
      <protection hidden="1"/>
    </xf>
    <xf numFmtId="168" fontId="142" fillId="8" borderId="35" xfId="0" applyNumberFormat="1" applyFont="1" applyFill="1" applyBorder="1" applyAlignment="1" applyProtection="1">
      <alignment horizontal="right"/>
      <protection hidden="1"/>
    </xf>
    <xf numFmtId="168" fontId="142" fillId="7" borderId="55" xfId="0" applyNumberFormat="1" applyFont="1" applyFill="1" applyBorder="1" applyAlignment="1" applyProtection="1">
      <alignment horizontal="right"/>
      <protection hidden="1"/>
    </xf>
    <xf numFmtId="168" fontId="142" fillId="7" borderId="24" xfId="0" applyNumberFormat="1" applyFont="1" applyFill="1" applyBorder="1" applyAlignment="1" applyProtection="1">
      <alignment horizontal="right"/>
      <protection hidden="1"/>
    </xf>
    <xf numFmtId="168" fontId="142" fillId="8" borderId="51" xfId="0" applyNumberFormat="1" applyFont="1" applyFill="1" applyBorder="1" applyAlignment="1" applyProtection="1">
      <alignment horizontal="right" vertical="top"/>
      <protection hidden="1"/>
    </xf>
    <xf numFmtId="168" fontId="142" fillId="8" borderId="36" xfId="0" applyNumberFormat="1" applyFont="1" applyFill="1" applyBorder="1" applyAlignment="1" applyProtection="1">
      <alignment horizontal="right" vertical="top"/>
      <protection hidden="1"/>
    </xf>
    <xf numFmtId="168" fontId="142" fillId="7" borderId="56" xfId="0" applyNumberFormat="1" applyFont="1" applyFill="1" applyBorder="1" applyAlignment="1" applyProtection="1">
      <alignment horizontal="right" vertical="top"/>
      <protection hidden="1"/>
    </xf>
    <xf numFmtId="168" fontId="142" fillId="7" borderId="13" xfId="0" applyNumberFormat="1" applyFont="1" applyFill="1" applyBorder="1" applyAlignment="1" applyProtection="1">
      <alignment horizontal="right" vertical="top"/>
      <protection hidden="1"/>
    </xf>
    <xf numFmtId="168" fontId="143" fillId="8" borderId="13" xfId="0" applyNumberFormat="1" applyFont="1" applyFill="1" applyBorder="1" applyAlignment="1" applyProtection="1">
      <alignment horizontal="right" vertical="top"/>
      <protection hidden="1"/>
    </xf>
    <xf numFmtId="167" fontId="14" fillId="7" borderId="0" xfId="0" applyNumberFormat="1" applyFont="1" applyFill="1" applyBorder="1" applyAlignment="1" applyProtection="1">
      <alignment horizontal="center" vertical="center"/>
      <protection hidden="1"/>
    </xf>
    <xf numFmtId="0" fontId="33" fillId="7" borderId="14" xfId="0" applyNumberFormat="1" applyFont="1" applyFill="1" applyBorder="1" applyAlignment="1" applyProtection="1">
      <alignment horizontal="center" vertical="center"/>
      <protection hidden="1"/>
    </xf>
    <xf numFmtId="167" fontId="14" fillId="10" borderId="66" xfId="0" applyNumberFormat="1" applyFont="1" applyFill="1" applyBorder="1" applyAlignment="1" applyProtection="1">
      <alignment horizontal="center" vertical="center"/>
      <protection hidden="1"/>
    </xf>
    <xf numFmtId="172" fontId="160" fillId="2" borderId="0" xfId="0" applyNumberFormat="1" applyFont="1" applyFill="1" applyBorder="1" applyAlignment="1" applyProtection="1">
      <alignment horizontal="right" vertical="center"/>
      <protection hidden="1"/>
    </xf>
    <xf numFmtId="166" fontId="161" fillId="2" borderId="0" xfId="0" applyNumberFormat="1" applyFont="1" applyFill="1" applyBorder="1" applyAlignment="1" applyProtection="1">
      <alignment vertical="center"/>
      <protection hidden="1"/>
    </xf>
    <xf numFmtId="176" fontId="147" fillId="2" borderId="0" xfId="0" applyNumberFormat="1" applyFont="1" applyFill="1" applyBorder="1" applyAlignment="1" applyProtection="1">
      <alignment horizontal="center" vertical="center"/>
      <protection hidden="1"/>
    </xf>
    <xf numFmtId="168" fontId="162" fillId="2" borderId="0" xfId="0" applyNumberFormat="1" applyFont="1" applyFill="1" applyBorder="1" applyAlignment="1" applyProtection="1">
      <alignment horizontal="right" vertical="center"/>
      <protection hidden="1"/>
    </xf>
    <xf numFmtId="0" fontId="33" fillId="8" borderId="6" xfId="0" applyFont="1" applyFill="1" applyBorder="1" applyAlignment="1" applyProtection="1">
      <alignment horizontal="center" vertical="center"/>
      <protection hidden="1"/>
    </xf>
    <xf numFmtId="166" fontId="74" fillId="2" borderId="0" xfId="0" applyNumberFormat="1" applyFont="1" applyFill="1" applyBorder="1" applyAlignment="1" applyProtection="1">
      <alignment horizontal="right" vertical="top"/>
      <protection hidden="1"/>
    </xf>
    <xf numFmtId="0" fontId="33" fillId="2" borderId="21" xfId="2" applyFont="1" applyFill="1" applyBorder="1" applyAlignment="1" applyProtection="1">
      <alignment horizontal="left" vertical="center" indent="1"/>
      <protection hidden="1"/>
    </xf>
    <xf numFmtId="168" fontId="27" fillId="10" borderId="17" xfId="2" applyNumberFormat="1" applyFont="1" applyFill="1" applyBorder="1" applyAlignment="1" applyProtection="1">
      <alignment horizontal="right" vertical="center"/>
      <protection hidden="1"/>
    </xf>
    <xf numFmtId="168" fontId="27" fillId="10" borderId="18" xfId="2" applyNumberFormat="1" applyFont="1" applyFill="1" applyBorder="1" applyAlignment="1" applyProtection="1">
      <alignment horizontal="right" vertical="center"/>
      <protection hidden="1"/>
    </xf>
    <xf numFmtId="168" fontId="27" fillId="10" borderId="19" xfId="2" applyNumberFormat="1" applyFont="1" applyFill="1" applyBorder="1" applyAlignment="1" applyProtection="1">
      <alignment horizontal="right" vertical="center"/>
      <protection hidden="1"/>
    </xf>
    <xf numFmtId="0" fontId="17" fillId="2" borderId="0" xfId="2" applyFont="1" applyFill="1" applyAlignment="1" applyProtection="1">
      <alignment horizontal="center"/>
      <protection hidden="1"/>
    </xf>
    <xf numFmtId="187" fontId="150" fillId="10" borderId="174" xfId="0" applyNumberFormat="1" applyFont="1" applyFill="1" applyBorder="1" applyAlignment="1" applyProtection="1">
      <alignment horizontal="center" vertical="center"/>
      <protection hidden="1"/>
    </xf>
    <xf numFmtId="0" fontId="62" fillId="2" borderId="0" xfId="0" applyNumberFormat="1" applyFont="1" applyFill="1" applyBorder="1" applyAlignment="1" applyProtection="1">
      <alignment horizontal="center"/>
      <protection hidden="1"/>
    </xf>
    <xf numFmtId="0" fontId="136" fillId="2" borderId="0" xfId="0" applyNumberFormat="1" applyFont="1" applyFill="1" applyBorder="1" applyAlignment="1" applyProtection="1">
      <alignment horizontal="center" vertical="top"/>
      <protection hidden="1"/>
    </xf>
    <xf numFmtId="168" fontId="8" fillId="2" borderId="0" xfId="2" applyNumberFormat="1" applyFont="1" applyFill="1" applyBorder="1" applyAlignment="1" applyProtection="1">
      <alignment horizontal="center" vertical="top"/>
      <protection hidden="1"/>
    </xf>
    <xf numFmtId="0" fontId="14" fillId="2" borderId="68" xfId="0" applyNumberFormat="1" applyFont="1" applyFill="1" applyBorder="1" applyAlignment="1" applyProtection="1">
      <alignment horizontal="center" vertical="center"/>
      <protection hidden="1"/>
    </xf>
    <xf numFmtId="0" fontId="14" fillId="2" borderId="31" xfId="0" applyNumberFormat="1" applyFont="1" applyFill="1" applyBorder="1" applyAlignment="1" applyProtection="1">
      <alignment horizontal="center" vertical="center"/>
      <protection hidden="1"/>
    </xf>
    <xf numFmtId="0" fontId="14" fillId="2" borderId="69" xfId="0" applyNumberFormat="1" applyFont="1" applyFill="1" applyBorder="1" applyAlignment="1" applyProtection="1">
      <alignment horizontal="center" vertical="center"/>
      <protection hidden="1"/>
    </xf>
    <xf numFmtId="0" fontId="41" fillId="8" borderId="45" xfId="2" applyFont="1" applyFill="1" applyBorder="1" applyAlignment="1" applyProtection="1">
      <alignment horizontal="center" vertical="center"/>
      <protection hidden="1"/>
    </xf>
    <xf numFmtId="0" fontId="41" fillId="8" borderId="46" xfId="2" applyFont="1" applyFill="1" applyBorder="1" applyAlignment="1" applyProtection="1">
      <alignment horizontal="center" vertical="center"/>
      <protection hidden="1"/>
    </xf>
    <xf numFmtId="0" fontId="41" fillId="8" borderId="47" xfId="2" applyFont="1" applyFill="1" applyBorder="1" applyAlignment="1" applyProtection="1">
      <alignment horizontal="center" vertical="center"/>
      <protection hidden="1"/>
    </xf>
    <xf numFmtId="168" fontId="18" fillId="8" borderId="5" xfId="2" applyNumberFormat="1" applyFont="1" applyFill="1" applyBorder="1" applyAlignment="1" applyProtection="1">
      <alignment vertical="center"/>
      <protection hidden="1"/>
    </xf>
    <xf numFmtId="168" fontId="18" fillId="8" borderId="46" xfId="2" applyNumberFormat="1" applyFont="1" applyFill="1" applyBorder="1" applyAlignment="1" applyProtection="1">
      <alignment vertical="center"/>
      <protection hidden="1"/>
    </xf>
    <xf numFmtId="168" fontId="18" fillId="8" borderId="79" xfId="2" applyNumberFormat="1" applyFont="1" applyFill="1" applyBorder="1" applyAlignment="1" applyProtection="1">
      <alignment vertical="center"/>
      <protection hidden="1"/>
    </xf>
    <xf numFmtId="168" fontId="142" fillId="7" borderId="54" xfId="2" applyNumberFormat="1" applyFont="1" applyFill="1" applyBorder="1" applyAlignment="1" applyProtection="1">
      <alignment horizontal="right" vertical="center"/>
      <protection hidden="1"/>
    </xf>
    <xf numFmtId="0" fontId="14" fillId="2" borderId="0" xfId="2" applyFont="1" applyFill="1" applyBorder="1" applyAlignment="1" applyProtection="1">
      <protection hidden="1"/>
    </xf>
    <xf numFmtId="166" fontId="12" fillId="7" borderId="0" xfId="2" applyNumberFormat="1" applyFont="1" applyFill="1" applyBorder="1" applyAlignment="1" applyProtection="1">
      <alignment horizontal="right"/>
      <protection hidden="1"/>
    </xf>
    <xf numFmtId="0" fontId="164" fillId="2" borderId="34" xfId="2" applyNumberFormat="1" applyFont="1" applyFill="1" applyBorder="1" applyAlignment="1" applyProtection="1">
      <alignment horizontal="center"/>
      <protection hidden="1"/>
    </xf>
    <xf numFmtId="0" fontId="164" fillId="2" borderId="42" xfId="2" applyNumberFormat="1" applyFont="1" applyFill="1" applyBorder="1" applyAlignment="1" applyProtection="1">
      <alignment horizontal="center"/>
      <protection hidden="1"/>
    </xf>
    <xf numFmtId="0" fontId="168" fillId="7" borderId="0" xfId="0" applyNumberFormat="1" applyFont="1" applyFill="1" applyAlignment="1" applyProtection="1">
      <alignment horizontal="left" vertical="top"/>
      <protection hidden="1"/>
    </xf>
    <xf numFmtId="0" fontId="136" fillId="7" borderId="0" xfId="0" applyFont="1" applyFill="1" applyAlignment="1" applyProtection="1">
      <alignment horizontal="center" vertical="center"/>
      <protection hidden="1"/>
    </xf>
    <xf numFmtId="168" fontId="169" fillId="2" borderId="0" xfId="0" applyNumberFormat="1" applyFont="1" applyFill="1" applyBorder="1" applyAlignment="1" applyProtection="1">
      <alignment horizontal="center" vertical="top"/>
      <protection hidden="1"/>
    </xf>
    <xf numFmtId="0" fontId="169" fillId="7" borderId="0" xfId="0" applyFont="1" applyFill="1" applyProtection="1">
      <protection hidden="1"/>
    </xf>
    <xf numFmtId="188" fontId="135" fillId="7" borderId="190" xfId="0" applyNumberFormat="1" applyFont="1" applyFill="1" applyBorder="1" applyAlignment="1" applyProtection="1">
      <alignment vertical="center"/>
      <protection hidden="1"/>
    </xf>
    <xf numFmtId="188" fontId="135" fillId="7" borderId="191" xfId="0" applyNumberFormat="1" applyFont="1" applyFill="1" applyBorder="1" applyAlignment="1" applyProtection="1">
      <alignment vertical="center"/>
      <protection hidden="1"/>
    </xf>
    <xf numFmtId="188" fontId="135" fillId="7" borderId="192" xfId="0" applyNumberFormat="1" applyFont="1" applyFill="1" applyBorder="1" applyAlignment="1" applyProtection="1">
      <alignment vertical="center"/>
      <protection hidden="1"/>
    </xf>
    <xf numFmtId="0" fontId="3" fillId="7" borderId="193" xfId="0" applyFont="1" applyFill="1" applyBorder="1" applyProtection="1">
      <protection hidden="1"/>
    </xf>
    <xf numFmtId="0" fontId="3" fillId="7" borderId="0" xfId="0" applyFont="1" applyFill="1" applyBorder="1" applyProtection="1">
      <protection hidden="1"/>
    </xf>
    <xf numFmtId="0" fontId="3" fillId="7" borderId="194" xfId="0" applyFont="1" applyFill="1" applyBorder="1" applyProtection="1">
      <protection hidden="1"/>
    </xf>
    <xf numFmtId="188" fontId="135" fillId="7" borderId="195" xfId="0" applyNumberFormat="1" applyFont="1" applyFill="1" applyBorder="1" applyAlignment="1" applyProtection="1">
      <alignment vertical="center"/>
      <protection hidden="1"/>
    </xf>
    <xf numFmtId="188" fontId="135" fillId="7" borderId="174" xfId="0" applyNumberFormat="1" applyFont="1" applyFill="1" applyBorder="1" applyAlignment="1" applyProtection="1">
      <alignment vertical="center"/>
      <protection hidden="1"/>
    </xf>
    <xf numFmtId="188" fontId="135" fillId="7" borderId="196" xfId="0" applyNumberFormat="1" applyFont="1" applyFill="1" applyBorder="1" applyAlignment="1" applyProtection="1">
      <alignment vertical="center"/>
      <protection hidden="1"/>
    </xf>
    <xf numFmtId="188" fontId="135" fillId="7" borderId="197" xfId="0" applyNumberFormat="1" applyFont="1" applyFill="1" applyBorder="1" applyAlignment="1" applyProtection="1">
      <alignment vertical="center"/>
      <protection hidden="1"/>
    </xf>
    <xf numFmtId="188" fontId="135" fillId="7" borderId="198" xfId="0" applyNumberFormat="1" applyFont="1" applyFill="1" applyBorder="1" applyAlignment="1" applyProtection="1">
      <alignment vertical="center"/>
      <protection hidden="1"/>
    </xf>
    <xf numFmtId="188" fontId="135" fillId="7" borderId="199" xfId="0" applyNumberFormat="1" applyFont="1" applyFill="1" applyBorder="1" applyAlignment="1" applyProtection="1">
      <alignment vertical="center"/>
      <protection hidden="1"/>
    </xf>
    <xf numFmtId="0" fontId="166" fillId="2" borderId="0" xfId="0" applyFont="1" applyFill="1" applyProtection="1">
      <protection hidden="1"/>
    </xf>
    <xf numFmtId="0" fontId="72" fillId="2" borderId="0" xfId="0" applyFont="1" applyFill="1" applyAlignment="1" applyProtection="1">
      <alignment vertical="center"/>
      <protection hidden="1"/>
    </xf>
    <xf numFmtId="49" fontId="140" fillId="7" borderId="7" xfId="0" applyNumberFormat="1" applyFont="1" applyFill="1" applyBorder="1" applyAlignment="1" applyProtection="1">
      <alignment horizontal="center" vertical="center"/>
      <protection hidden="1"/>
    </xf>
    <xf numFmtId="0" fontId="68" fillId="8" borderId="25" xfId="0" applyNumberFormat="1" applyFont="1" applyFill="1" applyBorder="1" applyAlignment="1" applyProtection="1">
      <alignment horizontal="center" vertical="center"/>
      <protection hidden="1"/>
    </xf>
    <xf numFmtId="0" fontId="135" fillId="2" borderId="1" xfId="0" applyFont="1" applyFill="1" applyBorder="1" applyAlignment="1" applyProtection="1">
      <alignment horizontal="center" vertical="center"/>
      <protection hidden="1"/>
    </xf>
    <xf numFmtId="0" fontId="147" fillId="2" borderId="200" xfId="0" applyFont="1" applyFill="1" applyBorder="1" applyAlignment="1" applyProtection="1">
      <alignment horizontal="center" vertical="center"/>
      <protection hidden="1"/>
    </xf>
    <xf numFmtId="0" fontId="14" fillId="2" borderId="0" xfId="2" applyFont="1" applyFill="1" applyBorder="1" applyAlignment="1" applyProtection="1">
      <alignment horizontal="centerContinuous"/>
      <protection hidden="1"/>
    </xf>
    <xf numFmtId="0" fontId="167" fillId="2" borderId="0" xfId="2" applyFont="1" applyFill="1" applyBorder="1" applyAlignment="1" applyProtection="1">
      <alignment horizontal="centerContinuous"/>
      <protection hidden="1"/>
    </xf>
    <xf numFmtId="0" fontId="167" fillId="2" borderId="0" xfId="2" applyFont="1" applyFill="1" applyBorder="1" applyAlignment="1" applyProtection="1">
      <alignment horizontal="centerContinuous" vertical="top"/>
      <protection hidden="1"/>
    </xf>
    <xf numFmtId="0" fontId="17" fillId="2" borderId="0" xfId="2" applyFont="1" applyFill="1" applyAlignment="1" applyProtection="1">
      <alignment horizontal="right"/>
      <protection hidden="1"/>
    </xf>
    <xf numFmtId="0" fontId="17" fillId="2" borderId="0" xfId="2" applyFont="1" applyFill="1" applyAlignment="1" applyProtection="1">
      <alignment horizontal="right" vertical="top"/>
      <protection hidden="1"/>
    </xf>
    <xf numFmtId="168" fontId="8" fillId="2" borderId="0" xfId="2" applyNumberFormat="1" applyFont="1" applyFill="1" applyBorder="1" applyAlignment="1" applyProtection="1">
      <alignment horizontal="left" vertical="top"/>
      <protection hidden="1"/>
    </xf>
    <xf numFmtId="166" fontId="18" fillId="7" borderId="34" xfId="0" applyNumberFormat="1" applyFont="1" applyFill="1" applyBorder="1" applyAlignment="1" applyProtection="1">
      <alignment vertical="center"/>
      <protection hidden="1"/>
    </xf>
    <xf numFmtId="168" fontId="18" fillId="7" borderId="59" xfId="0" applyNumberFormat="1" applyFont="1" applyFill="1" applyBorder="1" applyAlignment="1" applyProtection="1">
      <alignment horizontal="right" vertical="center"/>
      <protection hidden="1"/>
    </xf>
    <xf numFmtId="168" fontId="18" fillId="7" borderId="17" xfId="0" applyNumberFormat="1" applyFont="1" applyFill="1" applyBorder="1" applyAlignment="1" applyProtection="1">
      <alignment horizontal="right" vertical="center"/>
      <protection hidden="1"/>
    </xf>
    <xf numFmtId="168" fontId="18" fillId="7" borderId="56" xfId="0" applyNumberFormat="1" applyFont="1" applyFill="1" applyBorder="1" applyAlignment="1" applyProtection="1">
      <alignment horizontal="right" vertical="center"/>
      <protection hidden="1"/>
    </xf>
    <xf numFmtId="166" fontId="142" fillId="8" borderId="49" xfId="0" applyNumberFormat="1" applyFont="1" applyFill="1" applyBorder="1" applyAlignment="1" applyProtection="1">
      <alignment vertical="center"/>
      <protection hidden="1"/>
    </xf>
    <xf numFmtId="168" fontId="142" fillId="8" borderId="56" xfId="0" applyNumberFormat="1" applyFont="1" applyFill="1" applyBorder="1" applyAlignment="1" applyProtection="1">
      <alignment horizontal="right" vertical="center"/>
      <protection hidden="1"/>
    </xf>
    <xf numFmtId="166" fontId="142" fillId="8" borderId="2" xfId="0" applyNumberFormat="1" applyFont="1" applyFill="1" applyBorder="1" applyAlignment="1" applyProtection="1">
      <alignment vertical="center"/>
      <protection hidden="1"/>
    </xf>
    <xf numFmtId="168" fontId="142" fillId="8" borderId="47" xfId="0" applyNumberFormat="1" applyFont="1" applyFill="1" applyBorder="1" applyAlignment="1" applyProtection="1">
      <alignment horizontal="right" vertical="center"/>
      <protection hidden="1"/>
    </xf>
    <xf numFmtId="168" fontId="18" fillId="7" borderId="55" xfId="0" applyNumberFormat="1" applyFont="1" applyFill="1" applyBorder="1" applyAlignment="1" applyProtection="1">
      <alignment horizontal="right" vertical="center"/>
      <protection hidden="1"/>
    </xf>
    <xf numFmtId="168" fontId="18" fillId="7" borderId="73" xfId="0" applyNumberFormat="1" applyFont="1" applyFill="1" applyBorder="1" applyAlignment="1" applyProtection="1">
      <alignment horizontal="right" vertical="center"/>
      <protection hidden="1"/>
    </xf>
    <xf numFmtId="168" fontId="18" fillId="7" borderId="33" xfId="0" applyNumberFormat="1" applyFont="1" applyFill="1" applyBorder="1" applyAlignment="1" applyProtection="1">
      <alignment horizontal="right" vertical="center"/>
      <protection hidden="1"/>
    </xf>
    <xf numFmtId="166" fontId="165" fillId="2" borderId="1" xfId="0" applyNumberFormat="1" applyFont="1" applyFill="1" applyBorder="1" applyAlignment="1" applyProtection="1">
      <alignment vertical="center"/>
      <protection hidden="1"/>
    </xf>
    <xf numFmtId="0" fontId="172" fillId="2" borderId="0" xfId="0" applyNumberFormat="1" applyFont="1" applyFill="1" applyAlignment="1" applyProtection="1">
      <alignment horizontal="left" vertical="top"/>
      <protection hidden="1"/>
    </xf>
    <xf numFmtId="0" fontId="142" fillId="2" borderId="0" xfId="0" applyNumberFormat="1" applyFont="1" applyFill="1" applyBorder="1" applyAlignment="1" applyProtection="1">
      <alignment horizontal="right" vertical="top" indent="1"/>
      <protection hidden="1"/>
    </xf>
    <xf numFmtId="168" fontId="166" fillId="2" borderId="59" xfId="0" applyNumberFormat="1" applyFont="1" applyFill="1" applyBorder="1" applyAlignment="1" applyProtection="1">
      <alignment horizontal="right" vertical="center"/>
      <protection hidden="1"/>
    </xf>
    <xf numFmtId="168" fontId="166" fillId="2" borderId="33" xfId="0" applyNumberFormat="1" applyFont="1" applyFill="1" applyBorder="1" applyAlignment="1" applyProtection="1">
      <alignment horizontal="right" vertical="center"/>
      <protection hidden="1"/>
    </xf>
    <xf numFmtId="168" fontId="166" fillId="2" borderId="137" xfId="0" applyNumberFormat="1" applyFont="1" applyFill="1" applyBorder="1" applyAlignment="1" applyProtection="1">
      <alignment horizontal="right" vertical="center"/>
      <protection hidden="1"/>
    </xf>
    <xf numFmtId="168" fontId="166" fillId="2" borderId="38" xfId="0" applyNumberFormat="1" applyFont="1" applyFill="1" applyBorder="1" applyAlignment="1" applyProtection="1">
      <alignment horizontal="right" vertical="center"/>
      <protection hidden="1"/>
    </xf>
    <xf numFmtId="168" fontId="166" fillId="8" borderId="57" xfId="0" applyNumberFormat="1" applyFont="1" applyFill="1" applyBorder="1" applyAlignment="1" applyProtection="1">
      <alignment vertical="center"/>
      <protection hidden="1"/>
    </xf>
    <xf numFmtId="168" fontId="166" fillId="8" borderId="32" xfId="0" applyNumberFormat="1" applyFont="1" applyFill="1" applyBorder="1" applyAlignment="1" applyProtection="1">
      <alignment vertical="center"/>
      <protection hidden="1"/>
    </xf>
    <xf numFmtId="168" fontId="166" fillId="8" borderId="138" xfId="0" applyNumberFormat="1" applyFont="1" applyFill="1" applyBorder="1" applyAlignment="1" applyProtection="1">
      <alignment vertical="center"/>
      <protection hidden="1"/>
    </xf>
    <xf numFmtId="168" fontId="166" fillId="8" borderId="37" xfId="0" applyNumberFormat="1" applyFont="1" applyFill="1" applyBorder="1" applyAlignment="1" applyProtection="1">
      <alignment vertical="center"/>
      <protection hidden="1"/>
    </xf>
    <xf numFmtId="168" fontId="166" fillId="8" borderId="51" xfId="0" applyNumberFormat="1" applyFont="1" applyFill="1" applyBorder="1" applyAlignment="1" applyProtection="1">
      <alignment vertical="center"/>
      <protection hidden="1"/>
    </xf>
    <xf numFmtId="168" fontId="166" fillId="2" borderId="56" xfId="0" applyNumberFormat="1" applyFont="1" applyFill="1" applyBorder="1" applyAlignment="1" applyProtection="1">
      <alignment horizontal="right" vertical="center"/>
      <protection hidden="1"/>
    </xf>
    <xf numFmtId="168" fontId="18" fillId="2" borderId="56" xfId="0" applyNumberFormat="1" applyFont="1" applyFill="1" applyBorder="1" applyAlignment="1" applyProtection="1">
      <alignment horizontal="right" vertical="center"/>
      <protection hidden="1"/>
    </xf>
    <xf numFmtId="0" fontId="0" fillId="2" borderId="30" xfId="0" applyFill="1" applyBorder="1" applyProtection="1">
      <protection hidden="1"/>
    </xf>
    <xf numFmtId="0" fontId="17" fillId="2" borderId="40" xfId="0" applyFont="1" applyFill="1" applyBorder="1" applyAlignment="1" applyProtection="1">
      <alignment horizontal="center"/>
      <protection hidden="1"/>
    </xf>
    <xf numFmtId="0" fontId="17" fillId="10" borderId="35" xfId="0" applyFont="1" applyFill="1" applyBorder="1" applyAlignment="1" applyProtection="1">
      <alignment horizontal="left"/>
      <protection hidden="1"/>
    </xf>
    <xf numFmtId="0" fontId="17" fillId="10" borderId="55" xfId="0" applyFont="1" applyFill="1" applyBorder="1" applyAlignment="1" applyProtection="1">
      <alignment horizontal="left"/>
      <protection hidden="1"/>
    </xf>
    <xf numFmtId="0" fontId="17" fillId="10" borderId="36" xfId="0" applyFont="1" applyFill="1" applyBorder="1" applyAlignment="1" applyProtection="1">
      <alignment horizontal="left" vertical="top"/>
      <protection hidden="1"/>
    </xf>
    <xf numFmtId="0" fontId="17" fillId="10" borderId="56" xfId="0" applyFont="1" applyFill="1" applyBorder="1" applyAlignment="1" applyProtection="1">
      <alignment horizontal="left" vertical="top"/>
      <protection hidden="1"/>
    </xf>
    <xf numFmtId="0" fontId="133" fillId="2" borderId="0" xfId="0" applyFont="1" applyFill="1" applyAlignment="1" applyProtection="1">
      <alignment horizontal="left" vertical="center"/>
      <protection hidden="1"/>
    </xf>
    <xf numFmtId="0" fontId="17" fillId="10" borderId="34" xfId="0" applyFont="1" applyFill="1" applyBorder="1" applyAlignment="1" applyProtection="1">
      <alignment horizontal="left"/>
      <protection hidden="1"/>
    </xf>
    <xf numFmtId="0" fontId="17" fillId="10" borderId="2" xfId="0" applyFont="1" applyFill="1" applyBorder="1" applyAlignment="1" applyProtection="1">
      <alignment horizontal="left" vertical="top"/>
      <protection hidden="1"/>
    </xf>
    <xf numFmtId="0" fontId="17" fillId="10" borderId="84" xfId="0" applyFont="1" applyFill="1" applyBorder="1" applyAlignment="1" applyProtection="1">
      <alignment horizontal="left"/>
      <protection hidden="1"/>
    </xf>
    <xf numFmtId="0" fontId="122" fillId="10" borderId="128" xfId="0" applyFont="1" applyFill="1" applyBorder="1" applyAlignment="1" applyProtection="1">
      <alignment horizontal="left" vertical="top"/>
      <protection hidden="1"/>
    </xf>
    <xf numFmtId="0" fontId="0" fillId="7" borderId="17" xfId="0" applyFill="1" applyBorder="1" applyProtection="1">
      <protection hidden="1"/>
    </xf>
    <xf numFmtId="0" fontId="17" fillId="7" borderId="12" xfId="0" applyFont="1" applyFill="1" applyBorder="1" applyAlignment="1" applyProtection="1">
      <alignment horizontal="left"/>
      <protection hidden="1"/>
    </xf>
    <xf numFmtId="0" fontId="17" fillId="7" borderId="13" xfId="0" applyFont="1" applyFill="1" applyBorder="1" applyAlignment="1" applyProtection="1">
      <alignment horizontal="left"/>
      <protection hidden="1"/>
    </xf>
    <xf numFmtId="0" fontId="133" fillId="2" borderId="0" xfId="0" applyFont="1" applyFill="1" applyAlignment="1" applyProtection="1">
      <alignment vertical="top"/>
      <protection hidden="1"/>
    </xf>
    <xf numFmtId="0" fontId="17" fillId="2" borderId="0" xfId="0" applyFont="1" applyFill="1" applyAlignment="1" applyProtection="1">
      <alignment horizontal="right" vertical="center" indent="1"/>
      <protection hidden="1"/>
    </xf>
    <xf numFmtId="14" fontId="135" fillId="10" borderId="174" xfId="0" applyNumberFormat="1" applyFont="1" applyFill="1" applyBorder="1" applyAlignment="1" applyProtection="1">
      <alignment horizontal="center" vertical="center"/>
      <protection hidden="1"/>
    </xf>
    <xf numFmtId="0" fontId="133" fillId="2" borderId="0" xfId="0" applyFont="1" applyFill="1" applyAlignment="1" applyProtection="1">
      <alignment horizontal="right" vertical="center" indent="1"/>
      <protection hidden="1"/>
    </xf>
    <xf numFmtId="0" fontId="133" fillId="2" borderId="0" xfId="2" applyFont="1" applyFill="1" applyAlignment="1" applyProtection="1">
      <alignment horizontal="right" indent="1"/>
      <protection hidden="1"/>
    </xf>
    <xf numFmtId="0" fontId="133" fillId="2" borderId="0" xfId="2" applyFont="1" applyFill="1" applyAlignment="1" applyProtection="1">
      <alignment horizontal="right" vertical="top" indent="1"/>
      <protection hidden="1"/>
    </xf>
    <xf numFmtId="174" fontId="55" fillId="2" borderId="0" xfId="2" applyNumberFormat="1" applyFont="1" applyFill="1" applyBorder="1" applyAlignment="1" applyProtection="1">
      <alignment horizontal="left" vertical="center" indent="1"/>
      <protection hidden="1"/>
    </xf>
    <xf numFmtId="182" fontId="8" fillId="10" borderId="177" xfId="0" applyNumberFormat="1" applyFont="1" applyFill="1" applyBorder="1" applyAlignment="1" applyProtection="1">
      <alignment horizontal="center"/>
      <protection hidden="1"/>
    </xf>
    <xf numFmtId="174" fontId="133" fillId="10" borderId="174" xfId="2" applyNumberFormat="1" applyFont="1" applyFill="1" applyBorder="1" applyAlignment="1" applyProtection="1">
      <alignment horizontal="left" vertical="center" indent="1"/>
      <protection hidden="1"/>
    </xf>
    <xf numFmtId="0" fontId="147" fillId="2" borderId="1" xfId="2" applyFont="1" applyFill="1" applyBorder="1" applyAlignment="1" applyProtection="1">
      <alignment horizontal="center" vertical="center"/>
      <protection hidden="1"/>
    </xf>
    <xf numFmtId="0" fontId="147" fillId="2" borderId="0" xfId="2" applyFont="1" applyFill="1" applyBorder="1" applyAlignment="1" applyProtection="1">
      <alignment horizontal="center" vertical="center"/>
      <protection hidden="1"/>
    </xf>
    <xf numFmtId="0" fontId="147" fillId="2" borderId="20" xfId="2" applyFont="1" applyFill="1" applyBorder="1" applyAlignment="1" applyProtection="1">
      <alignment horizontal="center" vertical="center"/>
      <protection hidden="1"/>
    </xf>
    <xf numFmtId="0" fontId="133" fillId="2" borderId="0" xfId="2" applyNumberFormat="1" applyFont="1" applyFill="1" applyAlignment="1" applyProtection="1">
      <alignment horizontal="center" vertical="center"/>
      <protection hidden="1"/>
    </xf>
    <xf numFmtId="0" fontId="133" fillId="10" borderId="6" xfId="0" applyFont="1" applyFill="1" applyBorder="1" applyAlignment="1" applyProtection="1">
      <alignment horizontal="center" vertical="center"/>
      <protection hidden="1"/>
    </xf>
    <xf numFmtId="0" fontId="133" fillId="7" borderId="0" xfId="0" applyFont="1" applyFill="1" applyAlignment="1" applyProtection="1">
      <alignment horizontal="left" vertical="center" indent="1"/>
      <protection hidden="1"/>
    </xf>
    <xf numFmtId="0" fontId="149" fillId="10" borderId="25" xfId="2" applyFont="1" applyFill="1" applyBorder="1" applyAlignment="1" applyProtection="1">
      <alignment horizontal="center" vertical="center"/>
      <protection hidden="1"/>
    </xf>
    <xf numFmtId="0" fontId="33" fillId="2" borderId="0" xfId="2" applyFont="1" applyFill="1" applyAlignment="1" applyProtection="1">
      <alignment horizontal="center" vertical="center"/>
      <protection hidden="1"/>
    </xf>
    <xf numFmtId="168" fontId="57" fillId="2" borderId="109" xfId="2" applyNumberFormat="1" applyFont="1" applyFill="1" applyBorder="1" applyAlignment="1" applyProtection="1">
      <alignment vertical="center"/>
      <protection hidden="1"/>
    </xf>
    <xf numFmtId="168" fontId="57" fillId="2" borderId="17" xfId="2" applyNumberFormat="1" applyFont="1" applyFill="1" applyBorder="1" applyAlignment="1" applyProtection="1">
      <alignment vertical="center"/>
      <protection hidden="1"/>
    </xf>
    <xf numFmtId="168" fontId="57" fillId="2" borderId="18" xfId="2" applyNumberFormat="1" applyFont="1" applyFill="1" applyBorder="1" applyAlignment="1" applyProtection="1">
      <alignment vertical="center"/>
      <protection hidden="1"/>
    </xf>
    <xf numFmtId="168" fontId="57" fillId="2" borderId="19" xfId="2" applyNumberFormat="1" applyFont="1" applyFill="1" applyBorder="1" applyAlignment="1" applyProtection="1">
      <alignment vertical="center"/>
      <protection hidden="1"/>
    </xf>
    <xf numFmtId="0" fontId="47" fillId="2" borderId="0" xfId="2" applyFont="1" applyFill="1" applyAlignment="1" applyProtection="1">
      <alignment horizontal="center" vertical="center"/>
      <protection hidden="1"/>
    </xf>
    <xf numFmtId="166" fontId="149" fillId="2" borderId="0" xfId="2" applyNumberFormat="1" applyFont="1" applyFill="1" applyAlignment="1" applyProtection="1">
      <alignment horizontal="center"/>
      <protection hidden="1"/>
    </xf>
    <xf numFmtId="166" fontId="149" fillId="2" borderId="0" xfId="2" applyNumberFormat="1" applyFont="1" applyFill="1" applyAlignment="1" applyProtection="1">
      <alignment horizontal="center" vertical="top"/>
      <protection hidden="1"/>
    </xf>
    <xf numFmtId="168" fontId="8" fillId="10" borderId="6" xfId="2" applyNumberFormat="1" applyFont="1" applyFill="1" applyBorder="1" applyAlignment="1" applyProtection="1">
      <alignment horizontal="right" vertical="center"/>
      <protection hidden="1"/>
    </xf>
    <xf numFmtId="0" fontId="47" fillId="2" borderId="0" xfId="2" applyFont="1" applyFill="1" applyAlignment="1" applyProtection="1">
      <alignment horizontal="center"/>
      <protection hidden="1"/>
    </xf>
    <xf numFmtId="0" fontId="135" fillId="7" borderId="0" xfId="0" applyFont="1" applyFill="1" applyAlignment="1" applyProtection="1">
      <alignment horizontal="right"/>
      <protection hidden="1"/>
    </xf>
    <xf numFmtId="0" fontId="17" fillId="10" borderId="50" xfId="0" applyFont="1" applyFill="1" applyBorder="1" applyAlignment="1" applyProtection="1">
      <alignment horizontal="center"/>
      <protection hidden="1"/>
    </xf>
    <xf numFmtId="0" fontId="17" fillId="10" borderId="55" xfId="0" applyFont="1" applyFill="1" applyBorder="1" applyAlignment="1" applyProtection="1">
      <alignment horizontal="center"/>
      <protection hidden="1"/>
    </xf>
    <xf numFmtId="0" fontId="17" fillId="10" borderId="51" xfId="0" applyFont="1" applyFill="1" applyBorder="1" applyAlignment="1" applyProtection="1">
      <alignment horizontal="center" vertical="top"/>
      <protection hidden="1"/>
    </xf>
    <xf numFmtId="0" fontId="17" fillId="10" borderId="56" xfId="0" applyFont="1" applyFill="1" applyBorder="1" applyAlignment="1" applyProtection="1">
      <alignment horizontal="center" vertical="top"/>
      <protection hidden="1"/>
    </xf>
    <xf numFmtId="0" fontId="52" fillId="2" borderId="0" xfId="0" applyFont="1" applyFill="1" applyAlignment="1" applyProtection="1">
      <alignment horizontal="center" vertical="center"/>
      <protection hidden="1"/>
    </xf>
    <xf numFmtId="14" fontId="147" fillId="2" borderId="0" xfId="0" applyNumberFormat="1" applyFont="1" applyFill="1" applyBorder="1" applyAlignment="1" applyProtection="1">
      <alignment horizontal="center" vertical="center"/>
      <protection hidden="1"/>
    </xf>
    <xf numFmtId="0" fontId="147" fillId="2" borderId="0" xfId="0" applyNumberFormat="1" applyFont="1" applyFill="1" applyBorder="1" applyAlignment="1" applyProtection="1">
      <alignment horizontal="center" vertical="center"/>
      <protection hidden="1"/>
    </xf>
    <xf numFmtId="0" fontId="147" fillId="2" borderId="0" xfId="0" applyFont="1" applyFill="1" applyBorder="1" applyAlignment="1" applyProtection="1">
      <alignment horizontal="center" vertical="center"/>
      <protection hidden="1"/>
    </xf>
    <xf numFmtId="0" fontId="133" fillId="7" borderId="0" xfId="0" applyFont="1" applyFill="1" applyBorder="1" applyAlignment="1" applyProtection="1">
      <alignment horizontal="center" vertical="center"/>
      <protection hidden="1"/>
    </xf>
    <xf numFmtId="168" fontId="173" fillId="8" borderId="13" xfId="0" applyNumberFormat="1" applyFont="1" applyFill="1" applyBorder="1" applyAlignment="1" applyProtection="1">
      <alignment horizontal="right" vertical="center"/>
      <protection hidden="1"/>
    </xf>
    <xf numFmtId="168" fontId="173" fillId="8" borderId="25" xfId="0" applyNumberFormat="1" applyFont="1" applyFill="1" applyBorder="1" applyAlignment="1" applyProtection="1">
      <alignment horizontal="right" vertical="center"/>
      <protection hidden="1"/>
    </xf>
    <xf numFmtId="168" fontId="173" fillId="2" borderId="47" xfId="0" applyNumberFormat="1" applyFont="1" applyFill="1" applyBorder="1" applyAlignment="1" applyProtection="1">
      <alignment horizontal="right" vertical="center"/>
      <protection hidden="1"/>
    </xf>
    <xf numFmtId="168" fontId="142" fillId="8" borderId="45" xfId="0" applyNumberFormat="1" applyFont="1" applyFill="1" applyBorder="1" applyAlignment="1" applyProtection="1">
      <alignment vertical="center"/>
      <protection hidden="1"/>
    </xf>
    <xf numFmtId="166" fontId="8" fillId="2" borderId="7" xfId="0" applyNumberFormat="1" applyFont="1" applyFill="1" applyBorder="1" applyAlignment="1" applyProtection="1">
      <alignment horizontal="center" vertical="top"/>
      <protection hidden="1"/>
    </xf>
    <xf numFmtId="0" fontId="142" fillId="2" borderId="0" xfId="0" applyFont="1" applyFill="1" applyAlignment="1" applyProtection="1">
      <alignment horizontal="center"/>
      <protection hidden="1"/>
    </xf>
    <xf numFmtId="0" fontId="149" fillId="10" borderId="174" xfId="0" applyFont="1" applyFill="1" applyBorder="1" applyAlignment="1" applyProtection="1">
      <alignment horizontal="center" vertical="center"/>
      <protection hidden="1"/>
    </xf>
    <xf numFmtId="166" fontId="168" fillId="8" borderId="24" xfId="0" applyNumberFormat="1" applyFont="1" applyFill="1" applyBorder="1" applyAlignment="1" applyProtection="1">
      <alignment horizontal="left"/>
      <protection hidden="1"/>
    </xf>
    <xf numFmtId="166" fontId="167" fillId="2" borderId="1" xfId="0" applyNumberFormat="1" applyFont="1" applyFill="1" applyBorder="1" applyAlignment="1" applyProtection="1">
      <alignment vertical="center"/>
      <protection hidden="1"/>
    </xf>
    <xf numFmtId="166" fontId="167" fillId="2" borderId="61" xfId="0" applyNumberFormat="1" applyFont="1" applyFill="1" applyBorder="1" applyAlignment="1" applyProtection="1">
      <alignment vertical="center"/>
      <protection hidden="1"/>
    </xf>
    <xf numFmtId="166" fontId="167" fillId="2" borderId="80" xfId="0" applyNumberFormat="1" applyFont="1" applyFill="1" applyBorder="1" applyAlignment="1" applyProtection="1">
      <alignment vertical="center"/>
      <protection hidden="1"/>
    </xf>
    <xf numFmtId="166" fontId="167" fillId="2" borderId="49" xfId="0" applyNumberFormat="1" applyFont="1" applyFill="1" applyBorder="1" applyAlignment="1" applyProtection="1">
      <alignment vertical="center"/>
      <protection hidden="1"/>
    </xf>
    <xf numFmtId="189" fontId="166" fillId="2" borderId="0" xfId="0" applyNumberFormat="1" applyFont="1" applyFill="1" applyAlignment="1" applyProtection="1">
      <alignment vertical="center"/>
      <protection hidden="1"/>
    </xf>
    <xf numFmtId="189" fontId="166" fillId="2" borderId="0" xfId="0" applyNumberFormat="1" applyFont="1" applyFill="1" applyAlignment="1" applyProtection="1">
      <alignment horizontal="left" vertical="center"/>
      <protection hidden="1"/>
    </xf>
    <xf numFmtId="190" fontId="166" fillId="2" borderId="0" xfId="0" applyNumberFormat="1" applyFont="1" applyFill="1" applyAlignment="1" applyProtection="1">
      <alignment vertical="center"/>
      <protection hidden="1"/>
    </xf>
    <xf numFmtId="190" fontId="166" fillId="2" borderId="0" xfId="0" applyNumberFormat="1" applyFont="1" applyFill="1" applyAlignment="1" applyProtection="1">
      <alignment horizontal="left" vertical="center"/>
      <protection hidden="1"/>
    </xf>
    <xf numFmtId="181" fontId="166" fillId="2" borderId="0" xfId="0" applyNumberFormat="1" applyFont="1" applyFill="1" applyAlignment="1" applyProtection="1">
      <alignment vertical="center"/>
      <protection hidden="1"/>
    </xf>
    <xf numFmtId="181" fontId="166" fillId="2" borderId="0" xfId="0" applyNumberFormat="1" applyFont="1" applyFill="1" applyAlignment="1" applyProtection="1">
      <alignment horizontal="left" vertical="center"/>
      <protection hidden="1"/>
    </xf>
    <xf numFmtId="189" fontId="166" fillId="2" borderId="0" xfId="0" applyNumberFormat="1" applyFont="1" applyFill="1" applyAlignment="1" applyProtection="1">
      <alignment horizontal="right" vertical="center"/>
      <protection hidden="1"/>
    </xf>
    <xf numFmtId="190" fontId="166" fillId="2" borderId="0" xfId="0" applyNumberFormat="1" applyFont="1" applyFill="1" applyAlignment="1" applyProtection="1">
      <alignment horizontal="right" vertical="center"/>
      <protection hidden="1"/>
    </xf>
    <xf numFmtId="0" fontId="133" fillId="2" borderId="0" xfId="2" applyFont="1" applyFill="1" applyAlignment="1" applyProtection="1">
      <alignment horizontal="center"/>
      <protection hidden="1"/>
    </xf>
    <xf numFmtId="174" fontId="174" fillId="2" borderId="0" xfId="2" applyNumberFormat="1" applyFont="1" applyFill="1" applyAlignment="1" applyProtection="1">
      <alignment horizontal="center"/>
      <protection hidden="1"/>
    </xf>
    <xf numFmtId="174" fontId="174" fillId="2" borderId="0" xfId="2" applyNumberFormat="1" applyFont="1" applyFill="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51" fillId="7" borderId="0" xfId="2" applyFont="1" applyFill="1" applyBorder="1" applyAlignment="1" applyProtection="1">
      <protection hidden="1"/>
    </xf>
    <xf numFmtId="0" fontId="0" fillId="2" borderId="201" xfId="0" applyFill="1" applyBorder="1" applyProtection="1">
      <protection hidden="1"/>
    </xf>
    <xf numFmtId="0" fontId="3" fillId="2" borderId="0" xfId="0" applyFont="1" applyFill="1" applyAlignment="1" applyProtection="1">
      <alignment horizontal="center"/>
      <protection hidden="1"/>
    </xf>
    <xf numFmtId="166" fontId="156" fillId="2" borderId="0" xfId="0" applyNumberFormat="1" applyFont="1" applyFill="1" applyAlignment="1" applyProtection="1">
      <alignment horizontal="right"/>
      <protection hidden="1"/>
    </xf>
    <xf numFmtId="0" fontId="164" fillId="7" borderId="0" xfId="0" applyNumberFormat="1" applyFont="1" applyFill="1" applyAlignment="1" applyProtection="1">
      <alignment vertical="center"/>
      <protection hidden="1"/>
    </xf>
    <xf numFmtId="0" fontId="80" fillId="2" borderId="0" xfId="0" applyNumberFormat="1" applyFont="1" applyFill="1" applyAlignment="1" applyProtection="1">
      <alignment horizontal="left" vertical="center" indent="1"/>
      <protection hidden="1"/>
    </xf>
    <xf numFmtId="168" fontId="8" fillId="10" borderId="205" xfId="2" applyNumberFormat="1" applyFont="1" applyFill="1" applyBorder="1" applyAlignment="1" applyProtection="1">
      <alignment horizontal="right" vertical="center"/>
      <protection hidden="1"/>
    </xf>
    <xf numFmtId="168" fontId="8" fillId="10" borderId="206" xfId="2" applyNumberFormat="1" applyFont="1" applyFill="1" applyBorder="1" applyAlignment="1" applyProtection="1">
      <alignment horizontal="right" vertical="center"/>
      <protection hidden="1"/>
    </xf>
    <xf numFmtId="168" fontId="8" fillId="10" borderId="207" xfId="2" applyNumberFormat="1" applyFont="1" applyFill="1" applyBorder="1" applyAlignment="1" applyProtection="1">
      <alignment horizontal="right" vertical="center"/>
      <protection hidden="1"/>
    </xf>
    <xf numFmtId="168" fontId="8" fillId="10" borderId="208" xfId="2" applyNumberFormat="1" applyFont="1" applyFill="1" applyBorder="1" applyAlignment="1" applyProtection="1">
      <alignment horizontal="right" vertical="center"/>
      <protection hidden="1"/>
    </xf>
    <xf numFmtId="168" fontId="8" fillId="10" borderId="209" xfId="2" applyNumberFormat="1" applyFont="1" applyFill="1" applyBorder="1" applyAlignment="1" applyProtection="1">
      <alignment horizontal="right" vertical="center"/>
      <protection hidden="1"/>
    </xf>
    <xf numFmtId="168" fontId="8" fillId="10" borderId="210" xfId="2" applyNumberFormat="1" applyFont="1" applyFill="1" applyBorder="1" applyAlignment="1" applyProtection="1">
      <alignment horizontal="right" vertical="center"/>
      <protection hidden="1"/>
    </xf>
    <xf numFmtId="168" fontId="8" fillId="10" borderId="211" xfId="2" applyNumberFormat="1" applyFont="1" applyFill="1" applyBorder="1" applyAlignment="1" applyProtection="1">
      <alignment horizontal="right" vertical="center"/>
      <protection hidden="1"/>
    </xf>
    <xf numFmtId="168" fontId="8" fillId="10" borderId="212" xfId="2" applyNumberFormat="1" applyFont="1" applyFill="1" applyBorder="1" applyAlignment="1" applyProtection="1">
      <alignment horizontal="right" vertical="center"/>
      <protection hidden="1"/>
    </xf>
    <xf numFmtId="0" fontId="176" fillId="7" borderId="0" xfId="0" applyFont="1" applyFill="1" applyProtection="1">
      <protection hidden="1"/>
    </xf>
    <xf numFmtId="0" fontId="177" fillId="7" borderId="0" xfId="0" applyFont="1" applyFill="1" applyProtection="1">
      <protection hidden="1"/>
    </xf>
    <xf numFmtId="0" fontId="40" fillId="2" borderId="0" xfId="0" applyNumberFormat="1" applyFont="1" applyFill="1" applyAlignment="1" applyProtection="1">
      <protection hidden="1"/>
    </xf>
    <xf numFmtId="0" fontId="64" fillId="2" borderId="0" xfId="0" applyFont="1" applyFill="1" applyAlignment="1" applyProtection="1">
      <alignment horizontal="center" vertical="top"/>
      <protection hidden="1"/>
    </xf>
    <xf numFmtId="166" fontId="169" fillId="2" borderId="0" xfId="0" applyNumberFormat="1" applyFont="1" applyFill="1" applyAlignment="1" applyProtection="1">
      <alignment horizontal="right" vertical="top"/>
      <protection hidden="1"/>
    </xf>
    <xf numFmtId="0" fontId="3" fillId="2" borderId="0" xfId="2" applyFill="1" applyAlignment="1" applyProtection="1">
      <alignment horizontal="center"/>
      <protection hidden="1"/>
    </xf>
    <xf numFmtId="0" fontId="18" fillId="2" borderId="0" xfId="2" applyFont="1" applyFill="1" applyAlignment="1" applyProtection="1">
      <protection hidden="1"/>
    </xf>
    <xf numFmtId="0" fontId="18" fillId="2" borderId="0" xfId="2" applyFont="1" applyFill="1" applyProtection="1">
      <protection hidden="1"/>
    </xf>
    <xf numFmtId="0" fontId="18" fillId="2" borderId="0" xfId="2" applyFont="1" applyFill="1" applyBorder="1" applyAlignment="1" applyProtection="1">
      <protection hidden="1"/>
    </xf>
    <xf numFmtId="0" fontId="17" fillId="2" borderId="0" xfId="2" applyFont="1" applyFill="1" applyBorder="1" applyAlignment="1" applyProtection="1">
      <alignment horizontal="left" indent="1"/>
      <protection hidden="1"/>
    </xf>
    <xf numFmtId="0" fontId="17" fillId="2" borderId="0" xfId="2" applyFont="1" applyFill="1" applyBorder="1" applyAlignment="1" applyProtection="1">
      <protection hidden="1"/>
    </xf>
    <xf numFmtId="0" fontId="18" fillId="2" borderId="2" xfId="2" applyFont="1" applyFill="1" applyBorder="1" applyAlignment="1" applyProtection="1">
      <protection hidden="1"/>
    </xf>
    <xf numFmtId="0" fontId="135" fillId="7" borderId="0" xfId="2" applyFont="1" applyFill="1" applyAlignment="1" applyProtection="1">
      <alignment horizontal="right" vertical="center" indent="1"/>
      <protection hidden="1"/>
    </xf>
    <xf numFmtId="0" fontId="18" fillId="2" borderId="7" xfId="2" applyFont="1" applyFill="1" applyBorder="1" applyAlignment="1" applyProtection="1">
      <alignment horizontal="left" vertical="center" indent="1"/>
      <protection hidden="1"/>
    </xf>
    <xf numFmtId="0" fontId="8" fillId="2" borderId="189" xfId="2" applyNumberFormat="1" applyFont="1" applyFill="1" applyBorder="1" applyAlignment="1" applyProtection="1">
      <alignment horizontal="left" vertical="center" indent="1"/>
      <protection hidden="1"/>
    </xf>
    <xf numFmtId="0" fontId="40" fillId="2" borderId="7" xfId="2" applyFont="1" applyFill="1" applyBorder="1" applyAlignment="1" applyProtection="1">
      <alignment vertical="center"/>
      <protection hidden="1"/>
    </xf>
    <xf numFmtId="0" fontId="17" fillId="2" borderId="7" xfId="2" applyFont="1" applyFill="1" applyBorder="1" applyAlignment="1" applyProtection="1">
      <protection hidden="1"/>
    </xf>
    <xf numFmtId="0" fontId="62" fillId="2" borderId="0" xfId="2" applyFont="1" applyFill="1" applyAlignment="1" applyProtection="1">
      <protection hidden="1"/>
    </xf>
    <xf numFmtId="0" fontId="74" fillId="2" borderId="0" xfId="2" applyFont="1" applyFill="1" applyAlignment="1" applyProtection="1">
      <alignment vertical="top"/>
      <protection hidden="1"/>
    </xf>
    <xf numFmtId="0" fontId="40" fillId="2" borderId="0" xfId="2" applyFont="1" applyFill="1" applyAlignment="1" applyProtection="1">
      <protection hidden="1"/>
    </xf>
    <xf numFmtId="0" fontId="40" fillId="7" borderId="0" xfId="2" applyFont="1" applyFill="1" applyAlignment="1" applyProtection="1">
      <protection hidden="1"/>
    </xf>
    <xf numFmtId="0" fontId="156" fillId="7" borderId="0" xfId="2" applyFont="1" applyFill="1" applyBorder="1" applyAlignment="1" applyProtection="1">
      <alignment horizontal="right" vertical="center" indent="1"/>
      <protection hidden="1"/>
    </xf>
    <xf numFmtId="0" fontId="33" fillId="2" borderId="193" xfId="2" applyFont="1" applyFill="1" applyBorder="1" applyAlignment="1" applyProtection="1">
      <alignment horizontal="left" vertical="center" indent="2"/>
      <protection hidden="1"/>
    </xf>
    <xf numFmtId="0" fontId="18" fillId="2" borderId="4" xfId="2" applyFont="1" applyFill="1" applyBorder="1" applyAlignment="1" applyProtection="1">
      <protection hidden="1"/>
    </xf>
    <xf numFmtId="166" fontId="156" fillId="2" borderId="0" xfId="2" applyNumberFormat="1" applyFont="1" applyFill="1" applyBorder="1" applyAlignment="1" applyProtection="1">
      <alignment horizontal="right" vertical="top"/>
      <protection hidden="1"/>
    </xf>
    <xf numFmtId="0" fontId="50" fillId="2" borderId="0" xfId="0" applyNumberFormat="1" applyFont="1" applyFill="1" applyAlignment="1" applyProtection="1">
      <alignment vertical="center" textRotation="90"/>
      <protection hidden="1"/>
    </xf>
    <xf numFmtId="0" fontId="77" fillId="2" borderId="7" xfId="2" applyFont="1" applyFill="1" applyBorder="1" applyAlignment="1" applyProtection="1">
      <alignment vertical="center"/>
      <protection hidden="1"/>
    </xf>
    <xf numFmtId="0" fontId="8" fillId="2" borderId="20" xfId="2" applyNumberFormat="1" applyFont="1" applyFill="1" applyBorder="1" applyAlignment="1" applyProtection="1">
      <alignment horizontal="right" vertical="center" indent="1"/>
      <protection hidden="1"/>
    </xf>
    <xf numFmtId="0" fontId="17" fillId="2" borderId="6" xfId="2" applyFont="1" applyFill="1" applyBorder="1" applyAlignment="1" applyProtection="1">
      <alignment horizontal="center" vertical="center"/>
      <protection hidden="1"/>
    </xf>
    <xf numFmtId="0" fontId="17" fillId="2" borderId="219" xfId="2" applyFont="1" applyFill="1" applyBorder="1" applyAlignment="1" applyProtection="1">
      <protection hidden="1"/>
    </xf>
    <xf numFmtId="0" fontId="17" fillId="2" borderId="4" xfId="2" applyFont="1" applyFill="1" applyBorder="1" applyAlignment="1" applyProtection="1">
      <protection hidden="1"/>
    </xf>
    <xf numFmtId="0" fontId="8" fillId="2" borderId="220" xfId="2" applyNumberFormat="1" applyFont="1" applyFill="1" applyBorder="1" applyAlignment="1" applyProtection="1">
      <alignment horizontal="right" vertical="center" indent="1"/>
      <protection hidden="1"/>
    </xf>
    <xf numFmtId="166" fontId="17" fillId="2" borderId="0" xfId="2" applyNumberFormat="1" applyFont="1" applyFill="1" applyBorder="1" applyAlignment="1" applyProtection="1">
      <protection hidden="1"/>
    </xf>
    <xf numFmtId="0" fontId="17" fillId="2" borderId="0" xfId="2" applyFont="1" applyFill="1" applyAlignment="1" applyProtection="1">
      <alignment horizontal="right" vertical="center"/>
      <protection hidden="1"/>
    </xf>
    <xf numFmtId="168" fontId="65" fillId="2" borderId="0" xfId="2" applyNumberFormat="1" applyFont="1" applyFill="1" applyBorder="1" applyAlignment="1" applyProtection="1">
      <alignment horizontal="right" vertical="center"/>
      <protection hidden="1"/>
    </xf>
    <xf numFmtId="0" fontId="65" fillId="2" borderId="0" xfId="2" applyFont="1" applyFill="1" applyBorder="1" applyAlignment="1" applyProtection="1">
      <alignment horizontal="right" vertical="center"/>
      <protection hidden="1"/>
    </xf>
    <xf numFmtId="0" fontId="18" fillId="2" borderId="0" xfId="2" applyFont="1" applyFill="1" applyBorder="1" applyProtection="1">
      <protection hidden="1"/>
    </xf>
    <xf numFmtId="0" fontId="36" fillId="2" borderId="0" xfId="2" applyFont="1" applyFill="1" applyBorder="1" applyProtection="1">
      <protection hidden="1"/>
    </xf>
    <xf numFmtId="0" fontId="18" fillId="2" borderId="4" xfId="2" applyFont="1" applyFill="1" applyBorder="1" applyProtection="1">
      <protection hidden="1"/>
    </xf>
    <xf numFmtId="0" fontId="135" fillId="2" borderId="0" xfId="2" applyFont="1" applyFill="1" applyAlignment="1" applyProtection="1">
      <alignment horizontal="left" vertical="center" indent="1"/>
      <protection hidden="1"/>
    </xf>
    <xf numFmtId="0" fontId="33" fillId="2" borderId="0" xfId="2" applyFont="1" applyFill="1" applyAlignment="1" applyProtection="1">
      <alignment vertical="center"/>
      <protection hidden="1"/>
    </xf>
    <xf numFmtId="0" fontId="135" fillId="2" borderId="0" xfId="2" applyFont="1" applyFill="1" applyAlignment="1" applyProtection="1">
      <alignment horizontal="center" vertical="center"/>
      <protection hidden="1"/>
    </xf>
    <xf numFmtId="0" fontId="44" fillId="2" borderId="0" xfId="2" applyFont="1" applyFill="1" applyAlignment="1" applyProtection="1">
      <alignment horizontal="left" vertical="center" indent="1"/>
      <protection hidden="1"/>
    </xf>
    <xf numFmtId="0" fontId="33" fillId="2" borderId="0" xfId="0" applyFont="1" applyFill="1" applyBorder="1" applyAlignment="1" applyProtection="1">
      <alignment horizontal="right"/>
      <protection hidden="1"/>
    </xf>
    <xf numFmtId="0" fontId="115" fillId="2" borderId="72" xfId="2" applyFont="1" applyFill="1" applyBorder="1" applyAlignment="1" applyProtection="1">
      <alignment vertical="center"/>
      <protection hidden="1"/>
    </xf>
    <xf numFmtId="0" fontId="17" fillId="2" borderId="72" xfId="2" applyFont="1" applyFill="1" applyBorder="1" applyAlignment="1" applyProtection="1">
      <alignment horizontal="center" vertical="center"/>
      <protection hidden="1"/>
    </xf>
    <xf numFmtId="0" fontId="76" fillId="2" borderId="72" xfId="2" applyFont="1" applyFill="1" applyBorder="1" applyAlignment="1" applyProtection="1">
      <alignment vertical="center"/>
      <protection hidden="1"/>
    </xf>
    <xf numFmtId="0" fontId="3" fillId="7" borderId="0" xfId="2" applyFill="1" applyBorder="1" applyAlignment="1" applyProtection="1">
      <protection hidden="1"/>
    </xf>
    <xf numFmtId="0" fontId="140" fillId="2" borderId="0" xfId="2" applyFont="1" applyFill="1" applyBorder="1" applyAlignment="1" applyProtection="1">
      <alignment vertical="top"/>
      <protection hidden="1"/>
    </xf>
    <xf numFmtId="0" fontId="135" fillId="7" borderId="174" xfId="2" applyFont="1" applyFill="1" applyBorder="1" applyAlignment="1" applyProtection="1">
      <alignment horizontal="center" vertical="center"/>
      <protection hidden="1"/>
    </xf>
    <xf numFmtId="0" fontId="168" fillId="2" borderId="13" xfId="2" applyFont="1" applyFill="1" applyBorder="1" applyAlignment="1" applyProtection="1">
      <alignment horizontal="right" vertical="center" indent="1"/>
      <protection hidden="1"/>
    </xf>
    <xf numFmtId="0" fontId="3" fillId="7" borderId="1" xfId="2" applyFill="1" applyBorder="1" applyProtection="1">
      <protection hidden="1"/>
    </xf>
    <xf numFmtId="0" fontId="168" fillId="2" borderId="0" xfId="2" applyNumberFormat="1" applyFont="1" applyFill="1" applyBorder="1" applyAlignment="1" applyProtection="1">
      <alignment vertical="top"/>
      <protection hidden="1"/>
    </xf>
    <xf numFmtId="0" fontId="3" fillId="7" borderId="0" xfId="2" applyNumberFormat="1" applyFill="1" applyProtection="1">
      <protection hidden="1"/>
    </xf>
    <xf numFmtId="0" fontId="3" fillId="7" borderId="13" xfId="2" applyFill="1" applyBorder="1" applyAlignment="1" applyProtection="1">
      <protection hidden="1"/>
    </xf>
    <xf numFmtId="0" fontId="168" fillId="2" borderId="0" xfId="2" applyNumberFormat="1" applyFont="1" applyFill="1" applyBorder="1" applyAlignment="1" applyProtection="1">
      <alignment horizontal="left" vertical="center"/>
      <protection hidden="1"/>
    </xf>
    <xf numFmtId="166" fontId="168" fillId="2" borderId="0" xfId="2" applyNumberFormat="1" applyFont="1" applyFill="1" applyBorder="1" applyAlignment="1" applyProtection="1">
      <alignment horizontal="right" vertical="center"/>
      <protection hidden="1"/>
    </xf>
    <xf numFmtId="0" fontId="156" fillId="2" borderId="0" xfId="2" applyNumberFormat="1" applyFont="1" applyFill="1" applyBorder="1" applyAlignment="1" applyProtection="1">
      <alignment horizontal="left"/>
      <protection hidden="1"/>
    </xf>
    <xf numFmtId="172" fontId="135" fillId="7" borderId="1" xfId="2" applyNumberFormat="1" applyFont="1" applyFill="1" applyBorder="1" applyAlignment="1" applyProtection="1">
      <alignment horizontal="right" vertical="center"/>
      <protection hidden="1"/>
    </xf>
    <xf numFmtId="0" fontId="3" fillId="7" borderId="21" xfId="2" applyFill="1" applyBorder="1" applyProtection="1">
      <protection hidden="1"/>
    </xf>
    <xf numFmtId="0" fontId="166" fillId="2" borderId="67" xfId="2" applyFont="1" applyFill="1" applyBorder="1" applyAlignment="1" applyProtection="1">
      <alignment horizontal="center" vertical="center"/>
      <protection hidden="1"/>
    </xf>
    <xf numFmtId="166" fontId="166" fillId="2" borderId="67" xfId="2" applyNumberFormat="1" applyFont="1" applyFill="1" applyBorder="1" applyAlignment="1" applyProtection="1">
      <alignment horizontal="left" vertical="center"/>
      <protection hidden="1"/>
    </xf>
    <xf numFmtId="166" fontId="166" fillId="2" borderId="7" xfId="2" applyNumberFormat="1" applyFont="1" applyFill="1" applyBorder="1" applyAlignment="1" applyProtection="1">
      <alignment horizontal="left" vertical="center"/>
      <protection hidden="1"/>
    </xf>
    <xf numFmtId="166" fontId="17" fillId="2" borderId="6" xfId="2" applyNumberFormat="1" applyFont="1" applyFill="1" applyBorder="1" applyAlignment="1" applyProtection="1">
      <alignment horizontal="center" vertical="center"/>
      <protection hidden="1"/>
    </xf>
    <xf numFmtId="0" fontId="44" fillId="7" borderId="0" xfId="2" applyFont="1" applyFill="1" applyAlignment="1" applyProtection="1">
      <alignment horizontal="left" vertical="center" indent="1"/>
      <protection hidden="1"/>
    </xf>
    <xf numFmtId="167" fontId="133" fillId="7" borderId="0" xfId="2" applyNumberFormat="1" applyFont="1" applyFill="1" applyAlignment="1" applyProtection="1">
      <alignment horizontal="right" vertical="center" indent="1"/>
      <protection hidden="1"/>
    </xf>
    <xf numFmtId="14" fontId="33" fillId="2" borderId="0" xfId="2" applyNumberFormat="1" applyFont="1" applyFill="1" applyAlignment="1" applyProtection="1">
      <alignment horizontal="center" vertical="center"/>
      <protection hidden="1"/>
    </xf>
    <xf numFmtId="0" fontId="133" fillId="7" borderId="0" xfId="2" applyFont="1" applyFill="1" applyAlignment="1" applyProtection="1">
      <alignment horizontal="right" vertical="center" indent="1"/>
      <protection hidden="1"/>
    </xf>
    <xf numFmtId="0" fontId="17" fillId="2" borderId="6" xfId="2" applyNumberFormat="1" applyFont="1" applyFill="1" applyBorder="1" applyAlignment="1" applyProtection="1">
      <alignment horizontal="center" vertical="center"/>
      <protection hidden="1"/>
    </xf>
    <xf numFmtId="14" fontId="17" fillId="7" borderId="6" xfId="2" applyNumberFormat="1" applyFont="1" applyFill="1" applyBorder="1" applyAlignment="1" applyProtection="1">
      <alignment horizontal="center" vertical="center"/>
      <protection hidden="1"/>
    </xf>
    <xf numFmtId="0" fontId="136" fillId="2" borderId="0" xfId="2" applyFont="1" applyFill="1" applyAlignment="1" applyProtection="1">
      <alignment horizontal="center" vertical="center"/>
      <protection hidden="1"/>
    </xf>
    <xf numFmtId="0" fontId="136" fillId="2" borderId="82" xfId="2" applyFont="1" applyFill="1" applyBorder="1" applyAlignment="1" applyProtection="1">
      <alignment horizontal="center" vertical="center"/>
      <protection hidden="1"/>
    </xf>
    <xf numFmtId="0" fontId="136" fillId="2" borderId="15" xfId="2" applyFont="1" applyFill="1" applyBorder="1" applyAlignment="1" applyProtection="1">
      <alignment horizontal="center" vertical="center"/>
      <protection hidden="1"/>
    </xf>
    <xf numFmtId="0" fontId="135" fillId="7" borderId="0" xfId="2" applyFont="1" applyFill="1" applyAlignment="1" applyProtection="1">
      <alignment horizontal="center" vertical="center"/>
      <protection hidden="1"/>
    </xf>
    <xf numFmtId="166" fontId="135" fillId="7" borderId="0" xfId="2" applyNumberFormat="1" applyFont="1" applyFill="1" applyAlignment="1" applyProtection="1">
      <alignment horizontal="left" vertical="center"/>
      <protection hidden="1"/>
    </xf>
    <xf numFmtId="0" fontId="8" fillId="2" borderId="189" xfId="2" applyFont="1" applyFill="1" applyBorder="1" applyAlignment="1" applyProtection="1">
      <alignment vertical="center"/>
      <protection hidden="1"/>
    </xf>
    <xf numFmtId="172" fontId="135" fillId="7" borderId="217" xfId="2" applyNumberFormat="1" applyFont="1" applyFill="1" applyBorder="1" applyAlignment="1" applyProtection="1">
      <alignment horizontal="left" vertical="center"/>
      <protection hidden="1"/>
    </xf>
    <xf numFmtId="168" fontId="135" fillId="7" borderId="174" xfId="2" applyNumberFormat="1" applyFont="1" applyFill="1" applyBorder="1" applyAlignment="1" applyProtection="1">
      <alignment horizontal="right" vertical="center"/>
      <protection hidden="1"/>
    </xf>
    <xf numFmtId="172" fontId="135" fillId="7" borderId="52" xfId="2" applyNumberFormat="1" applyFont="1" applyFill="1" applyBorder="1" applyAlignment="1" applyProtection="1">
      <alignment horizontal="right" vertical="center"/>
      <protection hidden="1"/>
    </xf>
    <xf numFmtId="14" fontId="135" fillId="2" borderId="174" xfId="2" applyNumberFormat="1" applyFont="1" applyFill="1" applyBorder="1" applyAlignment="1" applyProtection="1">
      <alignment horizontal="center" vertical="center"/>
      <protection hidden="1"/>
    </xf>
    <xf numFmtId="14" fontId="136" fillId="10" borderId="6" xfId="0" applyNumberFormat="1" applyFont="1" applyFill="1" applyBorder="1" applyAlignment="1" applyProtection="1">
      <alignment horizontal="center" vertical="center"/>
      <protection hidden="1"/>
    </xf>
    <xf numFmtId="0" fontId="44" fillId="10" borderId="31" xfId="0" applyNumberFormat="1" applyFont="1" applyFill="1" applyBorder="1" applyAlignment="1" applyProtection="1">
      <alignment horizontal="center" vertical="center"/>
      <protection hidden="1"/>
    </xf>
    <xf numFmtId="168" fontId="8" fillId="10" borderId="224" xfId="2" applyNumberFormat="1" applyFont="1" applyFill="1" applyBorder="1" applyAlignment="1" applyProtection="1">
      <alignment horizontal="right" vertical="center"/>
      <protection hidden="1"/>
    </xf>
    <xf numFmtId="168" fontId="8" fillId="10" borderId="225" xfId="2" applyNumberFormat="1" applyFont="1" applyFill="1" applyBorder="1" applyAlignment="1" applyProtection="1">
      <alignment horizontal="right" vertical="center"/>
      <protection hidden="1"/>
    </xf>
    <xf numFmtId="168" fontId="8" fillId="10" borderId="226" xfId="2" applyNumberFormat="1" applyFont="1" applyFill="1" applyBorder="1" applyAlignment="1" applyProtection="1">
      <alignment horizontal="right" vertical="center"/>
      <protection hidden="1"/>
    </xf>
    <xf numFmtId="0" fontId="136" fillId="7" borderId="0" xfId="0" applyFont="1" applyFill="1" applyAlignment="1" applyProtection="1">
      <alignment horizontal="right" vertical="center" indent="1"/>
      <protection hidden="1"/>
    </xf>
    <xf numFmtId="0" fontId="135" fillId="10" borderId="14" xfId="0" applyNumberFormat="1" applyFont="1" applyFill="1" applyBorder="1" applyAlignment="1" applyProtection="1">
      <alignment horizontal="center" vertical="center"/>
      <protection hidden="1"/>
    </xf>
    <xf numFmtId="167" fontId="135" fillId="10" borderId="14" xfId="0" applyNumberFormat="1" applyFont="1" applyFill="1" applyBorder="1" applyAlignment="1" applyProtection="1">
      <alignment horizontal="center" vertical="center"/>
      <protection hidden="1"/>
    </xf>
    <xf numFmtId="0" fontId="17" fillId="7" borderId="6" xfId="2" applyFont="1" applyFill="1" applyBorder="1" applyAlignment="1" applyProtection="1">
      <alignment horizontal="center" vertical="center"/>
      <protection hidden="1"/>
    </xf>
    <xf numFmtId="168" fontId="8" fillId="7" borderId="205" xfId="2" applyNumberFormat="1" applyFont="1" applyFill="1" applyBorder="1" applyAlignment="1" applyProtection="1">
      <alignment horizontal="right" vertical="center"/>
      <protection hidden="1"/>
    </xf>
    <xf numFmtId="168" fontId="8" fillId="7" borderId="206" xfId="2" applyNumberFormat="1" applyFont="1" applyFill="1" applyBorder="1" applyAlignment="1" applyProtection="1">
      <alignment horizontal="right" vertical="center"/>
      <protection hidden="1"/>
    </xf>
    <xf numFmtId="168" fontId="8" fillId="7" borderId="211" xfId="2" applyNumberFormat="1" applyFont="1" applyFill="1" applyBorder="1" applyAlignment="1" applyProtection="1">
      <alignment horizontal="right" vertical="center"/>
      <protection hidden="1"/>
    </xf>
    <xf numFmtId="168" fontId="8" fillId="7" borderId="210" xfId="2" applyNumberFormat="1" applyFont="1" applyFill="1" applyBorder="1" applyAlignment="1" applyProtection="1">
      <alignment horizontal="right" vertical="center"/>
      <protection hidden="1"/>
    </xf>
    <xf numFmtId="168" fontId="8" fillId="7" borderId="207" xfId="2" applyNumberFormat="1" applyFont="1" applyFill="1" applyBorder="1" applyAlignment="1" applyProtection="1">
      <alignment horizontal="right" vertical="center"/>
      <protection hidden="1"/>
    </xf>
    <xf numFmtId="168" fontId="8" fillId="7" borderId="212" xfId="2" applyNumberFormat="1" applyFont="1" applyFill="1" applyBorder="1" applyAlignment="1" applyProtection="1">
      <alignment horizontal="right" vertical="center"/>
      <protection hidden="1"/>
    </xf>
    <xf numFmtId="0" fontId="135" fillId="10" borderId="6" xfId="0" applyNumberFormat="1" applyFont="1" applyFill="1" applyBorder="1" applyAlignment="1" applyProtection="1">
      <alignment horizontal="center" vertical="center"/>
      <protection hidden="1"/>
    </xf>
    <xf numFmtId="168" fontId="135" fillId="10" borderId="14" xfId="0" applyNumberFormat="1" applyFont="1" applyFill="1" applyBorder="1" applyAlignment="1" applyProtection="1">
      <alignment horizontal="right" vertical="center"/>
      <protection hidden="1"/>
    </xf>
    <xf numFmtId="168" fontId="135" fillId="10" borderId="6" xfId="0" applyNumberFormat="1" applyFont="1" applyFill="1" applyBorder="1" applyAlignment="1" applyProtection="1">
      <alignment horizontal="right" vertical="center"/>
      <protection hidden="1"/>
    </xf>
    <xf numFmtId="0" fontId="166" fillId="2" borderId="189" xfId="2" applyNumberFormat="1" applyFont="1" applyFill="1" applyBorder="1" applyAlignment="1" applyProtection="1">
      <alignment horizontal="left" vertical="center" indent="1"/>
      <protection hidden="1"/>
    </xf>
    <xf numFmtId="0" fontId="167" fillId="2" borderId="189" xfId="2" applyNumberFormat="1" applyFont="1" applyFill="1" applyBorder="1" applyAlignment="1" applyProtection="1">
      <alignment horizontal="right" vertical="center" indent="1"/>
      <protection hidden="1"/>
    </xf>
    <xf numFmtId="0" fontId="135" fillId="2" borderId="0" xfId="2" applyNumberFormat="1" applyFont="1" applyFill="1" applyBorder="1" applyAlignment="1" applyProtection="1">
      <alignment horizontal="left" vertical="center"/>
      <protection hidden="1"/>
    </xf>
    <xf numFmtId="0" fontId="18" fillId="2" borderId="189" xfId="2" applyFont="1" applyFill="1" applyBorder="1" applyAlignment="1" applyProtection="1">
      <protection hidden="1"/>
    </xf>
    <xf numFmtId="0" fontId="3" fillId="2" borderId="189" xfId="2" applyFill="1" applyBorder="1" applyProtection="1">
      <protection hidden="1"/>
    </xf>
    <xf numFmtId="0" fontId="135" fillId="2" borderId="4" xfId="2" applyFont="1" applyFill="1" applyBorder="1" applyAlignment="1" applyProtection="1">
      <alignment horizontal="right" vertical="center"/>
      <protection hidden="1"/>
    </xf>
    <xf numFmtId="0" fontId="135" fillId="2" borderId="15" xfId="2" applyFont="1" applyFill="1" applyBorder="1" applyAlignment="1" applyProtection="1">
      <alignment horizontal="right" vertical="center"/>
      <protection hidden="1"/>
    </xf>
    <xf numFmtId="0" fontId="135" fillId="2" borderId="67" xfId="2" applyNumberFormat="1" applyFont="1" applyFill="1" applyBorder="1" applyAlignment="1" applyProtection="1">
      <alignment horizontal="left" vertical="center" indent="1"/>
      <protection hidden="1"/>
    </xf>
    <xf numFmtId="166" fontId="168" fillId="2" borderId="67" xfId="2" applyNumberFormat="1" applyFont="1" applyFill="1" applyBorder="1" applyAlignment="1" applyProtection="1">
      <alignment horizontal="right" vertical="center"/>
      <protection hidden="1"/>
    </xf>
    <xf numFmtId="0" fontId="135" fillId="2" borderId="21" xfId="2" applyFont="1" applyFill="1" applyBorder="1" applyAlignment="1" applyProtection="1">
      <alignment horizontal="center" vertical="center"/>
      <protection hidden="1"/>
    </xf>
    <xf numFmtId="166" fontId="166" fillId="7" borderId="67" xfId="2" applyNumberFormat="1" applyFont="1" applyFill="1" applyBorder="1" applyAlignment="1" applyProtection="1">
      <alignment horizontal="left" vertical="center"/>
      <protection hidden="1"/>
    </xf>
    <xf numFmtId="0" fontId="168" fillId="7" borderId="67" xfId="2" applyNumberFormat="1" applyFont="1" applyFill="1" applyBorder="1" applyAlignment="1" applyProtection="1">
      <alignment horizontal="right" vertical="center"/>
      <protection hidden="1"/>
    </xf>
    <xf numFmtId="0" fontId="135" fillId="7" borderId="7" xfId="2" applyNumberFormat="1" applyFont="1" applyFill="1" applyBorder="1" applyAlignment="1" applyProtection="1">
      <alignment horizontal="right" vertical="center" indent="1"/>
      <protection hidden="1"/>
    </xf>
    <xf numFmtId="0" fontId="135" fillId="2" borderId="0" xfId="2" applyFont="1" applyFill="1" applyBorder="1" applyAlignment="1" applyProtection="1">
      <alignment horizontal="center" vertical="center"/>
      <protection hidden="1"/>
    </xf>
    <xf numFmtId="0" fontId="166" fillId="2" borderId="72" xfId="2" applyFont="1" applyFill="1" applyBorder="1" applyAlignment="1" applyProtection="1">
      <alignment vertical="center"/>
      <protection hidden="1"/>
    </xf>
    <xf numFmtId="0" fontId="166" fillId="2" borderId="72" xfId="2" applyFont="1" applyFill="1" applyBorder="1" applyAlignment="1" applyProtection="1">
      <alignment horizontal="right" vertical="center" indent="1"/>
      <protection hidden="1"/>
    </xf>
    <xf numFmtId="0" fontId="135" fillId="2" borderId="0" xfId="2" applyFont="1" applyFill="1" applyBorder="1" applyAlignment="1" applyProtection="1">
      <alignment horizontal="center" vertical="top"/>
      <protection hidden="1"/>
    </xf>
    <xf numFmtId="0" fontId="156" fillId="2" borderId="0" xfId="2" applyNumberFormat="1" applyFont="1" applyFill="1" applyBorder="1" applyAlignment="1" applyProtection="1">
      <alignment horizontal="left" vertical="top"/>
      <protection hidden="1"/>
    </xf>
    <xf numFmtId="166" fontId="149" fillId="7" borderId="0" xfId="2" applyNumberFormat="1" applyFont="1" applyFill="1" applyAlignment="1" applyProtection="1">
      <alignment horizontal="left" vertical="center"/>
      <protection hidden="1"/>
    </xf>
    <xf numFmtId="0" fontId="34" fillId="2" borderId="0" xfId="2" applyFont="1" applyFill="1" applyBorder="1" applyAlignment="1" applyProtection="1">
      <alignment horizontal="center"/>
      <protection hidden="1"/>
    </xf>
    <xf numFmtId="0" fontId="8" fillId="2" borderId="7" xfId="2" applyFont="1" applyFill="1" applyBorder="1" applyAlignment="1" applyProtection="1">
      <alignment horizontal="center" vertical="center"/>
      <protection hidden="1"/>
    </xf>
    <xf numFmtId="0" fontId="135" fillId="7" borderId="0" xfId="2" applyFont="1" applyFill="1" applyBorder="1" applyAlignment="1" applyProtection="1">
      <alignment horizontal="center" vertical="center"/>
      <protection hidden="1"/>
    </xf>
    <xf numFmtId="0" fontId="46" fillId="2" borderId="0" xfId="2" applyFont="1" applyFill="1" applyAlignment="1" applyProtection="1">
      <alignment horizontal="center" vertical="center"/>
      <protection hidden="1"/>
    </xf>
    <xf numFmtId="166" fontId="167" fillId="8" borderId="59" xfId="2" applyNumberFormat="1" applyFont="1" applyFill="1" applyBorder="1" applyAlignment="1" applyProtection="1">
      <alignment vertical="center"/>
      <protection hidden="1"/>
    </xf>
    <xf numFmtId="166" fontId="167" fillId="8" borderId="33" xfId="2" applyNumberFormat="1" applyFont="1" applyFill="1" applyBorder="1" applyAlignment="1" applyProtection="1">
      <alignment vertical="center"/>
      <protection hidden="1"/>
    </xf>
    <xf numFmtId="166" fontId="167" fillId="8" borderId="38" xfId="2" applyNumberFormat="1" applyFont="1" applyFill="1" applyBorder="1" applyAlignment="1" applyProtection="1">
      <alignment vertical="center"/>
      <protection hidden="1"/>
    </xf>
    <xf numFmtId="166" fontId="14" fillId="8" borderId="6" xfId="2" applyNumberFormat="1" applyFont="1" applyFill="1" applyBorder="1" applyAlignment="1" applyProtection="1">
      <alignment vertical="center"/>
      <protection hidden="1"/>
    </xf>
    <xf numFmtId="167" fontId="166" fillId="8" borderId="17" xfId="2" applyNumberFormat="1" applyFont="1" applyFill="1" applyBorder="1" applyAlignment="1" applyProtection="1">
      <alignment horizontal="center" vertical="center"/>
      <protection locked="0"/>
    </xf>
    <xf numFmtId="167" fontId="166" fillId="8" borderId="63" xfId="2" applyNumberFormat="1" applyFont="1" applyFill="1" applyBorder="1" applyAlignment="1" applyProtection="1">
      <alignment horizontal="center" vertical="center"/>
      <protection locked="0"/>
    </xf>
    <xf numFmtId="167" fontId="166" fillId="8" borderId="64" xfId="2" applyNumberFormat="1" applyFont="1" applyFill="1" applyBorder="1" applyAlignment="1" applyProtection="1">
      <alignment horizontal="center" vertical="center"/>
      <protection locked="0"/>
    </xf>
    <xf numFmtId="167" fontId="166" fillId="8" borderId="62" xfId="2" applyNumberFormat="1" applyFont="1" applyFill="1" applyBorder="1" applyAlignment="1" applyProtection="1">
      <alignment horizontal="center" vertical="center"/>
      <protection locked="0"/>
    </xf>
    <xf numFmtId="167" fontId="166" fillId="8" borderId="18" xfId="2" applyNumberFormat="1" applyFont="1" applyFill="1" applyBorder="1" applyAlignment="1" applyProtection="1">
      <alignment horizontal="center" vertical="center"/>
      <protection locked="0"/>
    </xf>
    <xf numFmtId="167" fontId="166" fillId="8" borderId="19" xfId="2" applyNumberFormat="1" applyFont="1" applyFill="1" applyBorder="1" applyAlignment="1" applyProtection="1">
      <alignment horizontal="center" vertical="center"/>
      <protection locked="0"/>
    </xf>
    <xf numFmtId="166" fontId="168" fillId="7" borderId="0" xfId="2" applyNumberFormat="1" applyFont="1" applyFill="1" applyBorder="1" applyAlignment="1" applyProtection="1">
      <alignment horizontal="left" vertical="center"/>
      <protection hidden="1"/>
    </xf>
    <xf numFmtId="0" fontId="70" fillId="2" borderId="0" xfId="0" applyFont="1" applyFill="1" applyAlignment="1" applyProtection="1">
      <alignment vertical="center"/>
      <protection hidden="1"/>
    </xf>
    <xf numFmtId="0" fontId="156" fillId="2" borderId="0" xfId="0" applyFont="1" applyFill="1" applyAlignment="1" applyProtection="1">
      <alignment horizontal="left" vertical="top" indent="3"/>
      <protection hidden="1"/>
    </xf>
    <xf numFmtId="0" fontId="156" fillId="2" borderId="0" xfId="0" applyFont="1" applyFill="1" applyAlignment="1" applyProtection="1">
      <alignment horizontal="left" indent="1"/>
      <protection hidden="1"/>
    </xf>
    <xf numFmtId="0" fontId="156" fillId="2" borderId="0" xfId="0" applyFont="1" applyFill="1" applyAlignment="1" applyProtection="1">
      <alignment horizontal="left" vertical="top" indent="1"/>
      <protection hidden="1"/>
    </xf>
    <xf numFmtId="0" fontId="18" fillId="2" borderId="216" xfId="0" applyFont="1" applyFill="1" applyBorder="1" applyAlignment="1" applyProtection="1">
      <protection hidden="1"/>
    </xf>
    <xf numFmtId="0" fontId="18" fillId="2" borderId="217" xfId="0" applyFont="1" applyFill="1" applyBorder="1" applyAlignment="1" applyProtection="1">
      <alignment horizontal="distributed"/>
      <protection hidden="1"/>
    </xf>
    <xf numFmtId="0" fontId="135" fillId="2" borderId="0" xfId="0" applyFont="1" applyFill="1" applyAlignment="1" applyProtection="1">
      <alignment horizontal="center"/>
      <protection hidden="1"/>
    </xf>
    <xf numFmtId="0" fontId="135" fillId="2" borderId="0" xfId="0" applyFont="1" applyFill="1" applyAlignment="1" applyProtection="1">
      <alignment horizontal="left" vertical="top"/>
      <protection hidden="1"/>
    </xf>
    <xf numFmtId="0" fontId="135" fillId="2" borderId="0" xfId="0" applyFont="1" applyFill="1" applyAlignment="1" applyProtection="1">
      <alignment horizontal="center" vertical="top"/>
      <protection hidden="1"/>
    </xf>
    <xf numFmtId="0" fontId="135" fillId="2" borderId="0" xfId="0" applyFont="1" applyFill="1" applyAlignment="1" applyProtection="1">
      <alignment horizontal="center" vertical="center"/>
      <protection hidden="1"/>
    </xf>
    <xf numFmtId="0" fontId="3" fillId="2" borderId="0" xfId="0" applyFont="1" applyFill="1" applyAlignment="1" applyProtection="1">
      <alignment vertical="center"/>
      <protection locked="0"/>
    </xf>
    <xf numFmtId="0" fontId="3" fillId="2" borderId="0" xfId="0" applyFont="1" applyFill="1" applyAlignment="1" applyProtection="1">
      <protection hidden="1"/>
    </xf>
    <xf numFmtId="0" fontId="179" fillId="2" borderId="0" xfId="0" applyFont="1" applyFill="1" applyAlignment="1" applyProtection="1">
      <protection hidden="1"/>
    </xf>
    <xf numFmtId="0" fontId="142" fillId="2" borderId="0" xfId="0" applyFont="1" applyFill="1" applyAlignment="1" applyProtection="1">
      <alignment horizontal="left"/>
      <protection hidden="1"/>
    </xf>
    <xf numFmtId="0" fontId="18" fillId="2" borderId="0" xfId="0" applyFont="1" applyFill="1" applyAlignment="1" applyProtection="1">
      <alignment horizontal="left" indent="1"/>
      <protection hidden="1"/>
    </xf>
    <xf numFmtId="0" fontId="156" fillId="2" borderId="0" xfId="0" applyFont="1" applyFill="1" applyAlignment="1" applyProtection="1">
      <alignment horizontal="left" indent="3"/>
      <protection hidden="1"/>
    </xf>
    <xf numFmtId="0" fontId="156" fillId="2" borderId="0" xfId="0" applyFont="1" applyFill="1" applyAlignment="1" applyProtection="1">
      <alignment horizontal="left"/>
      <protection hidden="1"/>
    </xf>
    <xf numFmtId="0" fontId="166" fillId="2" borderId="0" xfId="0" applyFont="1" applyFill="1" applyAlignment="1" applyProtection="1">
      <alignment horizontal="left" vertical="center"/>
      <protection hidden="1"/>
    </xf>
    <xf numFmtId="4" fontId="166" fillId="2" borderId="0" xfId="0" applyNumberFormat="1" applyFont="1" applyFill="1" applyAlignment="1" applyProtection="1">
      <alignment horizontal="left" vertical="center"/>
      <protection hidden="1"/>
    </xf>
    <xf numFmtId="4" fontId="18" fillId="2" borderId="0" xfId="0" applyNumberFormat="1" applyFont="1" applyFill="1" applyAlignment="1" applyProtection="1">
      <alignment horizontal="left" vertical="top"/>
      <protection hidden="1"/>
    </xf>
    <xf numFmtId="0" fontId="135" fillId="2" borderId="179" xfId="0" applyFont="1" applyFill="1" applyBorder="1" applyAlignment="1" applyProtection="1">
      <alignment horizontal="left" vertical="center" indent="1"/>
      <protection hidden="1"/>
    </xf>
    <xf numFmtId="0" fontId="18" fillId="2" borderId="180" xfId="0" applyFont="1" applyFill="1" applyBorder="1" applyAlignment="1" applyProtection="1">
      <alignment horizontal="distributed" vertical="center"/>
      <protection hidden="1"/>
    </xf>
    <xf numFmtId="4" fontId="136" fillId="2" borderId="180" xfId="0" applyNumberFormat="1" applyFont="1" applyFill="1" applyBorder="1" applyAlignment="1" applyProtection="1">
      <alignment horizontal="left" vertical="center"/>
      <protection hidden="1"/>
    </xf>
    <xf numFmtId="0" fontId="136" fillId="2" borderId="180" xfId="0" applyFont="1" applyFill="1" applyBorder="1" applyAlignment="1" applyProtection="1">
      <alignment horizontal="distributed" vertical="center"/>
      <protection hidden="1"/>
    </xf>
    <xf numFmtId="4" fontId="166" fillId="2" borderId="180" xfId="0" applyNumberFormat="1" applyFont="1" applyFill="1" applyBorder="1" applyAlignment="1" applyProtection="1">
      <alignment horizontal="left" vertical="center"/>
      <protection hidden="1"/>
    </xf>
    <xf numFmtId="4" fontId="136" fillId="2" borderId="181" xfId="0" applyNumberFormat="1" applyFont="1" applyFill="1" applyBorder="1" applyAlignment="1" applyProtection="1">
      <alignment horizontal="left" vertical="center"/>
      <protection hidden="1"/>
    </xf>
    <xf numFmtId="4" fontId="166" fillId="2" borderId="181" xfId="0" applyNumberFormat="1" applyFont="1" applyFill="1" applyBorder="1" applyAlignment="1" applyProtection="1">
      <alignment horizontal="left" vertical="center"/>
      <protection hidden="1"/>
    </xf>
    <xf numFmtId="0" fontId="156" fillId="2" borderId="0" xfId="0" applyFont="1" applyFill="1" applyAlignment="1" applyProtection="1">
      <alignment horizontal="left" vertical="top"/>
      <protection hidden="1"/>
    </xf>
    <xf numFmtId="0" fontId="136" fillId="2" borderId="0" xfId="0" applyFont="1" applyFill="1" applyAlignment="1" applyProtection="1">
      <alignment horizontal="right" vertical="top"/>
      <protection hidden="1"/>
    </xf>
    <xf numFmtId="0" fontId="180" fillId="2" borderId="0" xfId="1" applyFont="1" applyFill="1" applyAlignment="1" applyProtection="1">
      <alignment horizontal="left" vertical="top" indent="1"/>
      <protection locked="0"/>
    </xf>
    <xf numFmtId="0" fontId="40" fillId="2" borderId="0" xfId="0" applyFont="1" applyFill="1" applyAlignment="1" applyProtection="1">
      <protection hidden="1"/>
    </xf>
    <xf numFmtId="0" fontId="112" fillId="2" borderId="0" xfId="1" applyNumberFormat="1" applyFont="1" applyFill="1" applyAlignment="1" applyProtection="1">
      <alignment horizontal="left" vertical="top" indent="1"/>
      <protection locked="0"/>
    </xf>
    <xf numFmtId="0" fontId="169" fillId="2" borderId="0" xfId="0" applyNumberFormat="1" applyFont="1" applyFill="1" applyAlignment="1" applyProtection="1">
      <alignment vertical="top"/>
      <protection hidden="1"/>
    </xf>
    <xf numFmtId="168" fontId="181" fillId="2" borderId="0" xfId="0" applyNumberFormat="1" applyFont="1" applyFill="1" applyBorder="1" applyAlignment="1" applyProtection="1">
      <alignment horizontal="center" vertical="center"/>
      <protection hidden="1"/>
    </xf>
    <xf numFmtId="168" fontId="135" fillId="7" borderId="17" xfId="0" applyNumberFormat="1" applyFont="1" applyFill="1" applyBorder="1" applyAlignment="1" applyProtection="1">
      <alignment horizontal="right" vertical="center"/>
      <protection hidden="1"/>
    </xf>
    <xf numFmtId="168" fontId="135" fillId="7" borderId="19" xfId="0" applyNumberFormat="1" applyFont="1" applyFill="1" applyBorder="1" applyAlignment="1" applyProtection="1">
      <alignment horizontal="right" vertical="center"/>
      <protection hidden="1"/>
    </xf>
    <xf numFmtId="168" fontId="47" fillId="8" borderId="25" xfId="0" applyNumberFormat="1" applyFont="1" applyFill="1" applyBorder="1" applyAlignment="1" applyProtection="1">
      <alignment horizontal="right" vertical="center"/>
      <protection hidden="1"/>
    </xf>
    <xf numFmtId="166" fontId="136" fillId="2" borderId="0" xfId="0" applyNumberFormat="1" applyFont="1" applyFill="1" applyBorder="1" applyAlignment="1" applyProtection="1">
      <alignment horizontal="right"/>
      <protection hidden="1"/>
    </xf>
    <xf numFmtId="168" fontId="52" fillId="8" borderId="57" xfId="0" applyNumberFormat="1" applyFont="1" applyFill="1" applyBorder="1" applyAlignment="1" applyProtection="1">
      <alignment horizontal="right" vertical="center"/>
      <protection hidden="1"/>
    </xf>
    <xf numFmtId="168" fontId="52" fillId="8" borderId="58" xfId="0" applyNumberFormat="1" applyFont="1" applyFill="1" applyBorder="1" applyAlignment="1" applyProtection="1">
      <alignment horizontal="right" vertical="center"/>
      <protection hidden="1"/>
    </xf>
    <xf numFmtId="168" fontId="52" fillId="8" borderId="109" xfId="0" applyNumberFormat="1" applyFont="1" applyFill="1" applyBorder="1" applyAlignment="1" applyProtection="1">
      <alignment horizontal="right" vertical="center"/>
      <protection hidden="1"/>
    </xf>
    <xf numFmtId="168" fontId="135" fillId="7" borderId="59" xfId="0" applyNumberFormat="1" applyFont="1" applyFill="1" applyBorder="1" applyAlignment="1" applyProtection="1">
      <alignment horizontal="right" vertical="center"/>
      <protection hidden="1"/>
    </xf>
    <xf numFmtId="166" fontId="136" fillId="2" borderId="0" xfId="0" applyNumberFormat="1" applyFont="1" applyFill="1" applyBorder="1" applyAlignment="1" applyProtection="1">
      <alignment horizontal="right" vertical="top"/>
      <protection hidden="1"/>
    </xf>
    <xf numFmtId="168" fontId="52" fillId="8" borderId="37" xfId="0" applyNumberFormat="1" applyFont="1" applyFill="1" applyBorder="1" applyAlignment="1" applyProtection="1">
      <alignment horizontal="right" vertical="center"/>
      <protection hidden="1"/>
    </xf>
    <xf numFmtId="168" fontId="52" fillId="8" borderId="60" xfId="0" applyNumberFormat="1" applyFont="1" applyFill="1" applyBorder="1" applyAlignment="1" applyProtection="1">
      <alignment horizontal="right" vertical="center"/>
      <protection hidden="1"/>
    </xf>
    <xf numFmtId="168" fontId="52" fillId="8" borderId="66" xfId="0" applyNumberFormat="1" applyFont="1" applyFill="1" applyBorder="1" applyAlignment="1" applyProtection="1">
      <alignment horizontal="right" vertical="center"/>
      <protection hidden="1"/>
    </xf>
    <xf numFmtId="168" fontId="135" fillId="7" borderId="38" xfId="0" applyNumberFormat="1" applyFont="1" applyFill="1" applyBorder="1" applyAlignment="1" applyProtection="1">
      <alignment horizontal="right" vertical="center"/>
      <protection hidden="1"/>
    </xf>
    <xf numFmtId="166" fontId="63" fillId="2" borderId="0" xfId="0" applyNumberFormat="1" applyFont="1" applyFill="1" applyBorder="1" applyAlignment="1" applyProtection="1">
      <alignment horizontal="right" vertical="center"/>
      <protection hidden="1"/>
    </xf>
    <xf numFmtId="168" fontId="52" fillId="7" borderId="45" xfId="0" applyNumberFormat="1" applyFont="1" applyFill="1" applyBorder="1" applyAlignment="1" applyProtection="1">
      <alignment horizontal="right" vertical="center"/>
      <protection hidden="1"/>
    </xf>
    <xf numFmtId="168" fontId="52" fillId="7" borderId="46" xfId="0" applyNumberFormat="1" applyFont="1" applyFill="1" applyBorder="1" applyAlignment="1" applyProtection="1">
      <alignment horizontal="right" vertical="center"/>
      <protection hidden="1"/>
    </xf>
    <xf numFmtId="168" fontId="52" fillId="7" borderId="54" xfId="0" applyNumberFormat="1" applyFont="1" applyFill="1" applyBorder="1" applyAlignment="1" applyProtection="1">
      <alignment horizontal="right" vertical="center"/>
      <protection hidden="1"/>
    </xf>
    <xf numFmtId="168" fontId="135" fillId="7" borderId="47" xfId="0" applyNumberFormat="1" applyFont="1" applyFill="1" applyBorder="1" applyAlignment="1" applyProtection="1">
      <alignment horizontal="right" vertical="center"/>
      <protection hidden="1"/>
    </xf>
    <xf numFmtId="0" fontId="77" fillId="7" borderId="0" xfId="0" applyNumberFormat="1" applyFont="1" applyFill="1" applyAlignment="1" applyProtection="1">
      <alignment vertical="top"/>
      <protection hidden="1"/>
    </xf>
    <xf numFmtId="0" fontId="152" fillId="7" borderId="0" xfId="0" applyFont="1" applyFill="1" applyAlignment="1" applyProtection="1">
      <alignment horizontal="center"/>
      <protection hidden="1"/>
    </xf>
    <xf numFmtId="0" fontId="152" fillId="7" borderId="0" xfId="0" applyFont="1" applyFill="1" applyProtection="1">
      <protection hidden="1"/>
    </xf>
    <xf numFmtId="0" fontId="152" fillId="2" borderId="0" xfId="0" applyFont="1" applyFill="1" applyProtection="1">
      <protection hidden="1"/>
    </xf>
    <xf numFmtId="0" fontId="106" fillId="2" borderId="0" xfId="1" applyNumberFormat="1" applyFont="1" applyFill="1" applyAlignment="1" applyProtection="1">
      <alignment horizontal="left" vertical="top"/>
      <protection locked="0"/>
    </xf>
    <xf numFmtId="0" fontId="17" fillId="2" borderId="0" xfId="0" applyFont="1" applyFill="1" applyAlignment="1" applyProtection="1">
      <alignment horizontal="left" vertical="top"/>
      <protection hidden="1"/>
    </xf>
    <xf numFmtId="0" fontId="14" fillId="2" borderId="0" xfId="0" applyFont="1" applyFill="1" applyAlignment="1" applyProtection="1">
      <alignment horizontal="left" vertical="top" indent="1"/>
      <protection hidden="1"/>
    </xf>
    <xf numFmtId="0" fontId="19" fillId="2" borderId="0" xfId="0" applyFont="1" applyFill="1" applyAlignment="1" applyProtection="1">
      <alignment horizontal="center" vertical="center"/>
      <protection hidden="1"/>
    </xf>
    <xf numFmtId="0" fontId="18" fillId="2" borderId="0" xfId="0" applyNumberFormat="1" applyFont="1" applyFill="1" applyBorder="1" applyAlignment="1" applyProtection="1">
      <alignment horizontal="center"/>
      <protection hidden="1"/>
    </xf>
    <xf numFmtId="0" fontId="77" fillId="2" borderId="0" xfId="0" applyNumberFormat="1" applyFont="1" applyFill="1" applyAlignment="1" applyProtection="1">
      <alignment horizontal="left" vertical="top"/>
      <protection hidden="1"/>
    </xf>
    <xf numFmtId="0" fontId="136" fillId="2" borderId="0" xfId="0" applyFont="1" applyFill="1" applyAlignment="1" applyProtection="1">
      <alignment horizontal="left" vertical="center"/>
      <protection hidden="1"/>
    </xf>
    <xf numFmtId="168" fontId="44" fillId="2" borderId="0" xfId="0" applyNumberFormat="1" applyFont="1" applyFill="1" applyAlignment="1" applyProtection="1">
      <alignment horizontal="right" vertical="center"/>
      <protection hidden="1"/>
    </xf>
    <xf numFmtId="0" fontId="77" fillId="2" borderId="0" xfId="0" applyFont="1" applyFill="1" applyBorder="1" applyAlignment="1" applyProtection="1">
      <alignment horizontal="center" vertical="center"/>
      <protection hidden="1"/>
    </xf>
    <xf numFmtId="166" fontId="159" fillId="2" borderId="0" xfId="0" applyNumberFormat="1" applyFont="1" applyFill="1" applyBorder="1" applyAlignment="1" applyProtection="1">
      <alignment horizontal="right" vertical="top"/>
      <protection hidden="1"/>
    </xf>
    <xf numFmtId="0" fontId="109" fillId="2" borderId="0" xfId="0" applyFont="1" applyFill="1" applyBorder="1" applyAlignment="1" applyProtection="1">
      <alignment horizontal="center" vertical="center"/>
      <protection hidden="1"/>
    </xf>
    <xf numFmtId="168" fontId="152" fillId="2" borderId="0" xfId="0" applyNumberFormat="1" applyFont="1" applyFill="1" applyBorder="1" applyAlignment="1" applyProtection="1">
      <alignment vertical="center"/>
      <protection hidden="1"/>
    </xf>
    <xf numFmtId="0" fontId="182" fillId="2" borderId="0" xfId="0" applyFont="1" applyFill="1" applyAlignment="1" applyProtection="1">
      <alignment horizontal="center" vertical="center"/>
      <protection hidden="1"/>
    </xf>
    <xf numFmtId="166" fontId="159" fillId="2" borderId="0" xfId="0" applyNumberFormat="1" applyFont="1" applyFill="1" applyBorder="1" applyAlignment="1" applyProtection="1">
      <alignment horizontal="right"/>
      <protection hidden="1"/>
    </xf>
    <xf numFmtId="172" fontId="183" fillId="2" borderId="0" xfId="0" applyNumberFormat="1" applyFont="1" applyFill="1" applyAlignment="1" applyProtection="1">
      <alignment horizontal="right" vertical="center"/>
      <protection hidden="1"/>
    </xf>
    <xf numFmtId="166" fontId="159" fillId="2" borderId="25" xfId="0" applyNumberFormat="1" applyFont="1" applyFill="1" applyBorder="1" applyAlignment="1" applyProtection="1">
      <alignment vertical="center"/>
      <protection hidden="1"/>
    </xf>
    <xf numFmtId="0" fontId="67" fillId="2" borderId="0" xfId="0" applyFont="1" applyFill="1" applyAlignment="1" applyProtection="1">
      <alignment vertical="top"/>
      <protection locked="0"/>
    </xf>
    <xf numFmtId="172" fontId="51" fillId="2" borderId="0" xfId="0" applyNumberFormat="1" applyFont="1" applyFill="1" applyAlignment="1" applyProtection="1">
      <alignment horizontal="right" vertical="center"/>
      <protection locked="0"/>
    </xf>
    <xf numFmtId="0" fontId="0" fillId="7" borderId="0" xfId="0" applyFill="1" applyProtection="1">
      <protection locked="0"/>
    </xf>
    <xf numFmtId="166" fontId="8" fillId="2" borderId="7" xfId="0" applyNumberFormat="1" applyFont="1" applyFill="1" applyBorder="1" applyAlignment="1" applyProtection="1">
      <alignment horizontal="center" vertical="center"/>
      <protection hidden="1"/>
    </xf>
    <xf numFmtId="0" fontId="18"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18" fillId="2" borderId="0" xfId="0" applyFont="1" applyFill="1" applyAlignment="1" applyProtection="1">
      <alignment horizontal="left" vertical="top"/>
      <protection hidden="1"/>
    </xf>
    <xf numFmtId="14" fontId="63" fillId="3" borderId="74" xfId="0" applyNumberFormat="1" applyFont="1" applyFill="1" applyBorder="1" applyAlignment="1" applyProtection="1">
      <alignment horizontal="center" vertical="center"/>
      <protection locked="0"/>
    </xf>
    <xf numFmtId="14" fontId="63" fillId="3" borderId="75" xfId="0" applyNumberFormat="1" applyFont="1" applyFill="1" applyBorder="1" applyAlignment="1" applyProtection="1">
      <alignment horizontal="center" vertical="center"/>
      <protection locked="0"/>
    </xf>
    <xf numFmtId="182" fontId="63" fillId="3" borderId="74" xfId="0" applyNumberFormat="1" applyFont="1" applyFill="1" applyBorder="1" applyAlignment="1" applyProtection="1">
      <alignment horizontal="center" vertical="center"/>
      <protection locked="0"/>
    </xf>
    <xf numFmtId="182" fontId="63" fillId="3" borderId="75" xfId="0" applyNumberFormat="1" applyFont="1" applyFill="1" applyBorder="1" applyAlignment="1" applyProtection="1">
      <alignment horizontal="center" vertical="center"/>
      <protection locked="0"/>
    </xf>
    <xf numFmtId="0" fontId="0" fillId="2" borderId="0" xfId="0" applyFill="1" applyBorder="1" applyProtection="1">
      <protection locked="0"/>
    </xf>
    <xf numFmtId="0" fontId="94" fillId="3" borderId="25" xfId="0" applyFont="1" applyFill="1" applyBorder="1" applyAlignment="1" applyProtection="1">
      <alignment horizontal="center" vertical="center"/>
      <protection locked="0"/>
    </xf>
    <xf numFmtId="14" fontId="75" fillId="3" borderId="25" xfId="0" applyNumberFormat="1" applyFont="1" applyFill="1" applyBorder="1" applyAlignment="1" applyProtection="1">
      <alignment horizontal="center" vertical="center"/>
      <protection locked="0"/>
    </xf>
    <xf numFmtId="182" fontId="75" fillId="3" borderId="25" xfId="0" applyNumberFormat="1" applyFont="1" applyFill="1" applyBorder="1" applyAlignment="1" applyProtection="1">
      <alignment horizontal="center" vertical="center"/>
      <protection locked="0"/>
    </xf>
    <xf numFmtId="0" fontId="18" fillId="2" borderId="0" xfId="0" applyFont="1" applyFill="1" applyAlignment="1" applyProtection="1">
      <alignment horizontal="left" vertical="top" indent="1"/>
      <protection hidden="1"/>
    </xf>
    <xf numFmtId="0" fontId="102" fillId="7" borderId="0" xfId="1" applyFont="1" applyFill="1" applyAlignment="1" applyProtection="1">
      <alignment horizontal="left" vertical="top"/>
      <protection locked="0"/>
    </xf>
    <xf numFmtId="0" fontId="18" fillId="2" borderId="0" xfId="0" applyFont="1" applyFill="1" applyAlignment="1" applyProtection="1">
      <alignment horizontal="distributed"/>
      <protection hidden="1"/>
    </xf>
    <xf numFmtId="0" fontId="70" fillId="2" borderId="0" xfId="0" applyFont="1" applyFill="1" applyAlignment="1" applyProtection="1">
      <alignment horizontal="left" vertical="top"/>
      <protection hidden="1"/>
    </xf>
    <xf numFmtId="0" fontId="8" fillId="2" borderId="0" xfId="0" applyFont="1" applyFill="1" applyAlignment="1" applyProtection="1">
      <alignment horizontal="left" vertical="top" indent="3"/>
      <protection hidden="1"/>
    </xf>
    <xf numFmtId="0" fontId="0" fillId="2" borderId="0" xfId="0" applyFill="1" applyAlignment="1" applyProtection="1">
      <alignment horizontal="center"/>
      <protection hidden="1"/>
    </xf>
    <xf numFmtId="0" fontId="14" fillId="2" borderId="0" xfId="0" applyFont="1" applyFill="1" applyAlignment="1" applyProtection="1">
      <alignment horizontal="left" vertical="top" indent="1"/>
      <protection hidden="1"/>
    </xf>
    <xf numFmtId="0" fontId="18" fillId="2" borderId="0" xfId="0" applyFont="1" applyFill="1" applyAlignment="1" applyProtection="1">
      <alignment horizontal="distributed" vertical="top"/>
      <protection hidden="1"/>
    </xf>
    <xf numFmtId="0" fontId="18" fillId="2" borderId="0" xfId="0" applyFont="1" applyFill="1" applyAlignment="1" applyProtection="1">
      <alignment horizontal="left" vertical="top"/>
      <protection hidden="1"/>
    </xf>
    <xf numFmtId="0" fontId="137" fillId="7" borderId="0" xfId="0" applyFont="1" applyFill="1" applyAlignment="1" applyProtection="1">
      <protection hidden="1"/>
    </xf>
    <xf numFmtId="0" fontId="135" fillId="7" borderId="0" xfId="0" applyFont="1" applyFill="1" applyAlignment="1" applyProtection="1">
      <alignment vertical="top"/>
      <protection hidden="1"/>
    </xf>
    <xf numFmtId="0" fontId="135" fillId="7" borderId="0" xfId="0" applyFont="1" applyFill="1" applyAlignment="1" applyProtection="1">
      <protection hidden="1"/>
    </xf>
    <xf numFmtId="0" fontId="18" fillId="2" borderId="5" xfId="2" applyNumberFormat="1" applyFont="1" applyFill="1" applyBorder="1" applyAlignment="1" applyProtection="1">
      <alignment horizontal="center" vertical="center"/>
      <protection hidden="1"/>
    </xf>
    <xf numFmtId="166" fontId="57" fillId="2" borderId="25" xfId="2" applyNumberFormat="1" applyFont="1" applyFill="1" applyBorder="1" applyAlignment="1" applyProtection="1">
      <alignment vertical="center"/>
      <protection hidden="1"/>
    </xf>
    <xf numFmtId="166" fontId="57" fillId="2" borderId="18" xfId="2" applyNumberFormat="1" applyFont="1" applyFill="1" applyBorder="1" applyAlignment="1" applyProtection="1">
      <alignment vertical="center"/>
      <protection hidden="1"/>
    </xf>
    <xf numFmtId="166" fontId="57" fillId="2" borderId="23" xfId="2" applyNumberFormat="1" applyFont="1" applyFill="1" applyBorder="1" applyAlignment="1" applyProtection="1">
      <alignment vertical="center"/>
      <protection hidden="1"/>
    </xf>
    <xf numFmtId="0" fontId="18" fillId="2" borderId="25" xfId="2" applyNumberFormat="1" applyFont="1" applyFill="1" applyBorder="1" applyAlignment="1" applyProtection="1">
      <alignment horizontal="center" vertical="center"/>
      <protection hidden="1"/>
    </xf>
    <xf numFmtId="168" fontId="18" fillId="8" borderId="25" xfId="2" applyNumberFormat="1" applyFont="1" applyFill="1" applyBorder="1" applyAlignment="1" applyProtection="1">
      <alignment vertical="center"/>
      <protection hidden="1"/>
    </xf>
    <xf numFmtId="0" fontId="14" fillId="8" borderId="25" xfId="2" applyNumberFormat="1" applyFont="1" applyFill="1" applyBorder="1" applyAlignment="1" applyProtection="1">
      <alignment horizontal="left" vertical="center" wrapText="1"/>
      <protection hidden="1"/>
    </xf>
    <xf numFmtId="168" fontId="18" fillId="8" borderId="17" xfId="2" applyNumberFormat="1" applyFont="1" applyFill="1" applyBorder="1" applyAlignment="1" applyProtection="1">
      <alignment vertical="center"/>
      <protection hidden="1"/>
    </xf>
    <xf numFmtId="0" fontId="14" fillId="8" borderId="17" xfId="2" applyNumberFormat="1" applyFont="1" applyFill="1" applyBorder="1" applyAlignment="1" applyProtection="1">
      <alignment horizontal="left" vertical="center" wrapText="1"/>
      <protection hidden="1"/>
    </xf>
    <xf numFmtId="168" fontId="18" fillId="8" borderId="19" xfId="2" applyNumberFormat="1" applyFont="1" applyFill="1" applyBorder="1" applyAlignment="1" applyProtection="1">
      <alignment vertical="center"/>
      <protection hidden="1"/>
    </xf>
    <xf numFmtId="0" fontId="14" fillId="8" borderId="19" xfId="2" applyNumberFormat="1" applyFont="1" applyFill="1" applyBorder="1" applyAlignment="1" applyProtection="1">
      <alignment horizontal="left" vertical="center" wrapText="1"/>
      <protection hidden="1"/>
    </xf>
    <xf numFmtId="0" fontId="64" fillId="2" borderId="0" xfId="2" applyFont="1" applyFill="1" applyBorder="1" applyAlignment="1" applyProtection="1">
      <alignment horizontal="center" vertical="top"/>
      <protection hidden="1"/>
    </xf>
    <xf numFmtId="166" fontId="46" fillId="2" borderId="0" xfId="2" applyNumberFormat="1" applyFont="1" applyFill="1" applyAlignment="1" applyProtection="1">
      <alignment horizontal="center" vertical="center"/>
      <protection hidden="1"/>
    </xf>
    <xf numFmtId="168" fontId="142" fillId="7" borderId="5" xfId="2" applyNumberFormat="1" applyFont="1" applyFill="1" applyBorder="1" applyAlignment="1" applyProtection="1">
      <alignment horizontal="right" vertical="center"/>
      <protection hidden="1"/>
    </xf>
    <xf numFmtId="0" fontId="18" fillId="2" borderId="48" xfId="2" applyNumberFormat="1" applyFont="1" applyFill="1" applyBorder="1" applyAlignment="1" applyProtection="1">
      <alignment horizontal="center" vertical="center"/>
      <protection hidden="1"/>
    </xf>
    <xf numFmtId="0" fontId="33" fillId="2" borderId="0" xfId="0" applyNumberFormat="1" applyFont="1" applyFill="1" applyBorder="1" applyAlignment="1" applyProtection="1">
      <alignment horizontal="center" vertical="center"/>
      <protection hidden="1"/>
    </xf>
    <xf numFmtId="168" fontId="18" fillId="2" borderId="7" xfId="0" applyNumberFormat="1" applyFont="1" applyFill="1" applyBorder="1" applyAlignment="1" applyProtection="1">
      <alignment horizontal="center" vertical="center"/>
      <protection hidden="1"/>
    </xf>
    <xf numFmtId="0" fontId="151" fillId="7" borderId="0" xfId="2" applyFont="1" applyFill="1" applyBorder="1" applyAlignment="1" applyProtection="1">
      <alignment horizontal="center"/>
      <protection hidden="1"/>
    </xf>
    <xf numFmtId="168" fontId="136" fillId="2" borderId="2" xfId="2" applyNumberFormat="1" applyFont="1" applyFill="1" applyBorder="1" applyAlignment="1" applyProtection="1">
      <alignment horizontal="right" vertical="top"/>
      <protection hidden="1"/>
    </xf>
    <xf numFmtId="168" fontId="136" fillId="2" borderId="127" xfId="2" applyNumberFormat="1" applyFont="1" applyFill="1" applyBorder="1" applyAlignment="1" applyProtection="1">
      <alignment horizontal="right" vertical="top"/>
      <protection hidden="1"/>
    </xf>
    <xf numFmtId="0" fontId="151" fillId="7" borderId="0" xfId="2" applyFont="1" applyFill="1" applyAlignment="1" applyProtection="1">
      <alignment horizontal="center" vertical="center"/>
      <protection hidden="1"/>
    </xf>
    <xf numFmtId="0" fontId="152" fillId="2" borderId="0" xfId="2" applyFont="1" applyFill="1" applyAlignment="1" applyProtection="1">
      <alignment horizontal="center" vertical="center"/>
      <protection hidden="1"/>
    </xf>
    <xf numFmtId="0" fontId="74" fillId="2" borderId="0" xfId="2" applyNumberFormat="1" applyFont="1" applyFill="1" applyAlignment="1" applyProtection="1">
      <alignment horizontal="left"/>
      <protection hidden="1"/>
    </xf>
    <xf numFmtId="168" fontId="18" fillId="2" borderId="44" xfId="2" applyNumberFormat="1" applyFont="1" applyFill="1" applyBorder="1" applyAlignment="1" applyProtection="1">
      <alignment vertical="center"/>
      <protection locked="0"/>
    </xf>
    <xf numFmtId="0" fontId="14" fillId="8" borderId="43" xfId="2" applyNumberFormat="1" applyFont="1" applyFill="1" applyBorder="1" applyAlignment="1" applyProtection="1">
      <alignment horizontal="left" vertical="center" wrapText="1"/>
      <protection locked="0"/>
    </xf>
    <xf numFmtId="168" fontId="18" fillId="2" borderId="18" xfId="2" applyNumberFormat="1" applyFont="1" applyFill="1" applyBorder="1" applyAlignment="1" applyProtection="1">
      <alignment vertical="center"/>
      <protection locked="0"/>
    </xf>
    <xf numFmtId="0" fontId="14" fillId="8" borderId="61" xfId="2" applyNumberFormat="1" applyFont="1" applyFill="1" applyBorder="1" applyAlignment="1" applyProtection="1">
      <alignment horizontal="left" vertical="center" wrapText="1"/>
      <protection locked="0"/>
    </xf>
    <xf numFmtId="168" fontId="18" fillId="2" borderId="23" xfId="2" applyNumberFormat="1" applyFont="1" applyFill="1" applyBorder="1" applyAlignment="1" applyProtection="1">
      <alignment vertical="center"/>
      <protection locked="0"/>
    </xf>
    <xf numFmtId="0" fontId="14" fillId="8" borderId="80" xfId="2" applyNumberFormat="1" applyFont="1" applyFill="1" applyBorder="1" applyAlignment="1" applyProtection="1">
      <alignment horizontal="left" vertical="center" wrapText="1"/>
      <protection locked="0"/>
    </xf>
    <xf numFmtId="166" fontId="14" fillId="2" borderId="44" xfId="2" applyNumberFormat="1" applyFont="1" applyFill="1" applyBorder="1" applyAlignment="1" applyProtection="1">
      <alignment vertical="center"/>
      <protection locked="0"/>
    </xf>
    <xf numFmtId="166" fontId="57" fillId="2" borderId="18" xfId="2" applyNumberFormat="1" applyFont="1" applyFill="1" applyBorder="1" applyAlignment="1" applyProtection="1">
      <alignment vertical="center"/>
      <protection locked="0"/>
    </xf>
    <xf numFmtId="166" fontId="57" fillId="2" borderId="44" xfId="2" applyNumberFormat="1" applyFont="1" applyFill="1" applyBorder="1" applyAlignment="1" applyProtection="1">
      <alignment vertical="center"/>
      <protection locked="0"/>
    </xf>
    <xf numFmtId="166" fontId="57" fillId="2" borderId="23" xfId="2" applyNumberFormat="1" applyFont="1" applyFill="1" applyBorder="1" applyAlignment="1" applyProtection="1">
      <alignment vertical="center"/>
      <protection locked="0"/>
    </xf>
    <xf numFmtId="0" fontId="74" fillId="2" borderId="0" xfId="2" applyFont="1" applyFill="1" applyAlignment="1" applyProtection="1">
      <alignment vertical="center"/>
      <protection hidden="1"/>
    </xf>
    <xf numFmtId="169" fontId="166" fillId="8" borderId="43" xfId="0" applyNumberFormat="1" applyFont="1" applyFill="1" applyBorder="1" applyAlignment="1" applyProtection="1">
      <alignment vertical="center"/>
      <protection locked="0"/>
    </xf>
    <xf numFmtId="169" fontId="166" fillId="8" borderId="27" xfId="0" applyNumberFormat="1" applyFont="1" applyFill="1" applyBorder="1" applyAlignment="1" applyProtection="1">
      <alignment vertical="center"/>
      <protection locked="0"/>
    </xf>
    <xf numFmtId="169" fontId="166" fillId="8" borderId="61" xfId="0" applyNumberFormat="1" applyFont="1" applyFill="1" applyBorder="1" applyAlignment="1" applyProtection="1">
      <alignment vertical="center"/>
      <protection locked="0"/>
    </xf>
    <xf numFmtId="169" fontId="166" fillId="8" borderId="14" xfId="0" applyNumberFormat="1" applyFont="1" applyFill="1" applyBorder="1" applyAlignment="1" applyProtection="1">
      <alignment vertical="center"/>
      <protection locked="0"/>
    </xf>
    <xf numFmtId="186" fontId="116" fillId="2" borderId="7" xfId="2" applyNumberFormat="1" applyFont="1" applyFill="1" applyBorder="1" applyAlignment="1" applyProtection="1">
      <alignment horizontal="right" vertical="top" indent="1"/>
      <protection locked="0"/>
    </xf>
    <xf numFmtId="168" fontId="153" fillId="7" borderId="174" xfId="2" applyNumberFormat="1" applyFont="1" applyFill="1" applyBorder="1" applyAlignment="1" applyProtection="1">
      <alignment vertical="center"/>
      <protection locked="0"/>
    </xf>
    <xf numFmtId="0" fontId="19" fillId="2" borderId="0" xfId="0" applyFont="1" applyFill="1" applyAlignment="1" applyProtection="1">
      <alignment horizontal="center" vertical="center"/>
      <protection hidden="1"/>
    </xf>
    <xf numFmtId="0" fontId="19" fillId="2" borderId="7" xfId="0" applyFont="1" applyFill="1" applyBorder="1" applyAlignment="1" applyProtection="1">
      <alignment horizontal="center"/>
      <protection hidden="1"/>
    </xf>
    <xf numFmtId="167" fontId="33" fillId="2" borderId="14" xfId="0" applyNumberFormat="1" applyFont="1" applyFill="1" applyBorder="1" applyAlignment="1" applyProtection="1">
      <alignment horizontal="center" vertical="center"/>
      <protection hidden="1"/>
    </xf>
    <xf numFmtId="167" fontId="33" fillId="10" borderId="14" xfId="0"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62" fillId="2" borderId="0" xfId="0" applyFont="1" applyFill="1" applyAlignment="1" applyProtection="1">
      <alignment horizontal="left" vertical="center" indent="1"/>
      <protection hidden="1"/>
    </xf>
    <xf numFmtId="166" fontId="17" fillId="2" borderId="0" xfId="0" applyNumberFormat="1" applyFont="1" applyFill="1" applyBorder="1" applyAlignment="1" applyProtection="1">
      <alignment horizontal="left"/>
      <protection hidden="1"/>
    </xf>
    <xf numFmtId="0" fontId="84" fillId="2" borderId="4" xfId="0"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left" vertical="center"/>
      <protection hidden="1"/>
    </xf>
    <xf numFmtId="0" fontId="84" fillId="2" borderId="0" xfId="0" applyFont="1" applyFill="1" applyAlignment="1" applyProtection="1">
      <alignment horizontal="center"/>
      <protection hidden="1"/>
    </xf>
    <xf numFmtId="0" fontId="79"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75" fillId="2" borderId="0" xfId="0" applyNumberFormat="1" applyFont="1" applyFill="1" applyAlignment="1" applyProtection="1">
      <alignment horizontal="left" vertical="center"/>
      <protection hidden="1"/>
    </xf>
    <xf numFmtId="167" fontId="14" fillId="10" borderId="14" xfId="0" applyNumberFormat="1" applyFont="1" applyFill="1" applyBorder="1" applyAlignment="1" applyProtection="1">
      <alignment horizontal="center" vertical="center"/>
      <protection hidden="1"/>
    </xf>
    <xf numFmtId="0" fontId="77" fillId="2" borderId="0" xfId="0" applyNumberFormat="1" applyFont="1" applyFill="1" applyAlignment="1" applyProtection="1">
      <alignment horizontal="left" vertical="top"/>
      <protection hidden="1"/>
    </xf>
    <xf numFmtId="0" fontId="142" fillId="7" borderId="170" xfId="0" applyNumberFormat="1" applyFont="1" applyFill="1" applyBorder="1" applyAlignment="1" applyProtection="1">
      <alignment horizontal="center" vertical="center"/>
      <protection locked="0"/>
    </xf>
    <xf numFmtId="0" fontId="142" fillId="8" borderId="170" xfId="0" applyFont="1" applyFill="1" applyBorder="1" applyAlignment="1" applyProtection="1">
      <alignment horizontal="center" vertical="center"/>
      <protection locked="0"/>
    </xf>
    <xf numFmtId="0" fontId="18" fillId="2" borderId="57" xfId="0" applyFont="1" applyFill="1" applyBorder="1" applyAlignment="1" applyProtection="1">
      <alignment horizontal="center" vertical="center"/>
      <protection locked="0"/>
    </xf>
    <xf numFmtId="0" fontId="19" fillId="2" borderId="58" xfId="0" applyFont="1" applyFill="1" applyBorder="1" applyAlignment="1" applyProtection="1">
      <alignment horizontal="center" vertical="center"/>
      <protection locked="0"/>
    </xf>
    <xf numFmtId="0" fontId="19" fillId="2" borderId="59" xfId="0" applyFont="1" applyFill="1" applyBorder="1" applyAlignment="1" applyProtection="1">
      <alignment horizontal="center" vertical="center"/>
      <protection locked="0"/>
    </xf>
    <xf numFmtId="0" fontId="18" fillId="2" borderId="32"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3" xfId="0" applyFont="1" applyFill="1" applyBorder="1" applyAlignment="1" applyProtection="1">
      <alignment horizontal="center" vertical="center"/>
      <protection locked="0"/>
    </xf>
    <xf numFmtId="0" fontId="18" fillId="2" borderId="37" xfId="0" applyFont="1" applyFill="1" applyBorder="1" applyAlignment="1" applyProtection="1">
      <alignment horizontal="center" vertical="center"/>
      <protection locked="0"/>
    </xf>
    <xf numFmtId="0" fontId="19" fillId="2" borderId="60" xfId="0" applyFont="1" applyFill="1" applyBorder="1" applyAlignment="1" applyProtection="1">
      <alignment horizontal="center" vertical="center"/>
      <protection locked="0"/>
    </xf>
    <xf numFmtId="0" fontId="19" fillId="2" borderId="38" xfId="0" applyFont="1" applyFill="1" applyBorder="1" applyAlignment="1" applyProtection="1">
      <alignment horizontal="center" vertical="center"/>
      <protection locked="0"/>
    </xf>
    <xf numFmtId="0" fontId="175" fillId="2" borderId="0" xfId="1" applyFont="1" applyFill="1" applyAlignment="1" applyProtection="1">
      <protection locked="0"/>
    </xf>
    <xf numFmtId="167" fontId="18" fillId="8" borderId="17" xfId="0" applyNumberFormat="1" applyFont="1" applyFill="1" applyBorder="1" applyAlignment="1" applyProtection="1">
      <alignment horizontal="center" vertical="center"/>
      <protection locked="0"/>
    </xf>
    <xf numFmtId="167" fontId="18" fillId="8" borderId="81" xfId="0" applyNumberFormat="1" applyFont="1" applyFill="1" applyBorder="1" applyAlignment="1" applyProtection="1">
      <alignment horizontal="center" vertical="center"/>
      <protection locked="0"/>
    </xf>
    <xf numFmtId="167" fontId="18" fillId="8" borderId="19" xfId="0" applyNumberFormat="1" applyFont="1" applyFill="1" applyBorder="1" applyAlignment="1" applyProtection="1">
      <alignment horizontal="center" vertical="center"/>
      <protection locked="0"/>
    </xf>
    <xf numFmtId="167" fontId="18" fillId="8" borderId="45" xfId="0" applyNumberFormat="1" applyFont="1" applyFill="1" applyBorder="1" applyAlignment="1" applyProtection="1">
      <alignment horizontal="center" vertical="center"/>
      <protection locked="0"/>
    </xf>
    <xf numFmtId="0" fontId="3" fillId="2" borderId="0" xfId="0" applyFont="1" applyFill="1" applyProtection="1">
      <protection locked="0"/>
    </xf>
    <xf numFmtId="0" fontId="102" fillId="2" borderId="0" xfId="1" applyFont="1" applyFill="1" applyAlignment="1" applyProtection="1">
      <protection locked="0"/>
    </xf>
    <xf numFmtId="0" fontId="152" fillId="2" borderId="0" xfId="0" applyFont="1" applyFill="1" applyAlignment="1" applyProtection="1">
      <alignment horizontal="center" vertical="center"/>
      <protection hidden="1"/>
    </xf>
    <xf numFmtId="0" fontId="152" fillId="7" borderId="0" xfId="0" applyFont="1" applyFill="1" applyBorder="1" applyAlignment="1" applyProtection="1">
      <alignment horizontal="center" vertical="center"/>
      <protection hidden="1"/>
    </xf>
    <xf numFmtId="2" fontId="151" fillId="7" borderId="0" xfId="0" applyNumberFormat="1" applyFont="1" applyFill="1" applyAlignment="1" applyProtection="1">
      <alignment horizontal="center" vertical="center"/>
      <protection hidden="1"/>
    </xf>
    <xf numFmtId="0" fontId="152" fillId="2" borderId="0" xfId="0" applyFont="1" applyFill="1" applyBorder="1" applyAlignment="1" applyProtection="1">
      <alignment horizontal="center" vertical="center"/>
      <protection hidden="1"/>
    </xf>
    <xf numFmtId="0" fontId="0" fillId="0" borderId="0" xfId="0" applyProtection="1">
      <protection hidden="1"/>
    </xf>
    <xf numFmtId="0" fontId="19" fillId="7" borderId="0" xfId="0" applyFont="1" applyFill="1" applyProtection="1">
      <protection locked="0"/>
    </xf>
    <xf numFmtId="0" fontId="3" fillId="7" borderId="0" xfId="2" applyFill="1" applyProtection="1">
      <protection locked="0"/>
    </xf>
    <xf numFmtId="0" fontId="19" fillId="2" borderId="0" xfId="0" applyFont="1" applyFill="1" applyAlignment="1" applyProtection="1">
      <alignment horizontal="center" vertical="center"/>
      <protection hidden="1"/>
    </xf>
    <xf numFmtId="0" fontId="151" fillId="2" borderId="2" xfId="2" applyNumberFormat="1" applyFont="1" applyFill="1" applyBorder="1" applyAlignment="1" applyProtection="1">
      <alignment horizontal="center" vertical="center"/>
      <protection hidden="1"/>
    </xf>
    <xf numFmtId="0" fontId="151" fillId="2" borderId="0" xfId="2" applyFont="1" applyFill="1" applyBorder="1" applyAlignment="1" applyProtection="1">
      <alignment horizontal="center"/>
      <protection hidden="1"/>
    </xf>
    <xf numFmtId="0" fontId="151" fillId="7" borderId="0" xfId="0" applyFont="1" applyFill="1" applyAlignment="1" applyProtection="1">
      <alignment horizontal="center" vertical="center"/>
      <protection hidden="1"/>
    </xf>
    <xf numFmtId="0" fontId="1" fillId="0" borderId="0" xfId="3" applyProtection="1">
      <protection locked="0"/>
    </xf>
    <xf numFmtId="0" fontId="3" fillId="0" borderId="0" xfId="2" applyProtection="1">
      <protection locked="0"/>
    </xf>
    <xf numFmtId="0" fontId="136" fillId="2" borderId="0" xfId="0" applyFont="1" applyFill="1" applyAlignment="1" applyProtection="1">
      <protection hidden="1"/>
    </xf>
    <xf numFmtId="0" fontId="142" fillId="2" borderId="0" xfId="0" applyFont="1" applyFill="1" applyAlignment="1" applyProtection="1">
      <protection hidden="1"/>
    </xf>
    <xf numFmtId="0" fontId="77" fillId="2" borderId="0" xfId="4" applyFont="1" applyFill="1" applyAlignment="1" applyProtection="1">
      <alignment horizontal="left" indent="2"/>
      <protection hidden="1"/>
    </xf>
    <xf numFmtId="0" fontId="78" fillId="2" borderId="0" xfId="1" applyFont="1" applyFill="1" applyAlignment="1" applyProtection="1">
      <alignment horizontal="left" indent="2"/>
      <protection locked="0"/>
    </xf>
    <xf numFmtId="0" fontId="74" fillId="2" borderId="0" xfId="4" applyFont="1" applyFill="1" applyAlignment="1" applyProtection="1">
      <alignment horizontal="left" indent="2"/>
      <protection hidden="1"/>
    </xf>
    <xf numFmtId="0" fontId="152" fillId="7" borderId="0" xfId="2" applyFont="1" applyFill="1" applyProtection="1">
      <protection hidden="1"/>
    </xf>
    <xf numFmtId="0" fontId="84" fillId="2" borderId="0" xfId="0" applyFont="1" applyFill="1" applyAlignment="1" applyProtection="1">
      <alignment horizontal="left" vertical="top" indent="7"/>
      <protection hidden="1"/>
    </xf>
    <xf numFmtId="0" fontId="84" fillId="2" borderId="0" xfId="0" applyFont="1" applyFill="1" applyAlignment="1" applyProtection="1">
      <alignment horizontal="left" vertical="top" indent="9"/>
      <protection hidden="1"/>
    </xf>
    <xf numFmtId="0" fontId="84" fillId="2" borderId="0" xfId="0" applyFont="1" applyFill="1" applyAlignment="1" applyProtection="1">
      <alignment horizontal="left" vertical="center" indent="7"/>
      <protection hidden="1"/>
    </xf>
    <xf numFmtId="0" fontId="84" fillId="2" borderId="0" xfId="0" applyFont="1" applyFill="1" applyAlignment="1" applyProtection="1">
      <alignment horizontal="left" indent="7"/>
      <protection hidden="1"/>
    </xf>
    <xf numFmtId="166" fontId="159" fillId="2" borderId="0" xfId="0" applyNumberFormat="1" applyFont="1" applyFill="1" applyBorder="1" applyAlignment="1" applyProtection="1">
      <alignment horizontal="right"/>
      <protection hidden="1"/>
    </xf>
    <xf numFmtId="0" fontId="151" fillId="2" borderId="0" xfId="0" applyNumberFormat="1" applyFont="1" applyFill="1" applyAlignment="1" applyProtection="1">
      <alignment horizontal="center" vertical="center"/>
      <protection hidden="1"/>
    </xf>
    <xf numFmtId="0" fontId="123" fillId="2" borderId="0" xfId="0" applyFont="1" applyFill="1" applyAlignment="1" applyProtection="1">
      <alignment horizontal="left" vertical="top" indent="3"/>
      <protection hidden="1"/>
    </xf>
    <xf numFmtId="0" fontId="14" fillId="2" borderId="4" xfId="0" applyFont="1" applyFill="1" applyBorder="1" applyAlignment="1" applyProtection="1">
      <alignment horizontal="left" vertical="center" indent="1"/>
      <protection hidden="1"/>
    </xf>
    <xf numFmtId="0" fontId="0" fillId="2" borderId="0" xfId="0" applyFill="1" applyAlignment="1" applyProtection="1">
      <alignment horizontal="center"/>
      <protection hidden="1"/>
    </xf>
    <xf numFmtId="0" fontId="1" fillId="2" borderId="0" xfId="3" applyFill="1" applyBorder="1" applyAlignment="1" applyProtection="1">
      <alignment horizontal="center"/>
      <protection locked="0"/>
    </xf>
    <xf numFmtId="0" fontId="70" fillId="2" borderId="0" xfId="0" applyFont="1" applyFill="1" applyAlignment="1" applyProtection="1">
      <alignment horizontal="left"/>
      <protection hidden="1"/>
    </xf>
    <xf numFmtId="0" fontId="18" fillId="2" borderId="0" xfId="0" applyFont="1" applyFill="1" applyAlignment="1" applyProtection="1">
      <alignment horizontal="distributed" vertical="top"/>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distributed" vertical="center"/>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distributed"/>
      <protection hidden="1"/>
    </xf>
    <xf numFmtId="0" fontId="135" fillId="7" borderId="176" xfId="0" applyFont="1" applyFill="1" applyBorder="1" applyAlignment="1" applyProtection="1">
      <alignment horizontal="center"/>
      <protection hidden="1"/>
    </xf>
    <xf numFmtId="0" fontId="14" fillId="2" borderId="213" xfId="0" applyFont="1" applyFill="1" applyBorder="1" applyAlignment="1" applyProtection="1">
      <alignment horizontal="center"/>
      <protection hidden="1"/>
    </xf>
    <xf numFmtId="0" fontId="14" fillId="2" borderId="215" xfId="0" applyFont="1" applyFill="1" applyBorder="1" applyAlignment="1" applyProtection="1">
      <alignment horizontal="center"/>
      <protection hidden="1"/>
    </xf>
    <xf numFmtId="0" fontId="18" fillId="2" borderId="182" xfId="0" applyFont="1" applyFill="1" applyBorder="1" applyAlignment="1" applyProtection="1">
      <alignment horizontal="center" vertical="top"/>
      <protection hidden="1"/>
    </xf>
    <xf numFmtId="0" fontId="18" fillId="2" borderId="183" xfId="0" applyFont="1" applyFill="1" applyBorder="1" applyAlignment="1" applyProtection="1">
      <alignment horizontal="center" vertical="top"/>
      <protection hidden="1"/>
    </xf>
    <xf numFmtId="0" fontId="135" fillId="2" borderId="216" xfId="0" applyFont="1" applyFill="1" applyBorder="1" applyAlignment="1" applyProtection="1">
      <alignment horizontal="center" vertical="center"/>
      <protection hidden="1"/>
    </xf>
    <xf numFmtId="0" fontId="135" fillId="2" borderId="217" xfId="0" applyFont="1" applyFill="1" applyBorder="1" applyAlignment="1" applyProtection="1">
      <alignment horizontal="center" vertical="center"/>
      <protection hidden="1"/>
    </xf>
    <xf numFmtId="0" fontId="18" fillId="2" borderId="0" xfId="0" applyFont="1" applyFill="1" applyAlignment="1" applyProtection="1">
      <alignment horizontal="left" vertical="center" indent="1"/>
      <protection hidden="1"/>
    </xf>
    <xf numFmtId="0" fontId="65" fillId="2" borderId="5" xfId="3" applyFont="1" applyFill="1" applyBorder="1" applyAlignment="1" applyProtection="1">
      <alignment horizontal="left" vertical="center" indent="1"/>
      <protection hidden="1"/>
    </xf>
    <xf numFmtId="0" fontId="65" fillId="2" borderId="71" xfId="3" applyFont="1" applyFill="1" applyBorder="1" applyAlignment="1" applyProtection="1">
      <alignment horizontal="left" vertical="center" indent="1"/>
      <protection hidden="1"/>
    </xf>
    <xf numFmtId="0" fontId="65" fillId="2" borderId="79" xfId="3" applyFont="1" applyFill="1" applyBorder="1" applyAlignment="1" applyProtection="1">
      <alignment horizontal="left" vertical="center" indent="1"/>
      <protection hidden="1"/>
    </xf>
    <xf numFmtId="0" fontId="14" fillId="2" borderId="0" xfId="0" applyFont="1" applyFill="1" applyBorder="1" applyAlignment="1" applyProtection="1">
      <alignment horizontal="left"/>
      <protection hidden="1"/>
    </xf>
    <xf numFmtId="0" fontId="14" fillId="2" borderId="0" xfId="0" applyFont="1" applyFill="1" applyBorder="1" applyAlignment="1" applyProtection="1">
      <alignment horizontal="right"/>
      <protection hidden="1"/>
    </xf>
    <xf numFmtId="0" fontId="62" fillId="2" borderId="0" xfId="0" applyFont="1" applyFill="1" applyAlignment="1" applyProtection="1">
      <alignment horizontal="distributed" vertical="center"/>
      <protection hidden="1"/>
    </xf>
    <xf numFmtId="0" fontId="40" fillId="2" borderId="0" xfId="0" applyFont="1" applyFill="1" applyAlignment="1" applyProtection="1">
      <alignment horizontal="distributed" vertical="top"/>
      <protection hidden="1"/>
    </xf>
    <xf numFmtId="0" fontId="62" fillId="2" borderId="0" xfId="0" applyFont="1" applyFill="1" applyAlignment="1" applyProtection="1">
      <alignment horizontal="distributed" vertical="top"/>
      <protection hidden="1"/>
    </xf>
    <xf numFmtId="0" fontId="62" fillId="2" borderId="0" xfId="0" applyFont="1" applyFill="1" applyAlignment="1" applyProtection="1">
      <alignment horizontal="distributed"/>
      <protection hidden="1"/>
    </xf>
    <xf numFmtId="0" fontId="8" fillId="2" borderId="0" xfId="0" applyFont="1" applyFill="1" applyAlignment="1" applyProtection="1">
      <alignment horizontal="left" vertical="top" indent="1"/>
      <protection hidden="1"/>
    </xf>
    <xf numFmtId="0" fontId="8" fillId="2" borderId="0" xfId="4" applyFont="1" applyFill="1" applyAlignment="1" applyProtection="1">
      <alignment horizontal="distributed"/>
      <protection hidden="1"/>
    </xf>
    <xf numFmtId="0" fontId="40" fillId="2" borderId="0" xfId="0" applyFont="1" applyFill="1" applyAlignment="1" applyProtection="1">
      <alignment horizontal="distributed"/>
      <protection hidden="1"/>
    </xf>
    <xf numFmtId="0" fontId="62" fillId="2" borderId="0" xfId="0" applyFont="1" applyFill="1" applyAlignment="1" applyProtection="1">
      <alignment horizontal="left"/>
      <protection hidden="1"/>
    </xf>
    <xf numFmtId="0" fontId="8" fillId="2" borderId="0" xfId="0" applyFont="1" applyFill="1" applyAlignment="1" applyProtection="1">
      <alignment horizontal="distributed" indent="1"/>
      <protection hidden="1"/>
    </xf>
    <xf numFmtId="0" fontId="139" fillId="2" borderId="0" xfId="0" applyFont="1" applyFill="1" applyAlignment="1" applyProtection="1">
      <alignment horizontal="left"/>
      <protection hidden="1"/>
    </xf>
    <xf numFmtId="0" fontId="67" fillId="4" borderId="91" xfId="0" applyFont="1" applyFill="1" applyBorder="1" applyAlignment="1" applyProtection="1">
      <alignment horizontal="center" vertical="center"/>
      <protection locked="0"/>
    </xf>
    <xf numFmtId="0" fontId="67" fillId="4" borderId="92"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top" indent="1"/>
      <protection hidden="1"/>
    </xf>
    <xf numFmtId="0" fontId="8" fillId="2" borderId="0" xfId="0" applyFont="1" applyFill="1" applyAlignment="1" applyProtection="1">
      <alignment horizontal="distributed"/>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138" fillId="7" borderId="7" xfId="0" applyFont="1" applyFill="1" applyBorder="1" applyAlignment="1" applyProtection="1">
      <alignment horizontal="right" vertical="center" indent="1"/>
      <protection hidden="1"/>
    </xf>
    <xf numFmtId="0" fontId="8" fillId="2" borderId="0" xfId="0" applyFont="1" applyFill="1" applyAlignment="1" applyProtection="1">
      <alignment horizontal="distributed" vertical="top"/>
      <protection hidden="1"/>
    </xf>
    <xf numFmtId="0" fontId="76" fillId="2" borderId="0" xfId="0" applyFont="1" applyFill="1" applyAlignment="1" applyProtection="1">
      <alignment horizontal="left"/>
      <protection hidden="1"/>
    </xf>
    <xf numFmtId="0" fontId="8" fillId="2" borderId="7" xfId="3" applyFont="1" applyFill="1" applyBorder="1" applyAlignment="1" applyProtection="1">
      <alignment horizontal="center" vertical="center"/>
      <protection hidden="1"/>
    </xf>
    <xf numFmtId="0" fontId="113" fillId="2" borderId="0" xfId="0" applyFont="1" applyFill="1" applyAlignment="1" applyProtection="1">
      <alignment horizontal="right" vertical="top" indent="1"/>
      <protection hidden="1"/>
    </xf>
    <xf numFmtId="0" fontId="53" fillId="4" borderId="5" xfId="0" applyFont="1" applyFill="1" applyBorder="1" applyAlignment="1" applyProtection="1">
      <alignment horizontal="left" vertical="center" indent="1"/>
      <protection locked="0"/>
    </xf>
    <xf numFmtId="0" fontId="53" fillId="4" borderId="71" xfId="0" applyFont="1" applyFill="1" applyBorder="1" applyAlignment="1" applyProtection="1">
      <alignment horizontal="left" vertical="center" indent="1"/>
      <protection locked="0"/>
    </xf>
    <xf numFmtId="0" fontId="53" fillId="4" borderId="79" xfId="0" applyFont="1" applyFill="1" applyBorder="1" applyAlignment="1" applyProtection="1">
      <alignment horizontal="left" vertical="center" indent="1"/>
      <protection locked="0"/>
    </xf>
    <xf numFmtId="0" fontId="62" fillId="0" borderId="0" xfId="0" applyFont="1" applyAlignment="1" applyProtection="1">
      <alignment vertical="top"/>
      <protection hidden="1"/>
    </xf>
    <xf numFmtId="0" fontId="128" fillId="2" borderId="0" xfId="1" applyFont="1" applyFill="1" applyAlignment="1" applyProtection="1">
      <alignment horizontal="right"/>
      <protection locked="0"/>
    </xf>
    <xf numFmtId="0" fontId="128" fillId="2" borderId="0" xfId="1" applyFont="1" applyFill="1" applyAlignment="1" applyProtection="1">
      <alignment horizontal="left" vertical="top"/>
      <protection locked="0"/>
    </xf>
    <xf numFmtId="0" fontId="17" fillId="2" borderId="0" xfId="0" applyFont="1" applyFill="1" applyAlignment="1" applyProtection="1">
      <alignment horizontal="left" vertical="top"/>
      <protection hidden="1"/>
    </xf>
    <xf numFmtId="0" fontId="18" fillId="2" borderId="0" xfId="0" applyFont="1" applyFill="1" applyAlignment="1" applyProtection="1">
      <alignment horizontal="left" vertical="center"/>
      <protection hidden="1"/>
    </xf>
    <xf numFmtId="0" fontId="8" fillId="2" borderId="0" xfId="0" applyFont="1" applyFill="1" applyAlignment="1" applyProtection="1">
      <alignment horizontal="distributed" vertical="center" indent="1"/>
      <protection hidden="1"/>
    </xf>
    <xf numFmtId="0" fontId="18" fillId="2" borderId="0" xfId="0" applyFont="1" applyFill="1" applyBorder="1" applyAlignment="1" applyProtection="1">
      <alignment horizontal="left" indent="1"/>
      <protection hidden="1"/>
    </xf>
    <xf numFmtId="0" fontId="14" fillId="2" borderId="4" xfId="0" applyFont="1" applyFill="1" applyBorder="1" applyAlignment="1" applyProtection="1">
      <alignment horizontal="right" vertical="center" indent="1"/>
      <protection hidden="1"/>
    </xf>
    <xf numFmtId="0" fontId="63" fillId="2" borderId="0" xfId="0" applyFont="1" applyFill="1" applyBorder="1" applyAlignment="1" applyProtection="1">
      <alignment horizontal="left" vertical="center" indent="1"/>
      <protection hidden="1"/>
    </xf>
    <xf numFmtId="0" fontId="65" fillId="2" borderId="5" xfId="3" applyNumberFormat="1" applyFont="1" applyFill="1" applyBorder="1" applyAlignment="1" applyProtection="1">
      <alignment horizontal="center" vertical="center"/>
      <protection hidden="1"/>
    </xf>
    <xf numFmtId="0" fontId="65" fillId="2" borderId="71" xfId="3" applyNumberFormat="1" applyFont="1" applyFill="1" applyBorder="1" applyAlignment="1" applyProtection="1">
      <alignment horizontal="center" vertical="center"/>
      <protection hidden="1"/>
    </xf>
    <xf numFmtId="0" fontId="65" fillId="2" borderId="79" xfId="3" applyNumberFormat="1" applyFont="1" applyFill="1" applyBorder="1" applyAlignment="1" applyProtection="1">
      <alignment horizontal="center" vertical="center"/>
      <protection hidden="1"/>
    </xf>
    <xf numFmtId="0" fontId="179" fillId="2" borderId="0" xfId="0" applyFont="1" applyFill="1" applyAlignment="1" applyProtection="1">
      <alignment horizontal="center"/>
      <protection hidden="1"/>
    </xf>
    <xf numFmtId="0" fontId="179" fillId="2" borderId="0" xfId="0" applyFont="1" applyFill="1" applyAlignment="1" applyProtection="1">
      <alignment horizontal="center" vertical="top"/>
      <protection hidden="1"/>
    </xf>
    <xf numFmtId="0" fontId="53" fillId="2" borderId="0" xfId="3" applyFont="1" applyFill="1" applyBorder="1" applyAlignment="1" applyProtection="1">
      <alignment horizontal="right" vertical="center" indent="1"/>
      <protection hidden="1"/>
    </xf>
    <xf numFmtId="0" fontId="8" fillId="2" borderId="0" xfId="3" applyFont="1" applyFill="1" applyAlignment="1" applyProtection="1">
      <alignment horizontal="center" vertical="center"/>
      <protection hidden="1"/>
    </xf>
    <xf numFmtId="49" fontId="75" fillId="4" borderId="93" xfId="3" applyNumberFormat="1" applyFont="1" applyFill="1" applyBorder="1" applyAlignment="1" applyProtection="1">
      <alignment horizontal="center" vertical="center"/>
      <protection locked="0"/>
    </xf>
    <xf numFmtId="49" fontId="75" fillId="4" borderId="94" xfId="3" applyNumberFormat="1" applyFont="1" applyFill="1" applyBorder="1" applyAlignment="1" applyProtection="1">
      <alignment horizontal="center" vertical="center"/>
      <protection locked="0"/>
    </xf>
    <xf numFmtId="49" fontId="75" fillId="4" borderId="95" xfId="3" applyNumberFormat="1" applyFont="1" applyFill="1" applyBorder="1" applyAlignment="1" applyProtection="1">
      <alignment horizontal="center" vertical="center"/>
      <protection locked="0"/>
    </xf>
    <xf numFmtId="0" fontId="8" fillId="2" borderId="0" xfId="3" applyFont="1" applyFill="1" applyAlignment="1" applyProtection="1">
      <alignment horizontal="right" vertical="center" indent="1"/>
      <protection hidden="1"/>
    </xf>
    <xf numFmtId="0" fontId="8" fillId="2" borderId="20" xfId="3" applyFont="1" applyFill="1" applyBorder="1" applyAlignment="1" applyProtection="1">
      <alignment horizontal="right" vertical="center" indent="1"/>
      <protection hidden="1"/>
    </xf>
    <xf numFmtId="0" fontId="64" fillId="2" borderId="0" xfId="0" applyFont="1" applyFill="1" applyBorder="1" applyAlignment="1" applyProtection="1">
      <alignment horizontal="right" indent="1"/>
      <protection hidden="1"/>
    </xf>
    <xf numFmtId="0" fontId="17" fillId="2" borderId="7" xfId="0" applyFont="1" applyFill="1" applyBorder="1" applyAlignment="1" applyProtection="1">
      <alignment horizontal="left" vertical="center" indent="1"/>
      <protection hidden="1"/>
    </xf>
    <xf numFmtId="0" fontId="54" fillId="2" borderId="0" xfId="0" applyFont="1" applyFill="1" applyAlignment="1" applyProtection="1">
      <alignment horizontal="right" indent="2"/>
      <protection hidden="1"/>
    </xf>
    <xf numFmtId="0" fontId="127" fillId="0" borderId="0" xfId="1" applyFont="1" applyAlignment="1" applyProtection="1">
      <alignment horizontal="left" indent="1"/>
      <protection hidden="1"/>
    </xf>
    <xf numFmtId="0" fontId="21" fillId="0" borderId="0" xfId="0" applyFont="1" applyAlignment="1" applyProtection="1">
      <alignment horizontal="left" indent="1"/>
      <protection hidden="1"/>
    </xf>
    <xf numFmtId="0" fontId="17" fillId="2" borderId="7" xfId="0" applyFont="1" applyFill="1" applyBorder="1" applyAlignment="1" applyProtection="1">
      <alignment horizontal="center" vertical="center"/>
      <protection hidden="1"/>
    </xf>
    <xf numFmtId="0" fontId="64" fillId="2" borderId="0" xfId="5" applyNumberFormat="1" applyFont="1" applyFill="1" applyBorder="1" applyAlignment="1" applyProtection="1">
      <alignment horizontal="center" vertical="top"/>
      <protection hidden="1"/>
    </xf>
    <xf numFmtId="0" fontId="74" fillId="2" borderId="0" xfId="0" applyFont="1" applyFill="1" applyAlignment="1" applyProtection="1">
      <alignment horizontal="distributed" vertical="top" indent="1"/>
      <protection hidden="1"/>
    </xf>
    <xf numFmtId="0" fontId="18" fillId="2" borderId="0" xfId="0" applyFont="1" applyFill="1" applyAlignment="1" applyProtection="1">
      <alignment horizontal="left" indent="3"/>
      <protection hidden="1"/>
    </xf>
    <xf numFmtId="0" fontId="8" fillId="2" borderId="0" xfId="0" applyFont="1" applyFill="1" applyAlignment="1" applyProtection="1">
      <alignment horizontal="left" vertical="top" indent="3"/>
      <protection hidden="1"/>
    </xf>
    <xf numFmtId="0" fontId="74" fillId="2" borderId="0" xfId="0" applyFont="1" applyFill="1" applyAlignment="1" applyProtection="1">
      <alignment horizontal="distributed" indent="1"/>
      <protection hidden="1"/>
    </xf>
    <xf numFmtId="0" fontId="74" fillId="2" borderId="0" xfId="0" applyFont="1" applyFill="1" applyAlignment="1" applyProtection="1">
      <alignment horizontal="left" vertical="top" indent="1"/>
      <protection hidden="1"/>
    </xf>
    <xf numFmtId="0" fontId="62" fillId="2" borderId="0" xfId="0" applyFont="1" applyFill="1" applyAlignment="1" applyProtection="1">
      <alignment horizontal="center"/>
      <protection hidden="1"/>
    </xf>
    <xf numFmtId="0" fontId="62" fillId="2" borderId="0" xfId="0" applyFont="1" applyFill="1" applyAlignment="1" applyProtection="1">
      <alignment horizontal="center" vertical="center"/>
      <protection hidden="1"/>
    </xf>
    <xf numFmtId="0" fontId="17" fillId="2" borderId="0" xfId="0" applyFont="1" applyFill="1" applyAlignment="1" applyProtection="1">
      <alignment horizontal="right" vertical="center" indent="2"/>
      <protection hidden="1"/>
    </xf>
    <xf numFmtId="0" fontId="17" fillId="2" borderId="0" xfId="0" applyNumberFormat="1" applyFont="1" applyFill="1" applyAlignment="1" applyProtection="1">
      <alignment horizontal="right" vertical="top" indent="2"/>
      <protection hidden="1"/>
    </xf>
    <xf numFmtId="0" fontId="122" fillId="2" borderId="0" xfId="0" applyFont="1" applyFill="1" applyAlignment="1" applyProtection="1">
      <alignment horizontal="left" vertical="top" indent="2"/>
      <protection hidden="1"/>
    </xf>
    <xf numFmtId="0" fontId="102" fillId="0" borderId="0" xfId="1" applyFont="1" applyAlignment="1" applyProtection="1">
      <alignment horizontal="left" vertical="center"/>
      <protection locked="0"/>
    </xf>
    <xf numFmtId="0" fontId="54" fillId="0" borderId="0" xfId="0" applyFont="1" applyAlignment="1" applyProtection="1">
      <alignment horizontal="left" vertical="center"/>
      <protection locked="0"/>
    </xf>
    <xf numFmtId="0" fontId="17" fillId="2" borderId="0" xfId="0" applyFont="1" applyFill="1" applyAlignment="1" applyProtection="1">
      <alignment horizontal="right" indent="2"/>
      <protection hidden="1"/>
    </xf>
    <xf numFmtId="0" fontId="17" fillId="2" borderId="0" xfId="0" applyFont="1" applyFill="1" applyAlignment="1" applyProtection="1">
      <alignment horizontal="left" indent="2"/>
      <protection hidden="1"/>
    </xf>
    <xf numFmtId="0" fontId="63" fillId="2" borderId="0" xfId="5" applyFont="1" applyFill="1" applyAlignment="1" applyProtection="1">
      <alignment horizontal="left" indent="1"/>
      <protection hidden="1"/>
    </xf>
    <xf numFmtId="0" fontId="17" fillId="2" borderId="0" xfId="0" applyFont="1" applyFill="1" applyAlignment="1" applyProtection="1">
      <alignment horizontal="left" vertical="center" indent="2"/>
      <protection hidden="1"/>
    </xf>
    <xf numFmtId="0" fontId="18" fillId="2" borderId="0" xfId="0" applyFont="1" applyFill="1" applyAlignment="1" applyProtection="1">
      <alignment horizontal="right" vertical="center" indent="2"/>
      <protection hidden="1"/>
    </xf>
    <xf numFmtId="0" fontId="14" fillId="2" borderId="0" xfId="0" applyFont="1" applyFill="1" applyAlignment="1" applyProtection="1">
      <alignment horizontal="left" vertical="top" indent="1"/>
      <protection hidden="1"/>
    </xf>
    <xf numFmtId="0" fontId="123" fillId="2" borderId="0" xfId="1" applyFont="1" applyFill="1" applyAlignment="1" applyProtection="1">
      <alignment horizontal="center" vertical="center"/>
      <protection locked="0"/>
    </xf>
    <xf numFmtId="0" fontId="17" fillId="2" borderId="0" xfId="0" applyFont="1" applyFill="1" applyAlignment="1" applyProtection="1">
      <alignment horizontal="right" indent="1"/>
      <protection hidden="1"/>
    </xf>
    <xf numFmtId="0" fontId="63" fillId="2" borderId="7" xfId="0" applyFont="1" applyFill="1" applyBorder="1" applyAlignment="1" applyProtection="1">
      <alignment horizontal="right" vertical="top" indent="1"/>
      <protection hidden="1"/>
    </xf>
    <xf numFmtId="0" fontId="18" fillId="2" borderId="0" xfId="0" applyFont="1" applyFill="1" applyAlignment="1" applyProtection="1">
      <alignment horizontal="justify"/>
      <protection hidden="1"/>
    </xf>
    <xf numFmtId="0" fontId="8" fillId="2" borderId="0" xfId="1" applyFont="1" applyFill="1" applyAlignment="1" applyProtection="1">
      <alignment horizontal="left" vertical="top"/>
      <protection locked="0"/>
    </xf>
    <xf numFmtId="0" fontId="70" fillId="2" borderId="0" xfId="0" applyFont="1" applyFill="1" applyAlignment="1" applyProtection="1">
      <alignment horizontal="left" vertical="top"/>
      <protection hidden="1"/>
    </xf>
    <xf numFmtId="0" fontId="19" fillId="2" borderId="0" xfId="0" applyFont="1" applyFill="1" applyAlignment="1" applyProtection="1">
      <alignment horizontal="center" vertical="center"/>
      <protection hidden="1"/>
    </xf>
    <xf numFmtId="0" fontId="63" fillId="2" borderId="0" xfId="0" applyFont="1" applyFill="1" applyBorder="1" applyAlignment="1" applyProtection="1">
      <alignment horizontal="left" vertical="top" indent="1"/>
      <protection hidden="1"/>
    </xf>
    <xf numFmtId="0" fontId="65" fillId="2" borderId="7" xfId="3" applyFont="1" applyFill="1" applyBorder="1" applyAlignment="1" applyProtection="1">
      <alignment horizontal="left" vertical="center" indent="1"/>
      <protection hidden="1"/>
    </xf>
    <xf numFmtId="0" fontId="70" fillId="2" borderId="0" xfId="0" applyFont="1" applyFill="1" applyBorder="1" applyAlignment="1" applyProtection="1">
      <alignment horizontal="left" indent="1"/>
      <protection hidden="1"/>
    </xf>
    <xf numFmtId="0" fontId="18" fillId="2" borderId="0" xfId="0" applyFont="1" applyFill="1" applyBorder="1" applyAlignment="1" applyProtection="1">
      <alignment horizontal="left" vertical="top" indent="1"/>
      <protection hidden="1"/>
    </xf>
    <xf numFmtId="0" fontId="0" fillId="0" borderId="0" xfId="0" applyProtection="1">
      <protection hidden="1"/>
    </xf>
    <xf numFmtId="0" fontId="60" fillId="2" borderId="7" xfId="3" applyFont="1" applyFill="1" applyBorder="1" applyAlignment="1" applyProtection="1">
      <alignment horizontal="right" vertical="center" indent="1"/>
      <protection hidden="1"/>
    </xf>
    <xf numFmtId="0" fontId="18" fillId="2" borderId="0" xfId="0" applyFont="1" applyFill="1" applyAlignment="1" applyProtection="1">
      <alignment horizontal="justify" vertical="top"/>
      <protection hidden="1"/>
    </xf>
    <xf numFmtId="166" fontId="143" fillId="2" borderId="96" xfId="0" applyNumberFormat="1" applyFont="1" applyFill="1" applyBorder="1" applyAlignment="1" applyProtection="1">
      <alignment horizontal="left" vertical="center"/>
      <protection locked="0"/>
    </xf>
    <xf numFmtId="166" fontId="143" fillId="2" borderId="15" xfId="0" applyNumberFormat="1" applyFont="1" applyFill="1" applyBorder="1" applyAlignment="1" applyProtection="1">
      <alignment horizontal="left" vertical="center"/>
      <protection locked="0"/>
    </xf>
    <xf numFmtId="0" fontId="83" fillId="2" borderId="0" xfId="0" applyFont="1" applyFill="1" applyBorder="1" applyAlignment="1" applyProtection="1">
      <alignment horizontal="right"/>
      <protection hidden="1"/>
    </xf>
    <xf numFmtId="168" fontId="62" fillId="2" borderId="54" xfId="0" applyNumberFormat="1" applyFont="1" applyFill="1" applyBorder="1" applyAlignment="1" applyProtection="1">
      <alignment horizontal="right" vertical="center"/>
      <protection hidden="1"/>
    </xf>
    <xf numFmtId="168" fontId="62" fillId="2" borderId="71" xfId="0" applyNumberFormat="1" applyFont="1" applyFill="1" applyBorder="1" applyAlignment="1" applyProtection="1">
      <alignment horizontal="right" vertical="center"/>
      <protection hidden="1"/>
    </xf>
    <xf numFmtId="168" fontId="62" fillId="2" borderId="53" xfId="0" applyNumberFormat="1" applyFont="1" applyFill="1" applyBorder="1" applyAlignment="1" applyProtection="1">
      <alignment horizontal="right" vertical="center"/>
      <protection hidden="1"/>
    </xf>
    <xf numFmtId="0" fontId="117" fillId="2" borderId="4" xfId="0" applyFont="1" applyFill="1" applyBorder="1" applyAlignment="1" applyProtection="1">
      <alignment horizontal="center" vertical="center"/>
      <protection hidden="1"/>
    </xf>
    <xf numFmtId="0" fontId="143" fillId="8" borderId="14" xfId="0" applyFont="1" applyFill="1" applyBorder="1" applyAlignment="1" applyProtection="1">
      <alignment horizontal="center" vertical="center"/>
      <protection locked="0"/>
    </xf>
    <xf numFmtId="0" fontId="143" fillId="8" borderId="15" xfId="0" applyFont="1" applyFill="1" applyBorder="1" applyAlignment="1" applyProtection="1">
      <alignment horizontal="center" vertical="center"/>
      <protection locked="0"/>
    </xf>
    <xf numFmtId="0" fontId="143" fillId="8" borderId="97" xfId="0" applyFont="1" applyFill="1" applyBorder="1" applyAlignment="1" applyProtection="1">
      <alignment horizontal="center" vertical="center"/>
      <protection locked="0"/>
    </xf>
    <xf numFmtId="166" fontId="145" fillId="2" borderId="160" xfId="0" applyNumberFormat="1" applyFont="1" applyFill="1" applyBorder="1" applyAlignment="1" applyProtection="1">
      <alignment horizontal="left" vertical="center"/>
      <protection locked="0"/>
    </xf>
    <xf numFmtId="166" fontId="145" fillId="2" borderId="15" xfId="0" applyNumberFormat="1" applyFont="1" applyFill="1" applyBorder="1" applyAlignment="1" applyProtection="1">
      <alignment horizontal="left" vertical="center"/>
      <protection locked="0"/>
    </xf>
    <xf numFmtId="166" fontId="145" fillId="2" borderId="16" xfId="0" applyNumberFormat="1" applyFont="1" applyFill="1" applyBorder="1" applyAlignment="1" applyProtection="1">
      <alignment horizontal="left" vertical="center"/>
      <protection locked="0"/>
    </xf>
    <xf numFmtId="0" fontId="65" fillId="2" borderId="7" xfId="0" applyNumberFormat="1" applyFont="1" applyFill="1" applyBorder="1" applyAlignment="1" applyProtection="1">
      <alignment horizontal="center" vertical="center"/>
      <protection hidden="1"/>
    </xf>
    <xf numFmtId="0" fontId="148" fillId="2" borderId="1" xfId="0" applyFont="1" applyFill="1" applyBorder="1" applyAlignment="1" applyProtection="1">
      <alignment horizontal="left" vertical="center" indent="1"/>
      <protection hidden="1"/>
    </xf>
    <xf numFmtId="0" fontId="148" fillId="2" borderId="0" xfId="0" applyFont="1" applyFill="1" applyBorder="1" applyAlignment="1" applyProtection="1">
      <alignment horizontal="left" vertical="center" indent="1"/>
      <protection hidden="1"/>
    </xf>
    <xf numFmtId="0" fontId="3" fillId="3" borderId="61" xfId="0" applyFont="1" applyFill="1" applyBorder="1" applyAlignment="1" applyProtection="1">
      <alignment horizontal="center" vertical="center"/>
      <protection locked="0"/>
    </xf>
    <xf numFmtId="0" fontId="19" fillId="3" borderId="15" xfId="0" applyFont="1" applyFill="1" applyBorder="1" applyAlignment="1" applyProtection="1">
      <alignment horizontal="center" vertical="center"/>
      <protection locked="0"/>
    </xf>
    <xf numFmtId="0" fontId="19" fillId="3" borderId="63"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protection hidden="1"/>
    </xf>
    <xf numFmtId="0" fontId="3" fillId="0" borderId="67" xfId="0" applyFont="1" applyFill="1" applyBorder="1" applyAlignment="1" applyProtection="1">
      <alignment horizontal="center"/>
      <protection hidden="1"/>
    </xf>
    <xf numFmtId="0" fontId="3" fillId="0" borderId="64" xfId="0" applyFont="1" applyFill="1" applyBorder="1" applyAlignment="1" applyProtection="1">
      <alignment horizontal="center"/>
      <protection hidden="1"/>
    </xf>
    <xf numFmtId="168" fontId="74" fillId="2" borderId="129" xfId="0" applyNumberFormat="1" applyFont="1" applyFill="1" applyBorder="1" applyAlignment="1" applyProtection="1">
      <alignment horizontal="center" vertical="center"/>
      <protection hidden="1"/>
    </xf>
    <xf numFmtId="184" fontId="62" fillId="3" borderId="5" xfId="0" applyNumberFormat="1" applyFont="1" applyFill="1" applyBorder="1" applyAlignment="1" applyProtection="1">
      <alignment horizontal="right" vertical="center" indent="1"/>
      <protection hidden="1"/>
    </xf>
    <xf numFmtId="184" fontId="62" fillId="3" borderId="71" xfId="0" applyNumberFormat="1" applyFont="1" applyFill="1" applyBorder="1" applyAlignment="1" applyProtection="1">
      <alignment horizontal="right" vertical="center" indent="1"/>
      <protection hidden="1"/>
    </xf>
    <xf numFmtId="184" fontId="62" fillId="3" borderId="79" xfId="0" applyNumberFormat="1" applyFont="1" applyFill="1" applyBorder="1" applyAlignment="1" applyProtection="1">
      <alignment horizontal="right" vertical="center" indent="1"/>
      <protection hidden="1"/>
    </xf>
    <xf numFmtId="167" fontId="141" fillId="8" borderId="164" xfId="0" applyNumberFormat="1" applyFont="1" applyFill="1" applyBorder="1" applyAlignment="1" applyProtection="1">
      <alignment horizontal="center" vertical="center"/>
      <protection locked="0"/>
    </xf>
    <xf numFmtId="167" fontId="141" fillId="8" borderId="166" xfId="0" applyNumberFormat="1" applyFont="1" applyFill="1" applyBorder="1" applyAlignment="1" applyProtection="1">
      <alignment horizontal="center" vertical="center"/>
      <protection locked="0"/>
    </xf>
    <xf numFmtId="0" fontId="18" fillId="2" borderId="42"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84" xfId="0" applyNumberFormat="1" applyFont="1" applyFill="1" applyBorder="1" applyAlignment="1" applyProtection="1">
      <alignment horizontal="center"/>
      <protection hidden="1"/>
    </xf>
    <xf numFmtId="0" fontId="14" fillId="2" borderId="0" xfId="0" applyNumberFormat="1" applyFont="1" applyFill="1" applyBorder="1" applyAlignment="1" applyProtection="1">
      <alignment horizontal="center" vertical="top"/>
      <protection hidden="1"/>
    </xf>
    <xf numFmtId="0" fontId="14" fillId="2" borderId="39" xfId="0" applyNumberFormat="1" applyFont="1" applyFill="1" applyBorder="1" applyAlignment="1" applyProtection="1">
      <alignment horizontal="center" vertical="top"/>
      <protection hidden="1"/>
    </xf>
    <xf numFmtId="0" fontId="79" fillId="2" borderId="0" xfId="0" applyNumberFormat="1" applyFont="1" applyFill="1" applyAlignment="1" applyProtection="1">
      <alignment horizontal="center" vertical="center"/>
      <protection hidden="1"/>
    </xf>
    <xf numFmtId="0" fontId="14" fillId="2" borderId="21" xfId="0" applyNumberFormat="1" applyFont="1" applyFill="1" applyBorder="1" applyAlignment="1" applyProtection="1">
      <alignment horizontal="center" vertical="top"/>
      <protection hidden="1"/>
    </xf>
    <xf numFmtId="168" fontId="40" fillId="2" borderId="42" xfId="0" applyNumberFormat="1" applyFont="1" applyFill="1" applyBorder="1" applyAlignment="1" applyProtection="1">
      <alignment horizontal="right"/>
      <protection hidden="1"/>
    </xf>
    <xf numFmtId="168" fontId="62" fillId="2" borderId="4" xfId="0" applyNumberFormat="1" applyFont="1" applyFill="1" applyBorder="1" applyAlignment="1" applyProtection="1">
      <alignment horizontal="right"/>
      <protection hidden="1"/>
    </xf>
    <xf numFmtId="168" fontId="62" fillId="2" borderId="84" xfId="0" applyNumberFormat="1" applyFont="1" applyFill="1" applyBorder="1" applyAlignment="1" applyProtection="1">
      <alignment horizontal="right"/>
      <protection hidden="1"/>
    </xf>
    <xf numFmtId="167" fontId="141" fillId="8" borderId="160" xfId="0" applyNumberFormat="1" applyFont="1" applyFill="1" applyBorder="1" applyAlignment="1" applyProtection="1">
      <alignment horizontal="center" vertical="center"/>
      <protection locked="0"/>
    </xf>
    <xf numFmtId="167" fontId="141" fillId="8" borderId="16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indent="1"/>
      <protection hidden="1"/>
    </xf>
    <xf numFmtId="0" fontId="74" fillId="2" borderId="0" xfId="0" applyFont="1" applyFill="1" applyBorder="1" applyAlignment="1" applyProtection="1">
      <alignment horizontal="left" indent="1"/>
      <protection hidden="1"/>
    </xf>
    <xf numFmtId="0" fontId="155" fillId="2" borderId="0" xfId="0" applyFont="1" applyFill="1" applyAlignment="1" applyProtection="1">
      <alignment horizontal="left" vertical="center" indent="1"/>
      <protection hidden="1"/>
    </xf>
    <xf numFmtId="0" fontId="19" fillId="2" borderId="7" xfId="0" applyFont="1" applyFill="1" applyBorder="1" applyAlignment="1" applyProtection="1">
      <alignment horizontal="center"/>
      <protection hidden="1"/>
    </xf>
    <xf numFmtId="0" fontId="18" fillId="2" borderId="127"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128" xfId="0" applyNumberFormat="1" applyFont="1" applyFill="1" applyBorder="1" applyAlignment="1" applyProtection="1">
      <alignment horizontal="center" vertical="center"/>
      <protection hidden="1"/>
    </xf>
    <xf numFmtId="0" fontId="65" fillId="2" borderId="0" xfId="0" applyNumberFormat="1" applyFont="1" applyFill="1" applyBorder="1" applyAlignment="1" applyProtection="1">
      <alignment horizontal="center" vertical="top"/>
      <protection hidden="1"/>
    </xf>
    <xf numFmtId="167" fontId="17" fillId="2" borderId="26" xfId="0" applyNumberFormat="1" applyFont="1" applyFill="1" applyBorder="1" applyAlignment="1" applyProtection="1">
      <alignment horizontal="center" vertical="center"/>
      <protection hidden="1"/>
    </xf>
    <xf numFmtId="167" fontId="17" fillId="2" borderId="77" xfId="0" applyNumberFormat="1" applyFont="1" applyFill="1" applyBorder="1" applyAlignment="1" applyProtection="1">
      <alignment horizontal="center" vertical="center"/>
      <protection hidden="1"/>
    </xf>
    <xf numFmtId="167" fontId="17" fillId="2" borderId="41" xfId="0" applyNumberFormat="1" applyFont="1" applyFill="1" applyBorder="1" applyAlignment="1" applyProtection="1">
      <alignment horizontal="center" vertical="center"/>
      <protection hidden="1"/>
    </xf>
    <xf numFmtId="167" fontId="17" fillId="2" borderId="21" xfId="0" applyNumberFormat="1" applyFont="1" applyFill="1" applyBorder="1" applyAlignment="1" applyProtection="1">
      <alignment horizontal="center" vertical="center"/>
      <protection hidden="1"/>
    </xf>
    <xf numFmtId="167" fontId="17" fillId="2" borderId="0" xfId="0" applyNumberFormat="1" applyFont="1" applyFill="1" applyBorder="1" applyAlignment="1" applyProtection="1">
      <alignment horizontal="center" vertical="center"/>
      <protection hidden="1"/>
    </xf>
    <xf numFmtId="166" fontId="135" fillId="2" borderId="109" xfId="0" applyNumberFormat="1" applyFont="1" applyFill="1" applyBorder="1" applyAlignment="1" applyProtection="1">
      <alignment vertical="center"/>
      <protection hidden="1"/>
    </xf>
    <xf numFmtId="166" fontId="135" fillId="2" borderId="82" xfId="0" applyNumberFormat="1" applyFont="1" applyFill="1" applyBorder="1" applyAlignment="1" applyProtection="1">
      <alignment vertical="center"/>
      <protection hidden="1"/>
    </xf>
    <xf numFmtId="166" fontId="135" fillId="2" borderId="62" xfId="0" applyNumberFormat="1" applyFont="1" applyFill="1" applyBorder="1" applyAlignment="1" applyProtection="1">
      <alignment vertical="center"/>
      <protection hidden="1"/>
    </xf>
    <xf numFmtId="0" fontId="93" fillId="2" borderId="4" xfId="0" applyFont="1" applyFill="1" applyBorder="1" applyAlignment="1" applyProtection="1">
      <alignment horizontal="center"/>
      <protection hidden="1"/>
    </xf>
    <xf numFmtId="0" fontId="17" fillId="2" borderId="77" xfId="0" applyFont="1" applyFill="1" applyBorder="1" applyAlignment="1" applyProtection="1">
      <alignment horizontal="center"/>
      <protection hidden="1"/>
    </xf>
    <xf numFmtId="0" fontId="33" fillId="2" borderId="28" xfId="0" applyFont="1" applyFill="1" applyBorder="1" applyAlignment="1" applyProtection="1">
      <alignment horizontal="center" vertical="center"/>
      <protection hidden="1"/>
    </xf>
    <xf numFmtId="167" fontId="33" fillId="2" borderId="14" xfId="0" applyNumberFormat="1" applyFont="1" applyFill="1" applyBorder="1" applyAlignment="1" applyProtection="1">
      <alignment horizontal="center" vertical="center"/>
      <protection hidden="1"/>
    </xf>
    <xf numFmtId="0" fontId="0" fillId="0" borderId="15" xfId="0" applyBorder="1" applyProtection="1">
      <protection hidden="1"/>
    </xf>
    <xf numFmtId="0" fontId="0" fillId="0" borderId="16" xfId="0" applyBorder="1" applyProtection="1">
      <protection hidden="1"/>
    </xf>
    <xf numFmtId="167" fontId="17" fillId="2" borderId="21"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39" xfId="0" applyNumberFormat="1" applyFont="1" applyFill="1" applyBorder="1" applyAlignment="1" applyProtection="1">
      <alignment horizontal="center" vertical="top"/>
      <protection hidden="1"/>
    </xf>
    <xf numFmtId="167" fontId="17" fillId="2" borderId="27" xfId="0" applyNumberFormat="1" applyFont="1" applyFill="1" applyBorder="1" applyAlignment="1" applyProtection="1">
      <alignment horizontal="center" vertical="top"/>
      <protection hidden="1"/>
    </xf>
    <xf numFmtId="167" fontId="17" fillId="2" borderId="28" xfId="0" applyNumberFormat="1" applyFont="1" applyFill="1" applyBorder="1" applyAlignment="1" applyProtection="1">
      <alignment horizontal="center" vertical="top"/>
      <protection hidden="1"/>
    </xf>
    <xf numFmtId="167" fontId="17" fillId="2" borderId="29" xfId="0" applyNumberFormat="1" applyFont="1" applyFill="1" applyBorder="1" applyAlignment="1" applyProtection="1">
      <alignment horizontal="center" vertical="top"/>
      <protection hidden="1"/>
    </xf>
    <xf numFmtId="167" fontId="17" fillId="2" borderId="26" xfId="0" applyNumberFormat="1" applyFont="1" applyFill="1" applyBorder="1" applyAlignment="1" applyProtection="1">
      <alignment horizontal="center"/>
      <protection hidden="1"/>
    </xf>
    <xf numFmtId="167" fontId="17" fillId="2" borderId="77" xfId="0" applyNumberFormat="1" applyFont="1" applyFill="1" applyBorder="1" applyAlignment="1" applyProtection="1">
      <alignment horizontal="center"/>
      <protection hidden="1"/>
    </xf>
    <xf numFmtId="167" fontId="17" fillId="2" borderId="41" xfId="0" applyNumberFormat="1" applyFont="1" applyFill="1" applyBorder="1" applyAlignment="1" applyProtection="1">
      <alignment horizontal="center"/>
      <protection hidden="1"/>
    </xf>
    <xf numFmtId="167" fontId="14" fillId="10" borderId="14" xfId="0" applyNumberFormat="1" applyFont="1" applyFill="1" applyBorder="1" applyAlignment="1" applyProtection="1">
      <alignment horizontal="center" vertical="center"/>
      <protection hidden="1"/>
    </xf>
    <xf numFmtId="167" fontId="14" fillId="10" borderId="15" xfId="0" applyNumberFormat="1" applyFont="1" applyFill="1" applyBorder="1" applyAlignment="1" applyProtection="1">
      <alignment horizontal="center" vertical="center"/>
      <protection hidden="1"/>
    </xf>
    <xf numFmtId="0" fontId="166" fillId="7" borderId="202" xfId="0" applyFont="1" applyFill="1" applyBorder="1" applyAlignment="1" applyProtection="1">
      <alignment horizontal="left" vertical="center" indent="1"/>
      <protection locked="0"/>
    </xf>
    <xf numFmtId="0" fontId="166" fillId="7" borderId="203" xfId="0" applyFont="1" applyFill="1" applyBorder="1" applyAlignment="1" applyProtection="1">
      <alignment horizontal="left" vertical="center" indent="1"/>
      <protection locked="0"/>
    </xf>
    <xf numFmtId="0" fontId="166" fillId="7" borderId="204" xfId="0" applyFont="1" applyFill="1" applyBorder="1" applyAlignment="1" applyProtection="1">
      <alignment horizontal="left" vertical="center" indent="1"/>
      <protection locked="0"/>
    </xf>
    <xf numFmtId="0" fontId="17" fillId="2" borderId="27" xfId="0" applyFont="1" applyFill="1" applyBorder="1" applyAlignment="1" applyProtection="1">
      <alignment horizontal="center" vertical="top"/>
      <protection hidden="1"/>
    </xf>
    <xf numFmtId="0" fontId="17" fillId="2" borderId="28" xfId="0" applyFont="1" applyFill="1" applyBorder="1" applyAlignment="1" applyProtection="1">
      <alignment horizontal="center" vertical="top"/>
      <protection hidden="1"/>
    </xf>
    <xf numFmtId="0" fontId="17" fillId="2" borderId="29" xfId="0" applyFont="1" applyFill="1" applyBorder="1" applyAlignment="1" applyProtection="1">
      <alignment horizontal="center" vertical="top"/>
      <protection hidden="1"/>
    </xf>
    <xf numFmtId="168" fontId="62" fillId="2" borderId="127" xfId="0" applyNumberFormat="1" applyFont="1" applyFill="1" applyBorder="1" applyAlignment="1" applyProtection="1">
      <alignment horizontal="right" vertical="top"/>
      <protection hidden="1"/>
    </xf>
    <xf numFmtId="168" fontId="62" fillId="2" borderId="7" xfId="0" applyNumberFormat="1" applyFont="1" applyFill="1" applyBorder="1" applyAlignment="1" applyProtection="1">
      <alignment horizontal="right" vertical="top"/>
      <protection hidden="1"/>
    </xf>
    <xf numFmtId="168" fontId="62" fillId="2" borderId="128" xfId="0" applyNumberFormat="1" applyFont="1" applyFill="1" applyBorder="1" applyAlignment="1" applyProtection="1">
      <alignment horizontal="right" vertical="top"/>
      <protection hidden="1"/>
    </xf>
    <xf numFmtId="168" fontId="62" fillId="2" borderId="28" xfId="0" applyNumberFormat="1" applyFont="1" applyFill="1" applyBorder="1" applyAlignment="1" applyProtection="1">
      <alignment horizontal="right" vertical="center"/>
      <protection hidden="1"/>
    </xf>
    <xf numFmtId="4" fontId="14" fillId="2" borderId="14" xfId="0" applyNumberFormat="1" applyFont="1" applyFill="1" applyBorder="1" applyAlignment="1" applyProtection="1">
      <alignment horizontal="right" vertical="center" indent="1"/>
      <protection hidden="1"/>
    </xf>
    <xf numFmtId="4" fontId="14" fillId="2" borderId="15" xfId="0" applyNumberFormat="1" applyFont="1" applyFill="1" applyBorder="1" applyAlignment="1" applyProtection="1">
      <alignment horizontal="right" vertical="center" indent="1"/>
      <protection hidden="1"/>
    </xf>
    <xf numFmtId="4" fontId="14" fillId="2" borderId="16" xfId="0" applyNumberFormat="1" applyFont="1" applyFill="1" applyBorder="1" applyAlignment="1" applyProtection="1">
      <alignment horizontal="right" vertical="center" indent="1"/>
      <protection hidden="1"/>
    </xf>
    <xf numFmtId="4" fontId="33" fillId="2" borderId="14" xfId="0" applyNumberFormat="1" applyFont="1" applyFill="1" applyBorder="1" applyAlignment="1" applyProtection="1">
      <alignment horizontal="right" vertical="center" indent="1"/>
      <protection hidden="1"/>
    </xf>
    <xf numFmtId="4" fontId="33" fillId="2" borderId="15" xfId="0" applyNumberFormat="1" applyFont="1" applyFill="1" applyBorder="1" applyAlignment="1" applyProtection="1">
      <alignment horizontal="right" vertical="center" indent="1"/>
      <protection hidden="1"/>
    </xf>
    <xf numFmtId="4" fontId="33" fillId="2" borderId="16" xfId="0" applyNumberFormat="1" applyFont="1" applyFill="1" applyBorder="1" applyAlignment="1" applyProtection="1">
      <alignment horizontal="right" vertical="center" indent="1"/>
      <protection hidden="1"/>
    </xf>
    <xf numFmtId="167" fontId="17" fillId="2" borderId="27" xfId="0" applyNumberFormat="1" applyFont="1" applyFill="1" applyBorder="1" applyAlignment="1" applyProtection="1">
      <alignment horizontal="center" vertical="center"/>
      <protection hidden="1"/>
    </xf>
    <xf numFmtId="167" fontId="17" fillId="2" borderId="28" xfId="0" applyNumberFormat="1" applyFont="1" applyFill="1" applyBorder="1" applyAlignment="1" applyProtection="1">
      <alignment horizontal="center" vertical="center"/>
      <protection hidden="1"/>
    </xf>
    <xf numFmtId="167" fontId="17" fillId="2" borderId="29" xfId="0" applyNumberFormat="1" applyFont="1" applyFill="1" applyBorder="1" applyAlignment="1" applyProtection="1">
      <alignment horizontal="center" vertical="center"/>
      <protection hidden="1"/>
    </xf>
    <xf numFmtId="0" fontId="17" fillId="2" borderId="14" xfId="0" applyFont="1" applyFill="1" applyBorder="1" applyAlignment="1" applyProtection="1">
      <alignment horizontal="left" vertical="center" indent="1"/>
      <protection hidden="1"/>
    </xf>
    <xf numFmtId="0" fontId="17" fillId="2" borderId="15"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center" indent="1"/>
      <protection hidden="1"/>
    </xf>
    <xf numFmtId="166" fontId="62" fillId="4" borderId="54" xfId="0" applyNumberFormat="1" applyFont="1" applyFill="1" applyBorder="1" applyAlignment="1" applyProtection="1">
      <alignment horizontal="center" vertical="center"/>
      <protection locked="0"/>
    </xf>
    <xf numFmtId="166" fontId="62" fillId="4" borderId="71" xfId="0" applyNumberFormat="1" applyFont="1" applyFill="1" applyBorder="1" applyAlignment="1" applyProtection="1">
      <alignment horizontal="center" vertical="center"/>
      <protection locked="0"/>
    </xf>
    <xf numFmtId="166" fontId="62" fillId="4" borderId="79" xfId="0" applyNumberFormat="1" applyFont="1" applyFill="1" applyBorder="1" applyAlignment="1" applyProtection="1">
      <alignment horizontal="center" vertical="center"/>
      <protection locked="0"/>
    </xf>
    <xf numFmtId="0" fontId="19" fillId="2" borderId="15" xfId="0" applyFont="1" applyFill="1" applyBorder="1" applyAlignment="1" applyProtection="1">
      <alignment horizontal="center"/>
      <protection hidden="1"/>
    </xf>
    <xf numFmtId="0" fontId="18" fillId="3" borderId="14" xfId="0" applyFont="1" applyFill="1" applyBorder="1" applyAlignment="1" applyProtection="1">
      <alignment horizontal="center" vertical="center"/>
      <protection hidden="1"/>
    </xf>
    <xf numFmtId="0" fontId="18" fillId="3" borderId="15" xfId="0" applyFont="1" applyFill="1" applyBorder="1" applyAlignment="1" applyProtection="1">
      <alignment horizontal="center" vertical="center"/>
      <protection hidden="1"/>
    </xf>
    <xf numFmtId="0" fontId="18" fillId="3" borderId="16" xfId="0" applyFont="1" applyFill="1" applyBorder="1" applyAlignment="1" applyProtection="1">
      <alignment horizontal="center" vertical="center"/>
      <protection hidden="1"/>
    </xf>
    <xf numFmtId="0" fontId="136" fillId="2" borderId="0" xfId="0" applyNumberFormat="1" applyFont="1" applyFill="1" applyAlignment="1" applyProtection="1">
      <alignment horizontal="center" vertical="center"/>
      <protection hidden="1"/>
    </xf>
    <xf numFmtId="0" fontId="93" fillId="2" borderId="0" xfId="0" applyFont="1" applyFill="1" applyBorder="1" applyAlignment="1" applyProtection="1">
      <alignment horizontal="center"/>
      <protection hidden="1"/>
    </xf>
    <xf numFmtId="0" fontId="17" fillId="7" borderId="179" xfId="0" applyFont="1" applyFill="1" applyBorder="1" applyAlignment="1" applyProtection="1">
      <alignment horizontal="center" vertical="center"/>
      <protection hidden="1"/>
    </xf>
    <xf numFmtId="0" fontId="17" fillId="7" borderId="180" xfId="0" applyFont="1" applyFill="1" applyBorder="1" applyAlignment="1" applyProtection="1">
      <alignment horizontal="center" vertical="center"/>
      <protection hidden="1"/>
    </xf>
    <xf numFmtId="0" fontId="17" fillId="7" borderId="181" xfId="0" applyFont="1" applyFill="1" applyBorder="1" applyAlignment="1" applyProtection="1">
      <alignment horizontal="center" vertical="center"/>
      <protection hidden="1"/>
    </xf>
    <xf numFmtId="0" fontId="17" fillId="2" borderId="21"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7" fillId="2" borderId="26" xfId="0" applyFont="1" applyFill="1" applyBorder="1" applyAlignment="1" applyProtection="1">
      <alignment horizontal="center"/>
      <protection hidden="1"/>
    </xf>
    <xf numFmtId="0" fontId="17" fillId="2" borderId="41" xfId="0" applyFont="1" applyFill="1" applyBorder="1" applyAlignment="1" applyProtection="1">
      <alignment horizontal="center"/>
      <protection hidden="1"/>
    </xf>
    <xf numFmtId="0" fontId="114" fillId="2" borderId="4" xfId="0" applyFont="1" applyFill="1" applyBorder="1" applyAlignment="1" applyProtection="1">
      <alignment horizontal="center" vertical="center"/>
      <protection hidden="1"/>
    </xf>
    <xf numFmtId="167" fontId="14" fillId="10" borderId="16" xfId="0" applyNumberFormat="1" applyFont="1" applyFill="1" applyBorder="1" applyAlignment="1" applyProtection="1">
      <alignment horizontal="center" vertical="center"/>
      <protection hidden="1"/>
    </xf>
    <xf numFmtId="0" fontId="8" fillId="2" borderId="21"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4" fontId="14" fillId="3" borderId="14" xfId="0" applyNumberFormat="1" applyFont="1" applyFill="1" applyBorder="1" applyAlignment="1" applyProtection="1">
      <alignment horizontal="right" vertical="center" indent="1"/>
      <protection hidden="1"/>
    </xf>
    <xf numFmtId="4" fontId="14" fillId="3" borderId="15" xfId="0" applyNumberFormat="1" applyFont="1" applyFill="1" applyBorder="1" applyAlignment="1" applyProtection="1">
      <alignment horizontal="right" vertical="center" indent="1"/>
      <protection hidden="1"/>
    </xf>
    <xf numFmtId="4" fontId="14" fillId="3" borderId="16" xfId="0" applyNumberFormat="1" applyFont="1" applyFill="1" applyBorder="1" applyAlignment="1" applyProtection="1">
      <alignment horizontal="right" vertical="center" indent="1"/>
      <protection hidden="1"/>
    </xf>
    <xf numFmtId="0" fontId="17" fillId="2" borderId="0" xfId="0" applyFont="1" applyFill="1" applyAlignment="1" applyProtection="1">
      <alignment horizontal="center" vertical="center"/>
      <protection hidden="1"/>
    </xf>
    <xf numFmtId="4" fontId="14" fillId="2" borderId="63" xfId="0" applyNumberFormat="1" applyFont="1" applyFill="1" applyBorder="1" applyAlignment="1" applyProtection="1">
      <alignment horizontal="right" vertical="center" indent="1"/>
      <protection hidden="1"/>
    </xf>
    <xf numFmtId="0" fontId="18" fillId="3" borderId="26" xfId="0" applyFont="1" applyFill="1" applyBorder="1" applyAlignment="1" applyProtection="1">
      <alignment horizontal="center" vertical="center"/>
      <protection hidden="1"/>
    </xf>
    <xf numFmtId="0" fontId="18" fillId="3" borderId="77" xfId="0" applyFont="1" applyFill="1" applyBorder="1" applyAlignment="1" applyProtection="1">
      <alignment horizontal="center" vertical="center"/>
      <protection hidden="1"/>
    </xf>
    <xf numFmtId="4" fontId="14" fillId="10" borderId="27" xfId="0" applyNumberFormat="1" applyFont="1" applyFill="1" applyBorder="1" applyAlignment="1" applyProtection="1">
      <alignment horizontal="right" vertical="center" indent="1"/>
      <protection hidden="1"/>
    </xf>
    <xf numFmtId="4" fontId="14" fillId="10" borderId="28" xfId="0" applyNumberFormat="1" applyFont="1" applyFill="1" applyBorder="1" applyAlignment="1" applyProtection="1">
      <alignment horizontal="right" vertical="center" indent="1"/>
      <protection hidden="1"/>
    </xf>
    <xf numFmtId="4" fontId="14" fillId="10" borderId="29"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4" fontId="14" fillId="2" borderId="67" xfId="0" applyNumberFormat="1" applyFont="1" applyFill="1" applyBorder="1" applyAlignment="1" applyProtection="1">
      <alignment horizontal="right" vertical="center" indent="1"/>
      <protection hidden="1"/>
    </xf>
    <xf numFmtId="4" fontId="14" fillId="2" borderId="117" xfId="0" applyNumberFormat="1" applyFont="1" applyFill="1" applyBorder="1" applyAlignment="1" applyProtection="1">
      <alignment horizontal="right" vertical="center" indent="1"/>
      <protection hidden="1"/>
    </xf>
    <xf numFmtId="4" fontId="14" fillId="2" borderId="64" xfId="0" applyNumberFormat="1" applyFont="1" applyFill="1" applyBorder="1" applyAlignment="1" applyProtection="1">
      <alignment horizontal="right" vertical="center" indent="1"/>
      <protection hidden="1"/>
    </xf>
    <xf numFmtId="167" fontId="33" fillId="2" borderId="16" xfId="0" applyNumberFormat="1" applyFont="1" applyFill="1" applyBorder="1" applyAlignment="1" applyProtection="1">
      <alignment horizontal="center" vertical="center"/>
      <protection hidden="1"/>
    </xf>
    <xf numFmtId="4" fontId="14" fillId="2" borderId="26" xfId="0" applyNumberFormat="1" applyFont="1" applyFill="1" applyBorder="1" applyAlignment="1" applyProtection="1">
      <alignment horizontal="right" vertical="center" indent="1"/>
      <protection hidden="1"/>
    </xf>
    <xf numFmtId="4" fontId="14" fillId="2" borderId="77" xfId="0" applyNumberFormat="1" applyFont="1" applyFill="1" applyBorder="1" applyAlignment="1" applyProtection="1">
      <alignment horizontal="right" vertical="center" indent="1"/>
      <protection hidden="1"/>
    </xf>
    <xf numFmtId="4" fontId="14" fillId="2" borderId="41" xfId="0" applyNumberFormat="1" applyFont="1" applyFill="1" applyBorder="1" applyAlignment="1" applyProtection="1">
      <alignment horizontal="right" vertical="center" indent="1"/>
      <protection hidden="1"/>
    </xf>
    <xf numFmtId="0" fontId="53" fillId="2" borderId="94" xfId="0" applyFont="1" applyFill="1" applyBorder="1" applyAlignment="1" applyProtection="1">
      <alignment horizontal="center" vertical="center"/>
      <protection hidden="1"/>
    </xf>
    <xf numFmtId="0" fontId="53" fillId="2" borderId="95" xfId="0" applyFont="1" applyFill="1" applyBorder="1" applyAlignment="1" applyProtection="1">
      <alignment horizontal="center" vertical="center"/>
      <protection hidden="1"/>
    </xf>
    <xf numFmtId="4" fontId="14" fillId="2" borderId="109" xfId="0" applyNumberFormat="1" applyFont="1" applyFill="1" applyBorder="1" applyAlignment="1" applyProtection="1">
      <alignment horizontal="right" vertical="center" indent="1"/>
      <protection hidden="1"/>
    </xf>
    <xf numFmtId="4" fontId="14" fillId="2" borderId="82" xfId="0" applyNumberFormat="1" applyFont="1" applyFill="1" applyBorder="1" applyAlignment="1" applyProtection="1">
      <alignment horizontal="right" vertical="center" indent="1"/>
      <protection hidden="1"/>
    </xf>
    <xf numFmtId="4" fontId="14" fillId="2" borderId="110" xfId="0" applyNumberFormat="1" applyFont="1" applyFill="1" applyBorder="1" applyAlignment="1" applyProtection="1">
      <alignment horizontal="right" vertical="center" indent="1"/>
      <protection hidden="1"/>
    </xf>
    <xf numFmtId="4" fontId="14" fillId="2" borderId="27" xfId="0" applyNumberFormat="1" applyFont="1" applyFill="1" applyBorder="1" applyAlignment="1" applyProtection="1">
      <alignment horizontal="right" vertical="center" indent="1"/>
      <protection hidden="1"/>
    </xf>
    <xf numFmtId="4" fontId="14" fillId="2" borderId="28" xfId="0" applyNumberFormat="1" applyFont="1" applyFill="1" applyBorder="1" applyAlignment="1" applyProtection="1">
      <alignment horizontal="right" vertical="center" indent="1"/>
      <protection hidden="1"/>
    </xf>
    <xf numFmtId="4" fontId="14" fillId="2" borderId="29" xfId="0" applyNumberFormat="1" applyFont="1" applyFill="1" applyBorder="1" applyAlignment="1" applyProtection="1">
      <alignment horizontal="right" vertical="center" indent="1"/>
      <protection hidden="1"/>
    </xf>
    <xf numFmtId="4" fontId="14" fillId="2" borderId="62" xfId="0" applyNumberFormat="1" applyFont="1" applyFill="1" applyBorder="1" applyAlignment="1" applyProtection="1">
      <alignment horizontal="right" vertical="center" indent="1"/>
      <protection hidden="1"/>
    </xf>
    <xf numFmtId="0" fontId="33" fillId="2" borderId="14" xfId="0" applyNumberFormat="1" applyFont="1" applyFill="1" applyBorder="1" applyAlignment="1" applyProtection="1">
      <alignment horizontal="center" vertical="center"/>
      <protection hidden="1"/>
    </xf>
    <xf numFmtId="0" fontId="33" fillId="2" borderId="15" xfId="0" applyNumberFormat="1" applyFont="1" applyFill="1" applyBorder="1" applyAlignment="1" applyProtection="1">
      <alignment horizontal="center" vertical="center"/>
      <protection hidden="1"/>
    </xf>
    <xf numFmtId="0" fontId="33" fillId="2" borderId="16" xfId="0" applyNumberFormat="1" applyFont="1" applyFill="1" applyBorder="1" applyAlignment="1" applyProtection="1">
      <alignment horizontal="center" vertical="center"/>
      <protection hidden="1"/>
    </xf>
    <xf numFmtId="0" fontId="108" fillId="4" borderId="109" xfId="0" applyFont="1" applyFill="1" applyBorder="1" applyAlignment="1" applyProtection="1">
      <alignment horizontal="center" vertical="center"/>
      <protection hidden="1"/>
    </xf>
    <xf numFmtId="0" fontId="108" fillId="4" borderId="82" xfId="0" applyFont="1" applyFill="1" applyBorder="1" applyAlignment="1" applyProtection="1">
      <alignment horizontal="center" vertical="center"/>
      <protection hidden="1"/>
    </xf>
    <xf numFmtId="0" fontId="108" fillId="4" borderId="62" xfId="0" applyFont="1" applyFill="1" applyBorder="1" applyAlignment="1" applyProtection="1">
      <alignment horizontal="center" vertical="center"/>
      <protection hidden="1"/>
    </xf>
    <xf numFmtId="0" fontId="33" fillId="2" borderId="15" xfId="0" applyFont="1" applyFill="1" applyBorder="1" applyAlignment="1" applyProtection="1">
      <alignment horizontal="center" vertical="center"/>
      <protection hidden="1"/>
    </xf>
    <xf numFmtId="4" fontId="14" fillId="2" borderId="61" xfId="0" applyNumberFormat="1" applyFont="1" applyFill="1" applyBorder="1" applyAlignment="1" applyProtection="1">
      <alignment horizontal="right" vertical="center" indent="1"/>
      <protection hidden="1"/>
    </xf>
    <xf numFmtId="4" fontId="107" fillId="4" borderId="49" xfId="0" applyNumberFormat="1" applyFont="1" applyFill="1" applyBorder="1" applyAlignment="1" applyProtection="1">
      <alignment horizontal="right" vertical="center" indent="1"/>
      <protection hidden="1"/>
    </xf>
    <xf numFmtId="4" fontId="107" fillId="4" borderId="67" xfId="0" applyNumberFormat="1" applyFont="1" applyFill="1" applyBorder="1" applyAlignment="1" applyProtection="1">
      <alignment horizontal="right" vertical="center" indent="1"/>
      <protection hidden="1"/>
    </xf>
    <xf numFmtId="4" fontId="107" fillId="4" borderId="117" xfId="0" applyNumberFormat="1" applyFont="1" applyFill="1" applyBorder="1" applyAlignment="1" applyProtection="1">
      <alignment horizontal="right" vertical="center" indent="1"/>
      <protection hidden="1"/>
    </xf>
    <xf numFmtId="4" fontId="107" fillId="4" borderId="66" xfId="0" applyNumberFormat="1" applyFont="1" applyFill="1" applyBorder="1" applyAlignment="1" applyProtection="1">
      <alignment horizontal="right" vertical="center" indent="1"/>
      <protection hidden="1"/>
    </xf>
    <xf numFmtId="0" fontId="53" fillId="2" borderId="93" xfId="0" applyFont="1" applyFill="1" applyBorder="1" applyAlignment="1" applyProtection="1">
      <alignment horizontal="center" vertical="center"/>
      <protection hidden="1"/>
    </xf>
    <xf numFmtId="0" fontId="64" fillId="2" borderId="0" xfId="0" applyNumberFormat="1" applyFont="1" applyFill="1" applyAlignment="1" applyProtection="1">
      <alignment horizontal="left" vertical="center"/>
      <protection hidden="1"/>
    </xf>
    <xf numFmtId="4" fontId="107" fillId="4" borderId="64" xfId="0" applyNumberFormat="1" applyFont="1" applyFill="1" applyBorder="1" applyAlignment="1" applyProtection="1">
      <alignment horizontal="right" vertical="center" indent="1"/>
      <protection hidden="1"/>
    </xf>
    <xf numFmtId="4" fontId="14" fillId="2" borderId="48" xfId="0" applyNumberFormat="1" applyFont="1" applyFill="1" applyBorder="1" applyAlignment="1" applyProtection="1">
      <alignment horizontal="right" vertical="center" indent="1"/>
      <protection hidden="1"/>
    </xf>
    <xf numFmtId="0" fontId="75" fillId="2" borderId="0" xfId="0" applyNumberFormat="1" applyFont="1" applyFill="1" applyAlignment="1" applyProtection="1">
      <alignment horizontal="left" vertical="center"/>
      <protection hidden="1"/>
    </xf>
    <xf numFmtId="14" fontId="18" fillId="2" borderId="61" xfId="0" applyNumberFormat="1" applyFont="1" applyFill="1" applyBorder="1" applyAlignment="1" applyProtection="1">
      <alignment horizontal="center" vertical="center"/>
      <protection locked="0"/>
    </xf>
    <xf numFmtId="14" fontId="18" fillId="2" borderId="15" xfId="0" applyNumberFormat="1" applyFont="1" applyFill="1" applyBorder="1" applyAlignment="1" applyProtection="1">
      <alignment horizontal="center" vertical="center"/>
      <protection locked="0"/>
    </xf>
    <xf numFmtId="14" fontId="18" fillId="2" borderId="16" xfId="0" applyNumberFormat="1" applyFont="1" applyFill="1" applyBorder="1" applyAlignment="1" applyProtection="1">
      <alignment horizontal="center" vertical="center"/>
      <protection locked="0"/>
    </xf>
    <xf numFmtId="14" fontId="18" fillId="2" borderId="14" xfId="0" applyNumberFormat="1" applyFont="1" applyFill="1" applyBorder="1" applyAlignment="1" applyProtection="1">
      <alignment horizontal="center" vertical="center"/>
      <protection locked="0"/>
    </xf>
    <xf numFmtId="14" fontId="18" fillId="2" borderId="63" xfId="0" applyNumberFormat="1" applyFont="1" applyFill="1" applyBorder="1" applyAlignment="1" applyProtection="1">
      <alignment horizontal="center" vertical="center"/>
      <protection locked="0"/>
    </xf>
    <xf numFmtId="0" fontId="84" fillId="2" borderId="0" xfId="0" applyFont="1" applyFill="1" applyAlignment="1" applyProtection="1">
      <alignment horizontal="center"/>
      <protection hidden="1"/>
    </xf>
    <xf numFmtId="166" fontId="33" fillId="2" borderId="28" xfId="0" applyNumberFormat="1" applyFont="1" applyFill="1" applyBorder="1" applyAlignment="1" applyProtection="1">
      <alignment horizontal="center" vertical="center"/>
      <protection hidden="1"/>
    </xf>
    <xf numFmtId="0" fontId="33" fillId="2" borderId="29"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protection hidden="1"/>
    </xf>
    <xf numFmtId="167" fontId="33" fillId="10" borderId="14" xfId="0" applyNumberFormat="1" applyFont="1" applyFill="1" applyBorder="1" applyAlignment="1" applyProtection="1">
      <alignment horizontal="center" vertical="center"/>
      <protection hidden="1"/>
    </xf>
    <xf numFmtId="167" fontId="33" fillId="10" borderId="16" xfId="0" applyNumberFormat="1" applyFont="1" applyFill="1" applyBorder="1" applyAlignment="1" applyProtection="1">
      <alignment horizontal="center" vertical="center"/>
      <protection hidden="1"/>
    </xf>
    <xf numFmtId="0" fontId="17" fillId="2" borderId="14" xfId="0" applyNumberFormat="1" applyFont="1" applyFill="1" applyBorder="1" applyAlignment="1" applyProtection="1">
      <alignment horizontal="center" vertical="center"/>
      <protection hidden="1"/>
    </xf>
    <xf numFmtId="0" fontId="17" fillId="2" borderId="15" xfId="0" applyNumberFormat="1"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4" fontId="14" fillId="2" borderId="49" xfId="0" applyNumberFormat="1" applyFont="1" applyFill="1" applyBorder="1" applyAlignment="1" applyProtection="1">
      <alignment horizontal="right" vertical="center" indent="1"/>
      <protection hidden="1"/>
    </xf>
    <xf numFmtId="4" fontId="14" fillId="10" borderId="14" xfId="0" applyNumberFormat="1" applyFont="1" applyFill="1" applyBorder="1" applyAlignment="1" applyProtection="1">
      <alignment horizontal="right" vertical="center" indent="1"/>
      <protection hidden="1"/>
    </xf>
    <xf numFmtId="4" fontId="14" fillId="10" borderId="15" xfId="0" applyNumberFormat="1" applyFont="1" applyFill="1" applyBorder="1" applyAlignment="1" applyProtection="1">
      <alignment horizontal="right" vertical="center" indent="1"/>
      <protection hidden="1"/>
    </xf>
    <xf numFmtId="4" fontId="14" fillId="10" borderId="16" xfId="0" applyNumberFormat="1" applyFont="1" applyFill="1" applyBorder="1" applyAlignment="1" applyProtection="1">
      <alignment horizontal="right" vertical="center" indent="1"/>
      <protection hidden="1"/>
    </xf>
    <xf numFmtId="0" fontId="18" fillId="3" borderId="41" xfId="0" applyFont="1" applyFill="1" applyBorder="1" applyAlignment="1" applyProtection="1">
      <alignment horizontal="center" vertical="center"/>
      <protection hidden="1"/>
    </xf>
    <xf numFmtId="166" fontId="17" fillId="2" borderId="66" xfId="0" applyNumberFormat="1" applyFont="1" applyFill="1" applyBorder="1" applyAlignment="1" applyProtection="1">
      <alignment horizontal="center" vertical="center"/>
      <protection hidden="1"/>
    </xf>
    <xf numFmtId="0" fontId="17" fillId="2" borderId="67" xfId="0" applyNumberFormat="1" applyFont="1" applyFill="1" applyBorder="1" applyAlignment="1" applyProtection="1">
      <alignment horizontal="center" vertical="center"/>
      <protection hidden="1"/>
    </xf>
    <xf numFmtId="0" fontId="17" fillId="2" borderId="117" xfId="0" applyNumberFormat="1" applyFont="1" applyFill="1" applyBorder="1" applyAlignment="1" applyProtection="1">
      <alignment horizontal="center" vertical="center"/>
      <protection hidden="1"/>
    </xf>
    <xf numFmtId="166" fontId="17" fillId="2" borderId="14" xfId="0" applyNumberFormat="1" applyFont="1" applyFill="1" applyBorder="1" applyAlignment="1" applyProtection="1">
      <alignment horizontal="center" vertical="center"/>
      <protection hidden="1"/>
    </xf>
    <xf numFmtId="0" fontId="33" fillId="10" borderId="16" xfId="0" applyFont="1" applyFill="1" applyBorder="1" applyAlignment="1" applyProtection="1">
      <alignment horizontal="center" vertical="center"/>
      <protection hidden="1"/>
    </xf>
    <xf numFmtId="4" fontId="17" fillId="3" borderId="14" xfId="0" applyNumberFormat="1" applyFont="1" applyFill="1" applyBorder="1" applyAlignment="1" applyProtection="1">
      <alignment horizontal="right" vertical="center" indent="1"/>
      <protection hidden="1"/>
    </xf>
    <xf numFmtId="4" fontId="17" fillId="3" borderId="15" xfId="0" applyNumberFormat="1" applyFont="1" applyFill="1" applyBorder="1" applyAlignment="1" applyProtection="1">
      <alignment horizontal="right" vertical="center" indent="1"/>
      <protection hidden="1"/>
    </xf>
    <xf numFmtId="4" fontId="17" fillId="3" borderId="16" xfId="0" applyNumberFormat="1" applyFont="1" applyFill="1" applyBorder="1" applyAlignment="1" applyProtection="1">
      <alignment horizontal="right" vertical="center" indent="1"/>
      <protection hidden="1"/>
    </xf>
    <xf numFmtId="4" fontId="17" fillId="2" borderId="14" xfId="0" applyNumberFormat="1" applyFont="1" applyFill="1" applyBorder="1" applyAlignment="1" applyProtection="1">
      <alignment horizontal="right" vertical="center" indent="1"/>
      <protection hidden="1"/>
    </xf>
    <xf numFmtId="4" fontId="17" fillId="2" borderId="15" xfId="0" applyNumberFormat="1" applyFont="1" applyFill="1" applyBorder="1" applyAlignment="1" applyProtection="1">
      <alignment horizontal="right" vertical="center" indent="1"/>
      <protection hidden="1"/>
    </xf>
    <xf numFmtId="4" fontId="17" fillId="2" borderId="16" xfId="0" applyNumberFormat="1" applyFont="1" applyFill="1" applyBorder="1" applyAlignment="1" applyProtection="1">
      <alignment horizontal="right" vertical="center" indent="1"/>
      <protection hidden="1"/>
    </xf>
    <xf numFmtId="0" fontId="8" fillId="3" borderId="14" xfId="0" applyFont="1" applyFill="1" applyBorder="1" applyAlignment="1" applyProtection="1">
      <alignment horizontal="center" vertical="center"/>
      <protection hidden="1"/>
    </xf>
    <xf numFmtId="0" fontId="8" fillId="3" borderId="15"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4" fontId="107" fillId="4" borderId="14" xfId="0" applyNumberFormat="1" applyFont="1" applyFill="1" applyBorder="1" applyAlignment="1" applyProtection="1">
      <alignment horizontal="right" vertical="center" indent="1"/>
      <protection hidden="1"/>
    </xf>
    <xf numFmtId="4" fontId="107" fillId="4" borderId="15" xfId="0" applyNumberFormat="1" applyFont="1" applyFill="1" applyBorder="1" applyAlignment="1" applyProtection="1">
      <alignment horizontal="right" vertical="center" indent="1"/>
      <protection hidden="1"/>
    </xf>
    <xf numFmtId="4" fontId="107" fillId="4" borderId="16" xfId="0" applyNumberFormat="1" applyFont="1" applyFill="1" applyBorder="1" applyAlignment="1" applyProtection="1">
      <alignment horizontal="right" vertical="center" indent="1"/>
      <protection hidden="1"/>
    </xf>
    <xf numFmtId="4" fontId="107" fillId="4" borderId="114" xfId="0" applyNumberFormat="1" applyFont="1" applyFill="1" applyBorder="1" applyAlignment="1" applyProtection="1">
      <alignment horizontal="right" vertical="center" indent="1"/>
      <protection hidden="1"/>
    </xf>
    <xf numFmtId="4" fontId="107" fillId="4" borderId="115" xfId="0" applyNumberFormat="1" applyFont="1" applyFill="1" applyBorder="1" applyAlignment="1" applyProtection="1">
      <alignment horizontal="right" vertical="center" indent="1"/>
      <protection hidden="1"/>
    </xf>
    <xf numFmtId="4" fontId="107" fillId="4" borderId="116" xfId="0" applyNumberFormat="1" applyFont="1" applyFill="1" applyBorder="1" applyAlignment="1" applyProtection="1">
      <alignment horizontal="right" vertical="center" indent="1"/>
      <protection hidden="1"/>
    </xf>
    <xf numFmtId="4" fontId="14" fillId="2" borderId="118" xfId="0" applyNumberFormat="1" applyFont="1" applyFill="1" applyBorder="1" applyAlignment="1" applyProtection="1">
      <alignment horizontal="right" vertical="center" indent="1"/>
      <protection hidden="1"/>
    </xf>
    <xf numFmtId="4" fontId="14" fillId="2" borderId="119" xfId="0" applyNumberFormat="1" applyFont="1" applyFill="1" applyBorder="1" applyAlignment="1" applyProtection="1">
      <alignment horizontal="right" vertical="center" indent="1"/>
      <protection hidden="1"/>
    </xf>
    <xf numFmtId="4" fontId="14" fillId="2" borderId="122" xfId="0" applyNumberFormat="1" applyFont="1" applyFill="1" applyBorder="1" applyAlignment="1" applyProtection="1">
      <alignment horizontal="right" vertical="center" indent="1"/>
      <protection hidden="1"/>
    </xf>
    <xf numFmtId="4" fontId="14" fillId="2" borderId="114" xfId="0" applyNumberFormat="1" applyFont="1" applyFill="1" applyBorder="1" applyAlignment="1" applyProtection="1">
      <alignment horizontal="right" vertical="center" indent="1"/>
      <protection hidden="1"/>
    </xf>
    <xf numFmtId="4" fontId="14" fillId="2" borderId="115" xfId="0" applyNumberFormat="1" applyFont="1" applyFill="1" applyBorder="1" applyAlignment="1" applyProtection="1">
      <alignment horizontal="right" vertical="center" indent="1"/>
      <protection hidden="1"/>
    </xf>
    <xf numFmtId="4" fontId="14" fillId="2" borderId="116"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vertical="center" indent="1"/>
      <protection hidden="1"/>
    </xf>
    <xf numFmtId="4" fontId="14" fillId="2" borderId="120" xfId="0" applyNumberFormat="1" applyFont="1" applyFill="1" applyBorder="1" applyAlignment="1" applyProtection="1">
      <alignment horizontal="right" vertical="center" indent="1"/>
      <protection hidden="1"/>
    </xf>
    <xf numFmtId="4" fontId="14" fillId="2" borderId="111" xfId="0" applyNumberFormat="1" applyFont="1" applyFill="1" applyBorder="1" applyAlignment="1" applyProtection="1">
      <alignment horizontal="right" vertical="center" indent="1"/>
      <protection hidden="1"/>
    </xf>
    <xf numFmtId="4" fontId="14" fillId="2" borderId="112" xfId="0" applyNumberFormat="1" applyFont="1" applyFill="1" applyBorder="1" applyAlignment="1" applyProtection="1">
      <alignment horizontal="right" vertical="center" indent="1"/>
      <protection hidden="1"/>
    </xf>
    <xf numFmtId="4" fontId="14" fillId="2" borderId="113" xfId="0" applyNumberFormat="1" applyFont="1" applyFill="1" applyBorder="1" applyAlignment="1" applyProtection="1">
      <alignment horizontal="right" vertical="center" indent="1"/>
      <protection hidden="1"/>
    </xf>
    <xf numFmtId="0" fontId="107" fillId="2" borderId="28" xfId="0" applyFont="1" applyFill="1" applyBorder="1" applyAlignment="1" applyProtection="1">
      <alignment horizontal="center" vertical="center"/>
      <protection hidden="1"/>
    </xf>
    <xf numFmtId="0" fontId="108" fillId="4" borderId="14" xfId="0" applyFont="1" applyFill="1" applyBorder="1" applyAlignment="1" applyProtection="1">
      <alignment horizontal="center" vertical="center"/>
      <protection hidden="1"/>
    </xf>
    <xf numFmtId="0" fontId="108" fillId="4" borderId="15" xfId="0" applyFont="1" applyFill="1" applyBorder="1" applyAlignment="1" applyProtection="1">
      <alignment horizontal="center" vertical="center"/>
      <protection hidden="1"/>
    </xf>
    <xf numFmtId="0" fontId="108" fillId="4" borderId="16" xfId="0" applyFont="1" applyFill="1" applyBorder="1" applyAlignment="1" applyProtection="1">
      <alignment horizontal="center" vertical="center"/>
      <protection hidden="1"/>
    </xf>
    <xf numFmtId="4" fontId="14" fillId="2" borderId="121" xfId="0" applyNumberFormat="1" applyFont="1" applyFill="1" applyBorder="1" applyAlignment="1" applyProtection="1">
      <alignment horizontal="right" vertical="center" indent="1"/>
      <protection hidden="1"/>
    </xf>
    <xf numFmtId="4" fontId="14" fillId="2" borderId="123" xfId="0" applyNumberFormat="1" applyFont="1" applyFill="1" applyBorder="1" applyAlignment="1" applyProtection="1">
      <alignment horizontal="right" vertical="center" indent="1"/>
      <protection hidden="1"/>
    </xf>
    <xf numFmtId="4" fontId="14" fillId="2" borderId="124" xfId="0" applyNumberFormat="1" applyFont="1" applyFill="1" applyBorder="1" applyAlignment="1" applyProtection="1">
      <alignment horizontal="right" vertical="center" indent="1"/>
      <protection hidden="1"/>
    </xf>
    <xf numFmtId="4" fontId="14" fillId="2" borderId="125" xfId="0" applyNumberFormat="1" applyFont="1" applyFill="1" applyBorder="1" applyAlignment="1" applyProtection="1">
      <alignment horizontal="right" vertical="center" indent="1"/>
      <protection hidden="1"/>
    </xf>
    <xf numFmtId="4" fontId="14" fillId="2" borderId="126" xfId="0" applyNumberFormat="1" applyFont="1" applyFill="1" applyBorder="1" applyAlignment="1" applyProtection="1">
      <alignment horizontal="right" vertical="center" indent="1"/>
      <protection hidden="1"/>
    </xf>
    <xf numFmtId="0" fontId="53" fillId="3" borderId="94" xfId="0" applyFont="1" applyFill="1" applyBorder="1" applyAlignment="1" applyProtection="1">
      <alignment horizontal="center" vertical="center"/>
      <protection hidden="1"/>
    </xf>
    <xf numFmtId="0" fontId="53" fillId="3" borderId="95" xfId="0" applyFont="1" applyFill="1" applyBorder="1" applyAlignment="1" applyProtection="1">
      <alignment horizontal="center" vertical="center"/>
      <protection hidden="1"/>
    </xf>
    <xf numFmtId="0" fontId="18" fillId="2" borderId="34" xfId="0" applyNumberFormat="1" applyFont="1" applyFill="1" applyBorder="1" applyAlignment="1" applyProtection="1">
      <alignment horizontal="center"/>
      <protection hidden="1"/>
    </xf>
    <xf numFmtId="0" fontId="18" fillId="2" borderId="22" xfId="0" applyNumberFormat="1" applyFont="1" applyFill="1" applyBorder="1" applyAlignment="1" applyProtection="1">
      <alignment horizontal="center"/>
      <protection hidden="1"/>
    </xf>
    <xf numFmtId="0" fontId="17" fillId="2" borderId="0" xfId="0" applyFont="1" applyFill="1" applyBorder="1" applyAlignment="1" applyProtection="1">
      <alignment horizontal="left" vertical="center" indent="1"/>
      <protection hidden="1"/>
    </xf>
    <xf numFmtId="0" fontId="17" fillId="2" borderId="20" xfId="0" applyFont="1" applyFill="1" applyBorder="1" applyAlignment="1" applyProtection="1">
      <alignment horizontal="left" vertical="center" indent="1"/>
      <protection hidden="1"/>
    </xf>
    <xf numFmtId="166" fontId="135" fillId="2" borderId="14" xfId="0" applyNumberFormat="1" applyFont="1" applyFill="1" applyBorder="1" applyAlignment="1" applyProtection="1">
      <alignment vertical="center"/>
      <protection hidden="1"/>
    </xf>
    <xf numFmtId="166" fontId="135" fillId="2" borderId="15" xfId="0" applyNumberFormat="1" applyFont="1" applyFill="1" applyBorder="1" applyAlignment="1" applyProtection="1">
      <alignment vertical="center"/>
      <protection hidden="1"/>
    </xf>
    <xf numFmtId="166" fontId="135" fillId="2" borderId="63" xfId="0" applyNumberFormat="1" applyFont="1" applyFill="1" applyBorder="1" applyAlignment="1" applyProtection="1">
      <alignment vertical="center"/>
      <protection hidden="1"/>
    </xf>
    <xf numFmtId="0" fontId="8" fillId="2" borderId="14" xfId="0" applyFont="1" applyFill="1" applyBorder="1" applyAlignment="1" applyProtection="1">
      <alignment horizontal="center" vertical="center"/>
      <protection hidden="1"/>
    </xf>
    <xf numFmtId="0" fontId="8" fillId="2" borderId="15"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68" fillId="2" borderId="5" xfId="0" applyFont="1" applyFill="1" applyBorder="1" applyAlignment="1" applyProtection="1">
      <alignment horizontal="center" vertical="center"/>
      <protection locked="0"/>
    </xf>
    <xf numFmtId="0" fontId="68" fillId="2" borderId="71" xfId="0" applyFont="1" applyFill="1" applyBorder="1" applyAlignment="1" applyProtection="1">
      <alignment horizontal="center" vertical="center"/>
      <protection locked="0"/>
    </xf>
    <xf numFmtId="0" fontId="68" fillId="2" borderId="53" xfId="0" applyFont="1" applyFill="1" applyBorder="1" applyAlignment="1" applyProtection="1">
      <alignment horizontal="center" vertical="center"/>
      <protection locked="0"/>
    </xf>
    <xf numFmtId="0" fontId="84" fillId="2" borderId="4" xfId="0" applyFont="1" applyFill="1" applyBorder="1" applyAlignment="1" applyProtection="1">
      <alignment horizontal="center" vertical="center"/>
      <protection hidden="1"/>
    </xf>
    <xf numFmtId="166" fontId="135" fillId="2" borderId="26" xfId="0" applyNumberFormat="1" applyFont="1" applyFill="1" applyBorder="1" applyAlignment="1" applyProtection="1">
      <alignment vertical="center"/>
      <protection hidden="1"/>
    </xf>
    <xf numFmtId="166" fontId="135" fillId="2" borderId="77" xfId="0" applyNumberFormat="1" applyFont="1" applyFill="1" applyBorder="1" applyAlignment="1" applyProtection="1">
      <alignment vertical="center"/>
      <protection hidden="1"/>
    </xf>
    <xf numFmtId="166" fontId="135" fillId="2" borderId="81" xfId="0" applyNumberFormat="1" applyFont="1" applyFill="1" applyBorder="1" applyAlignment="1" applyProtection="1">
      <alignment vertical="center"/>
      <protection hidden="1"/>
    </xf>
    <xf numFmtId="166" fontId="135" fillId="8" borderId="54" xfId="0" applyNumberFormat="1" applyFont="1" applyFill="1" applyBorder="1" applyAlignment="1" applyProtection="1">
      <alignment vertical="center"/>
      <protection hidden="1"/>
    </xf>
    <xf numFmtId="166" fontId="135" fillId="8" borderId="71" xfId="0" applyNumberFormat="1" applyFont="1" applyFill="1" applyBorder="1" applyAlignment="1" applyProtection="1">
      <alignment vertical="center"/>
      <protection hidden="1"/>
    </xf>
    <xf numFmtId="166" fontId="135" fillId="8" borderId="79" xfId="0" applyNumberFormat="1" applyFont="1" applyFill="1" applyBorder="1" applyAlignment="1" applyProtection="1">
      <alignment vertical="center"/>
      <protection hidden="1"/>
    </xf>
    <xf numFmtId="0" fontId="89" fillId="2" borderId="0" xfId="0" applyNumberFormat="1" applyFont="1" applyFill="1" applyBorder="1" applyAlignment="1" applyProtection="1">
      <alignment horizontal="center"/>
      <protection hidden="1"/>
    </xf>
    <xf numFmtId="0" fontId="77" fillId="2" borderId="0" xfId="0" applyFont="1" applyFill="1" applyBorder="1" applyAlignment="1" applyProtection="1">
      <alignment horizontal="center"/>
      <protection hidden="1"/>
    </xf>
    <xf numFmtId="0" fontId="71" fillId="2" borderId="7" xfId="0" applyFont="1" applyFill="1" applyBorder="1" applyAlignment="1" applyProtection="1">
      <alignment horizontal="center" vertical="center"/>
      <protection hidden="1"/>
    </xf>
    <xf numFmtId="0" fontId="68" fillId="2" borderId="54"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62" fillId="2" borderId="0" xfId="0" applyFont="1" applyFill="1" applyAlignment="1" applyProtection="1">
      <alignment horizontal="right" vertical="center" indent="1"/>
      <protection hidden="1"/>
    </xf>
    <xf numFmtId="14" fontId="18" fillId="2" borderId="49" xfId="0" applyNumberFormat="1" applyFont="1" applyFill="1" applyBorder="1" applyAlignment="1" applyProtection="1">
      <alignment horizontal="center" vertical="center"/>
      <protection locked="0"/>
    </xf>
    <xf numFmtId="14" fontId="18" fillId="2" borderId="67" xfId="0" applyNumberFormat="1" applyFont="1" applyFill="1" applyBorder="1" applyAlignment="1" applyProtection="1">
      <alignment horizontal="center" vertical="center"/>
      <protection locked="0"/>
    </xf>
    <xf numFmtId="14" fontId="18" fillId="2" borderId="117" xfId="0" applyNumberFormat="1" applyFont="1" applyFill="1" applyBorder="1" applyAlignment="1" applyProtection="1">
      <alignment horizontal="center" vertical="center"/>
      <protection locked="0"/>
    </xf>
    <xf numFmtId="0" fontId="62" fillId="2" borderId="0" xfId="0" applyFont="1" applyFill="1" applyAlignment="1" applyProtection="1">
      <alignment horizontal="left" vertical="center" indent="1"/>
      <protection hidden="1"/>
    </xf>
    <xf numFmtId="0" fontId="64" fillId="2" borderId="0" xfId="0" applyFont="1" applyFill="1" applyAlignment="1" applyProtection="1">
      <alignment horizontal="right" vertical="center" indent="1"/>
      <protection hidden="1"/>
    </xf>
    <xf numFmtId="0" fontId="63" fillId="2" borderId="7" xfId="0" applyNumberFormat="1" applyFont="1" applyFill="1" applyBorder="1" applyAlignment="1" applyProtection="1">
      <alignment horizontal="center" vertical="center"/>
      <protection locked="0"/>
    </xf>
    <xf numFmtId="0" fontId="152" fillId="2" borderId="4" xfId="0" applyFont="1" applyFill="1" applyBorder="1" applyAlignment="1" applyProtection="1">
      <alignment horizontal="center" vertical="center"/>
      <protection hidden="1"/>
    </xf>
    <xf numFmtId="0" fontId="14" fillId="2" borderId="1" xfId="0" applyNumberFormat="1" applyFont="1" applyFill="1" applyBorder="1" applyAlignment="1" applyProtection="1">
      <alignment horizontal="center" vertical="top"/>
      <protection hidden="1"/>
    </xf>
    <xf numFmtId="0" fontId="14" fillId="2" borderId="20" xfId="0" applyNumberFormat="1" applyFont="1" applyFill="1" applyBorder="1" applyAlignment="1" applyProtection="1">
      <alignment horizontal="center" vertical="top"/>
      <protection hidden="1"/>
    </xf>
    <xf numFmtId="14" fontId="18" fillId="2" borderId="66"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0" fontId="17" fillId="2" borderId="27" xfId="0" applyFont="1" applyFill="1" applyBorder="1" applyAlignment="1" applyProtection="1">
      <alignment horizontal="left" vertical="top" indent="1"/>
      <protection hidden="1"/>
    </xf>
    <xf numFmtId="0" fontId="17" fillId="2" borderId="28" xfId="0" applyFont="1" applyFill="1" applyBorder="1" applyAlignment="1" applyProtection="1">
      <alignment horizontal="left" vertical="top" indent="1"/>
      <protection hidden="1"/>
    </xf>
    <xf numFmtId="0" fontId="17" fillId="2" borderId="29" xfId="0" applyFont="1" applyFill="1" applyBorder="1" applyAlignment="1" applyProtection="1">
      <alignment horizontal="left" vertical="top" indent="1"/>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77" fillId="2" borderId="7" xfId="0" applyNumberFormat="1" applyFont="1" applyFill="1" applyBorder="1" applyAlignment="1" applyProtection="1">
      <alignment horizontal="left" vertical="center"/>
      <protection hidden="1"/>
    </xf>
    <xf numFmtId="166" fontId="40" fillId="2" borderId="28" xfId="0" applyNumberFormat="1" applyFont="1" applyFill="1" applyBorder="1" applyAlignment="1" applyProtection="1">
      <alignment horizontal="right" vertical="center"/>
      <protection locked="0"/>
    </xf>
    <xf numFmtId="166" fontId="62" fillId="2" borderId="28" xfId="0" applyNumberFormat="1" applyFont="1" applyFill="1" applyBorder="1" applyAlignment="1" applyProtection="1">
      <alignment horizontal="right" vertical="center"/>
      <protection locked="0"/>
    </xf>
    <xf numFmtId="0" fontId="40" fillId="2" borderId="7" xfId="0" applyFont="1" applyFill="1" applyBorder="1" applyAlignment="1" applyProtection="1">
      <alignment horizontal="left" vertical="center" indent="1"/>
      <protection locked="0"/>
    </xf>
    <xf numFmtId="166" fontId="62" fillId="4" borderId="54" xfId="0" applyNumberFormat="1" applyFont="1" applyFill="1" applyBorder="1" applyAlignment="1" applyProtection="1">
      <alignment horizontal="center" vertical="center" wrapText="1"/>
      <protection locked="0"/>
    </xf>
    <xf numFmtId="166" fontId="62" fillId="4" borderId="71" xfId="0" applyNumberFormat="1" applyFont="1" applyFill="1" applyBorder="1" applyAlignment="1" applyProtection="1">
      <alignment horizontal="center" vertical="center" wrapText="1"/>
      <protection locked="0"/>
    </xf>
    <xf numFmtId="166" fontId="62" fillId="4" borderId="53" xfId="0" applyNumberFormat="1" applyFont="1" applyFill="1" applyBorder="1" applyAlignment="1" applyProtection="1">
      <alignment horizontal="center" vertical="center" wrapText="1"/>
      <protection locked="0"/>
    </xf>
    <xf numFmtId="0" fontId="33" fillId="2" borderId="180" xfId="0" applyFont="1" applyFill="1" applyBorder="1" applyAlignment="1" applyProtection="1">
      <alignment horizontal="center" vertical="center"/>
      <protection hidden="1"/>
    </xf>
    <xf numFmtId="0" fontId="33" fillId="2" borderId="181" xfId="0" applyFont="1" applyFill="1" applyBorder="1" applyAlignment="1" applyProtection="1">
      <alignment horizontal="center" vertical="center"/>
      <protection hidden="1"/>
    </xf>
    <xf numFmtId="167" fontId="33" fillId="2" borderId="15"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0" fontId="33" fillId="2" borderId="0" xfId="0" applyFont="1" applyFill="1" applyBorder="1" applyAlignment="1" applyProtection="1">
      <alignment horizontal="right" vertical="top" indent="1"/>
      <protection hidden="1"/>
    </xf>
    <xf numFmtId="0" fontId="18" fillId="2" borderId="3" xfId="0" applyNumberFormat="1" applyFont="1" applyFill="1" applyBorder="1" applyAlignment="1" applyProtection="1">
      <alignment horizontal="center" vertical="center"/>
      <protection hidden="1"/>
    </xf>
    <xf numFmtId="0" fontId="62" fillId="2" borderId="66" xfId="0" applyFont="1" applyFill="1" applyBorder="1" applyAlignment="1" applyProtection="1">
      <alignment horizontal="center" vertical="center"/>
      <protection locked="0"/>
    </xf>
    <xf numFmtId="0" fontId="62" fillId="2" borderId="117" xfId="0" applyFont="1" applyFill="1" applyBorder="1" applyAlignment="1" applyProtection="1">
      <alignment horizontal="center" vertical="center"/>
      <protection locked="0"/>
    </xf>
    <xf numFmtId="14" fontId="18" fillId="2" borderId="48" xfId="0" applyNumberFormat="1" applyFont="1" applyFill="1" applyBorder="1" applyAlignment="1" applyProtection="1">
      <alignment horizontal="center" vertical="center"/>
      <protection locked="0"/>
    </xf>
    <xf numFmtId="14" fontId="18" fillId="2" borderId="82" xfId="0" applyNumberFormat="1" applyFont="1" applyFill="1" applyBorder="1" applyAlignment="1" applyProtection="1">
      <alignment horizontal="center" vertical="center"/>
      <protection locked="0"/>
    </xf>
    <xf numFmtId="14" fontId="18" fillId="2" borderId="110" xfId="0" applyNumberFormat="1" applyFont="1" applyFill="1" applyBorder="1" applyAlignment="1" applyProtection="1">
      <alignment horizontal="center" vertical="center"/>
      <protection locked="0"/>
    </xf>
    <xf numFmtId="168" fontId="62" fillId="2" borderId="79" xfId="0" applyNumberFormat="1" applyFont="1" applyFill="1" applyBorder="1" applyAlignment="1" applyProtection="1">
      <alignment horizontal="right" vertical="center"/>
      <protection hidden="1"/>
    </xf>
    <xf numFmtId="168" fontId="62" fillId="2" borderId="3" xfId="0" applyNumberFormat="1" applyFont="1" applyFill="1" applyBorder="1" applyAlignment="1" applyProtection="1">
      <alignment horizontal="right" vertical="top"/>
      <protection hidden="1"/>
    </xf>
    <xf numFmtId="0" fontId="44" fillId="2" borderId="104" xfId="0" applyFont="1" applyFill="1" applyBorder="1" applyAlignment="1" applyProtection="1">
      <alignment horizontal="center" vertical="center"/>
      <protection locked="0"/>
    </xf>
    <xf numFmtId="166" fontId="136" fillId="2" borderId="0" xfId="0" applyNumberFormat="1" applyFont="1" applyFill="1" applyAlignment="1" applyProtection="1">
      <alignment horizontal="left"/>
      <protection hidden="1"/>
    </xf>
    <xf numFmtId="164" fontId="144" fillId="8" borderId="14" xfId="0" applyNumberFormat="1" applyFont="1" applyFill="1" applyBorder="1" applyAlignment="1" applyProtection="1">
      <alignment horizontal="right" vertical="center"/>
      <protection locked="0"/>
    </xf>
    <xf numFmtId="164" fontId="144" fillId="8" borderId="161" xfId="0" applyNumberFormat="1" applyFont="1" applyFill="1" applyBorder="1" applyAlignment="1" applyProtection="1">
      <alignment horizontal="right" vertical="center"/>
      <protection locked="0"/>
    </xf>
    <xf numFmtId="166" fontId="145" fillId="2" borderId="155" xfId="0" applyNumberFormat="1" applyFont="1" applyFill="1" applyBorder="1" applyAlignment="1" applyProtection="1">
      <alignment horizontal="left" vertical="center"/>
      <protection locked="0"/>
    </xf>
    <xf numFmtId="166" fontId="145" fillId="2" borderId="156" xfId="0" applyNumberFormat="1" applyFont="1" applyFill="1" applyBorder="1" applyAlignment="1" applyProtection="1">
      <alignment horizontal="left" vertical="center"/>
      <protection locked="0"/>
    </xf>
    <xf numFmtId="166" fontId="145" fillId="2" borderId="157" xfId="0" applyNumberFormat="1" applyFont="1" applyFill="1" applyBorder="1" applyAlignment="1" applyProtection="1">
      <alignment horizontal="left" vertical="center"/>
      <protection locked="0"/>
    </xf>
    <xf numFmtId="0" fontId="8" fillId="2" borderId="0" xfId="0" applyFont="1" applyFill="1" applyAlignment="1" applyProtection="1">
      <alignment horizontal="center"/>
      <protection hidden="1"/>
    </xf>
    <xf numFmtId="0" fontId="8" fillId="2" borderId="0" xfId="0" applyFont="1" applyFill="1" applyBorder="1" applyAlignment="1" applyProtection="1">
      <alignment horizontal="center" vertical="top"/>
      <protection hidden="1"/>
    </xf>
    <xf numFmtId="166" fontId="145" fillId="2" borderId="162" xfId="0" applyNumberFormat="1" applyFont="1" applyFill="1" applyBorder="1" applyAlignment="1" applyProtection="1">
      <alignment horizontal="left" vertical="center"/>
      <protection locked="0"/>
    </xf>
    <xf numFmtId="166" fontId="145" fillId="2" borderId="28" xfId="0" applyNumberFormat="1" applyFont="1" applyFill="1" applyBorder="1" applyAlignment="1" applyProtection="1">
      <alignment horizontal="left" vertical="center"/>
      <protection locked="0"/>
    </xf>
    <xf numFmtId="166" fontId="145" fillId="2" borderId="29" xfId="0" applyNumberFormat="1" applyFont="1" applyFill="1" applyBorder="1" applyAlignment="1" applyProtection="1">
      <alignment horizontal="left" vertical="center"/>
      <protection locked="0"/>
    </xf>
    <xf numFmtId="164" fontId="144" fillId="8" borderId="27" xfId="0" applyNumberFormat="1" applyFont="1" applyFill="1" applyBorder="1" applyAlignment="1" applyProtection="1">
      <alignment horizontal="right" vertical="center"/>
      <protection locked="0"/>
    </xf>
    <xf numFmtId="164" fontId="144" fillId="8" borderId="163" xfId="0" applyNumberFormat="1" applyFont="1" applyFill="1" applyBorder="1" applyAlignment="1" applyProtection="1">
      <alignment horizontal="right" vertical="center"/>
      <protection locked="0"/>
    </xf>
    <xf numFmtId="8" fontId="40" fillId="2" borderId="34" xfId="0" applyNumberFormat="1" applyFont="1" applyFill="1" applyBorder="1" applyAlignment="1" applyProtection="1">
      <alignment horizontal="right" indent="1"/>
      <protection hidden="1"/>
    </xf>
    <xf numFmtId="8" fontId="40" fillId="2" borderId="4" xfId="0" applyNumberFormat="1" applyFont="1" applyFill="1" applyBorder="1" applyAlignment="1" applyProtection="1">
      <alignment horizontal="right" indent="1"/>
      <protection hidden="1"/>
    </xf>
    <xf numFmtId="0" fontId="40" fillId="3" borderId="34" xfId="0" applyNumberFormat="1" applyFont="1" applyFill="1" applyBorder="1" applyAlignment="1" applyProtection="1">
      <alignment horizontal="center"/>
      <protection locked="0"/>
    </xf>
    <xf numFmtId="0" fontId="40" fillId="3" borderId="4" xfId="0" applyNumberFormat="1" applyFont="1" applyFill="1" applyBorder="1" applyAlignment="1" applyProtection="1">
      <alignment horizontal="center"/>
      <protection locked="0"/>
    </xf>
    <xf numFmtId="0" fontId="40" fillId="3" borderId="22" xfId="0" applyNumberFormat="1" applyFont="1" applyFill="1" applyBorder="1" applyAlignment="1" applyProtection="1">
      <alignment horizontal="center"/>
      <protection locked="0"/>
    </xf>
    <xf numFmtId="0" fontId="8" fillId="2" borderId="0" xfId="0" applyFont="1" applyFill="1" applyAlignment="1" applyProtection="1">
      <alignment horizontal="right" vertical="center" indent="1"/>
      <protection hidden="1"/>
    </xf>
    <xf numFmtId="0" fontId="8" fillId="2" borderId="20" xfId="0" applyFont="1" applyFill="1" applyBorder="1" applyAlignment="1" applyProtection="1">
      <alignment horizontal="right" vertical="center" indent="1"/>
      <protection hidden="1"/>
    </xf>
    <xf numFmtId="167" fontId="141" fillId="8" borderId="155" xfId="0" applyNumberFormat="1" applyFont="1" applyFill="1" applyBorder="1" applyAlignment="1" applyProtection="1">
      <alignment horizontal="center" vertical="center"/>
      <protection locked="0"/>
    </xf>
    <xf numFmtId="167" fontId="141" fillId="8" borderId="159" xfId="0" applyNumberFormat="1" applyFont="1" applyFill="1" applyBorder="1" applyAlignment="1" applyProtection="1">
      <alignment horizontal="center" vertical="center"/>
      <protection locked="0"/>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0" xfId="0" applyNumberFormat="1" applyFont="1" applyFill="1" applyBorder="1" applyAlignment="1" applyProtection="1">
      <alignment horizontal="center" vertical="center"/>
      <protection locked="0"/>
    </xf>
    <xf numFmtId="0" fontId="52" fillId="2" borderId="0" xfId="0" applyFont="1" applyFill="1" applyAlignment="1" applyProtection="1">
      <alignment horizontal="right" indent="1"/>
      <protection hidden="1"/>
    </xf>
    <xf numFmtId="0" fontId="52" fillId="2" borderId="20" xfId="0" applyFont="1" applyFill="1" applyBorder="1" applyAlignment="1" applyProtection="1">
      <alignment horizontal="right" indent="1"/>
      <protection hidden="1"/>
    </xf>
    <xf numFmtId="0" fontId="17" fillId="2" borderId="7" xfId="0" applyNumberFormat="1" applyFont="1" applyFill="1" applyBorder="1" applyAlignment="1" applyProtection="1">
      <alignment horizontal="center" vertical="center"/>
      <protection hidden="1"/>
    </xf>
    <xf numFmtId="166" fontId="141" fillId="8" borderId="167" xfId="0" applyNumberFormat="1" applyFont="1" applyFill="1" applyBorder="1" applyAlignment="1" applyProtection="1">
      <alignment horizontal="center" vertical="center"/>
      <protection hidden="1"/>
    </xf>
    <xf numFmtId="166" fontId="141" fillId="8" borderId="168" xfId="0" applyNumberFormat="1" applyFont="1" applyFill="1" applyBorder="1" applyAlignment="1" applyProtection="1">
      <alignment horizontal="center" vertical="center"/>
      <protection hidden="1"/>
    </xf>
    <xf numFmtId="166" fontId="141" fillId="8" borderId="169" xfId="0" applyNumberFormat="1" applyFont="1" applyFill="1" applyBorder="1" applyAlignment="1" applyProtection="1">
      <alignment horizontal="center" vertical="center"/>
      <protection hidden="1"/>
    </xf>
    <xf numFmtId="0" fontId="143" fillId="8" borderId="107" xfId="0" applyFont="1" applyFill="1" applyBorder="1" applyAlignment="1" applyProtection="1">
      <alignment horizontal="center" vertical="center"/>
      <protection locked="0"/>
    </xf>
    <xf numFmtId="0" fontId="143" fillId="8" borderId="102" xfId="0" applyFont="1" applyFill="1" applyBorder="1" applyAlignment="1" applyProtection="1">
      <alignment horizontal="center" vertical="center"/>
      <protection locked="0"/>
    </xf>
    <xf numFmtId="0" fontId="143" fillId="8" borderId="108" xfId="0" applyFont="1" applyFill="1" applyBorder="1" applyAlignment="1" applyProtection="1">
      <alignment horizontal="center" vertical="center"/>
      <protection locked="0"/>
    </xf>
    <xf numFmtId="166" fontId="141" fillId="2" borderId="0" xfId="0" applyNumberFormat="1" applyFont="1" applyFill="1" applyBorder="1" applyAlignment="1" applyProtection="1">
      <alignment horizontal="left" vertical="top"/>
      <protection hidden="1"/>
    </xf>
    <xf numFmtId="166" fontId="143" fillId="2" borderId="99" xfId="0" applyNumberFormat="1" applyFont="1" applyFill="1" applyBorder="1" applyAlignment="1" applyProtection="1">
      <alignment horizontal="left" vertical="center"/>
      <protection locked="0"/>
    </xf>
    <xf numFmtId="166" fontId="143" fillId="2" borderId="100" xfId="0" applyNumberFormat="1" applyFont="1" applyFill="1" applyBorder="1" applyAlignment="1" applyProtection="1">
      <alignment horizontal="left" vertical="center"/>
      <protection locked="0"/>
    </xf>
    <xf numFmtId="0" fontId="84" fillId="2" borderId="0" xfId="0" applyFont="1" applyFill="1" applyAlignment="1" applyProtection="1">
      <alignment horizontal="center" vertical="center" textRotation="90"/>
      <protection hidden="1"/>
    </xf>
    <xf numFmtId="8" fontId="40" fillId="2" borderId="2" xfId="0" applyNumberFormat="1" applyFont="1" applyFill="1" applyBorder="1" applyAlignment="1" applyProtection="1">
      <alignment horizontal="right" vertical="top" indent="1"/>
      <protection hidden="1"/>
    </xf>
    <xf numFmtId="8" fontId="40" fillId="2" borderId="7" xfId="0" applyNumberFormat="1" applyFont="1" applyFill="1" applyBorder="1" applyAlignment="1" applyProtection="1">
      <alignment horizontal="right" vertical="top" indent="1"/>
      <protection hidden="1"/>
    </xf>
    <xf numFmtId="0" fontId="52" fillId="2" borderId="0" xfId="0" applyFont="1" applyFill="1" applyAlignment="1" applyProtection="1">
      <alignment horizontal="right" vertical="top" indent="1"/>
      <protection hidden="1"/>
    </xf>
    <xf numFmtId="0" fontId="52" fillId="2" borderId="20" xfId="0" applyFont="1" applyFill="1" applyBorder="1" applyAlignment="1" applyProtection="1">
      <alignment horizontal="right" vertical="top" indent="1"/>
      <protection hidden="1"/>
    </xf>
    <xf numFmtId="166" fontId="143" fillId="2" borderId="101" xfId="0" applyNumberFormat="1" applyFont="1" applyFill="1" applyBorder="1" applyAlignment="1" applyProtection="1">
      <alignment horizontal="left" vertical="center"/>
      <protection locked="0"/>
    </xf>
    <xf numFmtId="166" fontId="143" fillId="2" borderId="102" xfId="0" applyNumberFormat="1" applyFont="1" applyFill="1" applyBorder="1" applyAlignment="1" applyProtection="1">
      <alignment horizontal="left" vertical="center"/>
      <protection locked="0"/>
    </xf>
    <xf numFmtId="166" fontId="143" fillId="2" borderId="103" xfId="0" applyNumberFormat="1" applyFont="1" applyFill="1" applyBorder="1" applyAlignment="1" applyProtection="1">
      <alignment horizontal="left" vertical="center"/>
      <protection locked="0"/>
    </xf>
    <xf numFmtId="168" fontId="62" fillId="2" borderId="5" xfId="0" applyNumberFormat="1" applyFont="1" applyFill="1" applyBorder="1" applyAlignment="1" applyProtection="1">
      <alignment horizontal="right" vertical="center"/>
      <protection hidden="1"/>
    </xf>
    <xf numFmtId="168" fontId="62" fillId="2" borderId="2" xfId="0" applyNumberFormat="1" applyFont="1" applyFill="1" applyBorder="1" applyAlignment="1" applyProtection="1">
      <alignment horizontal="right" vertical="top"/>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28" xfId="0" applyBorder="1" applyProtection="1">
      <protection hidden="1"/>
    </xf>
    <xf numFmtId="0" fontId="62" fillId="3" borderId="2" xfId="0" applyNumberFormat="1" applyFont="1" applyFill="1" applyBorder="1" applyAlignment="1" applyProtection="1">
      <alignment horizontal="center" vertical="center"/>
      <protection hidden="1"/>
    </xf>
    <xf numFmtId="0" fontId="62" fillId="3" borderId="7" xfId="0" applyNumberFormat="1" applyFont="1" applyFill="1" applyBorder="1" applyAlignment="1" applyProtection="1">
      <alignment horizontal="center" vertical="center"/>
      <protection hidden="1"/>
    </xf>
    <xf numFmtId="0" fontId="62" fillId="3" borderId="3" xfId="0" applyNumberFormat="1" applyFont="1" applyFill="1" applyBorder="1" applyAlignment="1" applyProtection="1">
      <alignment horizontal="center" vertical="center"/>
      <protection hidden="1"/>
    </xf>
    <xf numFmtId="168" fontId="40" fillId="2" borderId="34" xfId="0" applyNumberFormat="1" applyFont="1" applyFill="1" applyBorder="1" applyAlignment="1" applyProtection="1">
      <alignment horizontal="right"/>
      <protection hidden="1"/>
    </xf>
    <xf numFmtId="166" fontId="143" fillId="8" borderId="155" xfId="0" applyNumberFormat="1" applyFont="1" applyFill="1" applyBorder="1" applyAlignment="1" applyProtection="1">
      <alignment horizontal="left" vertical="center"/>
      <protection locked="0"/>
    </xf>
    <xf numFmtId="166" fontId="143" fillId="8" borderId="156" xfId="0" applyNumberFormat="1" applyFont="1" applyFill="1" applyBorder="1" applyAlignment="1" applyProtection="1">
      <alignment horizontal="left" vertical="center"/>
      <protection locked="0"/>
    </xf>
    <xf numFmtId="166" fontId="143" fillId="8" borderId="159" xfId="0" applyNumberFormat="1" applyFont="1" applyFill="1" applyBorder="1" applyAlignment="1" applyProtection="1">
      <alignment horizontal="left" vertical="center"/>
      <protection locked="0"/>
    </xf>
    <xf numFmtId="166" fontId="143" fillId="8" borderId="160" xfId="0" applyNumberFormat="1" applyFont="1" applyFill="1" applyBorder="1" applyAlignment="1" applyProtection="1">
      <alignment horizontal="left" vertical="center"/>
      <protection locked="0"/>
    </xf>
    <xf numFmtId="166" fontId="143" fillId="8" borderId="15" xfId="0" applyNumberFormat="1" applyFont="1" applyFill="1" applyBorder="1" applyAlignment="1" applyProtection="1">
      <alignment horizontal="left" vertical="center"/>
      <protection locked="0"/>
    </xf>
    <xf numFmtId="166" fontId="143" fillId="8" borderId="161" xfId="0" applyNumberFormat="1" applyFont="1" applyFill="1" applyBorder="1" applyAlignment="1" applyProtection="1">
      <alignment horizontal="left" vertical="center"/>
      <protection locked="0"/>
    </xf>
    <xf numFmtId="0" fontId="64" fillId="2" borderId="0" xfId="0" applyFont="1" applyFill="1" applyAlignment="1" applyProtection="1">
      <alignment horizontal="center" vertical="center"/>
      <protection hidden="1"/>
    </xf>
    <xf numFmtId="0" fontId="143" fillId="8" borderId="105" xfId="0" applyFont="1" applyFill="1" applyBorder="1" applyAlignment="1" applyProtection="1">
      <alignment horizontal="center" vertical="center"/>
      <protection locked="0"/>
    </xf>
    <xf numFmtId="0" fontId="143" fillId="8" borderId="100" xfId="0" applyFont="1" applyFill="1" applyBorder="1" applyAlignment="1" applyProtection="1">
      <alignment horizontal="center" vertical="center"/>
      <protection locked="0"/>
    </xf>
    <xf numFmtId="0" fontId="143" fillId="8" borderId="106" xfId="0" applyFont="1" applyFill="1" applyBorder="1" applyAlignment="1" applyProtection="1">
      <alignment horizontal="center" vertical="center"/>
      <protection locked="0"/>
    </xf>
    <xf numFmtId="166" fontId="143" fillId="8" borderId="164" xfId="0" applyNumberFormat="1" applyFont="1" applyFill="1" applyBorder="1" applyAlignment="1" applyProtection="1">
      <alignment horizontal="left" vertical="center"/>
      <protection locked="0"/>
    </xf>
    <xf numFmtId="166" fontId="143" fillId="8" borderId="165" xfId="0" applyNumberFormat="1" applyFont="1" applyFill="1" applyBorder="1" applyAlignment="1" applyProtection="1">
      <alignment horizontal="left" vertical="center"/>
      <protection locked="0"/>
    </xf>
    <xf numFmtId="166" fontId="143" fillId="8" borderId="166" xfId="0" applyNumberFormat="1" applyFont="1" applyFill="1" applyBorder="1" applyAlignment="1" applyProtection="1">
      <alignment horizontal="left" vertical="center"/>
      <protection locked="0"/>
    </xf>
    <xf numFmtId="164" fontId="144" fillId="8" borderId="158" xfId="0" applyNumberFormat="1" applyFont="1" applyFill="1" applyBorder="1" applyAlignment="1" applyProtection="1">
      <alignment horizontal="right" vertical="center"/>
      <protection locked="0"/>
    </xf>
    <xf numFmtId="164" fontId="144" fillId="8" borderId="159" xfId="0" applyNumberFormat="1" applyFont="1" applyFill="1" applyBorder="1" applyAlignment="1" applyProtection="1">
      <alignment horizontal="right" vertical="center"/>
      <protection locked="0"/>
    </xf>
    <xf numFmtId="0" fontId="74" fillId="2" borderId="1" xfId="0" applyFont="1" applyFill="1" applyBorder="1" applyAlignment="1" applyProtection="1">
      <alignment horizontal="left" vertical="top" indent="1"/>
      <protection hidden="1"/>
    </xf>
    <xf numFmtId="0" fontId="74" fillId="2" borderId="0" xfId="0" applyFont="1" applyFill="1" applyBorder="1" applyAlignment="1" applyProtection="1">
      <alignment horizontal="left" vertical="top" indent="1"/>
      <protection hidden="1"/>
    </xf>
    <xf numFmtId="0" fontId="62" fillId="2" borderId="64" xfId="0" applyFont="1" applyFill="1" applyBorder="1" applyAlignment="1" applyProtection="1">
      <alignment horizontal="center" vertical="center"/>
      <protection locked="0"/>
    </xf>
    <xf numFmtId="168" fontId="40" fillId="2" borderId="28" xfId="0" applyNumberFormat="1" applyFont="1" applyFill="1" applyBorder="1" applyAlignment="1" applyProtection="1">
      <alignment horizontal="right" vertical="center"/>
      <protection hidden="1"/>
    </xf>
    <xf numFmtId="177" fontId="18" fillId="2" borderId="28" xfId="0" applyNumberFormat="1" applyFont="1" applyFill="1" applyBorder="1" applyAlignment="1" applyProtection="1">
      <alignment horizontal="center" vertical="center"/>
      <protection hidden="1"/>
    </xf>
    <xf numFmtId="0" fontId="44" fillId="2" borderId="130" xfId="0" applyFont="1" applyFill="1" applyBorder="1" applyAlignment="1" applyProtection="1">
      <alignment horizontal="center" vertical="center"/>
      <protection locked="0"/>
    </xf>
    <xf numFmtId="0" fontId="52" fillId="2" borderId="0" xfId="0" applyNumberFormat="1" applyFont="1" applyFill="1" applyAlignment="1" applyProtection="1">
      <alignment horizontal="left" vertical="center"/>
      <protection hidden="1"/>
    </xf>
    <xf numFmtId="168" fontId="62" fillId="2" borderId="22" xfId="0" applyNumberFormat="1" applyFont="1" applyFill="1" applyBorder="1" applyAlignment="1" applyProtection="1">
      <alignment horizontal="right"/>
      <protection hidden="1"/>
    </xf>
    <xf numFmtId="0" fontId="62" fillId="2" borderId="49" xfId="0" applyFont="1" applyFill="1" applyBorder="1" applyAlignment="1" applyProtection="1">
      <alignment horizontal="center" vertical="center"/>
      <protection locked="0"/>
    </xf>
    <xf numFmtId="0" fontId="62" fillId="2" borderId="109" xfId="0" applyFont="1" applyFill="1" applyBorder="1" applyAlignment="1" applyProtection="1">
      <alignment horizontal="center" vertical="center"/>
      <protection hidden="1"/>
    </xf>
    <xf numFmtId="0" fontId="62" fillId="2" borderId="110" xfId="0" applyFont="1" applyFill="1" applyBorder="1" applyAlignment="1" applyProtection="1">
      <alignment horizontal="center" vertical="center"/>
      <protection hidden="1"/>
    </xf>
    <xf numFmtId="0" fontId="62" fillId="2" borderId="48" xfId="0" applyFont="1" applyFill="1" applyBorder="1" applyAlignment="1" applyProtection="1">
      <alignment horizontal="center" vertical="center"/>
      <protection hidden="1"/>
    </xf>
    <xf numFmtId="0" fontId="63" fillId="2" borderId="0" xfId="0" applyNumberFormat="1" applyFont="1" applyFill="1" applyBorder="1" applyAlignment="1" applyProtection="1">
      <alignment horizontal="center" vertical="center"/>
      <protection hidden="1"/>
    </xf>
    <xf numFmtId="0" fontId="65" fillId="2" borderId="0" xfId="0" applyNumberFormat="1" applyFont="1" applyFill="1" applyAlignment="1" applyProtection="1">
      <alignment horizontal="center"/>
      <protection hidden="1"/>
    </xf>
    <xf numFmtId="0" fontId="140" fillId="2" borderId="0" xfId="0" applyFont="1" applyFill="1" applyAlignment="1" applyProtection="1">
      <alignment horizontal="left" vertical="center" indent="1"/>
      <protection hidden="1"/>
    </xf>
    <xf numFmtId="0" fontId="63" fillId="2" borderId="0" xfId="0" applyNumberFormat="1" applyFont="1" applyFill="1" applyBorder="1" applyAlignment="1" applyProtection="1">
      <alignment horizontal="left" vertical="center"/>
      <protection hidden="1"/>
    </xf>
    <xf numFmtId="0" fontId="65" fillId="2" borderId="0" xfId="0" applyNumberFormat="1" applyFont="1" applyFill="1" applyAlignment="1" applyProtection="1">
      <alignment horizontal="center" vertical="center"/>
      <protection hidden="1"/>
    </xf>
    <xf numFmtId="0" fontId="63" fillId="2" borderId="0" xfId="0" applyFont="1" applyFill="1" applyAlignment="1" applyProtection="1">
      <alignment horizontal="right" vertical="center" indent="1"/>
      <protection hidden="1"/>
    </xf>
    <xf numFmtId="0" fontId="63" fillId="2" borderId="20" xfId="0" applyFont="1" applyFill="1" applyBorder="1" applyAlignment="1" applyProtection="1">
      <alignment horizontal="right" vertical="center" indent="1"/>
      <protection hidden="1"/>
    </xf>
    <xf numFmtId="0" fontId="100" fillId="2" borderId="0" xfId="0" applyNumberFormat="1" applyFont="1" applyFill="1" applyBorder="1" applyAlignment="1" applyProtection="1">
      <alignment horizontal="center" vertical="center"/>
      <protection hidden="1"/>
    </xf>
    <xf numFmtId="0" fontId="63" fillId="3" borderId="5" xfId="0" applyFont="1" applyFill="1" applyBorder="1" applyAlignment="1" applyProtection="1">
      <alignment horizontal="center" vertical="center"/>
      <protection locked="0"/>
    </xf>
    <xf numFmtId="0" fontId="63" fillId="3" borderId="71" xfId="0" applyFont="1" applyFill="1" applyBorder="1" applyAlignment="1" applyProtection="1">
      <alignment horizontal="center" vertical="center"/>
      <protection locked="0"/>
    </xf>
    <xf numFmtId="0" fontId="63" fillId="3" borderId="79" xfId="0" applyFont="1" applyFill="1" applyBorder="1" applyAlignment="1" applyProtection="1">
      <alignment horizontal="center" vertical="center"/>
      <protection locked="0"/>
    </xf>
    <xf numFmtId="0" fontId="71" fillId="2" borderId="0" xfId="0" applyFont="1" applyFill="1" applyAlignment="1" applyProtection="1">
      <alignment horizontal="center" vertical="top"/>
      <protection hidden="1"/>
    </xf>
    <xf numFmtId="0" fontId="141" fillId="2" borderId="0" xfId="0" applyNumberFormat="1" applyFont="1" applyFill="1" applyAlignment="1" applyProtection="1">
      <alignment horizontal="center"/>
      <protection locked="0"/>
    </xf>
    <xf numFmtId="0" fontId="62" fillId="2" borderId="62" xfId="0" applyFont="1" applyFill="1" applyBorder="1" applyAlignment="1" applyProtection="1">
      <alignment horizontal="center" vertical="center"/>
      <protection hidden="1"/>
    </xf>
    <xf numFmtId="0" fontId="71" fillId="2" borderId="0" xfId="0" applyFont="1" applyFill="1" applyBorder="1" applyAlignment="1" applyProtection="1">
      <alignment horizontal="center" vertical="top"/>
      <protection hidden="1"/>
    </xf>
    <xf numFmtId="0" fontId="77" fillId="2" borderId="0" xfId="0" applyNumberFormat="1" applyFont="1" applyFill="1" applyBorder="1" applyAlignment="1" applyProtection="1">
      <alignment horizontal="left"/>
      <protection hidden="1"/>
    </xf>
    <xf numFmtId="0" fontId="63" fillId="2" borderId="0" xfId="0" applyNumberFormat="1" applyFont="1" applyFill="1" applyBorder="1" applyAlignment="1" applyProtection="1">
      <alignment horizontal="center"/>
      <protection hidden="1"/>
    </xf>
    <xf numFmtId="0" fontId="77" fillId="2" borderId="0" xfId="0" applyNumberFormat="1" applyFont="1" applyFill="1" applyBorder="1" applyAlignment="1" applyProtection="1">
      <alignment horizontal="left" indent="2"/>
      <protection hidden="1"/>
    </xf>
    <xf numFmtId="14" fontId="18" fillId="2" borderId="109" xfId="0" applyNumberFormat="1" applyFont="1" applyFill="1" applyBorder="1" applyAlignment="1" applyProtection="1">
      <alignment horizontal="center" vertical="center"/>
      <protection locked="0"/>
    </xf>
    <xf numFmtId="14" fontId="18" fillId="2" borderId="62" xfId="0" applyNumberFormat="1" applyFont="1" applyFill="1" applyBorder="1" applyAlignment="1" applyProtection="1">
      <alignment horizontal="center" vertical="center"/>
      <protection locked="0"/>
    </xf>
    <xf numFmtId="166" fontId="62" fillId="4" borderId="5" xfId="0" applyNumberFormat="1" applyFont="1" applyFill="1" applyBorder="1" applyAlignment="1" applyProtection="1">
      <alignment horizontal="left" vertical="center" wrapText="1"/>
      <protection locked="0"/>
    </xf>
    <xf numFmtId="166" fontId="62" fillId="4" borderId="71" xfId="0" applyNumberFormat="1" applyFont="1" applyFill="1" applyBorder="1" applyAlignment="1" applyProtection="1">
      <alignment horizontal="left" vertical="center"/>
      <protection locked="0"/>
    </xf>
    <xf numFmtId="166" fontId="62" fillId="4" borderId="53" xfId="0" applyNumberFormat="1" applyFont="1" applyFill="1" applyBorder="1" applyAlignment="1" applyProtection="1">
      <alignment horizontal="left" vertical="center"/>
      <protection locked="0"/>
    </xf>
    <xf numFmtId="166" fontId="17" fillId="2" borderId="0" xfId="0" applyNumberFormat="1" applyFont="1" applyFill="1" applyBorder="1" applyAlignment="1" applyProtection="1">
      <alignment horizontal="right"/>
      <protection hidden="1"/>
    </xf>
    <xf numFmtId="166" fontId="17" fillId="2" borderId="0" xfId="0" applyNumberFormat="1" applyFont="1" applyFill="1" applyBorder="1" applyAlignment="1" applyProtection="1">
      <alignment horizontal="left"/>
      <protection hidden="1"/>
    </xf>
    <xf numFmtId="0" fontId="88" fillId="2" borderId="1"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left" vertical="center"/>
      <protection hidden="1"/>
    </xf>
    <xf numFmtId="0" fontId="71" fillId="2" borderId="7" xfId="0" applyFont="1" applyFill="1" applyBorder="1" applyAlignment="1" applyProtection="1">
      <alignment horizontal="center" vertical="top"/>
      <protection hidden="1"/>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62" fillId="4" borderId="54" xfId="0" applyNumberFormat="1" applyFont="1" applyFill="1" applyBorder="1" applyAlignment="1" applyProtection="1">
      <alignment horizontal="center" vertical="center" wrapText="1"/>
      <protection locked="0"/>
    </xf>
    <xf numFmtId="0" fontId="62" fillId="4" borderId="79" xfId="0" applyNumberFormat="1" applyFont="1" applyFill="1" applyBorder="1" applyAlignment="1" applyProtection="1">
      <alignment horizontal="center" vertical="center" wrapText="1"/>
      <protection locked="0"/>
    </xf>
    <xf numFmtId="166" fontId="62" fillId="4" borderId="5" xfId="0" applyNumberFormat="1" applyFont="1" applyFill="1" applyBorder="1" applyAlignment="1" applyProtection="1">
      <alignment horizontal="center" vertical="center"/>
      <protection locked="0"/>
    </xf>
    <xf numFmtId="0" fontId="17" fillId="2" borderId="26" xfId="0" applyFont="1" applyFill="1" applyBorder="1" applyAlignment="1" applyProtection="1">
      <alignment horizontal="left" indent="1"/>
      <protection hidden="1"/>
    </xf>
    <xf numFmtId="0" fontId="17" fillId="2" borderId="77" xfId="0" applyFont="1" applyFill="1" applyBorder="1" applyAlignment="1" applyProtection="1">
      <alignment horizontal="left" indent="1"/>
      <protection hidden="1"/>
    </xf>
    <xf numFmtId="0" fontId="17" fillId="2" borderId="41" xfId="0" applyFont="1" applyFill="1" applyBorder="1" applyAlignment="1" applyProtection="1">
      <alignment horizontal="left" indent="1"/>
      <protection hidden="1"/>
    </xf>
    <xf numFmtId="0" fontId="17" fillId="2" borderId="4"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17" fillId="2" borderId="71" xfId="0" applyNumberFormat="1" applyFont="1" applyFill="1" applyBorder="1" applyAlignment="1" applyProtection="1">
      <alignment horizontal="center"/>
      <protection hidden="1"/>
    </xf>
    <xf numFmtId="166" fontId="62" fillId="4" borderId="53"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protection hidden="1"/>
    </xf>
    <xf numFmtId="0" fontId="17" fillId="2" borderId="14" xfId="0" applyFont="1" applyFill="1" applyBorder="1" applyAlignment="1" applyProtection="1">
      <alignment horizontal="center" vertical="center"/>
      <protection hidden="1"/>
    </xf>
    <xf numFmtId="0" fontId="17" fillId="2" borderId="15" xfId="0" applyFont="1" applyFill="1" applyBorder="1" applyAlignment="1" applyProtection="1">
      <alignment horizontal="center" vertical="center"/>
      <protection hidden="1"/>
    </xf>
    <xf numFmtId="0" fontId="17" fillId="2" borderId="16" xfId="0" applyFont="1" applyFill="1" applyBorder="1" applyAlignment="1" applyProtection="1">
      <alignment horizontal="center" vertical="center"/>
      <protection hidden="1"/>
    </xf>
    <xf numFmtId="0" fontId="17" fillId="8" borderId="71" xfId="0" applyFont="1" applyFill="1" applyBorder="1" applyAlignment="1" applyProtection="1">
      <alignment horizontal="left" vertical="center" indent="1"/>
      <protection hidden="1"/>
    </xf>
    <xf numFmtId="0" fontId="17" fillId="8" borderId="79" xfId="0" applyFont="1" applyFill="1" applyBorder="1" applyAlignment="1" applyProtection="1">
      <alignment horizontal="left" vertical="center" indent="1"/>
      <protection hidden="1"/>
    </xf>
    <xf numFmtId="4" fontId="33" fillId="2" borderId="124" xfId="0" applyNumberFormat="1" applyFont="1" applyFill="1" applyBorder="1" applyAlignment="1" applyProtection="1">
      <alignment horizontal="right" vertical="center" indent="1"/>
      <protection hidden="1"/>
    </xf>
    <xf numFmtId="4" fontId="33" fillId="2" borderId="126" xfId="0" applyNumberFormat="1" applyFont="1" applyFill="1" applyBorder="1" applyAlignment="1" applyProtection="1">
      <alignment horizontal="right" vertical="center" indent="1"/>
      <protection hidden="1"/>
    </xf>
    <xf numFmtId="4" fontId="33" fillId="2" borderId="28" xfId="0" applyNumberFormat="1" applyFont="1" applyFill="1" applyBorder="1" applyAlignment="1" applyProtection="1">
      <alignment horizontal="right" vertical="center" indent="1"/>
      <protection hidden="1"/>
    </xf>
    <xf numFmtId="4" fontId="33" fillId="2" borderId="29" xfId="0" applyNumberFormat="1" applyFont="1" applyFill="1" applyBorder="1" applyAlignment="1" applyProtection="1">
      <alignment horizontal="right" vertical="center" indent="1"/>
      <protection hidden="1"/>
    </xf>
    <xf numFmtId="0" fontId="53" fillId="3" borderId="93" xfId="0" applyFont="1" applyFill="1" applyBorder="1" applyAlignment="1" applyProtection="1">
      <alignment horizontal="center" vertical="center"/>
      <protection hidden="1"/>
    </xf>
    <xf numFmtId="167" fontId="33" fillId="10" borderId="135" xfId="0" applyNumberFormat="1" applyFont="1" applyFill="1" applyBorder="1" applyAlignment="1" applyProtection="1">
      <alignment horizontal="center" vertical="center"/>
      <protection hidden="1"/>
    </xf>
    <xf numFmtId="167" fontId="33" fillId="10" borderId="122" xfId="0" applyNumberFormat="1" applyFont="1" applyFill="1" applyBorder="1" applyAlignment="1" applyProtection="1">
      <alignment horizontal="center" vertical="center"/>
      <protection hidden="1"/>
    </xf>
    <xf numFmtId="0" fontId="19" fillId="2" borderId="0" xfId="0" applyFont="1" applyFill="1" applyBorder="1" applyAlignment="1" applyProtection="1">
      <alignment horizontal="center"/>
      <protection hidden="1"/>
    </xf>
    <xf numFmtId="4" fontId="107" fillId="4" borderId="111" xfId="0" applyNumberFormat="1" applyFont="1" applyFill="1" applyBorder="1" applyAlignment="1" applyProtection="1">
      <alignment horizontal="right" vertical="center" indent="1"/>
      <protection hidden="1"/>
    </xf>
    <xf numFmtId="4" fontId="107" fillId="4" borderId="112" xfId="0" applyNumberFormat="1" applyFont="1" applyFill="1" applyBorder="1" applyAlignment="1" applyProtection="1">
      <alignment horizontal="right" vertical="center" indent="1"/>
      <protection hidden="1"/>
    </xf>
    <xf numFmtId="4" fontId="107" fillId="4" borderId="113" xfId="0" applyNumberFormat="1" applyFont="1" applyFill="1" applyBorder="1" applyAlignment="1" applyProtection="1">
      <alignment horizontal="right" vertical="center" indent="1"/>
      <protection hidden="1"/>
    </xf>
    <xf numFmtId="0" fontId="33" fillId="2" borderId="16" xfId="0" applyFont="1" applyFill="1" applyBorder="1" applyAlignment="1" applyProtection="1">
      <alignment horizontal="center" vertical="center"/>
      <protection hidden="1"/>
    </xf>
    <xf numFmtId="0" fontId="60" fillId="2" borderId="136" xfId="0" applyFont="1" applyFill="1" applyBorder="1" applyAlignment="1" applyProtection="1">
      <alignment horizontal="center" vertical="center"/>
      <protection hidden="1"/>
    </xf>
    <xf numFmtId="0" fontId="60" fillId="2" borderId="125" xfId="0" applyFont="1" applyFill="1" applyBorder="1" applyAlignment="1" applyProtection="1">
      <alignment horizontal="center" vertical="center"/>
      <protection hidden="1"/>
    </xf>
    <xf numFmtId="167" fontId="33" fillId="2" borderId="114" xfId="0" applyNumberFormat="1" applyFont="1" applyFill="1" applyBorder="1" applyAlignment="1" applyProtection="1">
      <alignment horizontal="center" vertical="center"/>
      <protection hidden="1"/>
    </xf>
    <xf numFmtId="0" fontId="33" fillId="2" borderId="116" xfId="0" applyFont="1" applyFill="1" applyBorder="1" applyAlignment="1" applyProtection="1">
      <alignment horizontal="center" vertical="center"/>
      <protection hidden="1"/>
    </xf>
    <xf numFmtId="167" fontId="33" fillId="2" borderId="111" xfId="0" applyNumberFormat="1" applyFont="1" applyFill="1" applyBorder="1" applyAlignment="1" applyProtection="1">
      <alignment horizontal="center" vertical="center"/>
      <protection hidden="1"/>
    </xf>
    <xf numFmtId="0" fontId="33" fillId="2" borderId="113" xfId="0" applyFont="1" applyFill="1" applyBorder="1" applyAlignment="1" applyProtection="1">
      <alignment horizontal="center" vertical="center"/>
      <protection hidden="1"/>
    </xf>
    <xf numFmtId="167" fontId="44" fillId="2" borderId="14" xfId="0" applyNumberFormat="1" applyFont="1" applyFill="1" applyBorder="1" applyAlignment="1" applyProtection="1">
      <alignment horizontal="center" vertical="center"/>
      <protection hidden="1"/>
    </xf>
    <xf numFmtId="167" fontId="44" fillId="2" borderId="16" xfId="0" applyNumberFormat="1" applyFont="1" applyFill="1" applyBorder="1" applyAlignment="1" applyProtection="1">
      <alignment horizontal="center" vertical="center"/>
      <protection hidden="1"/>
    </xf>
    <xf numFmtId="0" fontId="108" fillId="4" borderId="48" xfId="0" applyFont="1" applyFill="1" applyBorder="1" applyAlignment="1" applyProtection="1">
      <alignment horizontal="center" vertical="center"/>
      <protection hidden="1"/>
    </xf>
    <xf numFmtId="0" fontId="33" fillId="2" borderId="179" xfId="0" applyFont="1" applyFill="1" applyBorder="1" applyAlignment="1" applyProtection="1">
      <alignment horizontal="center" vertical="center"/>
      <protection hidden="1"/>
    </xf>
    <xf numFmtId="0" fontId="77" fillId="2" borderId="48" xfId="0" applyFont="1" applyFill="1" applyBorder="1" applyAlignment="1" applyProtection="1">
      <alignment horizontal="center" vertical="center"/>
      <protection hidden="1"/>
    </xf>
    <xf numFmtId="0" fontId="77" fillId="2" borderId="82" xfId="0" applyFont="1" applyFill="1" applyBorder="1" applyAlignment="1" applyProtection="1">
      <alignment horizontal="center" vertical="center"/>
      <protection hidden="1"/>
    </xf>
    <xf numFmtId="0" fontId="77" fillId="2" borderId="62" xfId="0" applyFont="1" applyFill="1" applyBorder="1" applyAlignment="1" applyProtection="1">
      <alignment horizontal="center" vertical="center"/>
      <protection hidden="1"/>
    </xf>
    <xf numFmtId="0" fontId="44" fillId="2" borderId="134" xfId="0" applyFont="1" applyFill="1" applyBorder="1" applyAlignment="1" applyProtection="1">
      <alignment horizontal="center" vertical="center"/>
      <protection locked="0"/>
    </xf>
    <xf numFmtId="166" fontId="114" fillId="2" borderId="0" xfId="0" applyNumberFormat="1" applyFont="1" applyFill="1" applyBorder="1" applyAlignment="1" applyProtection="1">
      <alignment horizontal="right" vertical="center"/>
      <protection hidden="1"/>
    </xf>
    <xf numFmtId="4" fontId="14" fillId="10" borderId="109" xfId="0" applyNumberFormat="1" applyFont="1" applyFill="1" applyBorder="1" applyAlignment="1" applyProtection="1">
      <alignment horizontal="right" vertical="center" indent="1"/>
      <protection hidden="1"/>
    </xf>
    <xf numFmtId="4" fontId="14" fillId="10" borderId="82" xfId="0" applyNumberFormat="1" applyFont="1" applyFill="1" applyBorder="1" applyAlignment="1" applyProtection="1">
      <alignment horizontal="right" vertical="center" indent="1"/>
      <protection hidden="1"/>
    </xf>
    <xf numFmtId="4" fontId="14" fillId="10" borderId="110" xfId="0" applyNumberFormat="1" applyFont="1" applyFill="1" applyBorder="1" applyAlignment="1" applyProtection="1">
      <alignment horizontal="right" vertical="center" indent="1"/>
      <protection hidden="1"/>
    </xf>
    <xf numFmtId="4" fontId="14" fillId="10" borderId="62" xfId="0" applyNumberFormat="1" applyFont="1" applyFill="1" applyBorder="1" applyAlignment="1" applyProtection="1">
      <alignment horizontal="right" vertical="center" indent="1"/>
      <protection hidden="1"/>
    </xf>
    <xf numFmtId="4" fontId="14" fillId="10" borderId="63" xfId="0" applyNumberFormat="1" applyFont="1" applyFill="1" applyBorder="1" applyAlignment="1" applyProtection="1">
      <alignment horizontal="right" vertical="center" indent="1"/>
      <protection hidden="1"/>
    </xf>
    <xf numFmtId="4" fontId="14" fillId="10" borderId="48" xfId="0" applyNumberFormat="1" applyFont="1" applyFill="1" applyBorder="1" applyAlignment="1" applyProtection="1">
      <alignment horizontal="right" vertical="center" indent="1"/>
      <protection hidden="1"/>
    </xf>
    <xf numFmtId="4" fontId="14" fillId="10" borderId="61" xfId="0" applyNumberFormat="1" applyFont="1" applyFill="1" applyBorder="1" applyAlignment="1" applyProtection="1">
      <alignment horizontal="right" vertical="center" indent="1"/>
      <protection hidden="1"/>
    </xf>
    <xf numFmtId="4" fontId="14" fillId="10" borderId="66" xfId="0" applyNumberFormat="1" applyFont="1" applyFill="1" applyBorder="1" applyAlignment="1" applyProtection="1">
      <alignment horizontal="right" vertical="center" indent="1"/>
      <protection hidden="1"/>
    </xf>
    <xf numFmtId="4" fontId="14" fillId="10" borderId="67" xfId="0" applyNumberFormat="1" applyFont="1" applyFill="1" applyBorder="1" applyAlignment="1" applyProtection="1">
      <alignment horizontal="right" vertical="center" indent="1"/>
      <protection hidden="1"/>
    </xf>
    <xf numFmtId="4" fontId="14" fillId="10" borderId="117" xfId="0" applyNumberFormat="1" applyFont="1" applyFill="1" applyBorder="1" applyAlignment="1" applyProtection="1">
      <alignment horizontal="right" vertical="center" indent="1"/>
      <protection hidden="1"/>
    </xf>
    <xf numFmtId="4" fontId="14" fillId="10" borderId="64" xfId="0" applyNumberFormat="1" applyFont="1" applyFill="1" applyBorder="1" applyAlignment="1" applyProtection="1">
      <alignment horizontal="right" vertical="center" indent="1"/>
      <protection hidden="1"/>
    </xf>
    <xf numFmtId="4" fontId="14" fillId="10" borderId="49" xfId="0" applyNumberFormat="1" applyFont="1" applyFill="1" applyBorder="1" applyAlignment="1" applyProtection="1">
      <alignment horizontal="right" vertical="center" indent="1"/>
      <protection hidden="1"/>
    </xf>
    <xf numFmtId="0" fontId="126" fillId="2" borderId="0" xfId="1" applyFont="1" applyFill="1" applyAlignment="1" applyProtection="1">
      <alignment horizontal="center"/>
      <protection locked="0"/>
    </xf>
    <xf numFmtId="0" fontId="3" fillId="7" borderId="202" xfId="0" applyFont="1" applyFill="1" applyBorder="1" applyAlignment="1" applyProtection="1">
      <alignment horizontal="left" vertical="center" indent="1"/>
      <protection locked="0"/>
    </xf>
    <xf numFmtId="0" fontId="3" fillId="7" borderId="204" xfId="0" applyFont="1" applyFill="1" applyBorder="1" applyAlignment="1" applyProtection="1">
      <alignment horizontal="left" vertical="center" indent="1"/>
      <protection locked="0"/>
    </xf>
    <xf numFmtId="0" fontId="28" fillId="8" borderId="24" xfId="2" applyFont="1" applyFill="1" applyBorder="1" applyAlignment="1" applyProtection="1">
      <alignment horizontal="center" vertical="center"/>
      <protection hidden="1"/>
    </xf>
    <xf numFmtId="0" fontId="28" fillId="8" borderId="13" xfId="2" applyFont="1" applyFill="1" applyBorder="1" applyAlignment="1" applyProtection="1">
      <alignment horizontal="center" vertical="center"/>
      <protection hidden="1"/>
    </xf>
    <xf numFmtId="0" fontId="62" fillId="2" borderId="34" xfId="2" applyFont="1" applyFill="1" applyBorder="1" applyAlignment="1" applyProtection="1">
      <alignment horizontal="center"/>
      <protection hidden="1"/>
    </xf>
    <xf numFmtId="0" fontId="62" fillId="2" borderId="22" xfId="2" applyFont="1" applyFill="1" applyBorder="1" applyAlignment="1" applyProtection="1">
      <alignment horizontal="center"/>
      <protection hidden="1"/>
    </xf>
    <xf numFmtId="0" fontId="62" fillId="2" borderId="1" xfId="2" applyFont="1" applyFill="1" applyBorder="1" applyAlignment="1" applyProtection="1">
      <alignment horizontal="center"/>
      <protection hidden="1"/>
    </xf>
    <xf numFmtId="0" fontId="62" fillId="2" borderId="20" xfId="2" applyFont="1" applyFill="1" applyBorder="1" applyAlignment="1" applyProtection="1">
      <alignment horizontal="center"/>
      <protection hidden="1"/>
    </xf>
    <xf numFmtId="0" fontId="87" fillId="2" borderId="2" xfId="2" applyNumberFormat="1" applyFont="1" applyFill="1" applyBorder="1" applyAlignment="1" applyProtection="1">
      <alignment horizontal="center" vertical="top"/>
      <protection hidden="1"/>
    </xf>
    <xf numFmtId="0" fontId="87" fillId="2" borderId="3" xfId="2" applyNumberFormat="1" applyFont="1" applyFill="1" applyBorder="1" applyAlignment="1" applyProtection="1">
      <alignment horizontal="center" vertical="top"/>
      <protection hidden="1"/>
    </xf>
    <xf numFmtId="0" fontId="14" fillId="2" borderId="2" xfId="2" applyFont="1" applyFill="1" applyBorder="1" applyAlignment="1" applyProtection="1">
      <alignment horizontal="center" vertical="top" wrapText="1"/>
      <protection hidden="1"/>
    </xf>
    <xf numFmtId="0" fontId="14" fillId="2" borderId="3" xfId="2" applyFont="1" applyFill="1" applyBorder="1" applyAlignment="1" applyProtection="1">
      <alignment horizontal="center" vertical="top" wrapText="1"/>
      <protection hidden="1"/>
    </xf>
    <xf numFmtId="0" fontId="18" fillId="2" borderId="34" xfId="2" applyFont="1" applyFill="1" applyBorder="1" applyAlignment="1" applyProtection="1">
      <alignment horizontal="center" wrapText="1"/>
      <protection hidden="1"/>
    </xf>
    <xf numFmtId="0" fontId="18" fillId="2" borderId="22"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0" xfId="2" applyFont="1" applyFill="1" applyBorder="1" applyAlignment="1" applyProtection="1">
      <alignment horizontal="center" wrapText="1"/>
      <protection hidden="1"/>
    </xf>
    <xf numFmtId="0" fontId="87" fillId="2" borderId="0" xfId="2" applyNumberFormat="1" applyFont="1" applyFill="1" applyBorder="1" applyAlignment="1" applyProtection="1">
      <alignment horizontal="left" vertical="center"/>
      <protection hidden="1"/>
    </xf>
    <xf numFmtId="168" fontId="18" fillId="2" borderId="61" xfId="2" applyNumberFormat="1" applyFont="1" applyFill="1" applyBorder="1" applyAlignment="1" applyProtection="1">
      <alignment horizontal="right" vertical="center"/>
      <protection hidden="1"/>
    </xf>
    <xf numFmtId="168" fontId="18" fillId="2" borderId="63" xfId="2" applyNumberFormat="1" applyFont="1" applyFill="1" applyBorder="1" applyAlignment="1" applyProtection="1">
      <alignment horizontal="right" vertical="center"/>
      <protection hidden="1"/>
    </xf>
    <xf numFmtId="166" fontId="74" fillId="2" borderId="0" xfId="2" applyNumberFormat="1" applyFont="1" applyFill="1" applyBorder="1" applyAlignment="1" applyProtection="1">
      <alignment horizontal="left"/>
      <protection hidden="1"/>
    </xf>
    <xf numFmtId="0" fontId="8" fillId="2" borderId="0" xfId="2" applyFont="1" applyFill="1" applyBorder="1" applyAlignment="1" applyProtection="1">
      <alignment horizontal="left" vertical="top" indent="1"/>
      <protection hidden="1"/>
    </xf>
    <xf numFmtId="166" fontId="17" fillId="0" borderId="0" xfId="0" applyNumberFormat="1" applyFont="1" applyAlignment="1" applyProtection="1">
      <alignment horizontal="left"/>
      <protection hidden="1"/>
    </xf>
    <xf numFmtId="49" fontId="49" fillId="2" borderId="0" xfId="2" applyNumberFormat="1" applyFont="1" applyFill="1" applyBorder="1" applyAlignment="1" applyProtection="1">
      <alignment horizontal="left" vertical="center"/>
      <protection hidden="1"/>
    </xf>
    <xf numFmtId="0" fontId="49" fillId="2" borderId="0" xfId="2" applyNumberFormat="1" applyFont="1" applyFill="1" applyBorder="1" applyAlignment="1" applyProtection="1">
      <alignment horizontal="left" vertical="center"/>
      <protection hidden="1"/>
    </xf>
    <xf numFmtId="0" fontId="64" fillId="2" borderId="0" xfId="2" applyFont="1" applyFill="1" applyBorder="1" applyAlignment="1" applyProtection="1">
      <alignment horizontal="center" vertical="top"/>
      <protection hidden="1"/>
    </xf>
    <xf numFmtId="0" fontId="34" fillId="2" borderId="4" xfId="2" applyFont="1" applyFill="1" applyBorder="1" applyAlignment="1" applyProtection="1">
      <alignment horizontal="center"/>
      <protection hidden="1"/>
    </xf>
    <xf numFmtId="0" fontId="34" fillId="2" borderId="0" xfId="2" applyFont="1" applyFill="1" applyBorder="1" applyAlignment="1" applyProtection="1">
      <alignment horizontal="center"/>
      <protection hidden="1"/>
    </xf>
    <xf numFmtId="0" fontId="86" fillId="4" borderId="5" xfId="2" applyFont="1" applyFill="1" applyBorder="1" applyAlignment="1" applyProtection="1">
      <alignment horizontal="left" vertical="center" indent="1"/>
      <protection locked="0"/>
    </xf>
    <xf numFmtId="0" fontId="86" fillId="4" borderId="71" xfId="2" applyFont="1" applyFill="1" applyBorder="1" applyAlignment="1" applyProtection="1">
      <alignment horizontal="left" vertical="center" indent="1"/>
      <protection locked="0"/>
    </xf>
    <xf numFmtId="0" fontId="86" fillId="4" borderId="79" xfId="2" applyFont="1" applyFill="1" applyBorder="1" applyAlignment="1" applyProtection="1">
      <alignment horizontal="left" vertical="center" indent="1"/>
      <protection locked="0"/>
    </xf>
    <xf numFmtId="0" fontId="14" fillId="2" borderId="7" xfId="2" applyNumberFormat="1" applyFont="1" applyFill="1" applyBorder="1" applyAlignment="1" applyProtection="1">
      <alignment horizontal="center" vertical="center"/>
      <protection hidden="1"/>
    </xf>
    <xf numFmtId="168" fontId="18" fillId="2" borderId="7" xfId="2" applyNumberFormat="1" applyFont="1" applyFill="1" applyBorder="1" applyAlignment="1" applyProtection="1">
      <alignment horizontal="left" vertical="center"/>
      <protection hidden="1"/>
    </xf>
    <xf numFmtId="0" fontId="60" fillId="2" borderId="0" xfId="2" applyFont="1" applyFill="1" applyAlignment="1" applyProtection="1">
      <alignment horizontal="left" vertical="center" indent="1"/>
      <protection locked="0"/>
    </xf>
    <xf numFmtId="14" fontId="44" fillId="10" borderId="14" xfId="0" applyNumberFormat="1" applyFont="1" applyFill="1" applyBorder="1" applyAlignment="1" applyProtection="1">
      <alignment horizontal="center" vertical="center"/>
      <protection hidden="1"/>
    </xf>
    <xf numFmtId="0" fontId="44" fillId="10" borderId="15" xfId="0" applyNumberFormat="1" applyFont="1" applyFill="1" applyBorder="1" applyAlignment="1" applyProtection="1">
      <alignment horizontal="center" vertical="center"/>
      <protection hidden="1"/>
    </xf>
    <xf numFmtId="0" fontId="44" fillId="10" borderId="16" xfId="0" applyNumberFormat="1" applyFont="1" applyFill="1" applyBorder="1" applyAlignment="1" applyProtection="1">
      <alignment horizontal="center" vertical="center"/>
      <protection hidden="1"/>
    </xf>
    <xf numFmtId="0" fontId="3" fillId="3" borderId="5" xfId="2" applyFill="1" applyBorder="1" applyAlignment="1" applyProtection="1">
      <alignment horizontal="center"/>
      <protection hidden="1"/>
    </xf>
    <xf numFmtId="0" fontId="3" fillId="3" borderId="79" xfId="2" applyFill="1" applyBorder="1" applyAlignment="1" applyProtection="1">
      <alignment horizontal="center"/>
      <protection hidden="1"/>
    </xf>
    <xf numFmtId="0" fontId="8" fillId="2" borderId="0" xfId="2" applyNumberFormat="1" applyFont="1" applyFill="1" applyBorder="1" applyAlignment="1" applyProtection="1">
      <alignment horizontal="left"/>
      <protection hidden="1"/>
    </xf>
    <xf numFmtId="166" fontId="45" fillId="2" borderId="0" xfId="2" applyNumberFormat="1" applyFont="1" applyFill="1" applyAlignment="1" applyProtection="1">
      <alignment horizontal="left" vertical="top"/>
      <protection hidden="1"/>
    </xf>
    <xf numFmtId="0" fontId="45" fillId="2" borderId="0" xfId="2" applyFont="1" applyFill="1" applyAlignment="1" applyProtection="1">
      <alignment horizontal="left" vertical="top"/>
      <protection hidden="1"/>
    </xf>
    <xf numFmtId="0" fontId="8" fillId="2" borderId="0" xfId="2" applyFont="1" applyFill="1" applyBorder="1" applyAlignment="1" applyProtection="1">
      <alignment horizontal="left" indent="1"/>
      <protection hidden="1"/>
    </xf>
    <xf numFmtId="166" fontId="48" fillId="2" borderId="0" xfId="2" applyNumberFormat="1" applyFont="1" applyFill="1" applyBorder="1" applyAlignment="1" applyProtection="1">
      <alignment horizontal="left" vertical="center"/>
      <protection hidden="1"/>
    </xf>
    <xf numFmtId="166" fontId="50" fillId="2" borderId="0" xfId="2" applyNumberFormat="1" applyFont="1" applyFill="1" applyBorder="1" applyAlignment="1" applyProtection="1">
      <alignment horizontal="left" vertical="center"/>
      <protection hidden="1"/>
    </xf>
    <xf numFmtId="166" fontId="74" fillId="2" borderId="7" xfId="2" applyNumberFormat="1" applyFont="1" applyFill="1" applyBorder="1" applyAlignment="1" applyProtection="1">
      <alignment horizontal="left" vertical="top"/>
      <protection hidden="1"/>
    </xf>
    <xf numFmtId="166" fontId="12" fillId="2" borderId="34"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2"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left" vertical="top"/>
      <protection hidden="1"/>
    </xf>
    <xf numFmtId="0" fontId="14" fillId="2" borderId="20" xfId="2" applyNumberFormat="1" applyFont="1" applyFill="1" applyBorder="1" applyAlignment="1" applyProtection="1">
      <alignment horizontal="left" vertical="top"/>
      <protection hidden="1"/>
    </xf>
    <xf numFmtId="0" fontId="71" fillId="2" borderId="48" xfId="2" applyFont="1" applyFill="1" applyBorder="1" applyAlignment="1" applyProtection="1">
      <alignment horizontal="center" vertical="center"/>
      <protection hidden="1"/>
    </xf>
    <xf numFmtId="0" fontId="71" fillId="2" borderId="62" xfId="2" applyFont="1" applyFill="1" applyBorder="1" applyAlignment="1" applyProtection="1">
      <alignment horizontal="center" vertical="center"/>
      <protection hidden="1"/>
    </xf>
    <xf numFmtId="168" fontId="18" fillId="2" borderId="43" xfId="2" applyNumberFormat="1" applyFont="1" applyFill="1" applyBorder="1" applyAlignment="1" applyProtection="1">
      <alignment horizontal="right" vertical="center"/>
      <protection hidden="1"/>
    </xf>
    <xf numFmtId="168" fontId="18" fillId="2" borderId="78" xfId="2" applyNumberFormat="1" applyFont="1" applyFill="1" applyBorder="1" applyAlignment="1" applyProtection="1">
      <alignment horizontal="right" vertical="center"/>
      <protection hidden="1"/>
    </xf>
    <xf numFmtId="168" fontId="18" fillId="2" borderId="48" xfId="2" applyNumberFormat="1" applyFont="1" applyFill="1" applyBorder="1" applyAlignment="1" applyProtection="1">
      <alignment horizontal="right" vertical="center"/>
      <protection hidden="1"/>
    </xf>
    <xf numFmtId="168" fontId="18" fillId="2" borderId="62" xfId="2" applyNumberFormat="1" applyFont="1" applyFill="1" applyBorder="1" applyAlignment="1" applyProtection="1">
      <alignment horizontal="right" vertical="center"/>
      <protection hidden="1"/>
    </xf>
    <xf numFmtId="168" fontId="18" fillId="2" borderId="5" xfId="2" applyNumberFormat="1" applyFont="1" applyFill="1" applyBorder="1" applyAlignment="1" applyProtection="1">
      <alignment horizontal="right" vertical="center"/>
      <protection hidden="1"/>
    </xf>
    <xf numFmtId="168" fontId="18" fillId="2" borderId="79" xfId="2" applyNumberFormat="1" applyFont="1" applyFill="1" applyBorder="1" applyAlignment="1" applyProtection="1">
      <alignment horizontal="right" vertical="center"/>
      <protection hidden="1"/>
    </xf>
    <xf numFmtId="0" fontId="50" fillId="2" borderId="0" xfId="2" applyNumberFormat="1" applyFont="1" applyFill="1" applyBorder="1" applyAlignment="1" applyProtection="1">
      <alignment horizontal="left" vertical="center"/>
      <protection hidden="1"/>
    </xf>
    <xf numFmtId="0" fontId="14" fillId="2" borderId="0" xfId="2" applyNumberFormat="1" applyFont="1" applyFill="1" applyBorder="1" applyAlignment="1" applyProtection="1">
      <alignment horizontal="right" vertical="top"/>
      <protection hidden="1"/>
    </xf>
    <xf numFmtId="168" fontId="18" fillId="8" borderId="34" xfId="2" applyNumberFormat="1" applyFont="1" applyFill="1" applyBorder="1" applyAlignment="1" applyProtection="1">
      <alignment horizontal="right"/>
      <protection hidden="1"/>
    </xf>
    <xf numFmtId="168" fontId="18" fillId="8" borderId="22" xfId="2" applyNumberFormat="1" applyFont="1" applyFill="1" applyBorder="1" applyAlignment="1" applyProtection="1">
      <alignment horizontal="right"/>
      <protection hidden="1"/>
    </xf>
    <xf numFmtId="0" fontId="14" fillId="2" borderId="0" xfId="2" applyNumberFormat="1" applyFont="1" applyFill="1" applyBorder="1" applyAlignment="1" applyProtection="1">
      <alignment horizontal="left" vertical="center"/>
      <protection hidden="1"/>
    </xf>
    <xf numFmtId="0" fontId="14" fillId="2" borderId="20" xfId="2" applyNumberFormat="1" applyFont="1" applyFill="1" applyBorder="1" applyAlignment="1" applyProtection="1">
      <alignment horizontal="left" vertical="center"/>
      <protection hidden="1"/>
    </xf>
    <xf numFmtId="0" fontId="14" fillId="2" borderId="0" xfId="2" applyNumberFormat="1" applyFont="1" applyFill="1" applyBorder="1" applyAlignment="1" applyProtection="1">
      <alignment horizontal="left"/>
      <protection hidden="1"/>
    </xf>
    <xf numFmtId="0" fontId="14" fillId="2" borderId="20" xfId="2" applyNumberFormat="1" applyFont="1" applyFill="1" applyBorder="1" applyAlignment="1" applyProtection="1">
      <alignment horizontal="left"/>
      <protection hidden="1"/>
    </xf>
    <xf numFmtId="166" fontId="48" fillId="2" borderId="7" xfId="2" applyNumberFormat="1" applyFont="1" applyFill="1" applyBorder="1" applyAlignment="1" applyProtection="1">
      <alignment horizontal="left" vertical="center"/>
      <protection hidden="1"/>
    </xf>
    <xf numFmtId="166" fontId="48" fillId="2" borderId="188" xfId="2" applyNumberFormat="1" applyFont="1" applyFill="1" applyBorder="1" applyAlignment="1" applyProtection="1">
      <alignment horizontal="left" vertical="center"/>
      <protection hidden="1"/>
    </xf>
    <xf numFmtId="0" fontId="8" fillId="2" borderId="0" xfId="2" applyFont="1" applyFill="1" applyBorder="1" applyAlignment="1" applyProtection="1">
      <alignment horizontal="left" vertical="top"/>
      <protection hidden="1"/>
    </xf>
    <xf numFmtId="0" fontId="74" fillId="2" borderId="4" xfId="2" applyFont="1" applyFill="1" applyBorder="1" applyAlignment="1" applyProtection="1">
      <alignment horizontal="right" vertical="center" indent="2"/>
      <protection hidden="1"/>
    </xf>
    <xf numFmtId="0" fontId="74" fillId="2" borderId="22" xfId="2" applyFont="1" applyFill="1" applyBorder="1" applyAlignment="1" applyProtection="1">
      <alignment horizontal="right" vertical="center" indent="2"/>
      <protection hidden="1"/>
    </xf>
    <xf numFmtId="168" fontId="45" fillId="2" borderId="0" xfId="2" applyNumberFormat="1" applyFont="1" applyFill="1" applyBorder="1" applyAlignment="1" applyProtection="1">
      <alignment horizontal="left"/>
      <protection hidden="1"/>
    </xf>
    <xf numFmtId="0" fontId="3" fillId="4" borderId="5" xfId="2" applyFill="1" applyBorder="1" applyAlignment="1" applyProtection="1">
      <alignment horizontal="center"/>
      <protection hidden="1"/>
    </xf>
    <xf numFmtId="0" fontId="3" fillId="4" borderId="79" xfId="2" applyFill="1" applyBorder="1" applyAlignment="1" applyProtection="1">
      <alignment horizontal="center"/>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6" fontId="12" fillId="2" borderId="80" xfId="2" applyNumberFormat="1" applyFont="1" applyFill="1" applyBorder="1" applyAlignment="1" applyProtection="1">
      <alignment horizontal="left"/>
      <protection hidden="1"/>
    </xf>
    <xf numFmtId="0" fontId="0" fillId="0" borderId="77" xfId="0" applyBorder="1" applyProtection="1">
      <protection hidden="1"/>
    </xf>
    <xf numFmtId="0" fontId="0" fillId="0" borderId="81" xfId="0" applyBorder="1" applyProtection="1">
      <protection hidden="1"/>
    </xf>
    <xf numFmtId="166" fontId="41" fillId="2" borderId="0" xfId="2" applyNumberFormat="1" applyFont="1" applyFill="1" applyBorder="1" applyAlignment="1" applyProtection="1">
      <alignment horizontal="left" vertical="center"/>
      <protection hidden="1"/>
    </xf>
    <xf numFmtId="0" fontId="18" fillId="2" borderId="43" xfId="2" applyNumberFormat="1" applyFont="1" applyFill="1" applyBorder="1" applyAlignment="1" applyProtection="1">
      <alignment horizontal="right" vertical="center" indent="1"/>
      <protection locked="0"/>
    </xf>
    <xf numFmtId="0" fontId="18" fillId="2" borderId="28" xfId="2" applyNumberFormat="1" applyFont="1" applyFill="1" applyBorder="1" applyAlignment="1" applyProtection="1">
      <alignment horizontal="right" vertical="center" indent="1"/>
      <protection locked="0"/>
    </xf>
    <xf numFmtId="0" fontId="18" fillId="2" borderId="78" xfId="2" applyNumberFormat="1" applyFont="1" applyFill="1" applyBorder="1" applyAlignment="1" applyProtection="1">
      <alignment horizontal="right" vertical="center" indent="1"/>
      <protection locked="0"/>
    </xf>
    <xf numFmtId="14" fontId="62" fillId="2" borderId="43" xfId="2" applyNumberFormat="1" applyFont="1" applyFill="1" applyBorder="1" applyAlignment="1" applyProtection="1">
      <alignment horizontal="right" vertical="top" indent="1"/>
      <protection locked="0"/>
    </xf>
    <xf numFmtId="14" fontId="62" fillId="2" borderId="28" xfId="2" applyNumberFormat="1" applyFont="1" applyFill="1" applyBorder="1" applyAlignment="1" applyProtection="1">
      <alignment horizontal="right" vertical="top" indent="1"/>
      <protection locked="0"/>
    </xf>
    <xf numFmtId="14" fontId="62" fillId="2" borderId="78" xfId="2" applyNumberFormat="1" applyFont="1" applyFill="1" applyBorder="1" applyAlignment="1" applyProtection="1">
      <alignment horizontal="right" vertical="top" indent="1"/>
      <protection locked="0"/>
    </xf>
    <xf numFmtId="0" fontId="17" fillId="2" borderId="0" xfId="2" applyFont="1" applyFill="1" applyBorder="1" applyAlignment="1" applyProtection="1">
      <alignment horizontal="left" vertical="center"/>
      <protection hidden="1"/>
    </xf>
    <xf numFmtId="168" fontId="18" fillId="2" borderId="0" xfId="2" applyNumberFormat="1" applyFont="1" applyFill="1" applyBorder="1" applyAlignment="1" applyProtection="1">
      <alignment horizontal="left" vertical="center"/>
      <protection hidden="1"/>
    </xf>
    <xf numFmtId="0" fontId="46" fillId="2" borderId="7" xfId="2" applyFont="1" applyFill="1" applyBorder="1" applyAlignment="1" applyProtection="1">
      <alignment horizontal="center"/>
      <protection hidden="1"/>
    </xf>
    <xf numFmtId="166" fontId="46" fillId="2" borderId="0" xfId="2" applyNumberFormat="1" applyFont="1" applyFill="1" applyAlignment="1" applyProtection="1">
      <alignment horizontal="center" vertical="center"/>
      <protection hidden="1"/>
    </xf>
    <xf numFmtId="0" fontId="45" fillId="10" borderId="182" xfId="2" applyFont="1" applyFill="1" applyBorder="1" applyAlignment="1" applyProtection="1">
      <alignment horizontal="center" vertical="center"/>
      <protection hidden="1"/>
    </xf>
    <xf numFmtId="0" fontId="45" fillId="10" borderId="176" xfId="2" applyFont="1" applyFill="1" applyBorder="1" applyAlignment="1" applyProtection="1">
      <alignment horizontal="center" vertical="center"/>
      <protection hidden="1"/>
    </xf>
    <xf numFmtId="0" fontId="45" fillId="10" borderId="183" xfId="2" applyFont="1" applyFill="1" applyBorder="1" applyAlignment="1" applyProtection="1">
      <alignment horizontal="center" vertical="center"/>
      <protection hidden="1"/>
    </xf>
    <xf numFmtId="0" fontId="50" fillId="2" borderId="0" xfId="2" applyNumberFormat="1" applyFont="1" applyFill="1" applyBorder="1" applyAlignment="1" applyProtection="1">
      <alignment horizontal="right" vertical="center"/>
      <protection hidden="1"/>
    </xf>
    <xf numFmtId="0" fontId="75" fillId="2" borderId="0" xfId="2" applyNumberFormat="1" applyFont="1" applyFill="1" applyBorder="1" applyAlignment="1" applyProtection="1">
      <alignment horizontal="left" vertical="center" indent="1"/>
      <protection hidden="1"/>
    </xf>
    <xf numFmtId="168" fontId="18" fillId="2" borderId="80" xfId="2" applyNumberFormat="1" applyFont="1" applyFill="1" applyBorder="1" applyAlignment="1" applyProtection="1">
      <alignment horizontal="right" vertical="center"/>
      <protection hidden="1"/>
    </xf>
    <xf numFmtId="168" fontId="18" fillId="2" borderId="81" xfId="2" applyNumberFormat="1" applyFont="1" applyFill="1" applyBorder="1" applyAlignment="1" applyProtection="1">
      <alignment horizontal="right" vertical="center"/>
      <protection hidden="1"/>
    </xf>
    <xf numFmtId="0" fontId="62" fillId="2" borderId="0" xfId="2" applyNumberFormat="1" applyFont="1" applyFill="1" applyBorder="1" applyAlignment="1" applyProtection="1">
      <alignment horizontal="left" vertical="top" wrapText="1"/>
      <protection hidden="1"/>
    </xf>
    <xf numFmtId="0" fontId="62" fillId="2" borderId="7" xfId="2" applyNumberFormat="1" applyFont="1" applyFill="1" applyBorder="1" applyAlignment="1" applyProtection="1">
      <alignment horizontal="left" vertical="top" wrapText="1"/>
      <protection hidden="1"/>
    </xf>
    <xf numFmtId="0" fontId="8" fillId="2" borderId="7" xfId="2" applyFont="1" applyFill="1" applyBorder="1" applyAlignment="1" applyProtection="1">
      <alignment horizontal="center" vertical="center"/>
      <protection hidden="1"/>
    </xf>
    <xf numFmtId="0" fontId="45" fillId="2" borderId="7" xfId="2" applyFont="1" applyFill="1" applyBorder="1" applyAlignment="1" applyProtection="1">
      <alignment horizontal="center" vertical="center"/>
      <protection hidden="1"/>
    </xf>
    <xf numFmtId="166" fontId="12" fillId="2" borderId="1" xfId="2" applyNumberFormat="1" applyFont="1" applyFill="1" applyBorder="1" applyAlignment="1" applyProtection="1">
      <alignment horizontal="left"/>
      <protection hidden="1"/>
    </xf>
    <xf numFmtId="166" fontId="12" fillId="2" borderId="0" xfId="2" applyNumberFormat="1" applyFont="1" applyFill="1" applyBorder="1" applyAlignment="1" applyProtection="1">
      <alignment horizontal="left"/>
      <protection hidden="1"/>
    </xf>
    <xf numFmtId="166" fontId="12" fillId="2" borderId="20" xfId="2" applyNumberFormat="1" applyFont="1" applyFill="1" applyBorder="1" applyAlignment="1" applyProtection="1">
      <alignment horizontal="left"/>
      <protection hidden="1"/>
    </xf>
    <xf numFmtId="168" fontId="26" fillId="2" borderId="0" xfId="2" applyNumberFormat="1" applyFont="1" applyFill="1" applyBorder="1" applyAlignment="1" applyProtection="1">
      <alignment horizontal="right" vertical="center"/>
      <protection hidden="1"/>
    </xf>
    <xf numFmtId="166" fontId="8" fillId="2" borderId="0" xfId="2" applyNumberFormat="1" applyFont="1" applyFill="1" applyBorder="1" applyAlignment="1" applyProtection="1">
      <alignment horizontal="left"/>
      <protection hidden="1"/>
    </xf>
    <xf numFmtId="166" fontId="62" fillId="2" borderId="0" xfId="2" applyNumberFormat="1" applyFont="1" applyFill="1" applyBorder="1" applyAlignment="1" applyProtection="1">
      <alignment horizontal="left" vertical="top" wrapText="1"/>
      <protection hidden="1"/>
    </xf>
    <xf numFmtId="166" fontId="6" fillId="2" borderId="0" xfId="2" applyNumberFormat="1" applyFont="1" applyFill="1" applyBorder="1" applyAlignment="1" applyProtection="1">
      <alignment horizontal="left" vertical="center"/>
      <protection hidden="1"/>
    </xf>
    <xf numFmtId="0" fontId="62" fillId="2" borderId="7" xfId="2" applyFont="1" applyFill="1" applyBorder="1" applyAlignment="1" applyProtection="1">
      <alignment horizontal="left" vertical="top"/>
      <protection hidden="1"/>
    </xf>
    <xf numFmtId="3" fontId="62" fillId="2" borderId="7" xfId="0" applyNumberFormat="1" applyFont="1" applyFill="1" applyBorder="1" applyAlignment="1" applyProtection="1">
      <alignment horizontal="right" vertical="center" indent="1"/>
      <protection locked="0"/>
    </xf>
    <xf numFmtId="3" fontId="0" fillId="0" borderId="3" xfId="0" applyNumberFormat="1" applyBorder="1" applyAlignment="1" applyProtection="1">
      <alignment horizontal="right" indent="1"/>
      <protection locked="0"/>
    </xf>
    <xf numFmtId="0" fontId="14" fillId="2" borderId="4" xfId="2" applyFont="1" applyFill="1" applyBorder="1" applyAlignment="1" applyProtection="1">
      <alignment horizontal="left"/>
      <protection hidden="1"/>
    </xf>
    <xf numFmtId="0" fontId="14" fillId="2" borderId="0" xfId="2" applyFont="1" applyFill="1" applyBorder="1" applyAlignment="1" applyProtection="1">
      <alignment horizontal="left"/>
      <protection hidden="1"/>
    </xf>
    <xf numFmtId="166" fontId="62" fillId="2" borderId="0" xfId="2" applyNumberFormat="1" applyFont="1" applyFill="1" applyBorder="1" applyAlignment="1" applyProtection="1">
      <alignment horizontal="left"/>
      <protection hidden="1"/>
    </xf>
    <xf numFmtId="168" fontId="18" fillId="8" borderId="2" xfId="2" applyNumberFormat="1" applyFont="1" applyFill="1" applyBorder="1" applyAlignment="1" applyProtection="1">
      <alignment horizontal="right" vertical="top"/>
      <protection hidden="1"/>
    </xf>
    <xf numFmtId="168" fontId="18" fillId="8" borderId="3" xfId="2" applyNumberFormat="1" applyFont="1" applyFill="1" applyBorder="1" applyAlignment="1" applyProtection="1">
      <alignment horizontal="right" vertical="top"/>
      <protection hidden="1"/>
    </xf>
    <xf numFmtId="166" fontId="136" fillId="2" borderId="43" xfId="0" applyNumberFormat="1" applyFont="1" applyFill="1" applyBorder="1" applyAlignment="1" applyProtection="1">
      <alignment horizontal="center" vertical="center"/>
      <protection hidden="1"/>
    </xf>
    <xf numFmtId="166" fontId="136" fillId="2" borderId="28" xfId="0" applyNumberFormat="1" applyFont="1" applyFill="1" applyBorder="1" applyAlignment="1" applyProtection="1">
      <alignment horizontal="center" vertical="center"/>
      <protection hidden="1"/>
    </xf>
    <xf numFmtId="166" fontId="166" fillId="7" borderId="176" xfId="2" applyNumberFormat="1" applyFont="1" applyFill="1" applyBorder="1" applyAlignment="1" applyProtection="1">
      <alignment horizontal="left"/>
      <protection locked="0"/>
    </xf>
    <xf numFmtId="166" fontId="142" fillId="7" borderId="189" xfId="2" applyNumberFormat="1" applyFont="1" applyFill="1" applyBorder="1" applyAlignment="1" applyProtection="1">
      <alignment horizontal="left" vertical="center"/>
      <protection locked="0"/>
    </xf>
    <xf numFmtId="166" fontId="163" fillId="8" borderId="5" xfId="2" applyNumberFormat="1" applyFont="1" applyFill="1" applyBorder="1" applyAlignment="1" applyProtection="1">
      <alignment horizontal="center" vertical="center"/>
      <protection hidden="1"/>
    </xf>
    <xf numFmtId="166" fontId="163" fillId="8" borderId="71" xfId="2" applyNumberFormat="1" applyFont="1" applyFill="1" applyBorder="1" applyAlignment="1" applyProtection="1">
      <alignment horizontal="center" vertical="center"/>
      <protection hidden="1"/>
    </xf>
    <xf numFmtId="166" fontId="163" fillId="8" borderId="79" xfId="2" applyNumberFormat="1" applyFont="1" applyFill="1" applyBorder="1" applyAlignment="1" applyProtection="1">
      <alignment horizontal="center" vertical="center"/>
      <protection hidden="1"/>
    </xf>
    <xf numFmtId="0" fontId="165" fillId="2" borderId="42" xfId="2" applyFont="1" applyFill="1" applyBorder="1" applyAlignment="1" applyProtection="1">
      <alignment horizontal="center" vertical="center" wrapText="1"/>
      <protection hidden="1"/>
    </xf>
    <xf numFmtId="0" fontId="165" fillId="2" borderId="22" xfId="2" applyFont="1" applyFill="1" applyBorder="1" applyAlignment="1" applyProtection="1">
      <alignment horizontal="center" vertical="center" wrapText="1"/>
      <protection hidden="1"/>
    </xf>
    <xf numFmtId="0" fontId="165" fillId="2" borderId="127" xfId="2" applyFont="1" applyFill="1" applyBorder="1" applyAlignment="1" applyProtection="1">
      <alignment horizontal="center" vertical="center" wrapText="1"/>
      <protection hidden="1"/>
    </xf>
    <xf numFmtId="0" fontId="165" fillId="2" borderId="3" xfId="2" applyFont="1" applyFill="1" applyBorder="1" applyAlignment="1" applyProtection="1">
      <alignment horizontal="center" vertical="center" wrapText="1"/>
      <protection hidden="1"/>
    </xf>
    <xf numFmtId="0" fontId="136" fillId="7" borderId="28" xfId="2" applyFont="1" applyFill="1" applyBorder="1" applyAlignment="1" applyProtection="1">
      <alignment horizontal="center" vertical="center"/>
      <protection hidden="1"/>
    </xf>
    <xf numFmtId="0" fontId="136" fillId="7" borderId="78" xfId="2" applyFont="1" applyFill="1" applyBorder="1" applyAlignment="1" applyProtection="1">
      <alignment horizontal="center" vertical="center"/>
      <protection hidden="1"/>
    </xf>
    <xf numFmtId="166" fontId="167" fillId="8" borderId="14" xfId="2" applyNumberFormat="1" applyFont="1" applyFill="1" applyBorder="1" applyAlignment="1" applyProtection="1">
      <alignment horizontal="left" vertical="center"/>
      <protection locked="0"/>
    </xf>
    <xf numFmtId="166" fontId="167" fillId="8" borderId="63" xfId="2" applyNumberFormat="1" applyFont="1" applyFill="1" applyBorder="1" applyAlignment="1" applyProtection="1">
      <alignment horizontal="left" vertical="center"/>
      <protection locked="0"/>
    </xf>
    <xf numFmtId="166" fontId="167" fillId="8" borderId="66" xfId="2" applyNumberFormat="1" applyFont="1" applyFill="1" applyBorder="1" applyAlignment="1" applyProtection="1">
      <alignment horizontal="left" vertical="center"/>
      <protection locked="0"/>
    </xf>
    <xf numFmtId="166" fontId="167" fillId="8" borderId="64" xfId="2" applyNumberFormat="1" applyFont="1" applyFill="1" applyBorder="1" applyAlignment="1" applyProtection="1">
      <alignment horizontal="left" vertical="center"/>
      <protection locked="0"/>
    </xf>
    <xf numFmtId="166" fontId="149" fillId="7" borderId="54" xfId="2" applyNumberFormat="1" applyFont="1" applyFill="1" applyBorder="1" applyAlignment="1" applyProtection="1">
      <alignment horizontal="left" vertical="center"/>
      <protection hidden="1"/>
    </xf>
    <xf numFmtId="166" fontId="149" fillId="7" borderId="79" xfId="2" applyNumberFormat="1" applyFont="1" applyFill="1" applyBorder="1" applyAlignment="1" applyProtection="1">
      <alignment horizontal="left" vertical="center"/>
      <protection hidden="1"/>
    </xf>
    <xf numFmtId="0" fontId="64" fillId="2" borderId="7" xfId="2" applyFont="1" applyFill="1" applyBorder="1" applyAlignment="1" applyProtection="1">
      <alignment horizontal="center" vertical="center"/>
      <protection hidden="1"/>
    </xf>
    <xf numFmtId="166" fontId="63" fillId="2" borderId="0" xfId="2" applyNumberFormat="1" applyFont="1" applyFill="1" applyBorder="1" applyAlignment="1" applyProtection="1">
      <alignment horizontal="right" vertical="center"/>
      <protection hidden="1"/>
    </xf>
    <xf numFmtId="166" fontId="62" fillId="2" borderId="0" xfId="2" applyNumberFormat="1" applyFont="1" applyFill="1" applyBorder="1" applyAlignment="1" applyProtection="1">
      <alignment horizontal="right"/>
      <protection hidden="1"/>
    </xf>
    <xf numFmtId="166" fontId="28" fillId="2" borderId="7" xfId="2" applyNumberFormat="1" applyFont="1" applyFill="1" applyBorder="1" applyAlignment="1" applyProtection="1">
      <alignment horizontal="left" vertical="center"/>
      <protection hidden="1"/>
    </xf>
    <xf numFmtId="166" fontId="68" fillId="2" borderId="7" xfId="2" applyNumberFormat="1" applyFont="1" applyFill="1" applyBorder="1" applyAlignment="1" applyProtection="1">
      <alignment horizontal="left" vertical="center"/>
      <protection hidden="1"/>
    </xf>
    <xf numFmtId="0" fontId="62" fillId="2" borderId="2" xfId="2" applyNumberFormat="1" applyFont="1" applyFill="1" applyBorder="1" applyAlignment="1" applyProtection="1">
      <alignment horizontal="left" vertical="top" indent="1"/>
      <protection locked="0"/>
    </xf>
    <xf numFmtId="0" fontId="62" fillId="2" borderId="7" xfId="2" applyNumberFormat="1" applyFont="1" applyFill="1" applyBorder="1" applyAlignment="1" applyProtection="1">
      <alignment horizontal="left" vertical="top" indent="1"/>
      <protection locked="0"/>
    </xf>
    <xf numFmtId="0" fontId="74" fillId="2" borderId="0" xfId="2" applyFont="1" applyFill="1" applyAlignment="1" applyProtection="1">
      <alignment horizontal="left" vertical="top" indent="1"/>
      <protection hidden="1"/>
    </xf>
    <xf numFmtId="0" fontId="74" fillId="2" borderId="0" xfId="2" applyFont="1" applyFill="1" applyAlignment="1" applyProtection="1">
      <alignment horizontal="left" indent="1"/>
      <protection hidden="1"/>
    </xf>
    <xf numFmtId="0" fontId="71" fillId="2" borderId="5" xfId="2" applyFont="1" applyFill="1" applyBorder="1" applyAlignment="1" applyProtection="1">
      <alignment horizontal="center" vertical="center"/>
      <protection hidden="1"/>
    </xf>
    <xf numFmtId="0" fontId="71" fillId="2" borderId="79" xfId="2" applyFont="1" applyFill="1" applyBorder="1" applyAlignment="1" applyProtection="1">
      <alignment horizontal="center" vertical="center"/>
      <protection hidden="1"/>
    </xf>
    <xf numFmtId="168" fontId="18" fillId="8" borderId="2" xfId="2" applyNumberFormat="1" applyFont="1" applyFill="1" applyBorder="1" applyAlignment="1" applyProtection="1">
      <alignment horizontal="right" vertical="center"/>
      <protection hidden="1"/>
    </xf>
    <xf numFmtId="168" fontId="18" fillId="8" borderId="3" xfId="2" applyNumberFormat="1" applyFont="1" applyFill="1" applyBorder="1" applyAlignment="1" applyProtection="1">
      <alignment horizontal="right" vertical="center"/>
      <protection hidden="1"/>
    </xf>
    <xf numFmtId="168" fontId="18" fillId="8" borderId="48" xfId="2" applyNumberFormat="1" applyFont="1" applyFill="1" applyBorder="1" applyAlignment="1" applyProtection="1">
      <alignment horizontal="right" vertical="center"/>
      <protection hidden="1"/>
    </xf>
    <xf numFmtId="168" fontId="18" fillId="8" borderId="62" xfId="2" applyNumberFormat="1" applyFont="1" applyFill="1" applyBorder="1" applyAlignment="1" applyProtection="1">
      <alignment horizontal="right" vertical="center"/>
      <protection hidden="1"/>
    </xf>
    <xf numFmtId="0" fontId="135" fillId="2" borderId="176" xfId="2" applyFont="1" applyFill="1" applyBorder="1" applyAlignment="1" applyProtection="1">
      <alignment horizontal="center" vertical="center"/>
      <protection hidden="1"/>
    </xf>
    <xf numFmtId="14" fontId="135" fillId="10" borderId="179" xfId="2" applyNumberFormat="1" applyFont="1" applyFill="1" applyBorder="1" applyAlignment="1" applyProtection="1">
      <alignment horizontal="center" vertical="center"/>
      <protection hidden="1"/>
    </xf>
    <xf numFmtId="14" fontId="135" fillId="10" borderId="181" xfId="2" applyNumberFormat="1" applyFont="1" applyFill="1" applyBorder="1" applyAlignment="1" applyProtection="1">
      <alignment horizontal="center" vertical="center"/>
      <protection hidden="1"/>
    </xf>
    <xf numFmtId="168" fontId="18" fillId="8" borderId="5" xfId="2" applyNumberFormat="1" applyFont="1" applyFill="1" applyBorder="1" applyAlignment="1" applyProtection="1">
      <alignment horizontal="right" vertical="center"/>
      <protection hidden="1"/>
    </xf>
    <xf numFmtId="168" fontId="18" fillId="8" borderId="79" xfId="2" applyNumberFormat="1" applyFont="1" applyFill="1" applyBorder="1" applyAlignment="1" applyProtection="1">
      <alignment horizontal="right" vertical="center"/>
      <protection hidden="1"/>
    </xf>
    <xf numFmtId="168" fontId="166" fillId="8" borderId="14" xfId="2" applyNumberFormat="1" applyFont="1" applyFill="1" applyBorder="1" applyAlignment="1" applyProtection="1">
      <alignment horizontal="right" vertical="center"/>
      <protection locked="0"/>
    </xf>
    <xf numFmtId="168" fontId="166" fillId="8" borderId="15" xfId="2" applyNumberFormat="1" applyFont="1" applyFill="1" applyBorder="1" applyAlignment="1" applyProtection="1">
      <alignment horizontal="right" vertical="center"/>
      <protection locked="0"/>
    </xf>
    <xf numFmtId="168" fontId="166" fillId="8" borderId="16" xfId="2" applyNumberFormat="1" applyFont="1" applyFill="1" applyBorder="1" applyAlignment="1" applyProtection="1">
      <alignment horizontal="right" vertical="center"/>
      <protection locked="0"/>
    </xf>
    <xf numFmtId="168" fontId="18" fillId="2" borderId="14" xfId="2" applyNumberFormat="1" applyFont="1" applyFill="1" applyBorder="1" applyAlignment="1" applyProtection="1">
      <alignment horizontal="right" vertical="center"/>
      <protection locked="0"/>
    </xf>
    <xf numFmtId="168" fontId="18" fillId="2" borderId="15" xfId="2" applyNumberFormat="1" applyFont="1" applyFill="1" applyBorder="1" applyAlignment="1" applyProtection="1">
      <alignment horizontal="right" vertical="center"/>
      <protection locked="0"/>
    </xf>
    <xf numFmtId="168" fontId="18" fillId="2" borderId="16" xfId="2" applyNumberFormat="1" applyFont="1" applyFill="1" applyBorder="1" applyAlignment="1" applyProtection="1">
      <alignment horizontal="right" vertical="center"/>
      <protection locked="0"/>
    </xf>
    <xf numFmtId="0" fontId="135" fillId="7" borderId="179" xfId="2" applyNumberFormat="1" applyFont="1" applyFill="1" applyBorder="1" applyAlignment="1" applyProtection="1">
      <alignment horizontal="center" vertical="center"/>
      <protection hidden="1"/>
    </xf>
    <xf numFmtId="0" fontId="135" fillId="7" borderId="180" xfId="2" applyNumberFormat="1" applyFont="1" applyFill="1" applyBorder="1" applyAlignment="1" applyProtection="1">
      <alignment horizontal="center" vertical="center"/>
      <protection hidden="1"/>
    </xf>
    <xf numFmtId="0" fontId="135" fillId="7" borderId="181" xfId="2" applyNumberFormat="1" applyFont="1" applyFill="1" applyBorder="1" applyAlignment="1" applyProtection="1">
      <alignment horizontal="center" vertical="center"/>
      <protection hidden="1"/>
    </xf>
    <xf numFmtId="168" fontId="135" fillId="2" borderId="14" xfId="2" applyNumberFormat="1" applyFont="1" applyFill="1" applyBorder="1" applyAlignment="1" applyProtection="1">
      <alignment horizontal="right" vertical="center"/>
      <protection hidden="1"/>
    </xf>
    <xf numFmtId="168" fontId="135" fillId="2" borderId="15" xfId="2" applyNumberFormat="1" applyFont="1" applyFill="1" applyBorder="1" applyAlignment="1" applyProtection="1">
      <alignment horizontal="right" vertical="center"/>
      <protection hidden="1"/>
    </xf>
    <xf numFmtId="168" fontId="135" fillId="2" borderId="16" xfId="2" applyNumberFormat="1" applyFont="1" applyFill="1" applyBorder="1" applyAlignment="1" applyProtection="1">
      <alignment horizontal="right" vertical="center"/>
      <protection hidden="1"/>
    </xf>
    <xf numFmtId="166" fontId="14" fillId="7" borderId="14" xfId="2" applyNumberFormat="1" applyFont="1" applyFill="1" applyBorder="1" applyAlignment="1" applyProtection="1">
      <alignment horizontal="left" vertical="center"/>
      <protection locked="0"/>
    </xf>
    <xf numFmtId="166" fontId="14" fillId="7" borderId="15" xfId="2" applyNumberFormat="1" applyFont="1" applyFill="1" applyBorder="1" applyAlignment="1" applyProtection="1">
      <alignment horizontal="left" vertical="center"/>
      <protection locked="0"/>
    </xf>
    <xf numFmtId="166" fontId="14" fillId="7" borderId="16" xfId="2" applyNumberFormat="1" applyFont="1" applyFill="1" applyBorder="1" applyAlignment="1" applyProtection="1">
      <alignment horizontal="left" vertical="center"/>
      <protection locked="0"/>
    </xf>
    <xf numFmtId="166" fontId="166" fillId="2" borderId="15" xfId="2" applyNumberFormat="1" applyFont="1" applyFill="1" applyBorder="1" applyAlignment="1" applyProtection="1">
      <alignment horizontal="left" vertical="center"/>
      <protection locked="0"/>
    </xf>
    <xf numFmtId="166" fontId="166" fillId="2" borderId="16" xfId="2" applyNumberFormat="1" applyFont="1" applyFill="1" applyBorder="1" applyAlignment="1" applyProtection="1">
      <alignment horizontal="left" vertical="center"/>
      <protection locked="0"/>
    </xf>
    <xf numFmtId="0" fontId="151" fillId="7" borderId="214" xfId="2" applyFont="1" applyFill="1" applyBorder="1" applyAlignment="1" applyProtection="1">
      <alignment horizontal="center" vertical="center"/>
      <protection hidden="1"/>
    </xf>
    <xf numFmtId="0" fontId="168" fillId="2" borderId="176" xfId="2" applyNumberFormat="1" applyFont="1" applyFill="1" applyBorder="1" applyAlignment="1" applyProtection="1">
      <alignment horizontal="center" vertical="center"/>
      <protection hidden="1"/>
    </xf>
    <xf numFmtId="168" fontId="136" fillId="7" borderId="5" xfId="2" applyNumberFormat="1" applyFont="1" applyFill="1" applyBorder="1" applyAlignment="1" applyProtection="1">
      <alignment horizontal="right" vertical="center"/>
      <protection hidden="1"/>
    </xf>
    <xf numFmtId="168" fontId="136" fillId="7" borderId="71" xfId="2" applyNumberFormat="1" applyFont="1" applyFill="1" applyBorder="1" applyAlignment="1" applyProtection="1">
      <alignment horizontal="right" vertical="center"/>
      <protection hidden="1"/>
    </xf>
    <xf numFmtId="168" fontId="136" fillId="7" borderId="54" xfId="2" applyNumberFormat="1" applyFont="1" applyFill="1" applyBorder="1" applyAlignment="1" applyProtection="1">
      <alignment horizontal="right" vertical="center"/>
      <protection hidden="1"/>
    </xf>
    <xf numFmtId="168" fontId="136" fillId="7" borderId="79" xfId="2" applyNumberFormat="1" applyFont="1" applyFill="1" applyBorder="1" applyAlignment="1" applyProtection="1">
      <alignment horizontal="right" vertical="center"/>
      <protection hidden="1"/>
    </xf>
    <xf numFmtId="168" fontId="142" fillId="7" borderId="5" xfId="2" applyNumberFormat="1" applyFont="1" applyFill="1" applyBorder="1" applyAlignment="1" applyProtection="1">
      <alignment horizontal="right" vertical="center"/>
      <protection hidden="1"/>
    </xf>
    <xf numFmtId="168" fontId="142" fillId="7" borderId="71" xfId="2" applyNumberFormat="1" applyFont="1" applyFill="1" applyBorder="1" applyAlignment="1" applyProtection="1">
      <alignment horizontal="right" vertical="center"/>
      <protection hidden="1"/>
    </xf>
    <xf numFmtId="168" fontId="142" fillId="7" borderId="79" xfId="2" applyNumberFormat="1" applyFont="1" applyFill="1" applyBorder="1" applyAlignment="1" applyProtection="1">
      <alignment horizontal="right" vertical="center"/>
      <protection hidden="1"/>
    </xf>
    <xf numFmtId="0" fontId="168" fillId="2" borderId="0" xfId="2" applyFont="1" applyFill="1" applyBorder="1" applyAlignment="1" applyProtection="1">
      <alignment horizontal="center" vertical="center"/>
      <protection hidden="1"/>
    </xf>
    <xf numFmtId="0" fontId="168" fillId="2" borderId="20" xfId="2" applyFont="1" applyFill="1" applyBorder="1" applyAlignment="1" applyProtection="1">
      <alignment horizontal="center" vertical="center"/>
      <protection hidden="1"/>
    </xf>
    <xf numFmtId="168" fontId="142" fillId="8" borderId="5" xfId="2" applyNumberFormat="1" applyFont="1" applyFill="1" applyBorder="1" applyAlignment="1" applyProtection="1">
      <alignment horizontal="right" vertical="center"/>
      <protection hidden="1"/>
    </xf>
    <xf numFmtId="168" fontId="142" fillId="8" borderId="71" xfId="2" applyNumberFormat="1" applyFont="1" applyFill="1" applyBorder="1" applyAlignment="1" applyProtection="1">
      <alignment horizontal="right" vertical="center"/>
      <protection hidden="1"/>
    </xf>
    <xf numFmtId="168" fontId="142" fillId="8" borderId="79" xfId="2" applyNumberFormat="1" applyFont="1" applyFill="1" applyBorder="1" applyAlignment="1" applyProtection="1">
      <alignment horizontal="right" vertical="center"/>
      <protection hidden="1"/>
    </xf>
    <xf numFmtId="0" fontId="168" fillId="2" borderId="1" xfId="2" applyNumberFormat="1" applyFont="1" applyFill="1" applyBorder="1" applyAlignment="1" applyProtection="1">
      <alignment horizontal="center" vertical="center"/>
      <protection hidden="1"/>
    </xf>
    <xf numFmtId="0" fontId="168" fillId="2" borderId="0" xfId="2" applyNumberFormat="1" applyFont="1" applyFill="1" applyBorder="1" applyAlignment="1" applyProtection="1">
      <alignment horizontal="center" vertical="center"/>
      <protection hidden="1"/>
    </xf>
    <xf numFmtId="168" fontId="40" fillId="2" borderId="15" xfId="2" applyNumberFormat="1" applyFont="1" applyFill="1" applyBorder="1" applyAlignment="1" applyProtection="1">
      <alignment horizontal="right" vertical="center"/>
      <protection hidden="1"/>
    </xf>
    <xf numFmtId="168" fontId="166" fillId="2" borderId="72" xfId="2" applyNumberFormat="1" applyFont="1" applyFill="1" applyBorder="1" applyAlignment="1" applyProtection="1">
      <alignment horizontal="right" vertical="center"/>
      <protection hidden="1"/>
    </xf>
    <xf numFmtId="166" fontId="50" fillId="2" borderId="7" xfId="2" applyNumberFormat="1" applyFont="1" applyFill="1" applyBorder="1" applyAlignment="1" applyProtection="1">
      <alignment horizontal="left" vertical="center"/>
      <protection hidden="1"/>
    </xf>
    <xf numFmtId="0" fontId="50" fillId="2" borderId="7" xfId="2" applyFont="1" applyFill="1" applyBorder="1" applyAlignment="1" applyProtection="1">
      <alignment horizontal="center" vertical="center"/>
      <protection hidden="1"/>
    </xf>
    <xf numFmtId="166" fontId="166" fillId="2" borderId="4" xfId="2" applyNumberFormat="1" applyFont="1" applyFill="1" applyBorder="1" applyAlignment="1" applyProtection="1">
      <alignment horizontal="left" vertical="center"/>
      <protection locked="0"/>
    </xf>
    <xf numFmtId="166" fontId="166" fillId="2" borderId="84" xfId="2" applyNumberFormat="1" applyFont="1" applyFill="1" applyBorder="1" applyAlignment="1" applyProtection="1">
      <alignment horizontal="left" vertical="center"/>
      <protection locked="0"/>
    </xf>
    <xf numFmtId="168" fontId="166" fillId="8" borderId="42" xfId="2" applyNumberFormat="1" applyFont="1" applyFill="1" applyBorder="1" applyAlignment="1" applyProtection="1">
      <alignment horizontal="right" vertical="center"/>
      <protection locked="0"/>
    </xf>
    <xf numFmtId="168" fontId="166" fillId="8" borderId="4" xfId="2" applyNumberFormat="1" applyFont="1" applyFill="1" applyBorder="1" applyAlignment="1" applyProtection="1">
      <alignment horizontal="right" vertical="center"/>
      <protection locked="0"/>
    </xf>
    <xf numFmtId="168" fontId="166" fillId="8" borderId="84" xfId="2" applyNumberFormat="1" applyFont="1" applyFill="1" applyBorder="1" applyAlignment="1" applyProtection="1">
      <alignment horizontal="right" vertical="center"/>
      <protection locked="0"/>
    </xf>
    <xf numFmtId="168" fontId="135" fillId="2" borderId="42" xfId="2" applyNumberFormat="1" applyFont="1" applyFill="1" applyBorder="1" applyAlignment="1" applyProtection="1">
      <alignment horizontal="right" vertical="center"/>
      <protection hidden="1"/>
    </xf>
    <xf numFmtId="168" fontId="135" fillId="2" borderId="4" xfId="2" applyNumberFormat="1" applyFont="1" applyFill="1" applyBorder="1" applyAlignment="1" applyProtection="1">
      <alignment horizontal="right" vertical="center"/>
      <protection hidden="1"/>
    </xf>
    <xf numFmtId="168" fontId="135" fillId="2" borderId="84" xfId="2" applyNumberFormat="1" applyFont="1" applyFill="1" applyBorder="1" applyAlignment="1" applyProtection="1">
      <alignment horizontal="right" vertical="center"/>
      <protection hidden="1"/>
    </xf>
    <xf numFmtId="166" fontId="18" fillId="2" borderId="15" xfId="2" applyNumberFormat="1" applyFont="1" applyFill="1" applyBorder="1" applyAlignment="1" applyProtection="1">
      <alignment horizontal="left" vertical="center"/>
      <protection hidden="1"/>
    </xf>
    <xf numFmtId="0" fontId="18" fillId="2" borderId="15" xfId="2" applyFont="1" applyFill="1" applyBorder="1" applyAlignment="1" applyProtection="1">
      <alignment horizontal="left" vertical="center" indent="1"/>
      <protection locked="0"/>
    </xf>
    <xf numFmtId="168" fontId="40" fillId="2" borderId="28" xfId="2" applyNumberFormat="1" applyFont="1" applyFill="1" applyBorder="1" applyAlignment="1" applyProtection="1">
      <alignment horizontal="right" vertical="center"/>
      <protection hidden="1"/>
    </xf>
    <xf numFmtId="168" fontId="166" fillId="3" borderId="5" xfId="2" applyNumberFormat="1" applyFont="1" applyFill="1" applyBorder="1" applyAlignment="1" applyProtection="1">
      <alignment horizontal="right" vertical="center"/>
      <protection hidden="1"/>
    </xf>
    <xf numFmtId="168" fontId="166" fillId="3" borderId="71" xfId="2" applyNumberFormat="1" applyFont="1" applyFill="1" applyBorder="1" applyAlignment="1" applyProtection="1">
      <alignment horizontal="right" vertical="center"/>
      <protection hidden="1"/>
    </xf>
    <xf numFmtId="168" fontId="166" fillId="3" borderId="79" xfId="2" applyNumberFormat="1" applyFont="1" applyFill="1" applyBorder="1" applyAlignment="1" applyProtection="1">
      <alignment horizontal="right" vertical="center"/>
      <protection hidden="1"/>
    </xf>
    <xf numFmtId="0" fontId="141" fillId="3" borderId="127" xfId="2" applyNumberFormat="1" applyFont="1" applyFill="1" applyBorder="1" applyAlignment="1" applyProtection="1">
      <alignment horizontal="center" vertical="center"/>
      <protection locked="0"/>
    </xf>
    <xf numFmtId="0" fontId="141" fillId="3" borderId="128" xfId="2" applyNumberFormat="1" applyFont="1" applyFill="1" applyBorder="1" applyAlignment="1" applyProtection="1">
      <alignment horizontal="center" vertical="center"/>
      <protection locked="0"/>
    </xf>
    <xf numFmtId="2" fontId="18" fillId="2" borderId="109" xfId="2" applyNumberFormat="1" applyFont="1" applyFill="1" applyBorder="1" applyAlignment="1" applyProtection="1">
      <alignment horizontal="center" vertical="center"/>
      <protection hidden="1"/>
    </xf>
    <xf numFmtId="2" fontId="18" fillId="2" borderId="110" xfId="2" applyNumberFormat="1" applyFont="1" applyFill="1" applyBorder="1" applyAlignment="1" applyProtection="1">
      <alignment horizontal="center" vertical="center"/>
      <protection hidden="1"/>
    </xf>
    <xf numFmtId="0" fontId="141" fillId="3" borderId="3" xfId="2" applyNumberFormat="1" applyFont="1" applyFill="1" applyBorder="1" applyAlignment="1" applyProtection="1">
      <alignment horizontal="center" vertical="center"/>
      <protection locked="0"/>
    </xf>
    <xf numFmtId="166" fontId="14" fillId="7" borderId="61" xfId="2" applyNumberFormat="1" applyFont="1" applyFill="1" applyBorder="1" applyAlignment="1" applyProtection="1">
      <alignment horizontal="left" vertical="center"/>
      <protection locked="0"/>
    </xf>
    <xf numFmtId="166" fontId="14" fillId="7" borderId="49" xfId="2" applyNumberFormat="1" applyFont="1" applyFill="1" applyBorder="1" applyAlignment="1" applyProtection="1">
      <alignment horizontal="left" vertical="center"/>
      <protection locked="0"/>
    </xf>
    <xf numFmtId="166" fontId="14" fillId="7" borderId="67" xfId="2" applyNumberFormat="1" applyFont="1" applyFill="1" applyBorder="1" applyAlignment="1" applyProtection="1">
      <alignment horizontal="left" vertical="center"/>
      <protection locked="0"/>
    </xf>
    <xf numFmtId="166" fontId="14" fillId="7" borderId="117" xfId="2" applyNumberFormat="1" applyFont="1" applyFill="1" applyBorder="1" applyAlignment="1" applyProtection="1">
      <alignment horizontal="left" vertical="center"/>
      <protection locked="0"/>
    </xf>
    <xf numFmtId="2" fontId="18" fillId="2" borderId="62" xfId="2" applyNumberFormat="1" applyFont="1" applyFill="1" applyBorder="1" applyAlignment="1" applyProtection="1">
      <alignment horizontal="center" vertical="center"/>
      <protection hidden="1"/>
    </xf>
    <xf numFmtId="168" fontId="18" fillId="2" borderId="61" xfId="2" applyNumberFormat="1" applyFont="1" applyFill="1" applyBorder="1" applyAlignment="1" applyProtection="1">
      <alignment horizontal="right" vertical="center"/>
      <protection locked="0"/>
    </xf>
    <xf numFmtId="168" fontId="18" fillId="2" borderId="63" xfId="2" applyNumberFormat="1" applyFont="1" applyFill="1" applyBorder="1" applyAlignment="1" applyProtection="1">
      <alignment horizontal="right" vertical="center"/>
      <protection locked="0"/>
    </xf>
    <xf numFmtId="2" fontId="18" fillId="2" borderId="48" xfId="2" applyNumberFormat="1" applyFont="1" applyFill="1" applyBorder="1" applyAlignment="1" applyProtection="1">
      <alignment horizontal="center" vertical="center"/>
      <protection hidden="1"/>
    </xf>
    <xf numFmtId="0" fontId="141" fillId="3" borderId="2" xfId="2" applyNumberFormat="1" applyFont="1" applyFill="1" applyBorder="1" applyAlignment="1" applyProtection="1">
      <alignment horizontal="center" vertical="center"/>
      <protection locked="0"/>
    </xf>
    <xf numFmtId="166" fontId="14" fillId="7" borderId="48" xfId="2" applyNumberFormat="1" applyFont="1" applyFill="1" applyBorder="1" applyAlignment="1" applyProtection="1">
      <alignment horizontal="left" vertical="center"/>
      <protection locked="0"/>
    </xf>
    <xf numFmtId="166" fontId="14" fillId="7" borderId="82" xfId="2" applyNumberFormat="1" applyFont="1" applyFill="1" applyBorder="1" applyAlignment="1" applyProtection="1">
      <alignment horizontal="left" vertical="center"/>
      <protection locked="0"/>
    </xf>
    <xf numFmtId="166" fontId="14" fillId="7" borderId="110" xfId="2" applyNumberFormat="1" applyFont="1" applyFill="1" applyBorder="1" applyAlignment="1" applyProtection="1">
      <alignment horizontal="left" vertical="center"/>
      <protection locked="0"/>
    </xf>
    <xf numFmtId="168" fontId="18" fillId="2" borderId="49" xfId="2" applyNumberFormat="1" applyFont="1" applyFill="1" applyBorder="1" applyAlignment="1" applyProtection="1">
      <alignment horizontal="right" vertical="center"/>
      <protection locked="0"/>
    </xf>
    <xf numFmtId="168" fontId="18" fillId="2" borderId="67" xfId="2" applyNumberFormat="1" applyFont="1" applyFill="1" applyBorder="1" applyAlignment="1" applyProtection="1">
      <alignment horizontal="right" vertical="center"/>
      <protection locked="0"/>
    </xf>
    <xf numFmtId="168" fontId="18" fillId="2" borderId="64" xfId="2" applyNumberFormat="1" applyFont="1" applyFill="1" applyBorder="1" applyAlignment="1" applyProtection="1">
      <alignment horizontal="right" vertical="center"/>
      <protection locked="0"/>
    </xf>
    <xf numFmtId="168" fontId="18" fillId="2" borderId="48" xfId="2" applyNumberFormat="1" applyFont="1" applyFill="1" applyBorder="1" applyAlignment="1" applyProtection="1">
      <alignment horizontal="right" vertical="center"/>
      <protection locked="0"/>
    </xf>
    <xf numFmtId="168" fontId="18" fillId="2" borderId="82" xfId="2" applyNumberFormat="1" applyFont="1" applyFill="1" applyBorder="1" applyAlignment="1" applyProtection="1">
      <alignment horizontal="right" vertical="center"/>
      <protection locked="0"/>
    </xf>
    <xf numFmtId="168" fontId="18" fillId="2" borderId="62" xfId="2" applyNumberFormat="1" applyFont="1" applyFill="1" applyBorder="1" applyAlignment="1" applyProtection="1">
      <alignment horizontal="right" vertical="center"/>
      <protection locked="0"/>
    </xf>
    <xf numFmtId="168" fontId="166" fillId="2" borderId="5" xfId="2" applyNumberFormat="1" applyFont="1" applyFill="1" applyBorder="1" applyAlignment="1" applyProtection="1">
      <alignment horizontal="right" vertical="center"/>
      <protection hidden="1"/>
    </xf>
    <xf numFmtId="168" fontId="166" fillId="2" borderId="71" xfId="2" applyNumberFormat="1" applyFont="1" applyFill="1" applyBorder="1" applyAlignment="1" applyProtection="1">
      <alignment horizontal="right" vertical="center"/>
      <protection hidden="1"/>
    </xf>
    <xf numFmtId="168" fontId="166" fillId="2" borderId="79" xfId="2" applyNumberFormat="1" applyFont="1" applyFill="1" applyBorder="1" applyAlignment="1" applyProtection="1">
      <alignment horizontal="right" vertical="center"/>
      <protection hidden="1"/>
    </xf>
    <xf numFmtId="0" fontId="135" fillId="7" borderId="0" xfId="2" applyFont="1" applyFill="1" applyBorder="1" applyAlignment="1" applyProtection="1">
      <alignment horizontal="center" vertical="center"/>
      <protection hidden="1"/>
    </xf>
    <xf numFmtId="0" fontId="18" fillId="2" borderId="48" xfId="2" applyNumberFormat="1" applyFont="1" applyFill="1" applyBorder="1" applyAlignment="1" applyProtection="1">
      <alignment horizontal="center" vertical="center"/>
      <protection hidden="1"/>
    </xf>
    <xf numFmtId="0" fontId="18" fillId="2" borderId="110" xfId="2" applyNumberFormat="1" applyFont="1" applyFill="1" applyBorder="1" applyAlignment="1" applyProtection="1">
      <alignment horizontal="center" vertical="center"/>
      <protection hidden="1"/>
    </xf>
    <xf numFmtId="0" fontId="18" fillId="2" borderId="109" xfId="2" applyNumberFormat="1" applyFont="1" applyFill="1" applyBorder="1" applyAlignment="1" applyProtection="1">
      <alignment horizontal="center" vertical="center"/>
      <protection hidden="1"/>
    </xf>
    <xf numFmtId="0" fontId="18" fillId="2" borderId="82" xfId="2" applyNumberFormat="1" applyFont="1" applyFill="1" applyBorder="1" applyAlignment="1" applyProtection="1">
      <alignment horizontal="center" vertical="center"/>
      <protection hidden="1"/>
    </xf>
    <xf numFmtId="166" fontId="18" fillId="8" borderId="42" xfId="2" applyNumberFormat="1" applyFont="1" applyFill="1" applyBorder="1" applyAlignment="1" applyProtection="1">
      <alignment horizontal="left" vertical="center"/>
      <protection locked="0"/>
    </xf>
    <xf numFmtId="166" fontId="18" fillId="8" borderId="22" xfId="2" applyNumberFormat="1" applyFont="1" applyFill="1" applyBorder="1" applyAlignment="1" applyProtection="1">
      <alignment horizontal="left" vertical="center"/>
      <protection locked="0"/>
    </xf>
    <xf numFmtId="166" fontId="18" fillId="8" borderId="14" xfId="2" applyNumberFormat="1" applyFont="1" applyFill="1" applyBorder="1" applyAlignment="1" applyProtection="1">
      <alignment horizontal="left" vertical="center"/>
      <protection locked="0"/>
    </xf>
    <xf numFmtId="166" fontId="18" fillId="8" borderId="63" xfId="2" applyNumberFormat="1" applyFont="1" applyFill="1" applyBorder="1" applyAlignment="1" applyProtection="1">
      <alignment horizontal="left" vertical="center"/>
      <protection locked="0"/>
    </xf>
    <xf numFmtId="166" fontId="18" fillId="8" borderId="66" xfId="2" applyNumberFormat="1" applyFont="1" applyFill="1" applyBorder="1" applyAlignment="1" applyProtection="1">
      <alignment horizontal="left" vertical="center"/>
      <protection locked="0"/>
    </xf>
    <xf numFmtId="166" fontId="18" fillId="8" borderId="64" xfId="2" applyNumberFormat="1" applyFont="1" applyFill="1" applyBorder="1" applyAlignment="1" applyProtection="1">
      <alignment horizontal="left" vertical="center"/>
      <protection locked="0"/>
    </xf>
    <xf numFmtId="166" fontId="18" fillId="8" borderId="42" xfId="2" applyNumberFormat="1" applyFont="1" applyFill="1" applyBorder="1" applyAlignment="1" applyProtection="1">
      <alignment horizontal="left" vertical="center"/>
      <protection hidden="1"/>
    </xf>
    <xf numFmtId="166" fontId="18" fillId="8" borderId="22" xfId="2" applyNumberFormat="1" applyFont="1" applyFill="1" applyBorder="1" applyAlignment="1" applyProtection="1">
      <alignment horizontal="left" vertical="center"/>
      <protection hidden="1"/>
    </xf>
    <xf numFmtId="0" fontId="157" fillId="8" borderId="202" xfId="2" applyFont="1" applyFill="1" applyBorder="1" applyAlignment="1" applyProtection="1">
      <alignment horizontal="left" vertical="center" indent="1"/>
      <protection locked="0"/>
    </xf>
    <xf numFmtId="0" fontId="157" fillId="8" borderId="203" xfId="2" applyFont="1" applyFill="1" applyBorder="1" applyAlignment="1" applyProtection="1">
      <alignment horizontal="left" vertical="center" indent="1"/>
      <protection locked="0"/>
    </xf>
    <xf numFmtId="0" fontId="157" fillId="8" borderId="204" xfId="2" applyFont="1" applyFill="1" applyBorder="1" applyAlignment="1" applyProtection="1">
      <alignment horizontal="left" vertical="center" indent="1"/>
      <protection locked="0"/>
    </xf>
    <xf numFmtId="0" fontId="135" fillId="7" borderId="0" xfId="2" applyFont="1" applyFill="1" applyBorder="1" applyAlignment="1" applyProtection="1">
      <alignment horizontal="center" vertical="center"/>
      <protection locked="0"/>
    </xf>
    <xf numFmtId="14" fontId="87" fillId="3" borderId="221" xfId="2" applyNumberFormat="1" applyFont="1" applyFill="1" applyBorder="1" applyAlignment="1" applyProtection="1">
      <alignment horizontal="center" vertical="center"/>
      <protection locked="0"/>
    </xf>
    <xf numFmtId="14" fontId="87" fillId="3" borderId="222" xfId="2" applyNumberFormat="1" applyFont="1" applyFill="1" applyBorder="1" applyAlignment="1" applyProtection="1">
      <alignment horizontal="center" vertical="center"/>
      <protection locked="0"/>
    </xf>
    <xf numFmtId="14" fontId="87" fillId="3" borderId="223" xfId="2" applyNumberFormat="1" applyFont="1" applyFill="1" applyBorder="1" applyAlignment="1" applyProtection="1">
      <alignment horizontal="center" vertical="center"/>
      <protection locked="0"/>
    </xf>
    <xf numFmtId="0" fontId="141" fillId="2" borderId="7" xfId="2" applyFont="1" applyFill="1" applyBorder="1" applyAlignment="1" applyProtection="1">
      <alignment horizontal="left" vertical="center" indent="1"/>
      <protection locked="0"/>
    </xf>
    <xf numFmtId="0" fontId="17" fillId="2" borderId="7" xfId="2" applyFont="1" applyFill="1" applyBorder="1" applyAlignment="1" applyProtection="1">
      <alignment horizontal="center"/>
      <protection hidden="1"/>
    </xf>
    <xf numFmtId="0" fontId="149" fillId="7" borderId="218" xfId="2" applyFont="1" applyFill="1" applyBorder="1" applyAlignment="1" applyProtection="1">
      <alignment horizontal="center"/>
      <protection hidden="1"/>
    </xf>
    <xf numFmtId="0" fontId="167" fillId="7" borderId="213" xfId="2" applyFont="1" applyFill="1" applyBorder="1" applyAlignment="1" applyProtection="1">
      <alignment horizontal="center"/>
      <protection hidden="1"/>
    </xf>
    <xf numFmtId="0" fontId="167" fillId="7" borderId="214" xfId="2" applyFont="1" applyFill="1" applyBorder="1" applyAlignment="1" applyProtection="1">
      <alignment horizontal="center"/>
      <protection hidden="1"/>
    </xf>
    <xf numFmtId="0" fontId="167" fillId="7" borderId="215" xfId="2" applyFont="1" applyFill="1" applyBorder="1" applyAlignment="1" applyProtection="1">
      <alignment horizontal="center"/>
      <protection hidden="1"/>
    </xf>
    <xf numFmtId="0" fontId="167" fillId="7" borderId="216" xfId="2" applyFont="1" applyFill="1" applyBorder="1" applyAlignment="1" applyProtection="1">
      <alignment horizontal="center" vertical="center"/>
      <protection hidden="1"/>
    </xf>
    <xf numFmtId="0" fontId="167" fillId="7" borderId="0" xfId="2" applyFont="1" applyFill="1" applyBorder="1" applyAlignment="1" applyProtection="1">
      <alignment horizontal="center" vertical="center"/>
      <protection hidden="1"/>
    </xf>
    <xf numFmtId="0" fontId="167" fillId="7" borderId="217" xfId="2" applyFont="1" applyFill="1" applyBorder="1" applyAlignment="1" applyProtection="1">
      <alignment horizontal="center" vertical="center"/>
      <protection hidden="1"/>
    </xf>
    <xf numFmtId="0" fontId="167" fillId="7" borderId="182" xfId="2" applyFont="1" applyFill="1" applyBorder="1" applyAlignment="1" applyProtection="1">
      <alignment horizontal="center" vertical="top"/>
      <protection hidden="1"/>
    </xf>
    <xf numFmtId="0" fontId="167" fillId="7" borderId="176" xfId="2" applyFont="1" applyFill="1" applyBorder="1" applyAlignment="1" applyProtection="1">
      <alignment horizontal="center" vertical="top"/>
      <protection hidden="1"/>
    </xf>
    <xf numFmtId="0" fontId="167" fillId="7" borderId="183" xfId="2" applyFont="1" applyFill="1" applyBorder="1" applyAlignment="1" applyProtection="1">
      <alignment horizontal="center" vertical="top"/>
      <protection hidden="1"/>
    </xf>
    <xf numFmtId="0" fontId="136" fillId="2" borderId="1" xfId="2" applyFont="1" applyFill="1" applyBorder="1" applyAlignment="1" applyProtection="1">
      <alignment horizontal="left" vertical="center" indent="1"/>
      <protection hidden="1"/>
    </xf>
    <xf numFmtId="0" fontId="136" fillId="2" borderId="0" xfId="2" applyFont="1" applyFill="1" applyAlignment="1" applyProtection="1">
      <alignment horizontal="left" vertical="center" indent="1"/>
      <protection hidden="1"/>
    </xf>
    <xf numFmtId="0" fontId="33" fillId="2" borderId="1" xfId="2" applyFont="1" applyFill="1" applyBorder="1" applyAlignment="1" applyProtection="1">
      <alignment horizontal="center" vertical="center" wrapText="1"/>
      <protection hidden="1"/>
    </xf>
    <xf numFmtId="0" fontId="45" fillId="2" borderId="0" xfId="2" applyFont="1" applyFill="1" applyAlignment="1" applyProtection="1">
      <alignment horizontal="left"/>
      <protection hidden="1"/>
    </xf>
    <xf numFmtId="0" fontId="61" fillId="2" borderId="0" xfId="2" applyFont="1" applyFill="1" applyAlignment="1" applyProtection="1">
      <alignment horizontal="left"/>
      <protection hidden="1"/>
    </xf>
    <xf numFmtId="0" fontId="53" fillId="2" borderId="0" xfId="2" applyNumberFormat="1" applyFont="1" applyFill="1" applyBorder="1" applyAlignment="1" applyProtection="1">
      <alignment horizontal="center" vertical="top"/>
      <protection hidden="1"/>
    </xf>
    <xf numFmtId="0" fontId="47" fillId="10" borderId="167" xfId="2" applyFont="1" applyFill="1" applyBorder="1" applyAlignment="1" applyProtection="1">
      <alignment horizontal="center" vertical="center"/>
      <protection hidden="1"/>
    </xf>
    <xf numFmtId="0" fontId="47" fillId="10" borderId="168" xfId="2" applyFont="1" applyFill="1" applyBorder="1" applyAlignment="1" applyProtection="1">
      <alignment horizontal="center" vertical="center"/>
      <protection hidden="1"/>
    </xf>
    <xf numFmtId="0" fontId="47" fillId="10" borderId="169" xfId="2" applyFont="1" applyFill="1" applyBorder="1" applyAlignment="1" applyProtection="1">
      <alignment horizontal="center" vertical="center"/>
      <protection hidden="1"/>
    </xf>
    <xf numFmtId="182" fontId="34" fillId="2" borderId="1" xfId="2" applyNumberFormat="1" applyFont="1" applyFill="1" applyBorder="1" applyAlignment="1" applyProtection="1">
      <alignment horizontal="center" vertical="center"/>
      <protection hidden="1"/>
    </xf>
    <xf numFmtId="182" fontId="34" fillId="2" borderId="20" xfId="2" applyNumberFormat="1" applyFont="1" applyFill="1" applyBorder="1" applyAlignment="1" applyProtection="1">
      <alignment horizontal="center" vertical="center"/>
      <protection hidden="1"/>
    </xf>
    <xf numFmtId="174" fontId="34" fillId="2" borderId="0" xfId="2" applyNumberFormat="1" applyFont="1" applyFill="1" applyAlignment="1" applyProtection="1">
      <alignment horizontal="center" vertical="center"/>
      <protection hidden="1"/>
    </xf>
    <xf numFmtId="182" fontId="34" fillId="2" borderId="2" xfId="2" applyNumberFormat="1" applyFont="1" applyFill="1" applyBorder="1" applyAlignment="1" applyProtection="1">
      <alignment horizontal="center" vertical="center"/>
      <protection hidden="1"/>
    </xf>
    <xf numFmtId="182" fontId="34" fillId="2" borderId="3" xfId="2" applyNumberFormat="1" applyFont="1" applyFill="1" applyBorder="1" applyAlignment="1" applyProtection="1">
      <alignment horizontal="center" vertical="center"/>
      <protection hidden="1"/>
    </xf>
    <xf numFmtId="182" fontId="34" fillId="2" borderId="34" xfId="2" applyNumberFormat="1" applyFont="1" applyFill="1" applyBorder="1" applyAlignment="1" applyProtection="1">
      <alignment horizontal="center" vertical="center"/>
      <protection hidden="1"/>
    </xf>
    <xf numFmtId="182" fontId="34" fillId="2" borderId="22" xfId="2" applyNumberFormat="1" applyFont="1" applyFill="1" applyBorder="1" applyAlignment="1" applyProtection="1">
      <alignment horizontal="center" vertical="center"/>
      <protection hidden="1"/>
    </xf>
    <xf numFmtId="0" fontId="18" fillId="2" borderId="62" xfId="2" applyNumberFormat="1" applyFont="1" applyFill="1" applyBorder="1" applyAlignment="1" applyProtection="1">
      <alignment horizontal="center" vertical="center"/>
      <protection hidden="1"/>
    </xf>
    <xf numFmtId="168" fontId="142" fillId="8" borderId="5" xfId="2" applyNumberFormat="1" applyFont="1" applyFill="1" applyBorder="1" applyAlignment="1" applyProtection="1">
      <alignment horizontal="right" vertical="center"/>
      <protection locked="0"/>
    </xf>
    <xf numFmtId="168" fontId="142" fillId="8" borderId="71" xfId="2" applyNumberFormat="1" applyFont="1" applyFill="1" applyBorder="1" applyAlignment="1" applyProtection="1">
      <alignment horizontal="right" vertical="center"/>
      <protection locked="0"/>
    </xf>
    <xf numFmtId="168" fontId="142" fillId="8" borderId="79" xfId="2" applyNumberFormat="1" applyFont="1" applyFill="1" applyBorder="1" applyAlignment="1" applyProtection="1">
      <alignment horizontal="right" vertical="center"/>
      <protection locked="0"/>
    </xf>
    <xf numFmtId="168" fontId="58" fillId="2" borderId="8" xfId="2" applyNumberFormat="1" applyFont="1" applyFill="1" applyBorder="1" applyAlignment="1" applyProtection="1">
      <alignment horizontal="right" vertical="center"/>
      <protection hidden="1"/>
    </xf>
    <xf numFmtId="168" fontId="58" fillId="2" borderId="9" xfId="2" applyNumberFormat="1" applyFont="1" applyFill="1" applyBorder="1" applyAlignment="1" applyProtection="1">
      <alignment horizontal="right" vertical="center"/>
      <protection hidden="1"/>
    </xf>
    <xf numFmtId="168" fontId="58" fillId="2" borderId="139" xfId="2" applyNumberFormat="1" applyFont="1" applyFill="1" applyBorder="1" applyAlignment="1" applyProtection="1">
      <alignment horizontal="right" vertical="center"/>
      <protection hidden="1"/>
    </xf>
    <xf numFmtId="182" fontId="46" fillId="3" borderId="2" xfId="2" applyNumberFormat="1" applyFont="1" applyFill="1" applyBorder="1" applyAlignment="1" applyProtection="1">
      <alignment horizontal="center" vertical="center"/>
      <protection hidden="1"/>
    </xf>
    <xf numFmtId="182" fontId="46" fillId="3" borderId="7" xfId="2" applyNumberFormat="1" applyFont="1" applyFill="1" applyBorder="1" applyAlignment="1" applyProtection="1">
      <alignment horizontal="center" vertical="center"/>
      <protection hidden="1"/>
    </xf>
    <xf numFmtId="182" fontId="46" fillId="3" borderId="1" xfId="2" applyNumberFormat="1" applyFont="1" applyFill="1" applyBorder="1" applyAlignment="1" applyProtection="1">
      <alignment horizontal="center" vertical="center"/>
      <protection hidden="1"/>
    </xf>
    <xf numFmtId="182" fontId="46" fillId="3" borderId="20" xfId="2" applyNumberFormat="1" applyFont="1" applyFill="1" applyBorder="1" applyAlignment="1" applyProtection="1">
      <alignment horizontal="center" vertical="center"/>
      <protection hidden="1"/>
    </xf>
    <xf numFmtId="182" fontId="46" fillId="3" borderId="3" xfId="2" applyNumberFormat="1" applyFont="1" applyFill="1" applyBorder="1" applyAlignment="1" applyProtection="1">
      <alignment horizontal="center" vertical="center"/>
      <protection hidden="1"/>
    </xf>
    <xf numFmtId="0" fontId="46" fillId="4" borderId="130" xfId="2" applyNumberFormat="1" applyFont="1" applyFill="1" applyBorder="1" applyAlignment="1" applyProtection="1">
      <alignment horizontal="center" vertical="center"/>
      <protection hidden="1"/>
    </xf>
    <xf numFmtId="0" fontId="46" fillId="4" borderId="134" xfId="2" applyNumberFormat="1" applyFont="1" applyFill="1" applyBorder="1" applyAlignment="1" applyProtection="1">
      <alignment horizontal="center" vertical="center"/>
      <protection hidden="1"/>
    </xf>
    <xf numFmtId="182" fontId="46" fillId="3" borderId="34" xfId="2" applyNumberFormat="1" applyFont="1" applyFill="1" applyBorder="1" applyAlignment="1" applyProtection="1">
      <alignment horizontal="center" vertical="center"/>
      <protection hidden="1"/>
    </xf>
    <xf numFmtId="182" fontId="46" fillId="3" borderId="22" xfId="2" applyNumberFormat="1" applyFont="1" applyFill="1" applyBorder="1" applyAlignment="1" applyProtection="1">
      <alignment horizontal="center" vertical="center"/>
      <protection hidden="1"/>
    </xf>
    <xf numFmtId="182" fontId="46" fillId="2" borderId="34" xfId="2" applyNumberFormat="1" applyFont="1" applyFill="1" applyBorder="1" applyAlignment="1" applyProtection="1">
      <alignment horizontal="center" vertical="center"/>
      <protection hidden="1"/>
    </xf>
    <xf numFmtId="182" fontId="46" fillId="2" borderId="22" xfId="2" applyNumberFormat="1" applyFont="1" applyFill="1" applyBorder="1" applyAlignment="1" applyProtection="1">
      <alignment horizontal="center" vertical="center"/>
      <protection hidden="1"/>
    </xf>
    <xf numFmtId="174" fontId="34" fillId="2" borderId="14" xfId="2" applyNumberFormat="1" applyFont="1" applyFill="1" applyBorder="1" applyAlignment="1" applyProtection="1">
      <alignment horizontal="center" vertical="center"/>
      <protection hidden="1"/>
    </xf>
    <xf numFmtId="174" fontId="34" fillId="2" borderId="16" xfId="2" applyNumberFormat="1" applyFont="1" applyFill="1" applyBorder="1" applyAlignment="1" applyProtection="1">
      <alignment horizontal="center" vertical="center"/>
      <protection hidden="1"/>
    </xf>
    <xf numFmtId="182" fontId="133" fillId="10" borderId="167" xfId="2" applyNumberFormat="1" applyFont="1" applyFill="1" applyBorder="1" applyAlignment="1" applyProtection="1">
      <alignment horizontal="center" vertical="center"/>
      <protection hidden="1"/>
    </xf>
    <xf numFmtId="182" fontId="133" fillId="10" borderId="169" xfId="2" applyNumberFormat="1" applyFont="1" applyFill="1" applyBorder="1" applyAlignment="1" applyProtection="1">
      <alignment horizontal="center" vertical="center"/>
      <protection hidden="1"/>
    </xf>
    <xf numFmtId="14" fontId="34" fillId="2" borderId="14" xfId="2" applyNumberFormat="1" applyFont="1" applyFill="1" applyBorder="1" applyAlignment="1" applyProtection="1">
      <alignment horizontal="center" vertical="center"/>
      <protection hidden="1"/>
    </xf>
    <xf numFmtId="14" fontId="34" fillId="2" borderId="15" xfId="2" applyNumberFormat="1" applyFont="1" applyFill="1" applyBorder="1" applyAlignment="1" applyProtection="1">
      <alignment horizontal="center" vertical="center"/>
      <protection hidden="1"/>
    </xf>
    <xf numFmtId="14" fontId="34" fillId="2" borderId="16" xfId="2" applyNumberFormat="1" applyFont="1" applyFill="1" applyBorder="1" applyAlignment="1" applyProtection="1">
      <alignment horizontal="center" vertical="center"/>
      <protection hidden="1"/>
    </xf>
    <xf numFmtId="168" fontId="58" fillId="2" borderId="145" xfId="2" applyNumberFormat="1" applyFont="1" applyFill="1" applyBorder="1" applyAlignment="1" applyProtection="1">
      <alignment horizontal="right" vertical="center"/>
      <protection hidden="1"/>
    </xf>
    <xf numFmtId="168" fontId="58" fillId="2" borderId="146" xfId="2" applyNumberFormat="1" applyFont="1" applyFill="1" applyBorder="1" applyAlignment="1" applyProtection="1">
      <alignment horizontal="right" vertical="center"/>
      <protection hidden="1"/>
    </xf>
    <xf numFmtId="168" fontId="58" fillId="2" borderId="147" xfId="2" applyNumberFormat="1" applyFont="1" applyFill="1" applyBorder="1" applyAlignment="1" applyProtection="1">
      <alignment horizontal="right" vertical="center"/>
      <protection hidden="1"/>
    </xf>
    <xf numFmtId="0" fontId="45" fillId="2" borderId="0" xfId="2" applyFont="1" applyFill="1" applyAlignment="1" applyProtection="1">
      <alignment horizontal="right" vertical="center"/>
      <protection hidden="1"/>
    </xf>
    <xf numFmtId="0" fontId="40" fillId="2" borderId="7" xfId="2" applyFont="1" applyFill="1" applyBorder="1" applyAlignment="1" applyProtection="1">
      <alignment horizontal="left" vertical="center" indent="1"/>
      <protection locked="0"/>
    </xf>
    <xf numFmtId="168" fontId="28" fillId="7" borderId="71" xfId="2" applyNumberFormat="1" applyFont="1" applyFill="1" applyBorder="1" applyAlignment="1" applyProtection="1">
      <alignment horizontal="right" vertical="center"/>
      <protection locked="0"/>
    </xf>
    <xf numFmtId="168" fontId="28" fillId="7" borderId="79" xfId="2" applyNumberFormat="1" applyFont="1" applyFill="1" applyBorder="1" applyAlignment="1" applyProtection="1">
      <alignment horizontal="right" vertical="center"/>
      <protection locked="0"/>
    </xf>
    <xf numFmtId="0" fontId="46" fillId="2" borderId="0" xfId="2" applyFont="1" applyFill="1" applyBorder="1" applyAlignment="1" applyProtection="1">
      <alignment horizontal="center" vertical="center"/>
      <protection hidden="1"/>
    </xf>
    <xf numFmtId="0" fontId="46" fillId="2" borderId="0" xfId="2" applyFont="1" applyFill="1" applyAlignment="1" applyProtection="1">
      <alignment horizontal="center" vertical="center"/>
      <protection hidden="1"/>
    </xf>
    <xf numFmtId="174" fontId="56" fillId="2" borderId="140" xfId="2" applyNumberFormat="1" applyFont="1" applyFill="1" applyBorder="1" applyAlignment="1" applyProtection="1">
      <alignment horizontal="center" vertical="center"/>
      <protection hidden="1"/>
    </xf>
    <xf numFmtId="174" fontId="56" fillId="2" borderId="10" xfId="2" applyNumberFormat="1" applyFont="1" applyFill="1" applyBorder="1" applyAlignment="1" applyProtection="1">
      <alignment horizontal="center" vertical="center"/>
      <protection hidden="1"/>
    </xf>
    <xf numFmtId="174" fontId="56" fillId="2" borderId="141" xfId="2" applyNumberFormat="1" applyFont="1" applyFill="1" applyBorder="1" applyAlignment="1" applyProtection="1">
      <alignment horizontal="center" vertical="center"/>
      <protection hidden="1"/>
    </xf>
    <xf numFmtId="174" fontId="56" fillId="2" borderId="142" xfId="2" applyNumberFormat="1" applyFont="1" applyFill="1" applyBorder="1" applyAlignment="1" applyProtection="1">
      <alignment horizontal="center" vertical="center"/>
      <protection hidden="1"/>
    </xf>
    <xf numFmtId="174" fontId="56" fillId="2" borderId="143" xfId="2" applyNumberFormat="1" applyFont="1" applyFill="1" applyBorder="1" applyAlignment="1" applyProtection="1">
      <alignment horizontal="center" vertical="center"/>
      <protection hidden="1"/>
    </xf>
    <xf numFmtId="174" fontId="56" fillId="2" borderId="144" xfId="2" applyNumberFormat="1" applyFont="1" applyFill="1" applyBorder="1" applyAlignment="1" applyProtection="1">
      <alignment horizontal="center" vertical="center"/>
      <protection hidden="1"/>
    </xf>
    <xf numFmtId="174" fontId="55" fillId="10" borderId="131" xfId="2" applyNumberFormat="1" applyFont="1" applyFill="1" applyBorder="1" applyAlignment="1" applyProtection="1">
      <alignment horizontal="center" vertical="center"/>
      <protection hidden="1"/>
    </xf>
    <xf numFmtId="174" fontId="55" fillId="10" borderId="133" xfId="2" applyNumberFormat="1" applyFont="1" applyFill="1" applyBorder="1" applyAlignment="1" applyProtection="1">
      <alignment horizontal="center" vertical="center"/>
      <protection hidden="1"/>
    </xf>
    <xf numFmtId="168" fontId="58" fillId="2" borderId="148" xfId="2" applyNumberFormat="1" applyFont="1" applyFill="1" applyBorder="1" applyAlignment="1" applyProtection="1">
      <alignment horizontal="right" vertical="center"/>
      <protection hidden="1"/>
    </xf>
    <xf numFmtId="168" fontId="58" fillId="2" borderId="149" xfId="2" applyNumberFormat="1" applyFont="1" applyFill="1" applyBorder="1" applyAlignment="1" applyProtection="1">
      <alignment horizontal="right" vertical="center"/>
      <protection hidden="1"/>
    </xf>
    <xf numFmtId="168" fontId="58" fillId="2" borderId="150" xfId="2" applyNumberFormat="1" applyFont="1" applyFill="1" applyBorder="1" applyAlignment="1" applyProtection="1">
      <alignment horizontal="right" vertical="center"/>
      <protection hidden="1"/>
    </xf>
    <xf numFmtId="0" fontId="34" fillId="2" borderId="34" xfId="2" applyFont="1" applyFill="1" applyBorder="1" applyAlignment="1" applyProtection="1">
      <alignment horizontal="center"/>
      <protection hidden="1"/>
    </xf>
    <xf numFmtId="0" fontId="34" fillId="2" borderId="22" xfId="2" applyFont="1" applyFill="1" applyBorder="1" applyAlignment="1" applyProtection="1">
      <alignment horizontal="center"/>
      <protection hidden="1"/>
    </xf>
    <xf numFmtId="0" fontId="17" fillId="2" borderId="34" xfId="2" applyFont="1" applyFill="1" applyBorder="1" applyAlignment="1" applyProtection="1">
      <alignment horizontal="center"/>
      <protection hidden="1"/>
    </xf>
    <xf numFmtId="0" fontId="17" fillId="2" borderId="4" xfId="2" applyFont="1" applyFill="1" applyBorder="1" applyAlignment="1" applyProtection="1">
      <alignment horizontal="center"/>
      <protection hidden="1"/>
    </xf>
    <xf numFmtId="0" fontId="17" fillId="2" borderId="22" xfId="2" applyFont="1" applyFill="1" applyBorder="1" applyAlignment="1" applyProtection="1">
      <alignment horizontal="center"/>
      <protection hidden="1"/>
    </xf>
    <xf numFmtId="0" fontId="46" fillId="2" borderId="7" xfId="2" applyFont="1" applyFill="1" applyBorder="1" applyAlignment="1" applyProtection="1">
      <alignment horizontal="center" vertical="center"/>
      <protection hidden="1"/>
    </xf>
    <xf numFmtId="0" fontId="33" fillId="2" borderId="12" xfId="2" applyFont="1" applyFill="1" applyBorder="1" applyAlignment="1" applyProtection="1">
      <alignment horizontal="center" vertical="center" wrapText="1"/>
      <protection hidden="1"/>
    </xf>
    <xf numFmtId="168" fontId="40" fillId="2" borderId="82" xfId="2" applyNumberFormat="1" applyFont="1" applyFill="1" applyBorder="1" applyAlignment="1" applyProtection="1">
      <alignment horizontal="right" vertical="center"/>
      <protection hidden="1"/>
    </xf>
    <xf numFmtId="0" fontId="17" fillId="2" borderId="48" xfId="2" applyFont="1" applyFill="1" applyBorder="1" applyAlignment="1" applyProtection="1">
      <alignment horizontal="center" vertical="center"/>
      <protection hidden="1"/>
    </xf>
    <xf numFmtId="0" fontId="17" fillId="2" borderId="82" xfId="2" applyFont="1" applyFill="1" applyBorder="1" applyAlignment="1" applyProtection="1">
      <alignment horizontal="center" vertical="center"/>
      <protection hidden="1"/>
    </xf>
    <xf numFmtId="0" fontId="17" fillId="2" borderId="62" xfId="2" applyFont="1" applyFill="1" applyBorder="1" applyAlignment="1" applyProtection="1">
      <alignment horizontal="center" vertical="center"/>
      <protection hidden="1"/>
    </xf>
    <xf numFmtId="0" fontId="21" fillId="0" borderId="82" xfId="0" applyFont="1" applyBorder="1" applyAlignment="1" applyProtection="1">
      <alignment horizontal="center" vertical="center"/>
      <protection hidden="1"/>
    </xf>
    <xf numFmtId="0" fontId="21" fillId="0" borderId="62" xfId="0" applyFont="1" applyBorder="1" applyAlignment="1" applyProtection="1">
      <alignment horizontal="center" vertical="center"/>
      <protection hidden="1"/>
    </xf>
    <xf numFmtId="0" fontId="167" fillId="2" borderId="48" xfId="2" applyFont="1" applyFill="1" applyBorder="1" applyAlignment="1" applyProtection="1">
      <alignment horizontal="center" vertical="center"/>
      <protection hidden="1"/>
    </xf>
    <xf numFmtId="0" fontId="178" fillId="0" borderId="82" xfId="0" applyFont="1" applyBorder="1" applyAlignment="1" applyProtection="1">
      <alignment horizontal="center" vertical="center"/>
      <protection hidden="1"/>
    </xf>
    <xf numFmtId="0" fontId="178" fillId="0" borderId="62" xfId="0" applyFont="1" applyBorder="1" applyAlignment="1" applyProtection="1">
      <alignment horizontal="center" vertical="center"/>
      <protection hidden="1"/>
    </xf>
    <xf numFmtId="0" fontId="18" fillId="2" borderId="77" xfId="2" applyFont="1" applyFill="1" applyBorder="1" applyAlignment="1" applyProtection="1">
      <alignment horizontal="center"/>
      <protection hidden="1"/>
    </xf>
    <xf numFmtId="0" fontId="40" fillId="2" borderId="176" xfId="2" applyFont="1" applyFill="1" applyBorder="1" applyAlignment="1" applyProtection="1">
      <alignment horizontal="left" vertical="center" indent="1"/>
      <protection locked="0"/>
    </xf>
    <xf numFmtId="0" fontId="40" fillId="2" borderId="7" xfId="2" applyFont="1" applyFill="1" applyBorder="1" applyAlignment="1" applyProtection="1">
      <alignment horizontal="center" vertical="center"/>
      <protection locked="0"/>
    </xf>
    <xf numFmtId="0" fontId="50" fillId="2" borderId="7" xfId="2" applyFont="1" applyFill="1" applyBorder="1" applyAlignment="1" applyProtection="1">
      <alignment horizontal="left" vertical="center" indent="1"/>
      <protection hidden="1"/>
    </xf>
    <xf numFmtId="166" fontId="40" fillId="2" borderId="7" xfId="2" applyNumberFormat="1" applyFont="1" applyFill="1" applyBorder="1" applyAlignment="1" applyProtection="1">
      <alignment horizontal="center" vertical="center"/>
      <protection hidden="1"/>
    </xf>
    <xf numFmtId="166" fontId="18" fillId="2" borderId="82" xfId="2" applyNumberFormat="1" applyFont="1" applyFill="1" applyBorder="1" applyAlignment="1" applyProtection="1">
      <alignment horizontal="left" vertical="center"/>
      <protection hidden="1"/>
    </xf>
    <xf numFmtId="0" fontId="18" fillId="2" borderId="82" xfId="2" applyFont="1" applyFill="1" applyBorder="1" applyAlignment="1" applyProtection="1">
      <alignment horizontal="left" vertical="center" indent="1"/>
      <protection locked="0"/>
    </xf>
    <xf numFmtId="168" fontId="28" fillId="7" borderId="49" xfId="2" applyNumberFormat="1" applyFont="1" applyFill="1" applyBorder="1" applyAlignment="1" applyProtection="1">
      <alignment horizontal="right" vertical="center"/>
      <protection hidden="1"/>
    </xf>
    <xf numFmtId="168" fontId="28" fillId="7" borderId="67" xfId="2" applyNumberFormat="1" applyFont="1" applyFill="1" applyBorder="1" applyAlignment="1" applyProtection="1">
      <alignment horizontal="right" vertical="center"/>
      <protection hidden="1"/>
    </xf>
    <xf numFmtId="0" fontId="28" fillId="7" borderId="64" xfId="2" applyFont="1" applyFill="1" applyBorder="1" applyProtection="1">
      <protection hidden="1"/>
    </xf>
    <xf numFmtId="168" fontId="18" fillId="2" borderId="49" xfId="2" applyNumberFormat="1" applyFont="1" applyFill="1" applyBorder="1" applyAlignment="1" applyProtection="1">
      <alignment horizontal="right" vertical="center"/>
      <protection hidden="1"/>
    </xf>
    <xf numFmtId="168" fontId="18" fillId="2" borderId="67" xfId="2" applyNumberFormat="1" applyFont="1" applyFill="1" applyBorder="1" applyAlignment="1" applyProtection="1">
      <alignment horizontal="right" vertical="center"/>
      <protection hidden="1"/>
    </xf>
    <xf numFmtId="168" fontId="18" fillId="2" borderId="64" xfId="2" applyNumberFormat="1" applyFont="1" applyFill="1" applyBorder="1" applyAlignment="1" applyProtection="1">
      <alignment horizontal="right" vertical="center"/>
      <protection hidden="1"/>
    </xf>
    <xf numFmtId="168" fontId="18" fillId="8" borderId="49" xfId="2" applyNumberFormat="1" applyFont="1" applyFill="1" applyBorder="1" applyAlignment="1" applyProtection="1">
      <alignment horizontal="right" vertical="center"/>
      <protection hidden="1"/>
    </xf>
    <xf numFmtId="168" fontId="18" fillId="8" borderId="67" xfId="2" applyNumberFormat="1" applyFont="1" applyFill="1" applyBorder="1" applyAlignment="1" applyProtection="1">
      <alignment horizontal="right" vertical="center"/>
      <protection hidden="1"/>
    </xf>
    <xf numFmtId="168" fontId="18" fillId="8" borderId="64" xfId="2" applyNumberFormat="1" applyFont="1" applyFill="1" applyBorder="1" applyAlignment="1" applyProtection="1">
      <alignment horizontal="right" vertical="center"/>
      <protection hidden="1"/>
    </xf>
    <xf numFmtId="49" fontId="47" fillId="2" borderId="98" xfId="2" applyNumberFormat="1" applyFont="1" applyFill="1" applyBorder="1" applyAlignment="1" applyProtection="1">
      <alignment horizontal="center" vertical="center"/>
      <protection hidden="1"/>
    </xf>
    <xf numFmtId="0" fontId="47" fillId="2" borderId="98" xfId="2" applyFont="1" applyFill="1" applyBorder="1" applyAlignment="1" applyProtection="1">
      <alignment horizontal="center" vertical="center"/>
      <protection hidden="1"/>
    </xf>
    <xf numFmtId="0" fontId="149" fillId="2" borderId="12" xfId="2" applyFont="1" applyFill="1" applyBorder="1" applyAlignment="1" applyProtection="1">
      <alignment horizontal="center" vertical="center" wrapText="1"/>
      <protection hidden="1"/>
    </xf>
    <xf numFmtId="0" fontId="149" fillId="2" borderId="1" xfId="2" applyFont="1" applyFill="1" applyBorder="1" applyAlignment="1" applyProtection="1">
      <alignment horizontal="center" vertical="center" wrapText="1"/>
      <protection hidden="1"/>
    </xf>
    <xf numFmtId="168" fontId="141" fillId="8" borderId="71" xfId="2" applyNumberFormat="1" applyFont="1" applyFill="1" applyBorder="1" applyAlignment="1" applyProtection="1">
      <alignment horizontal="right" vertical="center"/>
      <protection hidden="1"/>
    </xf>
    <xf numFmtId="168" fontId="141" fillId="8" borderId="79" xfId="2" applyNumberFormat="1" applyFont="1" applyFill="1" applyBorder="1" applyAlignment="1" applyProtection="1">
      <alignment horizontal="right" vertical="center"/>
      <protection hidden="1"/>
    </xf>
    <xf numFmtId="168" fontId="142" fillId="8" borderId="179" xfId="2" applyNumberFormat="1" applyFont="1" applyFill="1" applyBorder="1" applyAlignment="1" applyProtection="1">
      <alignment horizontal="right" vertical="center"/>
      <protection hidden="1"/>
    </xf>
    <xf numFmtId="168" fontId="142" fillId="8" borderId="180" xfId="2" applyNumberFormat="1" applyFont="1" applyFill="1" applyBorder="1" applyAlignment="1" applyProtection="1">
      <alignment horizontal="right" vertical="center"/>
      <protection hidden="1"/>
    </xf>
    <xf numFmtId="168" fontId="142" fillId="8" borderId="181" xfId="2" applyNumberFormat="1" applyFont="1" applyFill="1" applyBorder="1" applyAlignment="1" applyProtection="1">
      <alignment horizontal="right" vertical="center"/>
      <protection hidden="1"/>
    </xf>
    <xf numFmtId="166" fontId="135" fillId="7" borderId="179" xfId="2" applyNumberFormat="1" applyFont="1" applyFill="1" applyBorder="1" applyAlignment="1" applyProtection="1">
      <alignment horizontal="left" vertical="center"/>
      <protection locked="0"/>
    </xf>
    <xf numFmtId="166" fontId="135" fillId="7" borderId="180" xfId="2" applyNumberFormat="1" applyFont="1" applyFill="1" applyBorder="1" applyAlignment="1" applyProtection="1">
      <alignment horizontal="left" vertical="center"/>
      <protection locked="0"/>
    </xf>
    <xf numFmtId="166" fontId="135" fillId="7" borderId="181" xfId="2" applyNumberFormat="1" applyFont="1" applyFill="1" applyBorder="1" applyAlignment="1" applyProtection="1">
      <alignment horizontal="left" vertical="center"/>
      <protection locked="0"/>
    </xf>
    <xf numFmtId="168" fontId="58" fillId="2" borderId="131" xfId="2" applyNumberFormat="1" applyFont="1" applyFill="1" applyBorder="1" applyAlignment="1" applyProtection="1">
      <alignment horizontal="center" vertical="center"/>
      <protection hidden="1"/>
    </xf>
    <xf numFmtId="168" fontId="58" fillId="2" borderId="132" xfId="2" applyNumberFormat="1" applyFont="1" applyFill="1" applyBorder="1" applyAlignment="1" applyProtection="1">
      <alignment horizontal="center" vertical="center"/>
      <protection hidden="1"/>
    </xf>
    <xf numFmtId="168" fontId="58" fillId="2" borderId="133" xfId="2" applyNumberFormat="1" applyFont="1" applyFill="1" applyBorder="1" applyAlignment="1" applyProtection="1">
      <alignment horizontal="center" vertical="center"/>
      <protection hidden="1"/>
    </xf>
    <xf numFmtId="168" fontId="167" fillId="7" borderId="67" xfId="2" applyNumberFormat="1" applyFont="1" applyFill="1" applyBorder="1" applyAlignment="1" applyProtection="1">
      <alignment horizontal="right" vertical="center"/>
      <protection hidden="1"/>
    </xf>
    <xf numFmtId="168" fontId="163" fillId="7" borderId="5" xfId="2" applyNumberFormat="1" applyFont="1" applyFill="1" applyBorder="1" applyAlignment="1" applyProtection="1">
      <alignment horizontal="right" vertical="center"/>
      <protection hidden="1"/>
    </xf>
    <xf numFmtId="168" fontId="163" fillId="7" borderId="71" xfId="2" applyNumberFormat="1" applyFont="1" applyFill="1" applyBorder="1" applyAlignment="1" applyProtection="1">
      <alignment horizontal="right" vertical="center"/>
      <protection hidden="1"/>
    </xf>
    <xf numFmtId="168" fontId="163" fillId="7" borderId="79" xfId="2" applyNumberFormat="1" applyFont="1" applyFill="1" applyBorder="1" applyAlignment="1" applyProtection="1">
      <alignment horizontal="right" vertical="center"/>
      <protection hidden="1"/>
    </xf>
    <xf numFmtId="166" fontId="135" fillId="7" borderId="179" xfId="2" applyNumberFormat="1" applyFont="1" applyFill="1" applyBorder="1" applyAlignment="1" applyProtection="1">
      <alignment horizontal="left" vertical="center"/>
      <protection hidden="1"/>
    </xf>
    <xf numFmtId="166" fontId="135" fillId="7" borderId="180" xfId="2" applyNumberFormat="1" applyFont="1" applyFill="1" applyBorder="1" applyAlignment="1" applyProtection="1">
      <alignment horizontal="left" vertical="center"/>
      <protection hidden="1"/>
    </xf>
    <xf numFmtId="166" fontId="135" fillId="7" borderId="181" xfId="2" applyNumberFormat="1" applyFont="1" applyFill="1" applyBorder="1" applyAlignment="1" applyProtection="1">
      <alignment horizontal="left" vertical="center"/>
      <protection hidden="1"/>
    </xf>
    <xf numFmtId="0" fontId="135" fillId="2" borderId="7" xfId="2" applyNumberFormat="1" applyFont="1" applyFill="1" applyBorder="1" applyAlignment="1" applyProtection="1">
      <alignment horizontal="center"/>
      <protection hidden="1"/>
    </xf>
    <xf numFmtId="0" fontId="135" fillId="7" borderId="7" xfId="2" applyNumberFormat="1" applyFont="1" applyFill="1" applyBorder="1" applyAlignment="1" applyProtection="1">
      <alignment horizontal="center"/>
      <protection hidden="1"/>
    </xf>
    <xf numFmtId="168" fontId="141" fillId="8" borderId="5" xfId="2" applyNumberFormat="1" applyFont="1" applyFill="1" applyBorder="1" applyAlignment="1" applyProtection="1">
      <alignment horizontal="right" vertical="center"/>
      <protection hidden="1"/>
    </xf>
    <xf numFmtId="168" fontId="141" fillId="8" borderId="54" xfId="2" applyNumberFormat="1" applyFont="1" applyFill="1" applyBorder="1" applyAlignment="1" applyProtection="1">
      <alignment horizontal="right" vertical="center"/>
      <protection hidden="1"/>
    </xf>
    <xf numFmtId="168" fontId="141" fillId="8" borderId="53" xfId="2" applyNumberFormat="1" applyFont="1" applyFill="1" applyBorder="1" applyAlignment="1" applyProtection="1">
      <alignment horizontal="right" vertical="center"/>
      <protection hidden="1"/>
    </xf>
    <xf numFmtId="166" fontId="18" fillId="8" borderId="14" xfId="2" applyNumberFormat="1" applyFont="1" applyFill="1" applyBorder="1" applyAlignment="1" applyProtection="1">
      <alignment horizontal="left" vertical="center"/>
      <protection hidden="1"/>
    </xf>
    <xf numFmtId="166" fontId="18" fillId="8" borderId="63" xfId="2" applyNumberFormat="1" applyFont="1" applyFill="1" applyBorder="1" applyAlignment="1" applyProtection="1">
      <alignment horizontal="left" vertical="center"/>
      <protection hidden="1"/>
    </xf>
    <xf numFmtId="166" fontId="18" fillId="8" borderId="66" xfId="2" applyNumberFormat="1" applyFont="1" applyFill="1" applyBorder="1" applyAlignment="1" applyProtection="1">
      <alignment horizontal="left" vertical="center"/>
      <protection hidden="1"/>
    </xf>
    <xf numFmtId="166" fontId="18" fillId="8" borderId="64" xfId="2" applyNumberFormat="1" applyFont="1" applyFill="1" applyBorder="1" applyAlignment="1" applyProtection="1">
      <alignment horizontal="left" vertical="center"/>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0" fontId="50" fillId="2" borderId="0" xfId="0" applyNumberFormat="1" applyFont="1" applyFill="1" applyAlignment="1" applyProtection="1">
      <alignment horizontal="left" vertical="center" textRotation="90"/>
      <protection hidden="1"/>
    </xf>
    <xf numFmtId="0" fontId="18" fillId="2" borderId="5" xfId="2" applyFont="1" applyFill="1" applyBorder="1" applyAlignment="1" applyProtection="1">
      <alignment horizontal="left" vertical="center" indent="1"/>
      <protection hidden="1"/>
    </xf>
    <xf numFmtId="0" fontId="18" fillId="2" borderId="71" xfId="2" applyFont="1" applyFill="1" applyBorder="1" applyAlignment="1" applyProtection="1">
      <alignment horizontal="left" vertical="center" indent="1"/>
      <protection hidden="1"/>
    </xf>
    <xf numFmtId="169" fontId="28" fillId="4" borderId="5" xfId="2" applyNumberFormat="1" applyFont="1" applyFill="1" applyBorder="1" applyAlignment="1" applyProtection="1">
      <alignment horizontal="right" vertical="center"/>
      <protection hidden="1"/>
    </xf>
    <xf numFmtId="169" fontId="28" fillId="4" borderId="71" xfId="2" applyNumberFormat="1" applyFont="1" applyFill="1" applyBorder="1" applyAlignment="1" applyProtection="1">
      <alignment horizontal="right" vertical="center"/>
      <protection hidden="1"/>
    </xf>
    <xf numFmtId="169" fontId="28" fillId="4" borderId="79" xfId="2" applyNumberFormat="1" applyFont="1" applyFill="1" applyBorder="1" applyAlignment="1" applyProtection="1">
      <alignment horizontal="right" vertical="center"/>
      <protection hidden="1"/>
    </xf>
    <xf numFmtId="0" fontId="141" fillId="3" borderId="7" xfId="2" applyNumberFormat="1" applyFont="1" applyFill="1" applyBorder="1" applyAlignment="1" applyProtection="1">
      <alignment horizontal="center" vertical="center"/>
      <protection locked="0"/>
    </xf>
    <xf numFmtId="0" fontId="17" fillId="10" borderId="24" xfId="0" applyFont="1" applyFill="1" applyBorder="1" applyAlignment="1" applyProtection="1">
      <alignment horizontal="center" vertical="center"/>
      <protection hidden="1"/>
    </xf>
    <xf numFmtId="0" fontId="17" fillId="10" borderId="13" xfId="0" applyFont="1" applyFill="1" applyBorder="1" applyAlignment="1" applyProtection="1">
      <alignment horizontal="center" vertical="center"/>
      <protection hidden="1"/>
    </xf>
    <xf numFmtId="176" fontId="45" fillId="2" borderId="0" xfId="2" applyNumberFormat="1" applyFont="1" applyFill="1" applyBorder="1" applyAlignment="1" applyProtection="1">
      <alignment horizontal="left" vertical="center"/>
      <protection hidden="1"/>
    </xf>
    <xf numFmtId="166" fontId="45" fillId="2" borderId="0" xfId="2" applyNumberFormat="1" applyFont="1" applyFill="1" applyBorder="1" applyAlignment="1" applyProtection="1">
      <alignment horizontal="right" vertical="center"/>
      <protection hidden="1"/>
    </xf>
    <xf numFmtId="168" fontId="35" fillId="2" borderId="0" xfId="2" applyNumberFormat="1" applyFont="1" applyFill="1" applyBorder="1" applyAlignment="1" applyProtection="1">
      <alignment horizontal="left" vertical="center"/>
      <protection hidden="1"/>
    </xf>
    <xf numFmtId="0" fontId="14" fillId="2" borderId="0" xfId="0" applyNumberFormat="1" applyFont="1" applyFill="1" applyBorder="1" applyAlignment="1" applyProtection="1">
      <alignment horizontal="right" vertical="center" indent="1"/>
      <protection hidden="1"/>
    </xf>
    <xf numFmtId="0" fontId="14" fillId="2" borderId="20" xfId="0" applyNumberFormat="1" applyFont="1" applyFill="1" applyBorder="1" applyAlignment="1" applyProtection="1">
      <alignment horizontal="right" vertical="center" indent="1"/>
      <protection hidden="1"/>
    </xf>
    <xf numFmtId="0" fontId="18" fillId="2" borderId="0" xfId="0" applyNumberFormat="1" applyFont="1" applyFill="1" applyBorder="1" applyAlignment="1" applyProtection="1">
      <alignment horizontal="center"/>
      <protection hidden="1"/>
    </xf>
    <xf numFmtId="0" fontId="135" fillId="2" borderId="0" xfId="0" applyNumberFormat="1" applyFont="1" applyFill="1" applyBorder="1" applyAlignment="1" applyProtection="1">
      <alignment horizontal="right" vertical="center" indent="1"/>
      <protection hidden="1"/>
    </xf>
    <xf numFmtId="0" fontId="149" fillId="2" borderId="0" xfId="0" applyNumberFormat="1" applyFont="1" applyFill="1" applyBorder="1" applyAlignment="1" applyProtection="1">
      <alignment horizontal="right" vertical="center" indent="1"/>
      <protection hidden="1"/>
    </xf>
    <xf numFmtId="0" fontId="149" fillId="2" borderId="20" xfId="0" applyNumberFormat="1" applyFont="1" applyFill="1" applyBorder="1" applyAlignment="1" applyProtection="1">
      <alignment horizontal="right" vertical="center" indent="1"/>
      <protection hidden="1"/>
    </xf>
    <xf numFmtId="0" fontId="62" fillId="2" borderId="28" xfId="0" applyFont="1" applyFill="1" applyBorder="1" applyAlignment="1" applyProtection="1">
      <alignment horizontal="left" vertical="center" indent="1"/>
      <protection locked="0"/>
    </xf>
    <xf numFmtId="0" fontId="17" fillId="2" borderId="7" xfId="0" applyNumberFormat="1" applyFont="1" applyFill="1" applyBorder="1" applyAlignment="1" applyProtection="1">
      <alignment horizontal="center" vertical="top"/>
      <protection hidden="1"/>
    </xf>
    <xf numFmtId="0" fontId="63" fillId="2" borderId="0" xfId="0" applyFont="1" applyFill="1" applyBorder="1" applyAlignment="1" applyProtection="1">
      <alignment horizontal="left" vertical="center" indent="1"/>
      <protection locked="0"/>
    </xf>
    <xf numFmtId="0" fontId="77" fillId="2" borderId="0" xfId="0" applyNumberFormat="1" applyFont="1" applyFill="1" applyAlignment="1" applyProtection="1">
      <alignment horizontal="left" vertical="top"/>
      <protection hidden="1"/>
    </xf>
    <xf numFmtId="0" fontId="75" fillId="2" borderId="93"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protection locked="0"/>
    </xf>
    <xf numFmtId="0" fontId="75" fillId="2" borderId="95" xfId="0" applyFont="1" applyFill="1" applyBorder="1" applyAlignment="1" applyProtection="1">
      <alignment horizontal="center" vertical="center"/>
      <protection locked="0"/>
    </xf>
    <xf numFmtId="0" fontId="95" fillId="2" borderId="0" xfId="0" applyFont="1" applyFill="1" applyBorder="1" applyAlignment="1" applyProtection="1">
      <alignment horizontal="right" vertical="center" indent="1"/>
      <protection hidden="1"/>
    </xf>
    <xf numFmtId="0" fontId="0" fillId="0" borderId="0" xfId="0" applyBorder="1" applyProtection="1">
      <protection hidden="1"/>
    </xf>
    <xf numFmtId="0" fontId="53" fillId="2" borderId="0" xfId="0" applyFont="1" applyFill="1" applyBorder="1" applyAlignment="1" applyProtection="1">
      <alignment horizontal="center"/>
      <protection hidden="1"/>
    </xf>
    <xf numFmtId="0" fontId="8" fillId="2" borderId="7" xfId="0" applyFont="1" applyFill="1" applyBorder="1" applyAlignment="1" applyProtection="1">
      <alignment horizontal="center" vertical="top"/>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1" xfId="0" applyNumberFormat="1" applyFont="1" applyFill="1" applyBorder="1" applyAlignment="1" applyProtection="1">
      <alignment horizontal="center" vertical="center"/>
      <protection locked="0"/>
    </xf>
    <xf numFmtId="166" fontId="18" fillId="2" borderId="79" xfId="0" applyNumberFormat="1" applyFont="1" applyFill="1" applyBorder="1" applyAlignment="1" applyProtection="1">
      <alignment horizontal="center" vertical="center"/>
      <protection locked="0"/>
    </xf>
    <xf numFmtId="0" fontId="35" fillId="2" borderId="0" xfId="2" applyNumberFormat="1" applyFont="1" applyFill="1" applyBorder="1" applyAlignment="1" applyProtection="1">
      <alignment horizontal="left" vertical="center" indent="2"/>
      <protection hidden="1"/>
    </xf>
    <xf numFmtId="0" fontId="35" fillId="2" borderId="20" xfId="2" applyNumberFormat="1" applyFont="1" applyFill="1" applyBorder="1" applyAlignment="1" applyProtection="1">
      <alignment horizontal="left" vertical="center" indent="2"/>
      <protection hidden="1"/>
    </xf>
    <xf numFmtId="0" fontId="8" fillId="2" borderId="0" xfId="0" applyFont="1" applyFill="1" applyBorder="1" applyAlignment="1" applyProtection="1">
      <alignment horizontal="left" vertical="top" indent="2"/>
      <protection hidden="1"/>
    </xf>
    <xf numFmtId="0" fontId="125" fillId="2" borderId="0" xfId="0" applyNumberFormat="1" applyFont="1" applyFill="1" applyAlignment="1" applyProtection="1">
      <alignment horizontal="left" indent="2"/>
      <protection hidden="1"/>
    </xf>
    <xf numFmtId="0" fontId="125" fillId="2" borderId="0" xfId="0" applyFont="1" applyFill="1" applyAlignment="1" applyProtection="1">
      <alignment horizontal="left" indent="2"/>
      <protection hidden="1"/>
    </xf>
    <xf numFmtId="0" fontId="125" fillId="2" borderId="0" xfId="0" applyNumberFormat="1" applyFont="1" applyFill="1" applyAlignment="1" applyProtection="1">
      <alignment horizontal="left" vertical="top" indent="2"/>
      <protection hidden="1"/>
    </xf>
    <xf numFmtId="0" fontId="125" fillId="2" borderId="0" xfId="0" applyFont="1" applyFill="1" applyAlignment="1" applyProtection="1">
      <alignment horizontal="left" vertical="top" indent="2"/>
      <protection hidden="1"/>
    </xf>
    <xf numFmtId="0" fontId="63" fillId="2" borderId="7" xfId="0" applyNumberFormat="1" applyFont="1" applyFill="1" applyBorder="1" applyAlignment="1" applyProtection="1">
      <alignment horizontal="right" vertical="center" indent="3"/>
      <protection hidden="1"/>
    </xf>
    <xf numFmtId="0" fontId="65" fillId="2" borderId="0" xfId="0" applyNumberFormat="1" applyFont="1" applyFill="1" applyBorder="1" applyAlignment="1" applyProtection="1">
      <alignment horizontal="left" vertical="top" indent="1"/>
      <protection hidden="1"/>
    </xf>
    <xf numFmtId="0" fontId="65" fillId="2" borderId="7" xfId="0" applyNumberFormat="1" applyFont="1" applyFill="1" applyBorder="1" applyAlignment="1" applyProtection="1">
      <alignment horizontal="left" vertical="center" indent="1"/>
      <protection hidden="1"/>
    </xf>
    <xf numFmtId="168" fontId="76" fillId="2" borderId="0" xfId="0" applyNumberFormat="1" applyFont="1" applyFill="1" applyBorder="1" applyAlignment="1" applyProtection="1">
      <alignment horizontal="center"/>
      <protection hidden="1"/>
    </xf>
    <xf numFmtId="0" fontId="33" fillId="2" borderId="0" xfId="0" applyNumberFormat="1" applyFont="1" applyFill="1" applyBorder="1" applyAlignment="1" applyProtection="1">
      <alignment horizontal="center" vertical="center"/>
      <protection hidden="1"/>
    </xf>
    <xf numFmtId="0" fontId="65" fillId="2" borderId="7" xfId="0" applyNumberFormat="1" applyFont="1" applyFill="1" applyBorder="1" applyAlignment="1" applyProtection="1">
      <alignment horizontal="left" vertical="top" indent="1"/>
      <protection hidden="1"/>
    </xf>
    <xf numFmtId="0" fontId="17" fillId="2" borderId="0" xfId="0" applyNumberFormat="1" applyFont="1" applyFill="1" applyAlignment="1" applyProtection="1">
      <alignment horizontal="right" indent="2"/>
      <protection hidden="1"/>
    </xf>
    <xf numFmtId="0" fontId="18" fillId="2" borderId="0" xfId="0" applyFont="1" applyFill="1" applyBorder="1" applyAlignment="1" applyProtection="1">
      <alignment horizontal="right" indent="2"/>
      <protection hidden="1"/>
    </xf>
    <xf numFmtId="166" fontId="8" fillId="2" borderId="7" xfId="0" applyNumberFormat="1" applyFont="1" applyFill="1" applyBorder="1" applyAlignment="1" applyProtection="1">
      <alignment horizontal="center" vertical="center"/>
      <protection hidden="1"/>
    </xf>
    <xf numFmtId="168" fontId="142" fillId="2" borderId="7" xfId="0" applyNumberFormat="1" applyFont="1" applyFill="1" applyBorder="1" applyAlignment="1" applyProtection="1">
      <alignment horizontal="center" vertical="center"/>
      <protection hidden="1"/>
    </xf>
    <xf numFmtId="0" fontId="65" fillId="2" borderId="0" xfId="0" applyNumberFormat="1" applyFont="1" applyFill="1" applyBorder="1" applyAlignment="1" applyProtection="1">
      <alignment horizontal="left"/>
      <protection hidden="1"/>
    </xf>
    <xf numFmtId="0" fontId="136" fillId="2" borderId="0" xfId="0" applyFont="1" applyFill="1" applyAlignment="1" applyProtection="1">
      <alignment horizontal="left" vertical="center"/>
      <protection hidden="1"/>
    </xf>
    <xf numFmtId="168" fontId="44" fillId="2" borderId="0" xfId="0" applyNumberFormat="1" applyFont="1" applyFill="1" applyAlignment="1" applyProtection="1">
      <alignment horizontal="right" vertical="center"/>
      <protection hidden="1"/>
    </xf>
    <xf numFmtId="0" fontId="17" fillId="3" borderId="5" xfId="0" applyFont="1" applyFill="1" applyBorder="1" applyAlignment="1" applyProtection="1">
      <alignment horizontal="center" vertical="center"/>
      <protection hidden="1"/>
    </xf>
    <xf numFmtId="0" fontId="17" fillId="3" borderId="71" xfId="0" applyFont="1" applyFill="1" applyBorder="1" applyAlignment="1" applyProtection="1">
      <alignment horizontal="center" vertical="center"/>
      <protection hidden="1"/>
    </xf>
    <xf numFmtId="0" fontId="17" fillId="3" borderId="54" xfId="0" applyFont="1" applyFill="1" applyBorder="1" applyAlignment="1" applyProtection="1">
      <alignment horizontal="center" vertical="center"/>
      <protection hidden="1"/>
    </xf>
    <xf numFmtId="168" fontId="18" fillId="2" borderId="7" xfId="0" applyNumberFormat="1" applyFont="1" applyFill="1" applyBorder="1" applyAlignment="1" applyProtection="1">
      <alignment horizontal="center" vertical="center"/>
      <protection hidden="1"/>
    </xf>
    <xf numFmtId="0" fontId="151" fillId="7" borderId="0" xfId="2" applyFont="1" applyFill="1" applyBorder="1" applyAlignment="1" applyProtection="1">
      <alignment horizontal="center"/>
      <protection hidden="1"/>
    </xf>
    <xf numFmtId="0" fontId="17" fillId="2" borderId="5" xfId="0" applyFont="1" applyFill="1" applyBorder="1" applyAlignment="1" applyProtection="1">
      <alignment horizontal="center" vertical="center"/>
      <protection hidden="1"/>
    </xf>
    <xf numFmtId="0" fontId="17" fillId="2" borderId="71" xfId="0" applyFont="1" applyFill="1" applyBorder="1" applyAlignment="1" applyProtection="1">
      <alignment horizontal="center" vertical="center"/>
      <protection hidden="1"/>
    </xf>
    <xf numFmtId="0" fontId="17" fillId="2" borderId="79" xfId="0" applyFont="1" applyFill="1" applyBorder="1" applyAlignment="1" applyProtection="1">
      <alignment horizontal="center" vertical="center"/>
      <protection hidden="1"/>
    </xf>
    <xf numFmtId="0" fontId="71" fillId="2" borderId="90" xfId="2" applyFont="1" applyFill="1" applyBorder="1" applyAlignment="1" applyProtection="1">
      <alignment horizontal="left" indent="2"/>
      <protection hidden="1"/>
    </xf>
    <xf numFmtId="0" fontId="71" fillId="2" borderId="0" xfId="2" applyFont="1" applyFill="1" applyBorder="1" applyAlignment="1" applyProtection="1">
      <alignment horizontal="left" indent="2"/>
      <protection hidden="1"/>
    </xf>
    <xf numFmtId="0" fontId="77" fillId="2" borderId="4" xfId="0" applyFont="1" applyFill="1" applyBorder="1" applyAlignment="1" applyProtection="1">
      <alignment horizontal="center" vertical="center"/>
      <protection hidden="1"/>
    </xf>
    <xf numFmtId="168" fontId="62" fillId="2" borderId="34" xfId="0" applyNumberFormat="1" applyFont="1" applyFill="1" applyBorder="1" applyAlignment="1" applyProtection="1">
      <alignment horizontal="right"/>
      <protection hidden="1"/>
    </xf>
    <xf numFmtId="168" fontId="62" fillId="9" borderId="42" xfId="0" applyNumberFormat="1" applyFont="1" applyFill="1" applyBorder="1" applyAlignment="1" applyProtection="1">
      <alignment horizontal="right"/>
      <protection locked="0"/>
    </xf>
    <xf numFmtId="168" fontId="62" fillId="9" borderId="4" xfId="0" applyNumberFormat="1" applyFont="1" applyFill="1" applyBorder="1" applyAlignment="1" applyProtection="1">
      <alignment horizontal="right"/>
      <protection locked="0"/>
    </xf>
    <xf numFmtId="168" fontId="62" fillId="9" borderId="84" xfId="0" applyNumberFormat="1" applyFont="1" applyFill="1" applyBorder="1" applyAlignment="1" applyProtection="1">
      <alignment horizontal="right"/>
      <protection locked="0"/>
    </xf>
    <xf numFmtId="0" fontId="109" fillId="2" borderId="4" xfId="0" applyFont="1" applyFill="1" applyBorder="1" applyAlignment="1" applyProtection="1">
      <alignment horizontal="center" vertical="center"/>
      <protection hidden="1"/>
    </xf>
    <xf numFmtId="0" fontId="18" fillId="2" borderId="0" xfId="0" applyFont="1" applyFill="1" applyBorder="1" applyAlignment="1" applyProtection="1">
      <alignment horizontal="left" vertical="top"/>
      <protection hidden="1"/>
    </xf>
    <xf numFmtId="168" fontId="141" fillId="8" borderId="2" xfId="0" applyNumberFormat="1" applyFont="1" applyFill="1" applyBorder="1" applyAlignment="1" applyProtection="1">
      <alignment horizontal="right" vertical="top"/>
      <protection hidden="1"/>
    </xf>
    <xf numFmtId="168" fontId="141" fillId="8" borderId="7" xfId="0" applyNumberFormat="1" applyFont="1" applyFill="1" applyBorder="1" applyAlignment="1" applyProtection="1">
      <alignment horizontal="right" vertical="top"/>
      <protection hidden="1"/>
    </xf>
    <xf numFmtId="168" fontId="141" fillId="8" borderId="128" xfId="0" applyNumberFormat="1" applyFont="1" applyFill="1" applyBorder="1" applyAlignment="1" applyProtection="1">
      <alignment horizontal="right" vertical="top"/>
      <protection hidden="1"/>
    </xf>
    <xf numFmtId="168" fontId="141" fillId="8" borderId="34" xfId="0" applyNumberFormat="1" applyFont="1" applyFill="1" applyBorder="1" applyAlignment="1" applyProtection="1">
      <alignment horizontal="right"/>
      <protection hidden="1"/>
    </xf>
    <xf numFmtId="168" fontId="141" fillId="8" borderId="4" xfId="0" applyNumberFormat="1" applyFont="1" applyFill="1" applyBorder="1" applyAlignment="1" applyProtection="1">
      <alignment horizontal="right"/>
      <protection hidden="1"/>
    </xf>
    <xf numFmtId="168" fontId="141" fillId="8" borderId="84" xfId="0" applyNumberFormat="1" applyFont="1" applyFill="1" applyBorder="1" applyAlignment="1" applyProtection="1">
      <alignment horizontal="right"/>
      <protection hidden="1"/>
    </xf>
    <xf numFmtId="168" fontId="141" fillId="8" borderId="22" xfId="0" applyNumberFormat="1" applyFont="1" applyFill="1" applyBorder="1" applyAlignment="1" applyProtection="1">
      <alignment horizontal="right"/>
      <protection hidden="1"/>
    </xf>
    <xf numFmtId="168" fontId="141" fillId="8" borderId="3" xfId="0" applyNumberFormat="1" applyFont="1" applyFill="1" applyBorder="1" applyAlignment="1" applyProtection="1">
      <alignment horizontal="right" vertical="top"/>
      <protection hidden="1"/>
    </xf>
    <xf numFmtId="0" fontId="8" fillId="2" borderId="0" xfId="0" applyFont="1" applyFill="1" applyBorder="1" applyAlignment="1" applyProtection="1">
      <alignment horizontal="center" vertical="center"/>
      <protection hidden="1"/>
    </xf>
    <xf numFmtId="168" fontId="62" fillId="7" borderId="5" xfId="0" applyNumberFormat="1" applyFont="1" applyFill="1" applyBorder="1" applyAlignment="1" applyProtection="1">
      <alignment horizontal="right" vertical="center"/>
      <protection hidden="1"/>
    </xf>
    <xf numFmtId="168" fontId="62" fillId="7" borderId="71" xfId="0" applyNumberFormat="1" applyFont="1" applyFill="1" applyBorder="1" applyAlignment="1" applyProtection="1">
      <alignment horizontal="right" vertical="center"/>
      <protection hidden="1"/>
    </xf>
    <xf numFmtId="168" fontId="62" fillId="7" borderId="79" xfId="0" applyNumberFormat="1" applyFont="1" applyFill="1" applyBorder="1" applyAlignment="1" applyProtection="1">
      <alignment horizontal="right" vertical="center"/>
      <protection hidden="1"/>
    </xf>
    <xf numFmtId="0" fontId="77" fillId="2" borderId="0" xfId="0" applyFont="1" applyFill="1" applyBorder="1" applyAlignment="1" applyProtection="1">
      <alignment horizontal="center" vertical="center"/>
      <protection hidden="1"/>
    </xf>
    <xf numFmtId="0" fontId="75" fillId="9" borderId="5" xfId="0" applyFont="1" applyFill="1" applyBorder="1" applyAlignment="1" applyProtection="1">
      <alignment horizontal="center" vertical="center"/>
      <protection hidden="1"/>
    </xf>
    <xf numFmtId="0" fontId="75" fillId="9" borderId="79" xfId="0" applyFont="1" applyFill="1" applyBorder="1" applyAlignment="1" applyProtection="1">
      <alignment horizontal="center" vertical="center"/>
      <protection hidden="1"/>
    </xf>
    <xf numFmtId="168" fontId="40" fillId="7" borderId="45" xfId="0" applyNumberFormat="1" applyFont="1" applyFill="1" applyBorder="1" applyAlignment="1" applyProtection="1">
      <alignment horizontal="right" vertical="center"/>
      <protection hidden="1"/>
    </xf>
    <xf numFmtId="168" fontId="40" fillId="7" borderId="46" xfId="0" applyNumberFormat="1" applyFont="1" applyFill="1" applyBorder="1" applyAlignment="1" applyProtection="1">
      <alignment horizontal="right" vertical="center"/>
      <protection hidden="1"/>
    </xf>
    <xf numFmtId="0" fontId="156" fillId="7" borderId="4" xfId="0" applyFont="1" applyFill="1" applyBorder="1" applyAlignment="1" applyProtection="1">
      <alignment horizontal="center" vertical="center"/>
      <protection hidden="1"/>
    </xf>
    <xf numFmtId="0" fontId="167" fillId="2" borderId="127" xfId="0" applyNumberFormat="1" applyFont="1" applyFill="1" applyBorder="1" applyAlignment="1" applyProtection="1">
      <alignment horizontal="center" vertical="center"/>
      <protection hidden="1"/>
    </xf>
    <xf numFmtId="0" fontId="167" fillId="2" borderId="7" xfId="0" applyNumberFormat="1" applyFont="1" applyFill="1" applyBorder="1" applyAlignment="1" applyProtection="1">
      <alignment horizontal="center" vertical="center"/>
      <protection hidden="1"/>
    </xf>
    <xf numFmtId="0" fontId="167" fillId="2" borderId="128" xfId="0" applyNumberFormat="1" applyFont="1" applyFill="1" applyBorder="1" applyAlignment="1" applyProtection="1">
      <alignment horizontal="center" vertical="center"/>
      <protection hidden="1"/>
    </xf>
    <xf numFmtId="168" fontId="141" fillId="8" borderId="127" xfId="0" applyNumberFormat="1" applyFont="1" applyFill="1" applyBorder="1" applyAlignment="1" applyProtection="1">
      <alignment horizontal="right" vertical="top"/>
      <protection hidden="1"/>
    </xf>
    <xf numFmtId="168" fontId="141" fillId="8" borderId="42" xfId="0" applyNumberFormat="1" applyFont="1" applyFill="1" applyBorder="1" applyAlignment="1" applyProtection="1">
      <alignment horizontal="right"/>
      <protection hidden="1"/>
    </xf>
    <xf numFmtId="168" fontId="140" fillId="7" borderId="5" xfId="0" applyNumberFormat="1" applyFont="1" applyFill="1" applyBorder="1" applyAlignment="1" applyProtection="1">
      <alignment horizontal="right" vertical="center"/>
      <protection hidden="1"/>
    </xf>
    <xf numFmtId="168" fontId="140" fillId="7" borderId="71" xfId="0" applyNumberFormat="1" applyFont="1" applyFill="1" applyBorder="1" applyAlignment="1" applyProtection="1">
      <alignment horizontal="right" vertical="center"/>
      <protection hidden="1"/>
    </xf>
    <xf numFmtId="168" fontId="140" fillId="7" borderId="79" xfId="0" applyNumberFormat="1" applyFont="1" applyFill="1" applyBorder="1" applyAlignment="1" applyProtection="1">
      <alignment horizontal="right" vertical="center"/>
      <protection hidden="1"/>
    </xf>
    <xf numFmtId="168" fontId="140" fillId="7" borderId="45" xfId="0" applyNumberFormat="1" applyFont="1" applyFill="1" applyBorder="1" applyAlignment="1" applyProtection="1">
      <alignment horizontal="right" vertical="center"/>
      <protection hidden="1"/>
    </xf>
    <xf numFmtId="168" fontId="140" fillId="7" borderId="46" xfId="0" applyNumberFormat="1" applyFont="1" applyFill="1" applyBorder="1" applyAlignment="1" applyProtection="1">
      <alignment horizontal="right" vertical="center"/>
      <protection hidden="1"/>
    </xf>
    <xf numFmtId="168" fontId="62" fillId="9" borderId="127" xfId="0" applyNumberFormat="1" applyFont="1" applyFill="1" applyBorder="1" applyAlignment="1" applyProtection="1">
      <alignment horizontal="right" vertical="top"/>
      <protection locked="0"/>
    </xf>
    <xf numFmtId="168" fontId="62" fillId="9" borderId="7" xfId="0" applyNumberFormat="1" applyFont="1" applyFill="1" applyBorder="1" applyAlignment="1" applyProtection="1">
      <alignment horizontal="right" vertical="top"/>
      <protection locked="0"/>
    </xf>
    <xf numFmtId="168" fontId="62" fillId="9" borderId="3" xfId="0" applyNumberFormat="1" applyFont="1" applyFill="1" applyBorder="1" applyAlignment="1" applyProtection="1">
      <alignment horizontal="right" vertical="top"/>
      <protection locked="0"/>
    </xf>
    <xf numFmtId="166" fontId="159" fillId="2" borderId="0" xfId="0" applyNumberFormat="1" applyFont="1" applyFill="1" applyBorder="1" applyAlignment="1" applyProtection="1">
      <alignment horizontal="right"/>
      <protection hidden="1"/>
    </xf>
    <xf numFmtId="166" fontId="159" fillId="2" borderId="20" xfId="0" applyNumberFormat="1" applyFont="1" applyFill="1" applyBorder="1" applyAlignment="1" applyProtection="1">
      <alignment horizontal="right"/>
      <protection hidden="1"/>
    </xf>
    <xf numFmtId="166" fontId="159" fillId="2" borderId="0" xfId="0" applyNumberFormat="1" applyFont="1" applyFill="1" applyBorder="1" applyAlignment="1" applyProtection="1">
      <alignment horizontal="right" vertical="top"/>
      <protection hidden="1"/>
    </xf>
    <xf numFmtId="166" fontId="159" fillId="2" borderId="20" xfId="0" applyNumberFormat="1" applyFont="1" applyFill="1" applyBorder="1" applyAlignment="1" applyProtection="1">
      <alignment horizontal="right" vertical="top"/>
      <protection hidden="1"/>
    </xf>
    <xf numFmtId="168" fontId="62" fillId="9" borderId="2" xfId="0" applyNumberFormat="1" applyFont="1" applyFill="1" applyBorder="1" applyAlignment="1" applyProtection="1">
      <alignment horizontal="right" vertical="top"/>
      <protection locked="0"/>
    </xf>
    <xf numFmtId="168" fontId="62" fillId="9" borderId="128" xfId="0" applyNumberFormat="1" applyFont="1" applyFill="1" applyBorder="1" applyAlignment="1" applyProtection="1">
      <alignment horizontal="right" vertical="top"/>
      <protection locked="0"/>
    </xf>
    <xf numFmtId="0" fontId="130" fillId="2" borderId="0" xfId="0" applyFont="1" applyFill="1" applyBorder="1" applyAlignment="1" applyProtection="1">
      <alignment horizontal="center" vertical="center"/>
      <protection hidden="1"/>
    </xf>
    <xf numFmtId="0" fontId="167" fillId="2" borderId="1" xfId="0" applyNumberFormat="1" applyFont="1" applyFill="1" applyBorder="1" applyAlignment="1" applyProtection="1">
      <alignment horizontal="center" vertical="top"/>
      <protection hidden="1"/>
    </xf>
    <xf numFmtId="0" fontId="167" fillId="2" borderId="0" xfId="0" applyNumberFormat="1" applyFont="1" applyFill="1" applyBorder="1" applyAlignment="1" applyProtection="1">
      <alignment horizontal="center" vertical="top"/>
      <protection hidden="1"/>
    </xf>
    <xf numFmtId="0" fontId="167" fillId="2" borderId="39" xfId="0" applyNumberFormat="1" applyFont="1" applyFill="1" applyBorder="1" applyAlignment="1" applyProtection="1">
      <alignment horizontal="center" vertical="top"/>
      <protection hidden="1"/>
    </xf>
    <xf numFmtId="0" fontId="167" fillId="2" borderId="42" xfId="0" applyNumberFormat="1" applyFont="1" applyFill="1" applyBorder="1" applyAlignment="1" applyProtection="1">
      <alignment horizontal="center"/>
      <protection hidden="1"/>
    </xf>
    <xf numFmtId="0" fontId="167" fillId="2" borderId="4" xfId="0" applyNumberFormat="1" applyFont="1" applyFill="1" applyBorder="1" applyAlignment="1" applyProtection="1">
      <alignment horizontal="center"/>
      <protection hidden="1"/>
    </xf>
    <xf numFmtId="0" fontId="167" fillId="2" borderId="84" xfId="0" applyNumberFormat="1" applyFont="1" applyFill="1" applyBorder="1" applyAlignment="1" applyProtection="1">
      <alignment horizontal="center"/>
      <protection hidden="1"/>
    </xf>
    <xf numFmtId="168" fontId="140" fillId="7" borderId="54" xfId="0" applyNumberFormat="1" applyFont="1" applyFill="1" applyBorder="1" applyAlignment="1" applyProtection="1">
      <alignment horizontal="right" vertical="center"/>
      <protection hidden="1"/>
    </xf>
    <xf numFmtId="168" fontId="140" fillId="7" borderId="53" xfId="0" applyNumberFormat="1" applyFont="1" applyFill="1" applyBorder="1" applyAlignment="1" applyProtection="1">
      <alignment horizontal="right" vertical="center"/>
      <protection hidden="1"/>
    </xf>
    <xf numFmtId="0" fontId="75" fillId="2" borderId="0" xfId="0" applyNumberFormat="1" applyFont="1" applyFill="1" applyAlignment="1" applyProtection="1">
      <alignment horizontal="left"/>
      <protection hidden="1"/>
    </xf>
    <xf numFmtId="0" fontId="93" fillId="2" borderId="0" xfId="0" applyNumberFormat="1" applyFont="1" applyFill="1" applyAlignment="1" applyProtection="1">
      <alignment horizontal="left" vertical="center"/>
      <protection hidden="1"/>
    </xf>
    <xf numFmtId="0" fontId="141" fillId="8" borderId="5" xfId="0" applyFont="1" applyFill="1" applyBorder="1" applyAlignment="1" applyProtection="1">
      <alignment horizontal="center" vertical="center"/>
      <protection hidden="1"/>
    </xf>
    <xf numFmtId="0" fontId="141" fillId="8" borderId="79" xfId="0" applyFont="1" applyFill="1" applyBorder="1" applyAlignment="1" applyProtection="1">
      <alignment horizontal="center" vertical="center"/>
      <protection hidden="1"/>
    </xf>
    <xf numFmtId="0" fontId="167" fillId="2" borderId="21" xfId="0" applyNumberFormat="1" applyFont="1" applyFill="1" applyBorder="1" applyAlignment="1" applyProtection="1">
      <alignment horizontal="center" vertical="top"/>
      <protection hidden="1"/>
    </xf>
    <xf numFmtId="0" fontId="64" fillId="2" borderId="0" xfId="0" applyNumberFormat="1" applyFont="1" applyFill="1" applyAlignment="1" applyProtection="1">
      <alignment horizontal="right" vertical="center"/>
      <protection hidden="1"/>
    </xf>
    <xf numFmtId="0" fontId="167" fillId="2" borderId="2" xfId="0" applyNumberFormat="1" applyFont="1" applyFill="1" applyBorder="1" applyAlignment="1" applyProtection="1">
      <alignment horizontal="center" vertical="center"/>
      <protection hidden="1"/>
    </xf>
    <xf numFmtId="0" fontId="170" fillId="0" borderId="7" xfId="0" applyFont="1" applyBorder="1" applyProtection="1">
      <protection hidden="1"/>
    </xf>
    <xf numFmtId="0" fontId="170" fillId="0" borderId="128" xfId="0" applyFont="1" applyBorder="1" applyProtection="1">
      <protection hidden="1"/>
    </xf>
    <xf numFmtId="0" fontId="167" fillId="2" borderId="22" xfId="0" applyNumberFormat="1" applyFont="1" applyFill="1" applyBorder="1" applyAlignment="1" applyProtection="1">
      <alignment horizontal="center"/>
      <protection hidden="1"/>
    </xf>
    <xf numFmtId="0" fontId="167" fillId="2" borderId="34" xfId="0" applyNumberFormat="1" applyFont="1" applyFill="1" applyBorder="1" applyAlignment="1" applyProtection="1">
      <alignment horizontal="center"/>
      <protection hidden="1"/>
    </xf>
    <xf numFmtId="0" fontId="18" fillId="2" borderId="0" xfId="0" applyFont="1" applyFill="1" applyBorder="1" applyAlignment="1" applyProtection="1">
      <alignment horizontal="left"/>
      <protection hidden="1"/>
    </xf>
    <xf numFmtId="168" fontId="40" fillId="7" borderId="47" xfId="0" applyNumberFormat="1" applyFont="1" applyFill="1" applyBorder="1" applyAlignment="1" applyProtection="1">
      <alignment horizontal="right" vertical="center"/>
      <protection hidden="1"/>
    </xf>
    <xf numFmtId="0" fontId="44" fillId="2" borderId="71" xfId="0" applyFont="1" applyFill="1" applyBorder="1" applyAlignment="1" applyProtection="1">
      <alignment horizontal="center" vertical="center"/>
      <protection hidden="1"/>
    </xf>
    <xf numFmtId="0" fontId="44" fillId="2" borderId="79" xfId="0" applyFont="1" applyFill="1" applyBorder="1" applyAlignment="1" applyProtection="1">
      <alignment horizontal="center" vertical="center"/>
      <protection hidden="1"/>
    </xf>
    <xf numFmtId="0" fontId="44" fillId="2" borderId="5" xfId="0" applyFont="1" applyFill="1" applyBorder="1" applyAlignment="1" applyProtection="1">
      <alignment horizontal="center" vertical="center"/>
      <protection hidden="1"/>
    </xf>
    <xf numFmtId="0" fontId="167" fillId="2" borderId="3" xfId="0" applyNumberFormat="1" applyFont="1" applyFill="1" applyBorder="1" applyAlignment="1" applyProtection="1">
      <alignment horizontal="center" vertical="center"/>
      <protection hidden="1"/>
    </xf>
    <xf numFmtId="0" fontId="167" fillId="2" borderId="20" xfId="0" applyNumberFormat="1" applyFont="1" applyFill="1" applyBorder="1" applyAlignment="1" applyProtection="1">
      <alignment horizontal="center" vertical="top"/>
      <protection hidden="1"/>
    </xf>
    <xf numFmtId="0" fontId="171" fillId="2" borderId="0" xfId="0" applyFont="1" applyFill="1" applyBorder="1" applyAlignment="1" applyProtection="1">
      <alignment horizontal="center"/>
      <protection hidden="1"/>
    </xf>
    <xf numFmtId="168" fontId="62" fillId="9" borderId="34" xfId="0" applyNumberFormat="1" applyFont="1" applyFill="1" applyBorder="1" applyAlignment="1" applyProtection="1">
      <alignment horizontal="right"/>
      <protection locked="0"/>
    </xf>
    <xf numFmtId="166" fontId="50" fillId="2" borderId="0" xfId="0" applyNumberFormat="1" applyFont="1" applyFill="1" applyBorder="1" applyAlignment="1" applyProtection="1">
      <alignment horizontal="right"/>
      <protection hidden="1"/>
    </xf>
    <xf numFmtId="166" fontId="50" fillId="2" borderId="20" xfId="0" applyNumberFormat="1" applyFont="1" applyFill="1" applyBorder="1" applyAlignment="1" applyProtection="1">
      <alignment horizontal="right"/>
      <protection hidden="1"/>
    </xf>
    <xf numFmtId="0" fontId="109" fillId="2" borderId="0" xfId="0" applyFont="1" applyFill="1" applyBorder="1" applyAlignment="1" applyProtection="1">
      <alignment horizontal="center" vertical="center"/>
      <protection hidden="1"/>
    </xf>
    <xf numFmtId="168" fontId="62" fillId="9" borderId="22" xfId="0" applyNumberFormat="1" applyFont="1" applyFill="1" applyBorder="1" applyAlignment="1" applyProtection="1">
      <alignment horizontal="right"/>
      <protection locked="0"/>
    </xf>
    <xf numFmtId="166" fontId="50" fillId="2" borderId="0" xfId="0" applyNumberFormat="1" applyFont="1" applyFill="1" applyBorder="1" applyAlignment="1" applyProtection="1">
      <alignment horizontal="right" vertical="top"/>
      <protection hidden="1"/>
    </xf>
    <xf numFmtId="166" fontId="50" fillId="2" borderId="20" xfId="0" applyNumberFormat="1" applyFont="1" applyFill="1" applyBorder="1" applyAlignment="1" applyProtection="1">
      <alignment horizontal="right" vertical="top"/>
      <protection hidden="1"/>
    </xf>
    <xf numFmtId="0" fontId="17" fillId="3" borderId="154" xfId="0" applyFont="1" applyFill="1" applyBorder="1" applyAlignment="1" applyProtection="1">
      <alignment horizontal="center" vertical="center"/>
      <protection hidden="1"/>
    </xf>
    <xf numFmtId="0" fontId="17" fillId="3" borderId="53" xfId="0" applyFont="1" applyFill="1" applyBorder="1" applyAlignment="1" applyProtection="1">
      <alignment horizontal="center" vertical="center"/>
      <protection hidden="1"/>
    </xf>
    <xf numFmtId="167" fontId="33" fillId="2" borderId="7" xfId="0" applyNumberFormat="1" applyFont="1" applyFill="1" applyBorder="1" applyAlignment="1" applyProtection="1">
      <alignment horizontal="center" vertical="center"/>
      <protection hidden="1"/>
    </xf>
    <xf numFmtId="4" fontId="14" fillId="2" borderId="151" xfId="0" applyNumberFormat="1" applyFont="1" applyFill="1" applyBorder="1" applyAlignment="1" applyProtection="1">
      <alignment horizontal="right" vertical="center" indent="1"/>
      <protection hidden="1"/>
    </xf>
    <xf numFmtId="4" fontId="14" fillId="2" borderId="78" xfId="0" applyNumberFormat="1" applyFont="1" applyFill="1" applyBorder="1" applyAlignment="1" applyProtection="1">
      <alignment horizontal="right" vertical="center" indent="1"/>
      <protection hidden="1"/>
    </xf>
    <xf numFmtId="0" fontId="14" fillId="3" borderId="54" xfId="0" applyFont="1" applyFill="1" applyBorder="1" applyAlignment="1" applyProtection="1">
      <alignment horizontal="center" vertical="center"/>
      <protection hidden="1"/>
    </xf>
    <xf numFmtId="0" fontId="14" fillId="3" borderId="71" xfId="0" applyFont="1" applyFill="1" applyBorder="1" applyAlignment="1" applyProtection="1">
      <alignment horizontal="center" vertical="center"/>
      <protection hidden="1"/>
    </xf>
    <xf numFmtId="0" fontId="17" fillId="3" borderId="79" xfId="0" applyFont="1" applyFill="1" applyBorder="1" applyAlignment="1" applyProtection="1">
      <alignment horizontal="center" vertical="center"/>
      <protection hidden="1"/>
    </xf>
    <xf numFmtId="4" fontId="14" fillId="2" borderId="152" xfId="0" applyNumberFormat="1" applyFont="1" applyFill="1" applyBorder="1" applyAlignment="1" applyProtection="1">
      <alignment horizontal="right" vertical="center" indent="1"/>
      <protection hidden="1"/>
    </xf>
    <xf numFmtId="0" fontId="135" fillId="2" borderId="0" xfId="0" applyNumberFormat="1" applyFont="1" applyFill="1" applyBorder="1" applyAlignment="1" applyProtection="1">
      <protection hidden="1"/>
    </xf>
    <xf numFmtId="0" fontId="135" fillId="2" borderId="20" xfId="0" applyNumberFormat="1" applyFont="1" applyFill="1" applyBorder="1" applyAlignment="1" applyProtection="1">
      <protection hidden="1"/>
    </xf>
    <xf numFmtId="4" fontId="14" fillId="2" borderId="43" xfId="0" applyNumberFormat="1" applyFont="1" applyFill="1" applyBorder="1" applyAlignment="1" applyProtection="1">
      <alignment horizontal="right" vertical="center" indent="1"/>
      <protection hidden="1"/>
    </xf>
    <xf numFmtId="4" fontId="14" fillId="2" borderId="153" xfId="0" applyNumberFormat="1" applyFont="1" applyFill="1" applyBorder="1" applyAlignment="1" applyProtection="1">
      <alignment horizontal="right" vertical="center" indent="1"/>
      <protection hidden="1"/>
    </xf>
    <xf numFmtId="0" fontId="135" fillId="2" borderId="0" xfId="0" applyNumberFormat="1" applyFont="1" applyFill="1" applyBorder="1" applyAlignment="1" applyProtection="1">
      <alignment vertical="top"/>
      <protection hidden="1"/>
    </xf>
    <xf numFmtId="0" fontId="135" fillId="2" borderId="20" xfId="0" applyNumberFormat="1" applyFont="1" applyFill="1" applyBorder="1" applyAlignment="1" applyProtection="1">
      <alignment vertical="top"/>
      <protection hidden="1"/>
    </xf>
    <xf numFmtId="0" fontId="133" fillId="2" borderId="0" xfId="0" applyNumberFormat="1" applyFont="1" applyFill="1" applyBorder="1" applyAlignment="1" applyProtection="1">
      <protection hidden="1"/>
    </xf>
    <xf numFmtId="0" fontId="133" fillId="2" borderId="20" xfId="0" applyNumberFormat="1" applyFont="1" applyFill="1" applyBorder="1" applyAlignment="1" applyProtection="1">
      <protection hidden="1"/>
    </xf>
    <xf numFmtId="0" fontId="60" fillId="4" borderId="93" xfId="0" applyNumberFormat="1" applyFont="1" applyFill="1" applyBorder="1" applyAlignment="1" applyProtection="1">
      <alignment horizontal="center" vertical="center"/>
      <protection locked="0"/>
    </xf>
    <xf numFmtId="0" fontId="60" fillId="4" borderId="95"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protection hidden="1"/>
    </xf>
    <xf numFmtId="0" fontId="62" fillId="2" borderId="7" xfId="0" applyFont="1" applyFill="1" applyBorder="1" applyAlignment="1" applyProtection="1">
      <alignment horizontal="center" vertical="center"/>
      <protection hidden="1"/>
    </xf>
  </cellXfs>
  <cellStyles count="7">
    <cellStyle name="Collegamento ipertestuale" xfId="1" builtinId="8"/>
    <cellStyle name="Normale" xfId="0" builtinId="0"/>
    <cellStyle name="Normale 2" xfId="6"/>
    <cellStyle name="Normale_CORRISPETTIVI Cassa 1 di 3" xfId="2"/>
    <cellStyle name="Normale_Sistema corrispettivi RIDOTTO" xfId="3"/>
    <cellStyle name="Normale_Sistema corrispettivi semplice" xfId="4"/>
    <cellStyle name="Normale_Sistema ridotto FOGLI PRESENZE" xfId="5"/>
  </cellStyles>
  <dxfs count="4978">
    <dxf>
      <font>
        <condense val="0"/>
        <extend val="0"/>
        <color indexed="63"/>
      </font>
      <fill>
        <patternFill>
          <bgColor indexed="63"/>
        </patternFill>
      </fill>
    </dxf>
    <dxf>
      <font>
        <condense val="0"/>
        <extend val="0"/>
        <color indexed="9"/>
      </font>
    </dxf>
    <dxf>
      <font>
        <color rgb="FFFF0000"/>
      </font>
      <fill>
        <patternFill>
          <bgColor theme="0"/>
        </patternFill>
      </fill>
    </dxf>
    <dxf>
      <font>
        <condense val="0"/>
        <extend val="0"/>
        <color indexed="9"/>
      </font>
    </dxf>
    <dxf>
      <font>
        <color theme="0" tint="-0.499984740745262"/>
      </font>
    </dxf>
    <dxf>
      <font>
        <color rgb="FFFF0000"/>
      </font>
    </dxf>
    <dxf>
      <font>
        <condense val="0"/>
        <extend val="0"/>
        <color indexed="55"/>
      </font>
    </dxf>
    <dxf>
      <font>
        <color rgb="FFFF0000"/>
      </font>
    </dxf>
    <dxf>
      <font>
        <condense val="0"/>
        <extend val="0"/>
        <color indexed="55"/>
      </font>
    </dxf>
    <dxf>
      <font>
        <color rgb="FFFF0000"/>
      </font>
    </dxf>
    <dxf>
      <font>
        <condense val="0"/>
        <extend val="0"/>
        <color indexed="55"/>
      </font>
    </dxf>
    <dxf>
      <font>
        <color rgb="FFFF0000"/>
      </font>
    </dxf>
    <dxf>
      <font>
        <condense val="0"/>
        <extend val="0"/>
        <color indexed="55"/>
      </font>
    </dxf>
    <dxf>
      <font>
        <color rgb="FFFF0000"/>
      </font>
    </dxf>
    <dxf>
      <font>
        <condense val="0"/>
        <extend val="0"/>
        <color indexed="55"/>
      </font>
    </dxf>
    <dxf>
      <font>
        <color rgb="FFFF0000"/>
      </font>
    </dxf>
    <dxf>
      <font>
        <condense val="0"/>
        <extend val="0"/>
        <color indexed="55"/>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border>
        <top style="thin">
          <color indexed="23"/>
        </top>
      </border>
    </dxf>
    <dxf>
      <font>
        <condense val="0"/>
        <extend val="0"/>
        <color indexed="9"/>
      </font>
      <fill>
        <patternFill>
          <bgColor indexed="9"/>
        </patternFill>
      </fill>
      <border>
        <left/>
        <right/>
        <top/>
        <bottom/>
      </border>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border>
        <top style="thin">
          <color indexed="23"/>
        </top>
      </border>
    </dxf>
    <dxf>
      <font>
        <condense val="0"/>
        <extend val="0"/>
        <color indexed="9"/>
      </font>
      <fill>
        <patternFill>
          <bgColor indexed="9"/>
        </patternFill>
      </fill>
      <border>
        <left/>
        <right/>
        <top/>
        <bottom/>
      </border>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b val="0"/>
        <i val="0"/>
        <condense val="0"/>
        <extend val="0"/>
        <color indexed="9"/>
      </font>
      <fill>
        <patternFill>
          <bgColor indexed="9"/>
        </patternFill>
      </fill>
    </dxf>
    <dxf>
      <font>
        <condense val="0"/>
        <extend val="0"/>
        <color indexed="55"/>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rgb="FFFF0000"/>
      </font>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font>
    </dxf>
    <dxf>
      <font>
        <condense val="0"/>
        <extend val="0"/>
        <color indexed="9"/>
      </font>
    </dxf>
    <dxf>
      <font>
        <color theme="0"/>
      </font>
    </dxf>
    <dxf>
      <font>
        <condense val="0"/>
        <extend val="0"/>
        <color indexed="9"/>
      </font>
    </dxf>
    <dxf>
      <font>
        <color theme="0"/>
      </font>
      <fill>
        <patternFill>
          <bgColor theme="0"/>
        </patternFill>
      </fill>
      <border>
        <left/>
        <right/>
        <top/>
        <bottom/>
        <vertical/>
        <horizontal/>
      </border>
    </dxf>
    <dxf>
      <font>
        <condense val="0"/>
        <extend val="0"/>
        <color indexed="9"/>
      </font>
      <fill>
        <patternFill patternType="none">
          <bgColor indexed="65"/>
        </patternFill>
      </fill>
      <border>
        <left/>
        <right/>
        <top/>
        <bottom/>
      </border>
    </dxf>
    <dxf>
      <font>
        <color theme="0"/>
      </font>
      <fill>
        <patternFill>
          <bgColor theme="0"/>
        </patternFill>
      </fill>
      <border>
        <left/>
        <right/>
        <top/>
        <bottom/>
        <vertical/>
        <horizontal/>
      </border>
    </dxf>
    <dxf>
      <font>
        <condense val="0"/>
        <extend val="0"/>
        <color indexed="9"/>
      </font>
      <fill>
        <patternFill patternType="none">
          <bgColor indexed="65"/>
        </patternFill>
      </fill>
      <border>
        <left/>
        <right/>
        <top/>
        <bottom/>
      </border>
    </dxf>
    <dxf>
      <font>
        <color theme="0" tint="-0.499984740745262"/>
      </font>
    </dxf>
    <dxf>
      <font>
        <color theme="0" tint="-0.24994659260841701"/>
      </font>
    </dxf>
    <dxf>
      <font>
        <color theme="0" tint="-0.499984740745262"/>
      </font>
    </dxf>
    <dxf>
      <font>
        <color theme="0" tint="-0.24994659260841701"/>
      </font>
    </dxf>
    <dxf>
      <font>
        <color theme="0" tint="-0.499984740745262"/>
      </font>
    </dxf>
    <dxf>
      <font>
        <color theme="0" tint="-0.24994659260841701"/>
      </font>
    </dxf>
    <dxf>
      <font>
        <color theme="0" tint="-0.499984740745262"/>
      </font>
    </dxf>
    <dxf>
      <font>
        <color theme="0" tint="-0.24994659260841701"/>
      </font>
    </dxf>
    <dxf>
      <font>
        <condense val="0"/>
        <extend val="0"/>
        <color indexed="9"/>
      </font>
    </dxf>
    <dxf>
      <font>
        <condense val="0"/>
        <extend val="0"/>
        <color indexed="9"/>
      </font>
    </dxf>
    <dxf>
      <font>
        <color theme="0" tint="-0.499984740745262"/>
      </font>
    </dxf>
    <dxf>
      <font>
        <color theme="0" tint="-0.24994659260841701"/>
      </font>
    </dxf>
    <dxf>
      <font>
        <color theme="0" tint="-0.499984740745262"/>
      </font>
    </dxf>
    <dxf>
      <font>
        <color theme="0" tint="-0.24994659260841701"/>
      </font>
    </dxf>
    <dxf>
      <font>
        <color theme="0" tint="-0.499984740745262"/>
      </font>
    </dxf>
    <dxf>
      <font>
        <color theme="0" tint="-0.24994659260841701"/>
      </font>
    </dxf>
    <dxf>
      <font>
        <color theme="0" tint="-0.499984740745262"/>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fill>
        <patternFill patternType="none">
          <bgColor indexed="65"/>
        </patternFill>
      </fill>
      <border>
        <left/>
        <right/>
        <top/>
        <bottom/>
      </border>
    </dxf>
    <dxf>
      <font>
        <color theme="0" tint="-0.499984740745262"/>
      </font>
    </dxf>
    <dxf>
      <font>
        <color theme="0" tint="-0.499984740745262"/>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ndense val="0"/>
        <extend val="0"/>
        <color indexed="46"/>
      </font>
    </dxf>
    <dxf>
      <font>
        <condense val="0"/>
        <extend val="0"/>
        <color indexed="46"/>
      </font>
    </dxf>
    <dxf>
      <font>
        <condense val="0"/>
        <extend val="0"/>
        <color indexed="46"/>
      </font>
    </dxf>
    <dxf>
      <font>
        <color theme="1"/>
      </font>
      <fill>
        <patternFill>
          <bgColor theme="1"/>
        </patternFill>
      </fill>
    </dxf>
    <dxf>
      <font>
        <color theme="1"/>
      </font>
      <fill>
        <patternFill patternType="solid">
          <bgColor theme="1"/>
        </patternFill>
      </fill>
    </dxf>
    <dxf>
      <font>
        <color theme="0" tint="-0.499984740745262"/>
      </font>
    </dxf>
    <dxf>
      <font>
        <color theme="0" tint="-0.499984740745262"/>
      </font>
    </dxf>
    <dxf>
      <font>
        <color theme="0" tint="-4.9989318521683403E-2"/>
      </font>
    </dxf>
    <dxf>
      <font>
        <color theme="0"/>
      </font>
    </dxf>
    <dxf>
      <font>
        <condense val="0"/>
        <extend val="0"/>
        <color indexed="9"/>
      </font>
    </dxf>
    <dxf>
      <font>
        <color theme="0" tint="-0.499984740745262"/>
      </font>
    </dxf>
    <dxf>
      <font>
        <color theme="0" tint="-0.499984740745262"/>
      </font>
    </dxf>
    <dxf>
      <font>
        <color theme="0"/>
      </font>
    </dxf>
    <dxf>
      <font>
        <color theme="0" tint="-4.9989318521683403E-2"/>
      </font>
    </dxf>
    <dxf>
      <font>
        <color theme="0" tint="-4.9989318521683403E-2"/>
      </font>
    </dxf>
    <dxf>
      <font>
        <color theme="1"/>
      </font>
      <fill>
        <patternFill patternType="solid">
          <bgColor theme="1"/>
        </patternFill>
      </fill>
    </dxf>
    <dxf>
      <font>
        <color theme="0" tint="-0.499984740745262"/>
      </font>
    </dxf>
    <dxf>
      <font>
        <color theme="0" tint="-0.499984740745262"/>
      </font>
    </dxf>
    <dxf>
      <font>
        <color theme="0"/>
      </font>
    </dxf>
    <dxf>
      <font>
        <color theme="0" tint="-0.499984740745262"/>
      </font>
    </dxf>
    <dxf>
      <font>
        <color theme="0" tint="-0.499984740745262"/>
      </font>
    </dxf>
    <dxf>
      <font>
        <color theme="0" tint="-4.9989318521683403E-2"/>
      </font>
    </dxf>
    <dxf>
      <font>
        <color theme="0"/>
      </font>
    </dxf>
    <dxf>
      <font>
        <condense val="0"/>
        <extend val="0"/>
        <color indexed="9"/>
      </font>
    </dxf>
    <dxf>
      <font>
        <color theme="0" tint="-0.499984740745262"/>
      </font>
    </dxf>
    <dxf>
      <font>
        <color theme="0" tint="-0.499984740745262"/>
      </font>
    </dxf>
    <dxf>
      <font>
        <color theme="0" tint="-4.9989318521683403E-2"/>
      </font>
    </dxf>
    <dxf>
      <font>
        <color theme="0" tint="-0.499984740745262"/>
      </font>
    </dxf>
    <dxf>
      <font>
        <color theme="0" tint="-0.499984740745262"/>
      </font>
    </dxf>
    <dxf>
      <font>
        <color theme="0"/>
      </font>
    </dxf>
    <dxf>
      <font>
        <condense val="0"/>
        <extend val="0"/>
        <color indexed="9"/>
      </font>
    </dxf>
    <dxf>
      <font>
        <condense val="0"/>
        <extend val="0"/>
        <color indexed="9"/>
      </font>
    </dxf>
    <dxf>
      <font>
        <color theme="0" tint="-4.9989318521683403E-2"/>
      </font>
    </dxf>
    <dxf>
      <font>
        <color theme="0" tint="-4.9989318521683403E-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lor theme="0" tint="-0.499984740745262"/>
      </font>
    </dxf>
    <dxf>
      <font>
        <condense val="0"/>
        <extend val="0"/>
        <color indexed="9"/>
      </font>
    </dxf>
    <dxf>
      <font>
        <condense val="0"/>
        <extend val="0"/>
        <color indexed="46"/>
      </font>
    </dxf>
    <dxf>
      <font>
        <condense val="0"/>
        <extend val="0"/>
        <color indexed="46"/>
      </font>
    </dxf>
    <dxf>
      <font>
        <color theme="0" tint="-0.499984740745262"/>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ndense val="0"/>
        <extend val="0"/>
        <color indexed="46"/>
      </font>
    </dxf>
    <dxf>
      <font>
        <condense val="0"/>
        <extend val="0"/>
        <color indexed="46"/>
      </font>
    </dxf>
    <dxf>
      <font>
        <condense val="0"/>
        <extend val="0"/>
        <color indexed="46"/>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lor theme="0" tint="-0.499984740745262"/>
      </font>
    </dxf>
    <dxf>
      <font>
        <color theme="0"/>
      </font>
    </dxf>
    <dxf>
      <font>
        <condense val="0"/>
        <extend val="0"/>
        <color indexed="9"/>
      </font>
      <fill>
        <patternFill>
          <bgColor indexed="9"/>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ndense val="0"/>
        <extend val="0"/>
        <color indexed="23"/>
      </font>
    </dxf>
    <dxf>
      <font>
        <color theme="0" tint="-4.9989318521683403E-2"/>
      </font>
    </dxf>
    <dxf>
      <font>
        <color theme="0"/>
      </font>
      <fill>
        <patternFill>
          <bgColor theme="0"/>
        </patternFill>
      </fill>
      <border>
        <left/>
        <right/>
        <top/>
        <bottom/>
      </border>
    </dxf>
    <dxf>
      <font>
        <color theme="0" tint="-0.499984740745262"/>
      </font>
    </dxf>
    <dxf>
      <font>
        <color theme="0" tint="-4.9989318521683403E-2"/>
      </font>
    </dxf>
    <dxf>
      <font>
        <condense val="0"/>
        <extend val="0"/>
        <color indexed="9"/>
      </font>
      <fill>
        <patternFill>
          <bgColor indexed="9"/>
        </patternFill>
      </fill>
      <border>
        <left/>
        <right/>
        <top/>
        <bottom/>
      </border>
    </dxf>
    <dxf>
      <font>
        <condense val="0"/>
        <extend val="0"/>
        <color indexed="23"/>
      </font>
    </dxf>
    <dxf>
      <font>
        <color theme="0"/>
      </font>
    </dxf>
    <dxf>
      <font>
        <condense val="0"/>
        <extend val="0"/>
        <color indexed="9"/>
      </font>
      <border>
        <left/>
        <right/>
        <top/>
        <bottom/>
      </border>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1"/>
      </font>
      <fill>
        <patternFill>
          <bgColor theme="1"/>
        </patternFill>
      </fill>
    </dxf>
    <dxf>
      <font>
        <color theme="1"/>
      </font>
      <fill>
        <patternFill patternType="solid">
          <bgColor theme="1"/>
        </patternFill>
      </fill>
    </dxf>
    <dxf>
      <font>
        <color theme="0" tint="-0.499984740745262"/>
      </font>
    </dxf>
    <dxf>
      <font>
        <color theme="0" tint="-0.499984740745262"/>
      </font>
    </dxf>
    <dxf>
      <font>
        <color theme="0" tint="-4.9989318521683403E-2"/>
      </font>
    </dxf>
    <dxf>
      <font>
        <color theme="0"/>
      </font>
    </dxf>
    <dxf>
      <font>
        <condense val="0"/>
        <extend val="0"/>
        <color indexed="9"/>
      </font>
    </dxf>
    <dxf>
      <font>
        <color theme="0" tint="-0.499984740745262"/>
      </font>
    </dxf>
    <dxf>
      <font>
        <color theme="0" tint="-0.499984740745262"/>
      </font>
    </dxf>
    <dxf>
      <font>
        <color theme="0"/>
      </font>
    </dxf>
    <dxf>
      <font>
        <color theme="0" tint="-4.9989318521683403E-2"/>
      </font>
    </dxf>
    <dxf>
      <font>
        <color theme="0" tint="-4.9989318521683403E-2"/>
      </font>
    </dxf>
    <dxf>
      <font>
        <color theme="1"/>
      </font>
      <fill>
        <patternFill patternType="solid">
          <bgColor theme="1"/>
        </patternFill>
      </fill>
    </dxf>
    <dxf>
      <font>
        <color theme="0" tint="-0.499984740745262"/>
      </font>
    </dxf>
    <dxf>
      <font>
        <color theme="0" tint="-0.499984740745262"/>
      </font>
    </dxf>
    <dxf>
      <font>
        <color theme="0"/>
      </font>
    </dxf>
    <dxf>
      <font>
        <color theme="0" tint="-0.499984740745262"/>
      </font>
    </dxf>
    <dxf>
      <font>
        <color theme="0" tint="-0.499984740745262"/>
      </font>
    </dxf>
    <dxf>
      <font>
        <color theme="0" tint="-4.9989318521683403E-2"/>
      </font>
    </dxf>
    <dxf>
      <font>
        <color theme="0"/>
      </font>
    </dxf>
    <dxf>
      <font>
        <condense val="0"/>
        <extend val="0"/>
        <color indexed="9"/>
      </font>
    </dxf>
    <dxf>
      <font>
        <color theme="0" tint="-0.499984740745262"/>
      </font>
    </dxf>
    <dxf>
      <font>
        <color theme="0" tint="-0.499984740745262"/>
      </font>
    </dxf>
    <dxf>
      <font>
        <color theme="0" tint="-4.9989318521683403E-2"/>
      </font>
    </dxf>
    <dxf>
      <font>
        <color theme="0" tint="-0.499984740745262"/>
      </font>
    </dxf>
    <dxf>
      <font>
        <color theme="0" tint="-0.499984740745262"/>
      </font>
    </dxf>
    <dxf>
      <font>
        <color theme="0"/>
      </font>
    </dxf>
    <dxf>
      <font>
        <condense val="0"/>
        <extend val="0"/>
        <color indexed="9"/>
      </font>
    </dxf>
    <dxf>
      <font>
        <condense val="0"/>
        <extend val="0"/>
        <color indexed="9"/>
      </font>
    </dxf>
    <dxf>
      <font>
        <color theme="0" tint="-4.9989318521683403E-2"/>
      </font>
    </dxf>
    <dxf>
      <font>
        <color theme="0" tint="-4.9989318521683403E-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lor theme="0" tint="-0.499984740745262"/>
      </font>
    </dxf>
    <dxf>
      <font>
        <condense val="0"/>
        <extend val="0"/>
        <color indexed="9"/>
      </font>
    </dxf>
    <dxf>
      <font>
        <condense val="0"/>
        <extend val="0"/>
        <color indexed="46"/>
      </font>
    </dxf>
    <dxf>
      <font>
        <condense val="0"/>
        <extend val="0"/>
        <color indexed="46"/>
      </font>
    </dxf>
    <dxf>
      <font>
        <color theme="0" tint="-0.499984740745262"/>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u/>
        <color indexed="10"/>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border>
        <bottom/>
      </border>
    </dxf>
    <dxf>
      <font>
        <color theme="0"/>
      </font>
    </dxf>
    <dxf>
      <font>
        <color theme="0"/>
      </font>
      <border>
        <bottom/>
      </border>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lor theme="0" tint="-0.14996795556505021"/>
      </font>
    </dxf>
    <dxf>
      <font>
        <color theme="0" tint="-0.14996795556505021"/>
      </font>
    </dxf>
    <dxf>
      <font>
        <condense val="0"/>
        <extend val="0"/>
        <color indexed="23"/>
      </font>
    </dxf>
    <dxf>
      <font>
        <condense val="0"/>
        <extend val="0"/>
        <color indexed="9"/>
      </font>
    </dxf>
    <dxf>
      <font>
        <color theme="0" tint="-0.14996795556505021"/>
      </font>
    </dxf>
    <dxf>
      <font>
        <color theme="0" tint="-0.14996795556505021"/>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lor theme="0" tint="-0.14996795556505021"/>
      </font>
    </dxf>
    <dxf>
      <font>
        <color theme="0" tint="-0.14996795556505021"/>
      </font>
    </dxf>
    <dxf>
      <font>
        <condense val="0"/>
        <extend val="0"/>
        <color indexed="23"/>
      </font>
    </dxf>
    <dxf>
      <font>
        <condense val="0"/>
        <extend val="0"/>
        <color indexed="9"/>
      </font>
    </dxf>
    <dxf>
      <font>
        <color theme="0"/>
      </font>
    </dxf>
    <dxf>
      <font>
        <color theme="0" tint="-0.14996795556505021"/>
      </font>
    </dxf>
    <dxf>
      <font>
        <color theme="0" tint="-0.14996795556505021"/>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lor theme="0"/>
      </font>
    </dxf>
    <dxf>
      <font>
        <color theme="0" tint="-0.499984740745262"/>
      </font>
    </dxf>
    <dxf>
      <font>
        <color theme="0" tint="-0.499984740745262"/>
      </font>
    </dxf>
    <dxf>
      <font>
        <color theme="0" tint="-0.499984740745262"/>
      </font>
    </dxf>
    <dxf>
      <font>
        <color theme="0" tint="-0.499984740745262"/>
      </font>
    </dxf>
    <dxf>
      <font>
        <color theme="0"/>
      </font>
    </dxf>
    <dxf>
      <font>
        <color theme="0"/>
      </font>
      <border>
        <left/>
        <right/>
        <top/>
        <bottom/>
      </border>
    </dxf>
    <dxf>
      <font>
        <color theme="0"/>
      </font>
      <border>
        <bottom style="hair">
          <color theme="0" tint="-0.499984740745262"/>
        </bottom>
      </border>
    </dxf>
    <dxf>
      <font>
        <color theme="0"/>
      </font>
    </dxf>
    <dxf>
      <font>
        <color theme="0" tint="-0.24994659260841701"/>
      </font>
    </dxf>
    <dxf>
      <font>
        <color theme="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lor theme="0" tint="-0.24994659260841701"/>
      </font>
      <fill>
        <patternFill>
          <bgColor theme="0"/>
        </patternFill>
      </fill>
      <border>
        <left/>
        <right/>
        <top/>
        <bottom style="hair">
          <color theme="0" tint="-0.499984740745262"/>
        </bottom>
        <vertical/>
        <horizontal/>
      </border>
    </dxf>
    <dxf>
      <font>
        <color theme="0"/>
      </font>
    </dxf>
    <dxf>
      <font>
        <color theme="0" tint="-0.24994659260841701"/>
      </font>
    </dxf>
    <dxf>
      <font>
        <color theme="0"/>
      </font>
    </dxf>
    <dxf>
      <font>
        <color theme="0"/>
      </font>
    </dxf>
    <dxf>
      <border>
        <top style="thin">
          <color indexed="10"/>
        </top>
      </border>
    </dxf>
    <dxf>
      <font>
        <color theme="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dxf>
    <dxf>
      <font>
        <color theme="0"/>
      </font>
      <border>
        <left/>
        <right/>
        <top/>
        <bottom/>
      </border>
    </dxf>
    <dxf>
      <font>
        <color theme="0"/>
      </font>
      <border>
        <bottom style="hair">
          <color theme="0" tint="-0.499984740745262"/>
        </bottom>
      </border>
    </dxf>
    <dxf>
      <font>
        <color theme="0"/>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lor theme="0" tint="-0.24994659260841701"/>
      </font>
      <fill>
        <patternFill>
          <bgColor theme="0"/>
        </patternFill>
      </fill>
      <border>
        <left/>
        <right/>
        <top/>
        <bottom style="hair">
          <color theme="0" tint="-0.499984740745262"/>
        </bottom>
        <vertical/>
        <horizontal/>
      </border>
    </dxf>
    <dxf>
      <font>
        <color theme="0"/>
      </font>
      <fill>
        <patternFill>
          <bgColor theme="0"/>
        </patternFill>
      </fill>
      <border>
        <left/>
        <right/>
        <top/>
        <bottom/>
        <vertical/>
        <horizontal/>
      </border>
    </dxf>
    <dxf>
      <font>
        <color theme="0" tint="-0.24994659260841701"/>
      </font>
      <fill>
        <patternFill>
          <bgColor theme="0"/>
        </patternFill>
      </fill>
      <border>
        <left/>
        <right/>
        <top/>
        <bottom style="hair">
          <color theme="0" tint="-0.499984740745262"/>
        </bottom>
        <vertical/>
        <horizontal/>
      </border>
    </dxf>
    <dxf>
      <font>
        <color theme="0"/>
      </font>
    </dxf>
    <dxf>
      <font>
        <color theme="0"/>
      </font>
    </dxf>
    <dxf>
      <font>
        <color theme="0"/>
      </font>
    </dxf>
    <dxf>
      <font>
        <color theme="0"/>
      </font>
    </dxf>
    <dxf>
      <font>
        <color theme="0"/>
      </font>
      <border>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lor theme="0"/>
      </font>
    </dxf>
    <dxf>
      <font>
        <color theme="0"/>
      </font>
    </dxf>
    <dxf>
      <font>
        <color theme="0"/>
      </font>
    </dxf>
    <dxf>
      <font>
        <color theme="0"/>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border>
        <bottom/>
        <vertical/>
        <horizontal/>
      </border>
    </dxf>
    <dxf>
      <font>
        <color theme="0"/>
      </font>
      <border>
        <bottom/>
        <vertical/>
        <horizontal/>
      </border>
    </dxf>
    <dxf>
      <font>
        <color rgb="FFFF0000"/>
      </font>
    </dxf>
    <dxf>
      <border>
        <bottom style="thin">
          <color theme="0" tint="-0.499984740745262"/>
        </bottom>
        <vertical/>
        <horizontal/>
      </border>
    </dxf>
    <dxf>
      <font>
        <color theme="0"/>
      </font>
    </dxf>
    <dxf>
      <border>
        <bottom style="thin">
          <color theme="0" tint="-0.499984740745262"/>
        </bottom>
        <vertical/>
        <horizontal/>
      </border>
    </dxf>
    <dxf>
      <font>
        <color theme="0"/>
      </font>
      <border>
        <bottom/>
        <vertical/>
        <horizontal/>
      </border>
    </dxf>
    <dxf>
      <font>
        <color theme="0" tint="-0.499984740745262"/>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23"/>
      </font>
    </dxf>
    <dxf>
      <font>
        <condense val="0"/>
        <extend val="0"/>
        <color indexed="55"/>
      </font>
    </dxf>
    <dxf>
      <font>
        <condense val="0"/>
        <extend val="0"/>
        <color indexed="9"/>
      </font>
    </dxf>
    <dxf>
      <font>
        <condense val="0"/>
        <extend val="0"/>
        <color indexed="23"/>
      </font>
    </dxf>
    <dxf>
      <font>
        <condense val="0"/>
        <extend val="0"/>
        <color indexed="9"/>
      </font>
    </dxf>
    <dxf>
      <font>
        <condense val="0"/>
        <extend val="0"/>
        <color indexed="9"/>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ndense val="0"/>
        <extend val="0"/>
        <color indexed="55"/>
      </font>
    </dxf>
    <dxf>
      <font>
        <condense val="0"/>
        <extend val="0"/>
        <color indexed="26"/>
      </font>
    </dxf>
    <dxf>
      <font>
        <color theme="0" tint="-0.499984740745262"/>
      </font>
    </dxf>
    <dxf>
      <font>
        <color theme="0" tint="-0.499984740745262"/>
      </font>
    </dxf>
    <dxf>
      <font>
        <condense val="0"/>
        <extend val="0"/>
        <color indexed="23"/>
      </font>
      <fill>
        <patternFill patternType="darkUp"/>
      </fill>
    </dxf>
    <dxf>
      <font>
        <color theme="0" tint="-0.499984740745262"/>
      </font>
    </dxf>
    <dxf>
      <font>
        <color theme="0" tint="-0.499984740745262"/>
      </font>
    </dxf>
    <dxf>
      <font>
        <color theme="0" tint="-0.499984740745262"/>
      </font>
    </dxf>
    <dxf>
      <border>
        <top style="thin">
          <color theme="0" tint="-0.499984740745262"/>
        </top>
        <vertical/>
        <horizontal/>
      </border>
    </dxf>
    <dxf>
      <border>
        <bottom style="thin">
          <color theme="0" tint="-0.499984740745262"/>
        </bottom>
        <vertical/>
        <horizontal/>
      </border>
    </dxf>
    <dxf>
      <border>
        <bottom style="thin">
          <color theme="0" tint="-0.499984740745262"/>
        </bottom>
        <vertical/>
        <horizontal/>
      </border>
    </dxf>
    <dxf>
      <font>
        <color rgb="FFFF0000"/>
      </font>
    </dxf>
    <dxf>
      <font>
        <color rgb="FFFF0000"/>
      </font>
    </dxf>
    <dxf>
      <font>
        <color rgb="FFFF0000"/>
      </font>
    </dxf>
    <dxf>
      <font>
        <color theme="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tint="-0.24994659260841701"/>
      </font>
    </dxf>
    <dxf>
      <font>
        <color rgb="FFFF0000"/>
      </font>
    </dxf>
    <dxf>
      <font>
        <color rgb="FFFF000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rgb="FFFF000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rgb="FFFF000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lor rgb="FFFF0000"/>
      </font>
    </dxf>
    <dxf>
      <border>
        <bottom style="thin">
          <color theme="0" tint="-0.499984740745262"/>
        </bottom>
        <vertical/>
        <horizontal/>
      </border>
    </dxf>
    <dxf>
      <font>
        <color theme="0"/>
      </font>
    </dxf>
    <dxf>
      <border>
        <bottom style="thin">
          <color theme="0" tint="-0.499984740745262"/>
        </bottom>
        <vertical/>
        <horizontal/>
      </border>
    </dxf>
    <dxf>
      <font>
        <color theme="0"/>
      </font>
      <border>
        <bottom/>
        <vertical/>
        <horizontal/>
      </border>
    </dxf>
    <dxf>
      <font>
        <condense val="0"/>
        <extend val="0"/>
        <color indexed="23"/>
      </font>
    </dxf>
    <dxf>
      <font>
        <condense val="0"/>
        <extend val="0"/>
        <color indexed="9"/>
      </font>
    </dxf>
    <dxf>
      <font>
        <color rgb="FFFF0000"/>
      </font>
    </dxf>
    <dxf>
      <font>
        <condense val="0"/>
        <extend val="0"/>
        <color indexed="9"/>
      </font>
    </dxf>
    <dxf>
      <font>
        <condense val="0"/>
        <extend val="0"/>
        <color indexed="9"/>
      </font>
    </dxf>
    <dxf>
      <font>
        <condense val="0"/>
        <extend val="0"/>
        <color indexed="9"/>
      </font>
    </dxf>
    <dxf>
      <font>
        <condense val="0"/>
        <extend val="0"/>
        <color indexed="23"/>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9"/>
      </font>
    </dxf>
    <dxf>
      <font>
        <condense val="0"/>
        <extend val="0"/>
        <color indexed="10"/>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3"/>
      </font>
      <fill>
        <patternFill patternType="darkUp"/>
      </fill>
    </dxf>
    <dxf>
      <font>
        <condense val="0"/>
        <extend val="0"/>
        <color indexed="22"/>
      </font>
    </dxf>
    <dxf>
      <font>
        <condense val="0"/>
        <extend val="0"/>
        <color indexed="22"/>
      </font>
    </dxf>
    <dxf>
      <font>
        <condense val="0"/>
        <extend val="0"/>
        <color indexed="9"/>
      </font>
      <border>
        <left/>
        <right/>
        <top/>
        <bottom/>
      </border>
    </dxf>
    <dxf>
      <font>
        <condense val="0"/>
        <extend val="0"/>
        <color indexed="22"/>
      </font>
    </dxf>
    <dxf>
      <font>
        <condense val="0"/>
        <extend val="0"/>
        <color indexed="9"/>
      </font>
    </dxf>
    <dxf>
      <font>
        <condense val="0"/>
        <extend val="0"/>
        <color indexed="23"/>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ill>
        <patternFill>
          <bgColor theme="0" tint="-4.9989318521683403E-2"/>
        </patternFill>
      </fill>
    </dxf>
    <dxf>
      <font>
        <condense val="0"/>
        <extend val="0"/>
        <color indexed="23"/>
      </font>
    </dxf>
    <dxf>
      <font>
        <condense val="0"/>
        <extend val="0"/>
        <color indexed="55"/>
      </font>
    </dxf>
    <dxf>
      <font>
        <color theme="0" tint="-0.499984740745262"/>
      </font>
      <border>
        <top style="thin">
          <color theme="0" tint="-0.499984740745262"/>
        </top>
        <bottom style="hair">
          <color theme="0" tint="-0.499984740745262"/>
        </bottom>
      </border>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indexed="23"/>
      </font>
      <fill>
        <patternFill>
          <bgColor indexed="26"/>
        </patternFill>
      </fill>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2"/>
      </font>
    </dxf>
    <dxf>
      <font>
        <condense val="0"/>
        <extend val="0"/>
        <color indexed="23"/>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theme="0" tint="-4.9989318521683403E-2"/>
        </patternFill>
      </fill>
    </dxf>
    <dxf>
      <font>
        <condense val="0"/>
        <extend val="0"/>
        <color auto="1"/>
      </font>
      <fill>
        <patternFill>
          <bgColor theme="0" tint="-4.9989318521683403E-2"/>
        </patternFill>
      </fill>
      <border>
        <top style="thin">
          <color indexed="23"/>
        </top>
        <bottom style="hair">
          <color indexed="23"/>
        </bottom>
      </border>
    </dxf>
    <dxf>
      <font>
        <color theme="0"/>
      </font>
    </dxf>
    <dxf>
      <font>
        <color theme="0"/>
      </font>
    </dxf>
    <dxf>
      <border>
        <left/>
        <right/>
        <top/>
        <bottom/>
        <vertical/>
        <horizontal/>
      </border>
    </dxf>
    <dxf>
      <font>
        <color theme="0"/>
      </font>
      <border>
        <left/>
        <right/>
        <top/>
        <bottom/>
        <vertical/>
        <horizontal/>
      </border>
    </dxf>
    <dxf>
      <border>
        <left/>
        <right/>
        <top/>
        <bottom/>
        <vertical/>
        <horizontal/>
      </border>
    </dxf>
    <dxf>
      <border>
        <left/>
        <right/>
        <top/>
        <bottom/>
        <vertical/>
        <horizontal/>
      </border>
    </dxf>
    <dxf>
      <font>
        <color theme="0"/>
      </font>
      <border>
        <left/>
        <right/>
        <top/>
        <bottom/>
        <vertical/>
        <horizontal/>
      </border>
    </dxf>
    <dxf>
      <font>
        <color theme="0" tint="-4.9989318521683403E-2"/>
      </font>
    </dxf>
    <dxf>
      <font>
        <color theme="0"/>
      </font>
      <fill>
        <patternFill>
          <bgColor theme="0"/>
        </patternFill>
      </fill>
      <border>
        <left/>
        <right/>
        <top/>
        <bottom/>
        <vertical/>
        <horizontal/>
      </border>
    </dxf>
    <dxf>
      <font>
        <color theme="0"/>
      </font>
    </dxf>
    <dxf>
      <font>
        <color theme="0"/>
      </font>
      <border>
        <left/>
        <right/>
        <top/>
        <bottom/>
        <vertical/>
        <horizontal/>
      </border>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lor theme="0"/>
      </font>
    </dxf>
    <dxf>
      <font>
        <condense val="0"/>
        <extend val="0"/>
        <color indexed="9"/>
      </font>
    </dxf>
    <dxf>
      <font>
        <condense val="0"/>
        <extend val="0"/>
        <color indexed="23"/>
      </font>
    </dxf>
    <dxf>
      <font>
        <color theme="0"/>
      </font>
    </dxf>
    <dxf>
      <font>
        <condense val="0"/>
        <extend val="0"/>
        <color indexed="23"/>
      </font>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ill>
        <patternFill>
          <bgColor theme="1"/>
        </patternFill>
      </fill>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ndense val="0"/>
        <extend val="0"/>
        <color indexed="9"/>
      </font>
    </dxf>
    <dxf>
      <font>
        <color theme="0" tint="-0.499984740745262"/>
      </font>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patternType="solid">
          <bgColor theme="0" tint="-4.9989318521683403E-2"/>
        </patternFill>
      </fill>
      <border>
        <top style="thin">
          <color indexed="23"/>
        </top>
        <bottom style="hair">
          <color indexed="23"/>
        </bottom>
      </border>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font>
        <condense val="0"/>
        <extend val="0"/>
        <color indexed="9"/>
      </font>
    </dxf>
    <dxf>
      <font>
        <color theme="0"/>
      </font>
    </dxf>
    <dxf>
      <font>
        <color theme="0"/>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lor theme="0"/>
      </font>
    </dxf>
    <dxf>
      <font>
        <condense val="0"/>
        <extend val="0"/>
        <color indexed="23"/>
      </font>
    </dxf>
    <dxf>
      <font>
        <condense val="0"/>
        <extend val="0"/>
        <color indexed="22"/>
      </font>
    </dxf>
    <dxf>
      <font>
        <condense val="0"/>
        <extend val="0"/>
        <color indexed="23"/>
      </font>
    </dxf>
    <dxf>
      <font>
        <condense val="0"/>
        <extend val="0"/>
        <color indexed="22"/>
      </font>
    </dxf>
    <dxf>
      <font>
        <condense val="0"/>
        <extend val="0"/>
        <color indexed="22"/>
      </font>
    </dxf>
    <dxf>
      <font>
        <color theme="0"/>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rgb="FFFFFFCC"/>
      </font>
      <fill>
        <patternFill>
          <bgColor rgb="FFFFFFCC"/>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hair">
          <color theme="0" tint="-0.499984740745262"/>
        </top>
        <bottom style="hair">
          <color theme="0" tint="-0.499984740745262"/>
        </bottom>
        <vertical/>
        <horizontal/>
      </border>
    </dxf>
    <dxf>
      <font>
        <color theme="0" tint="-4.9989318521683403E-2"/>
      </font>
      <fill>
        <patternFill>
          <bgColor theme="0" tint="-4.9989318521683403E-2"/>
        </patternFill>
      </fill>
      <border>
        <left style="thin">
          <color theme="0" tint="-0.499984740745262"/>
        </left>
        <right style="thin">
          <color theme="0" tint="-0.499984740745262"/>
        </right>
        <top style="thin">
          <color theme="0" tint="-0.499984740745262"/>
        </top>
        <bottom style="hair">
          <color theme="0" tint="-0.499984740745262"/>
        </bottom>
        <vertical/>
        <horizontal/>
      </border>
    </dxf>
    <dxf>
      <border>
        <top style="thin">
          <color theme="0" tint="-0.499984740745262"/>
        </top>
        <vertical/>
        <horizontal/>
      </border>
    </dxf>
    <dxf>
      <font>
        <condense val="0"/>
        <extend val="0"/>
        <color indexed="9"/>
      </font>
    </dxf>
    <dxf>
      <font>
        <condense val="0"/>
        <extend val="0"/>
        <color indexed="23"/>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23"/>
      </font>
      <fill>
        <patternFill patternType="darkUp"/>
      </fill>
    </dxf>
    <dxf>
      <fill>
        <patternFill>
          <bgColor theme="0" tint="-4.9989318521683403E-2"/>
        </patternFill>
      </fill>
    </dxf>
    <dxf>
      <font>
        <condense val="0"/>
        <extend val="0"/>
        <color indexed="23"/>
      </font>
    </dxf>
    <dxf>
      <font>
        <condense val="0"/>
        <extend val="0"/>
        <color indexed="55"/>
      </font>
    </dxf>
    <dxf>
      <font>
        <condense val="0"/>
        <extend val="0"/>
        <color indexed="10"/>
      </font>
      <fill>
        <patternFill>
          <bgColor indexed="26"/>
        </patternFill>
      </fill>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ill>
        <patternFill>
          <bgColor theme="0" tint="-4.9989318521683403E-2"/>
        </patternFill>
      </fill>
    </dxf>
    <dxf>
      <font>
        <condense val="0"/>
        <extend val="0"/>
        <color indexed="23"/>
      </font>
      <fill>
        <patternFill>
          <bgColor indexed="26"/>
        </patternFill>
      </fill>
    </dxf>
    <dxf>
      <font>
        <color rgb="FFFF0000"/>
      </font>
    </dxf>
    <dxf>
      <font>
        <color rgb="FFFF0000"/>
      </font>
    </dxf>
    <dxf>
      <font>
        <condense val="0"/>
        <extend val="0"/>
        <color indexed="9"/>
      </font>
    </dxf>
    <dxf>
      <font>
        <condense val="0"/>
        <extend val="0"/>
        <color indexed="9"/>
      </font>
    </dxf>
    <dxf>
      <font>
        <b val="0"/>
        <i val="0"/>
        <condense val="0"/>
        <extend val="0"/>
        <color indexed="10"/>
      </font>
    </dxf>
    <dxf>
      <font>
        <color theme="0"/>
      </font>
    </dxf>
    <dxf>
      <font>
        <color theme="0"/>
      </font>
    </dxf>
    <dxf>
      <font>
        <color theme="0"/>
      </font>
    </dxf>
    <dxf>
      <font>
        <condense val="0"/>
        <extend val="0"/>
        <color indexed="9"/>
      </font>
    </dxf>
    <dxf>
      <font>
        <color theme="0"/>
      </font>
    </dxf>
    <dxf>
      <font>
        <color theme="0"/>
      </font>
    </dxf>
    <dxf>
      <font>
        <condense val="0"/>
        <extend val="0"/>
        <color indexed="23"/>
      </font>
    </dxf>
    <dxf>
      <font>
        <color theme="0"/>
      </font>
    </dxf>
    <dxf>
      <font>
        <condense val="0"/>
        <extend val="0"/>
        <color indexed="23"/>
      </font>
    </dxf>
    <dxf>
      <font>
        <condense val="0"/>
        <extend val="0"/>
        <color indexed="9"/>
      </font>
    </dxf>
    <dxf>
      <fill>
        <patternFill>
          <bgColor theme="1"/>
        </patternFill>
      </fill>
    </dxf>
    <dxf>
      <font>
        <color theme="0"/>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style="thin">
          <color theme="0" tint="-0.499984740745262"/>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font>
      <fill>
        <patternFill>
          <bgColor theme="0"/>
        </patternFill>
      </fill>
      <border>
        <left/>
        <right/>
        <top/>
        <bottom/>
      </border>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ont>
        <color theme="0" tint="-0.499984740745262"/>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lor theme="0" tint="-0.499984740745262"/>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lor theme="0" tint="-0.24994659260841701"/>
      </font>
    </dxf>
    <dxf>
      <font>
        <color theme="0"/>
      </font>
      <fill>
        <patternFill>
          <bgColor theme="0"/>
        </patternFill>
      </fill>
      <border>
        <left/>
        <right/>
        <top/>
        <bottom/>
      </border>
    </dxf>
    <dxf>
      <font>
        <color theme="0" tint="-0.499984740745262"/>
      </font>
    </dxf>
    <dxf>
      <fill>
        <patternFill>
          <bgColor theme="0" tint="-4.9989318521683403E-2"/>
        </patternFill>
      </fill>
    </dxf>
    <dxf>
      <font>
        <color theme="0" tint="-4.9989318521683403E-2"/>
      </font>
      <fill>
        <patternFill>
          <bgColor theme="0" tint="-4.9989318521683403E-2"/>
        </patternFill>
      </fill>
    </dxf>
    <dxf>
      <font>
        <condense val="0"/>
        <extend val="0"/>
        <color indexed="23"/>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23"/>
      </font>
    </dxf>
    <dxf>
      <border>
        <left/>
        <right/>
        <top/>
        <bottom/>
      </border>
    </dxf>
    <dxf>
      <font>
        <condense val="0"/>
        <extend val="0"/>
        <color indexed="10"/>
      </font>
    </dxf>
    <dxf>
      <font>
        <condense val="0"/>
        <extend val="0"/>
        <color indexed="23"/>
      </font>
    </dxf>
    <dxf>
      <font>
        <condense val="0"/>
        <extend val="0"/>
        <color indexed="22"/>
      </font>
    </dxf>
    <dxf>
      <font>
        <condense val="0"/>
        <extend val="0"/>
        <color indexed="23"/>
      </font>
    </dxf>
    <dxf>
      <font>
        <condense val="0"/>
        <extend val="0"/>
        <color indexed="46"/>
      </font>
    </dxf>
    <dxf>
      <font>
        <color theme="0"/>
      </font>
    </dxf>
    <dxf>
      <font>
        <condense val="0"/>
        <extend val="0"/>
        <color indexed="9"/>
      </font>
    </dxf>
    <dxf>
      <font>
        <condense val="0"/>
        <extend val="0"/>
        <color indexed="46"/>
      </font>
    </dxf>
    <dxf>
      <font>
        <condense val="0"/>
        <extend val="0"/>
        <color indexed="9"/>
      </font>
    </dxf>
    <dxf>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lor theme="0"/>
      </font>
    </dxf>
    <dxf>
      <font>
        <color theme="0"/>
      </font>
    </dxf>
    <dxf>
      <font>
        <color theme="0" tint="-0.499984740745262"/>
      </font>
    </dxf>
    <dxf>
      <font>
        <color rgb="FFFF0000"/>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55"/>
      </font>
    </dxf>
    <dxf>
      <font>
        <condense val="0"/>
        <extend val="0"/>
        <color indexed="23"/>
      </font>
    </dxf>
    <dxf>
      <font>
        <condense val="0"/>
        <extend val="0"/>
        <color indexed="55"/>
      </font>
    </dxf>
    <dxf>
      <font>
        <condense val="0"/>
        <extend val="0"/>
        <color indexed="55"/>
      </font>
    </dxf>
    <dxf>
      <font>
        <condense val="0"/>
        <extend val="0"/>
        <color indexed="23"/>
      </font>
    </dxf>
    <dxf>
      <font>
        <condense val="0"/>
        <extend val="0"/>
        <color indexed="55"/>
      </font>
    </dxf>
    <dxf>
      <font>
        <condense val="0"/>
        <extend val="0"/>
        <color indexed="55"/>
      </font>
    </dxf>
    <dxf>
      <font>
        <condense val="0"/>
        <extend val="0"/>
        <color indexed="23"/>
      </font>
    </dxf>
    <dxf>
      <font>
        <condense val="0"/>
        <extend val="0"/>
        <color indexed="55"/>
      </font>
    </dxf>
    <dxf>
      <font>
        <condense val="0"/>
        <extend val="0"/>
        <color indexed="55"/>
      </font>
    </dxf>
    <dxf>
      <font>
        <condense val="0"/>
        <extend val="0"/>
        <color indexed="55"/>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indexed="55"/>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55"/>
      </font>
    </dxf>
    <dxf>
      <font>
        <condense val="0"/>
        <extend val="0"/>
        <color indexed="55"/>
      </font>
    </dxf>
    <dxf>
      <font>
        <condense val="0"/>
        <extend val="0"/>
        <color indexed="9"/>
      </font>
    </dxf>
    <dxf>
      <font>
        <condense val="0"/>
        <extend val="0"/>
        <color indexed="10"/>
      </font>
    </dxf>
    <dxf>
      <font>
        <condense val="0"/>
        <extend val="0"/>
        <color indexed="9"/>
      </font>
    </dxf>
    <dxf>
      <font>
        <condense val="0"/>
        <extend val="0"/>
        <color indexed="10"/>
      </font>
    </dxf>
    <dxf>
      <border>
        <bottom/>
      </border>
    </dxf>
    <dxf>
      <fill>
        <patternFill>
          <bgColor indexed="26"/>
        </patternFill>
      </fill>
      <border>
        <left style="thin">
          <color indexed="10"/>
        </left>
        <right style="thin">
          <color indexed="10"/>
        </right>
        <top style="thin">
          <color indexed="10"/>
        </top>
        <bottom style="thin">
          <color indexed="10"/>
        </bottom>
      </border>
    </dxf>
    <dxf>
      <font>
        <b val="0"/>
        <i/>
        <color indexed="10"/>
      </font>
      <fill>
        <patternFill>
          <bgColor indexed="9"/>
        </patternFill>
      </fill>
    </dxf>
    <dxf>
      <font>
        <condense val="0"/>
        <extend val="0"/>
        <color indexed="23"/>
      </font>
    </dxf>
    <dxf>
      <font>
        <condense val="0"/>
        <extend val="0"/>
        <color indexed="55"/>
      </font>
    </dxf>
    <dxf>
      <font>
        <color theme="0"/>
      </font>
    </dxf>
    <dxf>
      <font>
        <condense val="0"/>
        <extend val="0"/>
        <color indexed="23"/>
      </font>
    </dxf>
    <dxf>
      <font>
        <condense val="0"/>
        <extend val="0"/>
        <color indexed="55"/>
      </font>
    </dxf>
    <dxf>
      <font>
        <color theme="0"/>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18"/>
      </font>
    </dxf>
    <dxf>
      <font>
        <color theme="0" tint="-0.499984740745262"/>
      </font>
    </dxf>
    <dxf>
      <font>
        <color rgb="FFFF0000"/>
      </font>
    </dxf>
    <dxf>
      <font>
        <color rgb="FFFF0000"/>
      </font>
    </dxf>
    <dxf>
      <font>
        <color rgb="FFFF0000"/>
      </font>
    </dxf>
    <dxf>
      <fill>
        <patternFill>
          <bgColor indexed="26"/>
        </patternFill>
      </fill>
      <border>
        <left style="thin">
          <color rgb="FFFF0000"/>
        </left>
        <right style="thin">
          <color rgb="FFFF0000"/>
        </right>
        <top style="thin">
          <color rgb="FFFF0000"/>
        </top>
        <bottom style="thin">
          <color rgb="FFFF0000"/>
        </bottom>
      </border>
    </dxf>
    <dxf>
      <fill>
        <patternFill>
          <bgColor indexed="26"/>
        </patternFill>
      </fill>
      <border>
        <left style="thin">
          <color rgb="FFFF0000"/>
        </left>
        <right style="thin">
          <color rgb="FFFF0000"/>
        </right>
        <top style="thin">
          <color rgb="FFFF0000"/>
        </top>
        <bottom style="thin">
          <color rgb="FFFF0000"/>
        </bottom>
      </border>
    </dxf>
    <dxf>
      <fill>
        <patternFill>
          <bgColor indexed="26"/>
        </patternFill>
      </fill>
      <border>
        <left style="thin">
          <color rgb="FFFF0000"/>
        </left>
        <right style="thin">
          <color rgb="FFFF0000"/>
        </right>
        <top style="thin">
          <color rgb="FFFF0000"/>
        </top>
        <bottom style="thin">
          <color rgb="FFFF0000"/>
        </bottom>
      </border>
    </dxf>
    <dxf>
      <fill>
        <patternFill>
          <bgColor indexed="26"/>
        </patternFill>
      </fill>
      <border>
        <left style="thin">
          <color rgb="FFFF0000"/>
        </left>
        <right style="thin">
          <color rgb="FFFF0000"/>
        </right>
        <top style="thin">
          <color rgb="FFFF0000"/>
        </top>
        <bottom style="thin">
          <color rgb="FFFF0000"/>
        </bottom>
      </border>
    </dxf>
    <dxf>
      <fill>
        <patternFill>
          <bgColor indexed="26"/>
        </patternFill>
      </fill>
      <border>
        <left style="thin">
          <color rgb="FFFF0000"/>
        </left>
        <right style="thin">
          <color rgb="FFFF0000"/>
        </right>
        <top style="thin">
          <color rgb="FFFF0000"/>
        </top>
        <bottom style="thin">
          <color rgb="FFFF0000"/>
        </bottom>
      </border>
    </dxf>
    <dxf>
      <fill>
        <patternFill>
          <bgColor indexed="26"/>
        </patternFill>
      </fill>
      <border>
        <left style="thin">
          <color rgb="FFFF0000"/>
        </left>
        <right style="thin">
          <color rgb="FFFF0000"/>
        </right>
        <top style="thin">
          <color rgb="FFFF0000"/>
        </top>
        <bottom style="thin">
          <color rgb="FFFF0000"/>
        </bottom>
      </border>
    </dxf>
    <dxf>
      <font>
        <color rgb="FFFF0000"/>
      </font>
    </dxf>
    <dxf>
      <font>
        <color rgb="FFFF0000"/>
      </font>
    </dxf>
    <dxf>
      <font>
        <color theme="0"/>
      </font>
    </dxf>
    <dxf>
      <border>
        <bottom/>
        <vertical/>
        <horizontal/>
      </border>
    </dxf>
    <dxf>
      <font>
        <color theme="0"/>
      </font>
    </dxf>
    <dxf>
      <font>
        <color rgb="FFFF0000"/>
      </font>
    </dxf>
    <dxf>
      <font>
        <color theme="0"/>
      </font>
    </dxf>
    <dxf>
      <font>
        <color rgb="FFFF0000"/>
      </font>
    </dxf>
    <dxf>
      <font>
        <color theme="0"/>
      </font>
    </dxf>
    <dxf>
      <border>
        <bottom/>
        <vertical/>
        <horizontal/>
      </border>
    </dxf>
    <dxf>
      <fill>
        <patternFill>
          <bgColor rgb="FFFFFFCC"/>
        </patternFill>
      </fill>
      <border>
        <left style="thin">
          <color rgb="FFFF0000"/>
        </left>
        <right style="thin">
          <color rgb="FFFF0000"/>
        </right>
        <top style="thin">
          <color rgb="FFFF0000"/>
        </top>
        <bottom style="thin">
          <color rgb="FFFF0000"/>
        </bottom>
        <vertical/>
        <horizontal/>
      </border>
    </dxf>
    <dxf>
      <fill>
        <patternFill>
          <bgColor theme="0"/>
        </patternFill>
      </fill>
      <border>
        <left/>
        <right/>
        <top/>
        <bottom/>
        <vertical/>
        <horizontal/>
      </border>
    </dxf>
    <dxf>
      <font>
        <color rgb="FFFF0000"/>
      </font>
      <fill>
        <patternFill>
          <bgColor theme="0"/>
        </patternFill>
      </fill>
      <border>
        <left style="thin">
          <color rgb="FFFF0000"/>
        </left>
        <right style="thin">
          <color rgb="FFFF0000"/>
        </right>
        <top style="thin">
          <color rgb="FFFF0000"/>
        </top>
        <bottom style="thin">
          <color rgb="FFFF0000"/>
        </bottom>
        <vertical/>
        <horizontal/>
      </border>
    </dxf>
    <dxf>
      <font>
        <condense val="0"/>
        <extend val="0"/>
        <color indexed="10"/>
      </font>
    </dxf>
    <dxf>
      <font>
        <color rgb="FFFF0000"/>
      </font>
    </dxf>
    <dxf>
      <font>
        <color rgb="FFFF0000"/>
      </font>
      <fill>
        <patternFill>
          <bgColor rgb="FFFFFFCC"/>
        </patternFill>
      </fill>
      <border>
        <left style="thin">
          <color rgb="FFFF0000"/>
        </left>
        <right style="thin">
          <color rgb="FFFF0000"/>
        </right>
        <top style="thin">
          <color rgb="FFFF0000"/>
        </top>
        <bottom style="thin">
          <color rgb="FFFF0000"/>
        </bottom>
        <vertical/>
        <horizontal/>
      </border>
    </dxf>
    <dxf>
      <fill>
        <patternFill>
          <bgColor rgb="FFFFFFCC"/>
        </patternFill>
      </fill>
      <border>
        <left style="thin">
          <color rgb="FFFF0000"/>
        </left>
        <right style="thin">
          <color rgb="FFFF0000"/>
        </right>
        <top style="thin">
          <color rgb="FFFF0000"/>
        </top>
        <bottom style="thin">
          <color rgb="FFFF0000"/>
        </bottom>
      </border>
    </dxf>
    <dxf>
      <font>
        <color rgb="FFFF0000"/>
      </font>
      <border>
        <lef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style="hair">
          <color rgb="FF002060"/>
        </left>
        <vertical/>
        <horizontal/>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border>
        <left style="hair">
          <color rgb="FF002060"/>
        </left>
        <vertical/>
        <horizontal/>
      </border>
    </dxf>
    <dxf>
      <font>
        <condense val="0"/>
        <extend val="0"/>
        <color indexed="10"/>
      </font>
    </dxf>
    <dxf>
      <font>
        <condense val="0"/>
        <extend val="0"/>
        <color indexed="18"/>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16"/>
      </font>
      <fill>
        <patternFill>
          <bgColor indexed="26"/>
        </patternFill>
      </fill>
    </dxf>
    <dxf>
      <font>
        <condense val="0"/>
        <extend val="0"/>
        <color indexed="63"/>
      </font>
      <fill>
        <patternFill>
          <bgColor indexed="9"/>
        </patternFill>
      </fill>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55"/>
      </font>
    </dxf>
    <dxf>
      <font>
        <condense val="0"/>
        <extend val="0"/>
        <color indexed="10"/>
      </font>
    </dxf>
    <dxf>
      <font>
        <condense val="0"/>
        <extend val="0"/>
        <color indexed="10"/>
      </font>
    </dxf>
    <dxf>
      <font>
        <color rgb="FFFF000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499984740745262"/>
      </font>
    </dxf>
    <dxf>
      <font>
        <color theme="0" tint="-0.34998626667073579"/>
      </font>
      <fill>
        <patternFill>
          <bgColor indexed="9"/>
        </patternFill>
      </fill>
      <border>
        <left/>
        <right/>
        <top/>
        <bottom/>
      </border>
    </dxf>
    <dxf>
      <font>
        <strike val="0"/>
        <color theme="0" tint="-0.24994659260841701"/>
      </font>
      <fill>
        <patternFill>
          <bgColor indexed="9"/>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23"/>
      </font>
    </dxf>
    <dxf>
      <font>
        <color theme="0" tint="-0.34998626667073579"/>
      </font>
      <border>
        <left/>
        <right/>
        <top/>
        <bottom/>
      </border>
    </dxf>
    <dxf>
      <font>
        <condense val="0"/>
        <extend val="0"/>
        <color indexed="9"/>
      </font>
    </dxf>
    <dxf>
      <font>
        <condense val="0"/>
        <extend val="0"/>
        <color indexed="9"/>
      </font>
    </dxf>
    <dxf>
      <font>
        <b val="0"/>
        <i val="0"/>
        <condense val="0"/>
        <extend val="0"/>
        <color indexed="10"/>
      </font>
    </dxf>
    <dxf>
      <font>
        <condense val="0"/>
        <extend val="0"/>
        <color indexed="9"/>
      </font>
    </dxf>
    <dxf>
      <font>
        <color theme="0" tint="-0.499984740745262"/>
      </font>
    </dxf>
    <dxf>
      <font>
        <color theme="0"/>
      </font>
    </dxf>
    <dxf>
      <font>
        <condense val="0"/>
        <extend val="0"/>
        <color indexed="23"/>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9"/>
      </font>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condense val="0"/>
        <extend val="0"/>
        <color indexed="9"/>
      </font>
      <border>
        <right/>
      </border>
    </dxf>
    <dxf>
      <font>
        <condense val="0"/>
        <extend val="0"/>
        <color indexed="23"/>
      </font>
    </dxf>
    <dxf>
      <font>
        <condense val="0"/>
        <extend val="0"/>
        <color indexed="10"/>
      </font>
    </dxf>
    <dxf>
      <font>
        <condense val="0"/>
        <extend val="0"/>
        <color indexed="9"/>
      </font>
    </dxf>
    <dxf>
      <font>
        <condense val="0"/>
        <extend val="0"/>
        <color indexed="10"/>
      </font>
    </dxf>
    <dxf>
      <font>
        <condense val="0"/>
        <extend val="0"/>
        <color indexed="9"/>
      </font>
    </dxf>
    <dxf>
      <font>
        <color theme="0"/>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33"/>
      <color rgb="FFFFFFCC"/>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1.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hyperlink" Target="https://www.marcopiccoli.it/public/index.php?option=com_content&amp;view=article&amp;id=138&amp;Itemid=416" TargetMode="External"/><Relationship Id="rId5" Type="http://schemas.openxmlformats.org/officeDocument/2006/relationships/image" Target="../media/image5.png"/><Relationship Id="rId10" Type="http://schemas.openxmlformats.org/officeDocument/2006/relationships/hyperlink" Target="https://www.marcopiccoli.it/public/index.php?option=com_phocadownload&amp;view=category&amp;id=32&amp;Itemid=419" TargetMode="External"/><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3.jpe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 Id="rId27"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2.jpe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18</xdr:row>
      <xdr:rowOff>85725</xdr:rowOff>
    </xdr:from>
    <xdr:to>
      <xdr:col>5</xdr:col>
      <xdr:colOff>133350</xdr:colOff>
      <xdr:row>21</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533400</xdr:colOff>
      <xdr:row>18</xdr:row>
      <xdr:rowOff>152400</xdr:rowOff>
    </xdr:from>
    <xdr:to>
      <xdr:col>12</xdr:col>
      <xdr:colOff>285750</xdr:colOff>
      <xdr:row>21</xdr:row>
      <xdr:rowOff>0</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4467225"/>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33" name="Picture 925"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34" name="Text Box 926"/>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35" name="Picture 927"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438150</xdr:colOff>
      <xdr:row>31</xdr:row>
      <xdr:rowOff>38100</xdr:rowOff>
    </xdr:from>
    <xdr:to>
      <xdr:col>110</xdr:col>
      <xdr:colOff>419175</xdr:colOff>
      <xdr:row>39</xdr:row>
      <xdr:rowOff>104775</xdr:rowOff>
    </xdr:to>
    <xdr:grpSp>
      <xdr:nvGrpSpPr>
        <xdr:cNvPr id="18368" name="Group 960"/>
        <xdr:cNvGrpSpPr>
          <a:grpSpLocks/>
        </xdr:cNvGrpSpPr>
      </xdr:nvGrpSpPr>
      <xdr:grpSpPr bwMode="auto">
        <a:xfrm>
          <a:off x="8391525" y="7248525"/>
          <a:ext cx="2448000" cy="1724025"/>
          <a:chOff x="911" y="884"/>
          <a:chExt cx="225" cy="181"/>
        </a:xfrm>
      </xdr:grpSpPr>
      <xdr:pic>
        <xdr:nvPicPr>
          <xdr:cNvPr id="18369" name="Picture 961"/>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70" name="Line 962"/>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371" name="Picture 963"/>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372" name="Picture 964"/>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73" name="Text Box 965"/>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374" name="Text Box 966"/>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375" name="Line 967"/>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376" name="Line 968"/>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LocksWithSheet="0" fPrintsWithSheet="0"/>
  </xdr:twoCellAnchor>
  <xdr:twoCellAnchor>
    <xdr:from>
      <xdr:col>11</xdr:col>
      <xdr:colOff>285750</xdr:colOff>
      <xdr:row>25</xdr:row>
      <xdr:rowOff>1</xdr:rowOff>
    </xdr:from>
    <xdr:to>
      <xdr:col>109</xdr:col>
      <xdr:colOff>219075</xdr:colOff>
      <xdr:row>26</xdr:row>
      <xdr:rowOff>85725</xdr:rowOff>
    </xdr:to>
    <xdr:sp macro="" textlink="">
      <xdr:nvSpPr>
        <xdr:cNvPr id="29" name="CasellaDiTesto 28"/>
        <xdr:cNvSpPr txBox="1"/>
      </xdr:nvSpPr>
      <xdr:spPr>
        <a:xfrm>
          <a:off x="7000875" y="5753101"/>
          <a:ext cx="3028950" cy="314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L' ANNO contabile si cambia nel foglio IMPOSTAZIONI.</a:t>
          </a:r>
        </a:p>
      </xdr:txBody>
    </xdr:sp>
    <xdr:clientData fLocksWithSheet="0" fPrintsWithSheet="0"/>
  </xdr:twoCellAnchor>
  <xdr:twoCellAnchor editAs="oneCell">
    <xdr:from>
      <xdr:col>1</xdr:col>
      <xdr:colOff>238125</xdr:colOff>
      <xdr:row>1</xdr:row>
      <xdr:rowOff>85725</xdr:rowOff>
    </xdr:from>
    <xdr:to>
      <xdr:col>2</xdr:col>
      <xdr:colOff>3125</xdr:colOff>
      <xdr:row>3</xdr:row>
      <xdr:rowOff>152346</xdr:rowOff>
    </xdr:to>
    <xdr:pic>
      <xdr:nvPicPr>
        <xdr:cNvPr id="4" name="Immagine 3"/>
        <xdr:cNvPicPr>
          <a:picLocks noChangeAspect="1"/>
        </xdr:cNvPicPr>
      </xdr:nvPicPr>
      <xdr:blipFill>
        <a:blip xmlns:r="http://schemas.openxmlformats.org/officeDocument/2006/relationships" r:embed="rId8"/>
        <a:stretch>
          <a:fillRect/>
        </a:stretch>
      </xdr:blipFill>
      <xdr:spPr>
        <a:xfrm>
          <a:off x="742950" y="238125"/>
          <a:ext cx="400000" cy="428571"/>
        </a:xfrm>
        <a:prstGeom prst="rect">
          <a:avLst/>
        </a:prstGeom>
      </xdr:spPr>
    </xdr:pic>
    <xdr:clientData/>
  </xdr:twoCellAnchor>
  <xdr:twoCellAnchor editAs="oneCell">
    <xdr:from>
      <xdr:col>14</xdr:col>
      <xdr:colOff>0</xdr:colOff>
      <xdr:row>71</xdr:row>
      <xdr:rowOff>19050</xdr:rowOff>
    </xdr:from>
    <xdr:to>
      <xdr:col>111</xdr:col>
      <xdr:colOff>248412</xdr:colOff>
      <xdr:row>76</xdr:row>
      <xdr:rowOff>235268</xdr:rowOff>
    </xdr:to>
    <xdr:pic>
      <xdr:nvPicPr>
        <xdr:cNvPr id="23" name="Immagine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91550" y="15116175"/>
          <a:ext cx="2686812" cy="1054418"/>
        </a:xfrm>
        <a:prstGeom prst="rect">
          <a:avLst/>
        </a:prstGeom>
      </xdr:spPr>
    </xdr:pic>
    <xdr:clientData fLocksWithSheet="0" fPrintsWithSheet="0"/>
  </xdr:twoCellAnchor>
  <xdr:twoCellAnchor editAs="oneCell">
    <xdr:from>
      <xdr:col>14</xdr:col>
      <xdr:colOff>76200</xdr:colOff>
      <xdr:row>87</xdr:row>
      <xdr:rowOff>114300</xdr:rowOff>
    </xdr:from>
    <xdr:to>
      <xdr:col>112</xdr:col>
      <xdr:colOff>57150</xdr:colOff>
      <xdr:row>93</xdr:row>
      <xdr:rowOff>47626</xdr:rowOff>
    </xdr:to>
    <xdr:grpSp>
      <xdr:nvGrpSpPr>
        <xdr:cNvPr id="26" name="Gruppo 25">
          <a:hlinkClick xmlns:r="http://schemas.openxmlformats.org/officeDocument/2006/relationships" r:id="rId10"/>
        </xdr:cNvPr>
        <xdr:cNvGrpSpPr/>
      </xdr:nvGrpSpPr>
      <xdr:grpSpPr>
        <a:xfrm>
          <a:off x="8667750" y="18516600"/>
          <a:ext cx="3028950" cy="1009651"/>
          <a:chOff x="8562975" y="18640425"/>
          <a:chExt cx="3057525" cy="1009651"/>
        </a:xfrm>
      </xdr:grpSpPr>
      <xdr:sp macro="" textlink="">
        <xdr:nvSpPr>
          <xdr:cNvPr id="27" name="CasellaDiTesto 26"/>
          <xdr:cNvSpPr txBox="1"/>
        </xdr:nvSpPr>
        <xdr:spPr>
          <a:xfrm>
            <a:off x="8562975" y="18640425"/>
            <a:ext cx="3057525" cy="581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oAutofit/>
          </a:bodyPr>
          <a:lstStyle/>
          <a:p>
            <a:pPr lvl="0" algn="l"/>
            <a:r>
              <a:rPr lang="it-IT" sz="900" i="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Il codice si acquista 1 volta per sempre, lo stesso codice attiva tutti i Registri disponibili on line</a:t>
            </a:r>
            <a:r>
              <a:rPr lang="it-IT" sz="9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t>
            </a:r>
            <a:br>
              <a:rPr lang="it-IT" sz="9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br>
            <a:r>
              <a:rPr lang="it-IT" sz="900" i="0" u="sng"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Lo stesso codice attiva anche il Sistema</a:t>
            </a:r>
            <a:endParaRPr lang="it-IT" sz="900" i="0" u="sng">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8" name="Text Box 1">
            <a:hlinkClick xmlns:r="http://schemas.openxmlformats.org/officeDocument/2006/relationships" r:id="rId11"/>
          </xdr:cNvPr>
          <xdr:cNvSpPr txBox="1">
            <a:spLocks noChangeArrowheads="1"/>
          </xdr:cNvSpPr>
        </xdr:nvSpPr>
        <xdr:spPr bwMode="auto">
          <a:xfrm>
            <a:off x="8639174" y="19230976"/>
            <a:ext cx="1847851" cy="419100"/>
          </a:xfrm>
          <a:prstGeom prst="rect">
            <a:avLst/>
          </a:prstGeom>
          <a:solidFill>
            <a:schemeClr val="bg1"/>
          </a:solidFill>
          <a:ln>
            <a:solidFill>
              <a:schemeClr val="bg1">
                <a:lumMod val="50000"/>
              </a:schemeClr>
            </a:solidFill>
          </a:ln>
          <a:extLst/>
        </xdr:spPr>
        <xdr:txBody>
          <a:bodyPr vertOverflow="clip" wrap="square" lIns="27432" tIns="22860" rIns="0" bIns="0" anchor="ctr" upright="1"/>
          <a:lstStyle/>
          <a:p>
            <a:pPr algn="ctr" rtl="0">
              <a:defRPr sz="1000"/>
            </a:pPr>
            <a:r>
              <a:rPr lang="it-IT" sz="1000" b="0" i="1" u="none" strike="noStrike" baseline="0">
                <a:solidFill>
                  <a:schemeClr val="bg1">
                    <a:lumMod val="50000"/>
                  </a:schemeClr>
                </a:solidFill>
                <a:latin typeface="Corbel" panose="020B0503020204020204" pitchFamily="34" charset="0"/>
                <a:cs typeface="Arial"/>
              </a:rPr>
              <a:t>Prima Nota di Contabilità Excel</a:t>
            </a:r>
            <a:br>
              <a:rPr lang="it-IT" sz="1000" b="0" i="1" u="none" strike="noStrike" baseline="0">
                <a:solidFill>
                  <a:schemeClr val="bg1">
                    <a:lumMod val="50000"/>
                  </a:schemeClr>
                </a:solidFill>
                <a:latin typeface="Corbel" panose="020B0503020204020204" pitchFamily="34" charset="0"/>
                <a:cs typeface="Arial"/>
              </a:rPr>
            </a:br>
            <a:r>
              <a:rPr lang="it-IT" sz="1000" b="0" i="1" u="none" strike="noStrike" baseline="0">
                <a:solidFill>
                  <a:schemeClr val="bg1">
                    <a:lumMod val="50000"/>
                  </a:schemeClr>
                </a:solidFill>
                <a:latin typeface="Corbel" panose="020B0503020204020204" pitchFamily="34" charset="0"/>
                <a:cs typeface="Arial"/>
              </a:rPr>
              <a:t>che trovi QUI.</a:t>
            </a:r>
          </a:p>
        </xdr:txBody>
      </xdr:sp>
    </xdr:grpSp>
    <xdr:clientData fLocksWithSheet="0" fPrintsWithSheet="0"/>
  </xdr:twoCellAnchor>
  <xdr:twoCellAnchor editAs="oneCell">
    <xdr:from>
      <xdr:col>0</xdr:col>
      <xdr:colOff>76200</xdr:colOff>
      <xdr:row>104</xdr:row>
      <xdr:rowOff>66675</xdr:rowOff>
    </xdr:from>
    <xdr:to>
      <xdr:col>15</xdr:col>
      <xdr:colOff>15545</xdr:colOff>
      <xdr:row>107</xdr:row>
      <xdr:rowOff>19815</xdr:rowOff>
    </xdr:to>
    <xdr:grpSp>
      <xdr:nvGrpSpPr>
        <xdr:cNvPr id="5" name="Gruppo 4"/>
        <xdr:cNvGrpSpPr/>
      </xdr:nvGrpSpPr>
      <xdr:grpSpPr>
        <a:xfrm>
          <a:off x="76200" y="21812250"/>
          <a:ext cx="9140495" cy="467490"/>
          <a:chOff x="85725" y="21869400"/>
          <a:chExt cx="9140495" cy="467490"/>
        </a:xfrm>
      </xdr:grpSpPr>
      <xdr:pic>
        <xdr:nvPicPr>
          <xdr:cNvPr id="24" name="Immagine 23"/>
          <xdr:cNvPicPr>
            <a:picLocks noChangeAspect="1"/>
          </xdr:cNvPicPr>
        </xdr:nvPicPr>
        <xdr:blipFill>
          <a:blip xmlns:r="http://schemas.openxmlformats.org/officeDocument/2006/relationships" r:embed="rId12"/>
          <a:stretch>
            <a:fillRect/>
          </a:stretch>
        </xdr:blipFill>
        <xdr:spPr>
          <a:xfrm>
            <a:off x="85725" y="21964650"/>
            <a:ext cx="6621120" cy="372240"/>
          </a:xfrm>
          <a:prstGeom prst="rect">
            <a:avLst/>
          </a:prstGeom>
        </xdr:spPr>
      </xdr:pic>
      <xdr:pic>
        <xdr:nvPicPr>
          <xdr:cNvPr id="25" name="Immagine 24"/>
          <xdr:cNvPicPr>
            <a:picLocks/>
          </xdr:cNvPicPr>
        </xdr:nvPicPr>
        <xdr:blipFill rotWithShape="1">
          <a:blip xmlns:r="http://schemas.openxmlformats.org/officeDocument/2006/relationships" r:embed="rId13"/>
          <a:srcRect b="5743"/>
          <a:stretch/>
        </xdr:blipFill>
        <xdr:spPr>
          <a:xfrm>
            <a:off x="6620540" y="21983608"/>
            <a:ext cx="2605680" cy="352800"/>
          </a:xfrm>
          <a:prstGeom prst="rect">
            <a:avLst/>
          </a:prstGeom>
        </xdr:spPr>
      </xdr:pic>
      <xdr:sp macro="" textlink="">
        <xdr:nvSpPr>
          <xdr:cNvPr id="2" name="CasellaDiTesto 1"/>
          <xdr:cNvSpPr txBox="1"/>
        </xdr:nvSpPr>
        <xdr:spPr>
          <a:xfrm>
            <a:off x="219075" y="21869400"/>
            <a:ext cx="889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800">
                <a:solidFill>
                  <a:srgbClr val="FF0000"/>
                </a:solidFill>
                <a:latin typeface="Tahoma" panose="020B0604030504040204" pitchFamily="34" charset="0"/>
                <a:ea typeface="Tahoma" panose="020B0604030504040204" pitchFamily="34" charset="0"/>
                <a:cs typeface="Tahoma" panose="020B0604030504040204" pitchFamily="34" charset="0"/>
              </a:rPr>
              <a:t>        1                           2                  3          4           5           6          7           8          9          10         11         12         13         14           15              16                  17                  18</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20</xdr:row>
      <xdr:rowOff>152400</xdr:rowOff>
    </xdr:from>
    <xdr:to>
      <xdr:col>35</xdr:col>
      <xdr:colOff>28575</xdr:colOff>
      <xdr:row>25</xdr:row>
      <xdr:rowOff>66675</xdr:rowOff>
    </xdr:to>
    <xdr:sp macro="" textlink="">
      <xdr:nvSpPr>
        <xdr:cNvPr id="59661" name="Rectangle 10509"/>
        <xdr:cNvSpPr>
          <a:spLocks noChangeArrowheads="1"/>
        </xdr:cNvSpPr>
      </xdr:nvSpPr>
      <xdr:spPr bwMode="auto">
        <a:xfrm>
          <a:off x="1819275" y="4552950"/>
          <a:ext cx="8210550" cy="10572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152400</xdr:colOff>
      <xdr:row>52</xdr:row>
      <xdr:rowOff>0</xdr:rowOff>
    </xdr:from>
    <xdr:to>
      <xdr:col>16</xdr:col>
      <xdr:colOff>152400</xdr:colOff>
      <xdr:row>56</xdr:row>
      <xdr:rowOff>114300</xdr:rowOff>
    </xdr:to>
    <xdr:sp macro="" textlink="">
      <xdr:nvSpPr>
        <xdr:cNvPr id="59805" name="Rectangle 10653"/>
        <xdr:cNvSpPr>
          <a:spLocks noChangeArrowheads="1"/>
        </xdr:cNvSpPr>
      </xdr:nvSpPr>
      <xdr:spPr bwMode="auto">
        <a:xfrm>
          <a:off x="438150" y="11144250"/>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29</xdr:col>
      <xdr:colOff>104775</xdr:colOff>
      <xdr:row>15</xdr:row>
      <xdr:rowOff>9525</xdr:rowOff>
    </xdr:from>
    <xdr:to>
      <xdr:col>37</xdr:col>
      <xdr:colOff>228600</xdr:colOff>
      <xdr:row>16</xdr:row>
      <xdr:rowOff>180975</xdr:rowOff>
    </xdr:to>
    <xdr:pic>
      <xdr:nvPicPr>
        <xdr:cNvPr id="68755" name="Picture 11411"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3343275"/>
          <a:ext cx="2409825" cy="4000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35</xdr:col>
      <xdr:colOff>190500</xdr:colOff>
      <xdr:row>35</xdr:row>
      <xdr:rowOff>38100</xdr:rowOff>
    </xdr:from>
    <xdr:to>
      <xdr:col>66</xdr:col>
      <xdr:colOff>428625</xdr:colOff>
      <xdr:row>35</xdr:row>
      <xdr:rowOff>200025</xdr:rowOff>
    </xdr:to>
    <xdr:grpSp>
      <xdr:nvGrpSpPr>
        <xdr:cNvPr id="68757" name="Group 11413"/>
        <xdr:cNvGrpSpPr>
          <a:grpSpLocks/>
        </xdr:cNvGrpSpPr>
      </xdr:nvGrpSpPr>
      <xdr:grpSpPr bwMode="auto">
        <a:xfrm>
          <a:off x="10191750" y="7686675"/>
          <a:ext cx="2886075" cy="161925"/>
          <a:chOff x="675" y="711"/>
          <a:chExt cx="317" cy="22"/>
        </a:xfrm>
      </xdr:grpSpPr>
      <xdr:sp macro="" textlink="">
        <xdr:nvSpPr>
          <xdr:cNvPr id="68758" name="Line 11414"/>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68759" name="Text Box 11415"/>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editAs="oneCell">
    <xdr:from>
      <xdr:col>22</xdr:col>
      <xdr:colOff>142875</xdr:colOff>
      <xdr:row>8</xdr:row>
      <xdr:rowOff>66675</xdr:rowOff>
    </xdr:from>
    <xdr:to>
      <xdr:col>29</xdr:col>
      <xdr:colOff>152400</xdr:colOff>
      <xdr:row>12</xdr:row>
      <xdr:rowOff>133350</xdr:rowOff>
    </xdr:to>
    <xdr:sp macro="" textlink="">
      <xdr:nvSpPr>
        <xdr:cNvPr id="9" name="CasellaDiTesto 8"/>
        <xdr:cNvSpPr txBox="1"/>
      </xdr:nvSpPr>
      <xdr:spPr>
        <a:xfrm>
          <a:off x="6429375" y="1800225"/>
          <a:ext cx="2009775"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i="1">
              <a:solidFill>
                <a:schemeClr val="bg1">
                  <a:lumMod val="50000"/>
                </a:schemeClr>
              </a:solidFill>
              <a:latin typeface="Corbel" panose="020B0503020204020204" pitchFamily="34" charset="0"/>
            </a:rPr>
            <a:t>L' eve</a:t>
          </a:r>
          <a:r>
            <a:rPr lang="it-IT" sz="1100" i="1">
              <a:solidFill>
                <a:schemeClr val="bg1">
                  <a:lumMod val="50000"/>
                </a:schemeClr>
              </a:solidFill>
              <a:effectLst/>
              <a:latin typeface="Corbel" panose="020B0503020204020204" pitchFamily="34" charset="0"/>
              <a:ea typeface="+mn-ea"/>
              <a:cs typeface="+mn-cs"/>
            </a:rPr>
            <a:t>ntuale utilizzo della </a:t>
          </a:r>
          <a:r>
            <a:rPr lang="it-IT" sz="1100" i="1">
              <a:solidFill>
                <a:schemeClr val="bg1">
                  <a:lumMod val="50000"/>
                </a:schemeClr>
              </a:solidFill>
              <a:latin typeface="Corbel" panose="020B0503020204020204" pitchFamily="34" charset="0"/>
            </a:rPr>
            <a:t>riga 2</a:t>
          </a:r>
        </a:p>
        <a:p>
          <a:r>
            <a:rPr lang="it-IT" sz="1100" i="1">
              <a:solidFill>
                <a:schemeClr val="bg1">
                  <a:lumMod val="50000"/>
                </a:schemeClr>
              </a:solidFill>
              <a:latin typeface="Corbel" panose="020B0503020204020204" pitchFamily="34" charset="0"/>
            </a:rPr>
            <a:t>DEVE essere subordinato all' impostazione anche della modalità di calcolo che si vuole ottenere: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147</xdr:row>
      <xdr:rowOff>66675</xdr:rowOff>
    </xdr:from>
    <xdr:to>
      <xdr:col>13</xdr:col>
      <xdr:colOff>142875</xdr:colOff>
      <xdr:row>159</xdr:row>
      <xdr:rowOff>219075</xdr:rowOff>
    </xdr:to>
    <xdr:sp macro="" textlink="">
      <xdr:nvSpPr>
        <xdr:cNvPr id="2" name="Rettangolo 1"/>
        <xdr:cNvSpPr/>
      </xdr:nvSpPr>
      <xdr:spPr>
        <a:xfrm>
          <a:off x="333375" y="32785050"/>
          <a:ext cx="8315325" cy="1495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103</xdr:col>
      <xdr:colOff>266700</xdr:colOff>
      <xdr:row>1</xdr:row>
      <xdr:rowOff>9526</xdr:rowOff>
    </xdr:from>
    <xdr:to>
      <xdr:col>107</xdr:col>
      <xdr:colOff>291652</xdr:colOff>
      <xdr:row>2</xdr:row>
      <xdr:rowOff>148917</xdr:rowOff>
    </xdr:to>
    <xdr:pic>
      <xdr:nvPicPr>
        <xdr:cNvPr id="53449" name="Picture 736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104776"/>
          <a:ext cx="2463352" cy="38704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mc:AlternateContent xmlns:mc="http://schemas.openxmlformats.org/markup-compatibility/2006">
    <mc:Choice xmlns:a14="http://schemas.microsoft.com/office/drawing/2010/main" Requires="a14">
      <xdr:twoCellAnchor>
        <xdr:from>
          <xdr:col>32</xdr:col>
          <xdr:colOff>47625</xdr:colOff>
          <xdr:row>5</xdr:row>
          <xdr:rowOff>142875</xdr:rowOff>
        </xdr:from>
        <xdr:to>
          <xdr:col>32</xdr:col>
          <xdr:colOff>847725</xdr:colOff>
          <xdr:row>7</xdr:row>
          <xdr:rowOff>133350</xdr:rowOff>
        </xdr:to>
        <xdr:sp macro="" textlink="">
          <xdr:nvSpPr>
            <xdr:cNvPr id="53433" name="Button 7353" hidden="1">
              <a:extLst>
                <a:ext uri="{63B3BB69-23CF-44E3-9099-C40C66FF867C}">
                  <a14:compatExt spid="_x0000_s534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1 di 3</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Pagina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9525</xdr:colOff>
          <xdr:row>56</xdr:row>
          <xdr:rowOff>238125</xdr:rowOff>
        </xdr:from>
        <xdr:to>
          <xdr:col>31</xdr:col>
          <xdr:colOff>66675</xdr:colOff>
          <xdr:row>59</xdr:row>
          <xdr:rowOff>19050</xdr:rowOff>
        </xdr:to>
        <xdr:sp macro="" textlink="">
          <xdr:nvSpPr>
            <xdr:cNvPr id="53435" name="Button 7355" hidden="1">
              <a:extLst>
                <a:ext uri="{63B3BB69-23CF-44E3-9099-C40C66FF867C}">
                  <a14:compatExt spid="_x0000_s534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2 di 3</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Pagina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95250</xdr:colOff>
          <xdr:row>113</xdr:row>
          <xdr:rowOff>161925</xdr:rowOff>
        </xdr:from>
        <xdr:to>
          <xdr:col>31</xdr:col>
          <xdr:colOff>152400</xdr:colOff>
          <xdr:row>115</xdr:row>
          <xdr:rowOff>171450</xdr:rowOff>
        </xdr:to>
        <xdr:sp macro="" textlink="">
          <xdr:nvSpPr>
            <xdr:cNvPr id="53436" name="Button 7356" hidden="1">
              <a:extLst>
                <a:ext uri="{63B3BB69-23CF-44E3-9099-C40C66FF867C}">
                  <a14:compatExt spid="_x0000_s534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3 di 3</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Pagina 3</a:t>
              </a:r>
            </a:p>
          </xdr:txBody>
        </xdr:sp>
        <xdr:clientData fPrintsWithSheet="0"/>
      </xdr:twoCellAnchor>
    </mc:Choice>
    <mc:Fallback/>
  </mc:AlternateContent>
  <xdr:twoCellAnchor editAs="oneCell">
    <xdr:from>
      <xdr:col>109</xdr:col>
      <xdr:colOff>438151</xdr:colOff>
      <xdr:row>1</xdr:row>
      <xdr:rowOff>228600</xdr:rowOff>
    </xdr:from>
    <xdr:to>
      <xdr:col>129</xdr:col>
      <xdr:colOff>37577</xdr:colOff>
      <xdr:row>654</xdr:row>
      <xdr:rowOff>6330</xdr:rowOff>
    </xdr:to>
    <xdr:grpSp>
      <xdr:nvGrpSpPr>
        <xdr:cNvPr id="6" name="Gruppo 5"/>
        <xdr:cNvGrpSpPr/>
      </xdr:nvGrpSpPr>
      <xdr:grpSpPr>
        <a:xfrm>
          <a:off x="13173076" y="323850"/>
          <a:ext cx="11791426" cy="46840755"/>
          <a:chOff x="11396662" y="238124"/>
          <a:chExt cx="11610453" cy="47515475"/>
        </a:xfrm>
      </xdr:grpSpPr>
      <xdr:grpSp>
        <xdr:nvGrpSpPr>
          <xdr:cNvPr id="7" name="Gruppo 6"/>
          <xdr:cNvGrpSpPr>
            <a:grpSpLocks noChangeAspect="1"/>
          </xdr:cNvGrpSpPr>
        </xdr:nvGrpSpPr>
        <xdr:grpSpPr>
          <a:xfrm>
            <a:off x="11396662" y="238124"/>
            <a:ext cx="11610453" cy="47515475"/>
            <a:chOff x="19969152" y="11263308"/>
            <a:chExt cx="13798550" cy="55102130"/>
          </a:xfrm>
        </xdr:grpSpPr>
        <xdr:grpSp>
          <xdr:nvGrpSpPr>
            <xdr:cNvPr id="9" name="Gruppo 8"/>
            <xdr:cNvGrpSpPr/>
          </xdr:nvGrpSpPr>
          <xdr:grpSpPr>
            <a:xfrm>
              <a:off x="19969152" y="11263308"/>
              <a:ext cx="13798550" cy="50198330"/>
              <a:chOff x="19969152" y="11310932"/>
              <a:chExt cx="13798550" cy="50198330"/>
            </a:xfrm>
          </xdr:grpSpPr>
          <xdr:grpSp>
            <xdr:nvGrpSpPr>
              <xdr:cNvPr id="28" name="Gruppo 27"/>
              <xdr:cNvGrpSpPr/>
            </xdr:nvGrpSpPr>
            <xdr:grpSpPr>
              <a:xfrm>
                <a:off x="19969152" y="11310932"/>
                <a:ext cx="13798550" cy="43830862"/>
                <a:chOff x="19969152" y="11358556"/>
                <a:chExt cx="13798550" cy="43830862"/>
              </a:xfrm>
            </xdr:grpSpPr>
            <xdr:grpSp>
              <xdr:nvGrpSpPr>
                <xdr:cNvPr id="61" name="Gruppo 60"/>
                <xdr:cNvGrpSpPr/>
              </xdr:nvGrpSpPr>
              <xdr:grpSpPr>
                <a:xfrm>
                  <a:off x="19969152" y="11358556"/>
                  <a:ext cx="13798550" cy="35574289"/>
                  <a:chOff x="19969152" y="11406180"/>
                  <a:chExt cx="13798550" cy="35574289"/>
                </a:xfrm>
              </xdr:grpSpPr>
              <xdr:grpSp>
                <xdr:nvGrpSpPr>
                  <xdr:cNvPr id="102" name="Gruppo 101"/>
                  <xdr:cNvGrpSpPr/>
                </xdr:nvGrpSpPr>
                <xdr:grpSpPr>
                  <a:xfrm>
                    <a:off x="19969152" y="11406180"/>
                    <a:ext cx="13798550" cy="24922164"/>
                    <a:chOff x="19969152" y="11453804"/>
                    <a:chExt cx="13798550" cy="24922164"/>
                  </a:xfrm>
                </xdr:grpSpPr>
                <xdr:grpSp>
                  <xdr:nvGrpSpPr>
                    <xdr:cNvPr id="163" name="Gruppo 162"/>
                    <xdr:cNvGrpSpPr/>
                  </xdr:nvGrpSpPr>
                  <xdr:grpSpPr>
                    <a:xfrm>
                      <a:off x="19969152" y="11453804"/>
                      <a:ext cx="13798550" cy="20250144"/>
                      <a:chOff x="19969152" y="11501428"/>
                      <a:chExt cx="13798550" cy="20250144"/>
                    </a:xfrm>
                  </xdr:grpSpPr>
                  <xdr:grpSp>
                    <xdr:nvGrpSpPr>
                      <xdr:cNvPr id="188" name="Gruppo 187"/>
                      <xdr:cNvGrpSpPr/>
                    </xdr:nvGrpSpPr>
                    <xdr:grpSpPr>
                      <a:xfrm>
                        <a:off x="19969152" y="11501428"/>
                        <a:ext cx="13798550" cy="15106653"/>
                        <a:chOff x="19969152" y="11525240"/>
                        <a:chExt cx="13798550" cy="15106653"/>
                      </a:xfrm>
                    </xdr:grpSpPr>
                    <xdr:grpSp>
                      <xdr:nvGrpSpPr>
                        <xdr:cNvPr id="221" name="Gruppo 220"/>
                        <xdr:cNvGrpSpPr/>
                      </xdr:nvGrpSpPr>
                      <xdr:grpSpPr>
                        <a:xfrm>
                          <a:off x="19978688" y="11525240"/>
                          <a:ext cx="11630025" cy="7788277"/>
                          <a:chOff x="628649" y="523872"/>
                          <a:chExt cx="12439651" cy="7820027"/>
                        </a:xfrm>
                      </xdr:grpSpPr>
                      <xdr:sp macro="" textlink="">
                        <xdr:nvSpPr>
                          <xdr:cNvPr id="266" name="Documento 265"/>
                          <xdr:cNvSpPr/>
                        </xdr:nvSpPr>
                        <xdr:spPr>
                          <a:xfrm>
                            <a:off x="628649" y="523872"/>
                            <a:ext cx="12439651" cy="7820027"/>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267" name="Gruppo 266"/>
                          <xdr:cNvGrpSpPr/>
                        </xdr:nvGrpSpPr>
                        <xdr:grpSpPr>
                          <a:xfrm>
                            <a:off x="719999" y="638175"/>
                            <a:ext cx="12254795" cy="6817489"/>
                            <a:chOff x="21186456" y="457200"/>
                            <a:chExt cx="12387312" cy="7059193"/>
                          </a:xfrm>
                        </xdr:grpSpPr>
                        <xdr:grpSp>
                          <xdr:nvGrpSpPr>
                            <xdr:cNvPr id="269" name="Gruppo 268"/>
                            <xdr:cNvGrpSpPr/>
                          </xdr:nvGrpSpPr>
                          <xdr:grpSpPr>
                            <a:xfrm>
                              <a:off x="21186456" y="457200"/>
                              <a:ext cx="12387312" cy="7059193"/>
                              <a:chOff x="21186456" y="457200"/>
                              <a:chExt cx="12387312" cy="7059193"/>
                            </a:xfrm>
                          </xdr:grpSpPr>
                          <xdr:grpSp>
                            <xdr:nvGrpSpPr>
                              <xdr:cNvPr id="271" name="Gruppo 270"/>
                              <xdr:cNvGrpSpPr/>
                            </xdr:nvGrpSpPr>
                            <xdr:grpSpPr>
                              <a:xfrm>
                                <a:off x="21186456" y="457200"/>
                                <a:ext cx="12387312" cy="7059193"/>
                                <a:chOff x="20310156" y="390525"/>
                                <a:chExt cx="12387312" cy="7059193"/>
                              </a:xfrm>
                            </xdr:grpSpPr>
                            <xdr:grpSp>
                              <xdr:nvGrpSpPr>
                                <xdr:cNvPr id="277" name="Gruppo 276"/>
                                <xdr:cNvGrpSpPr/>
                              </xdr:nvGrpSpPr>
                              <xdr:grpSpPr>
                                <a:xfrm>
                                  <a:off x="20310156" y="390525"/>
                                  <a:ext cx="12387312" cy="7059193"/>
                                  <a:chOff x="20310156" y="390525"/>
                                  <a:chExt cx="12387312" cy="7059193"/>
                                </a:xfrm>
                              </xdr:grpSpPr>
                              <xdr:grpSp>
                                <xdr:nvGrpSpPr>
                                  <xdr:cNvPr id="281" name="Gruppo 280"/>
                                  <xdr:cNvGrpSpPr/>
                                </xdr:nvGrpSpPr>
                                <xdr:grpSpPr>
                                  <a:xfrm>
                                    <a:off x="20310156" y="2952750"/>
                                    <a:ext cx="1783075" cy="2972773"/>
                                    <a:chOff x="20205381" y="2952750"/>
                                    <a:chExt cx="1783075" cy="2972773"/>
                                  </a:xfrm>
                                </xdr:grpSpPr>
                                <xdr:grpSp>
                                  <xdr:nvGrpSpPr>
                                    <xdr:cNvPr id="318" name="Gruppo 317"/>
                                    <xdr:cNvGrpSpPr/>
                                  </xdr:nvGrpSpPr>
                                  <xdr:grpSpPr>
                                    <a:xfrm>
                                      <a:off x="20205381" y="2952750"/>
                                      <a:ext cx="1783075" cy="1600000"/>
                                      <a:chOff x="20119656" y="2800350"/>
                                      <a:chExt cx="1783075" cy="1600000"/>
                                    </a:xfrm>
                                  </xdr:grpSpPr>
                                  <xdr:pic>
                                    <xdr:nvPicPr>
                                      <xdr:cNvPr id="320" name="Immagine 319"/>
                                      <xdr:cNvPicPr>
                                        <a:picLocks noChangeAspect="1"/>
                                      </xdr:cNvPicPr>
                                    </xdr:nvPicPr>
                                    <xdr:blipFill rotWithShape="1">
                                      <a:blip xmlns:r="http://schemas.openxmlformats.org/officeDocument/2006/relationships" r:embed="rId2"/>
                                      <a:srcRect l="25807" r="1345"/>
                                      <a:stretch/>
                                    </xdr:blipFill>
                                    <xdr:spPr>
                                      <a:xfrm>
                                        <a:off x="20119656" y="2800350"/>
                                        <a:ext cx="1783075" cy="1600000"/>
                                      </a:xfrm>
                                      <a:prstGeom prst="rect">
                                        <a:avLst/>
                                      </a:prstGeom>
                                    </xdr:spPr>
                                  </xdr:pic>
                                  <xdr:sp macro="" textlink="">
                                    <xdr:nvSpPr>
                                      <xdr:cNvPr id="321" name="CasellaDiTesto 320"/>
                                      <xdr:cNvSpPr txBox="1"/>
                                    </xdr:nvSpPr>
                                    <xdr:spPr>
                                      <a:xfrm>
                                        <a:off x="20259675" y="3067049"/>
                                        <a:ext cx="14097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grpSp>
                                <xdr:cxnSp macro="">
                                  <xdr:nvCxnSpPr>
                                    <xdr:cNvPr id="319" name="Connettore 4 318"/>
                                    <xdr:cNvCxnSpPr/>
                                  </xdr:nvCxnSpPr>
                                  <xdr:spPr>
                                    <a:xfrm rot="16200000" flipV="1">
                                      <a:off x="20349300" y="5061523"/>
                                      <a:ext cx="1404000" cy="324000"/>
                                    </a:xfrm>
                                    <a:prstGeom prst="bentConnector3">
                                      <a:avLst>
                                        <a:gd name="adj1" fmla="val 0"/>
                                      </a:avLst>
                                    </a:prstGeom>
                                    <a:ln w="15875">
                                      <a:solidFill>
                                        <a:schemeClr val="bg1">
                                          <a:lumMod val="50000"/>
                                          <a:alpha val="99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282" name="Gruppo 281"/>
                                  <xdr:cNvGrpSpPr/>
                                </xdr:nvGrpSpPr>
                                <xdr:grpSpPr>
                                  <a:xfrm>
                                    <a:off x="21375481" y="390525"/>
                                    <a:ext cx="11321987" cy="7059193"/>
                                    <a:chOff x="21375481" y="390525"/>
                                    <a:chExt cx="11321987" cy="7059193"/>
                                  </a:xfrm>
                                </xdr:grpSpPr>
                                <xdr:grpSp>
                                  <xdr:nvGrpSpPr>
                                    <xdr:cNvPr id="283" name="Gruppo 282"/>
                                    <xdr:cNvGrpSpPr/>
                                  </xdr:nvGrpSpPr>
                                  <xdr:grpSpPr>
                                    <a:xfrm>
                                      <a:off x="22259926" y="2000254"/>
                                      <a:ext cx="6249524" cy="2906191"/>
                                      <a:chOff x="22259926" y="2000254"/>
                                      <a:chExt cx="6249524" cy="2906191"/>
                                    </a:xfrm>
                                  </xdr:grpSpPr>
                                  <xdr:grpSp>
                                    <xdr:nvGrpSpPr>
                                      <xdr:cNvPr id="311" name="Gruppo 310"/>
                                      <xdr:cNvGrpSpPr/>
                                    </xdr:nvGrpSpPr>
                                    <xdr:grpSpPr>
                                      <a:xfrm>
                                        <a:off x="22259926" y="2000254"/>
                                        <a:ext cx="6249524" cy="2906191"/>
                                        <a:chOff x="20974051" y="847729"/>
                                        <a:chExt cx="6249524" cy="2906191"/>
                                      </a:xfrm>
                                    </xdr:grpSpPr>
                                    <xdr:pic>
                                      <xdr:nvPicPr>
                                        <xdr:cNvPr id="316" name="Immagine 315"/>
                                        <xdr:cNvPicPr>
                                          <a:picLocks noChangeAspect="1"/>
                                        </xdr:cNvPicPr>
                                      </xdr:nvPicPr>
                                      <xdr:blipFill>
                                        <a:blip xmlns:r="http://schemas.openxmlformats.org/officeDocument/2006/relationships" r:embed="rId3"/>
                                        <a:stretch>
                                          <a:fillRect/>
                                        </a:stretch>
                                      </xdr:blipFill>
                                      <xdr:spPr>
                                        <a:xfrm>
                                          <a:off x="20974051" y="847729"/>
                                          <a:ext cx="6249524" cy="2906191"/>
                                        </a:xfrm>
                                        <a:prstGeom prst="rect">
                                          <a:avLst/>
                                        </a:prstGeom>
                                      </xdr:spPr>
                                    </xdr:pic>
                                    <xdr:sp macro="" textlink="">
                                      <xdr:nvSpPr>
                                        <xdr:cNvPr id="317" name="Rettangolo 316"/>
                                        <xdr:cNvSpPr/>
                                      </xdr:nvSpPr>
                                      <xdr:spPr>
                                        <a:xfrm>
                                          <a:off x="21088349" y="923925"/>
                                          <a:ext cx="2857501" cy="390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sp macro="" textlink="">
                                    <xdr:nvSpPr>
                                      <xdr:cNvPr id="312" name="CasellaDiTesto 311"/>
                                      <xdr:cNvSpPr txBox="1"/>
                                    </xdr:nvSpPr>
                                    <xdr:spPr>
                                      <a:xfrm>
                                        <a:off x="22898100" y="3238500"/>
                                        <a:ext cx="1188000" cy="39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sp macro="" textlink="">
                                    <xdr:nvSpPr>
                                      <xdr:cNvPr id="313" name="CasellaDiTesto 312"/>
                                      <xdr:cNvSpPr txBox="1"/>
                                    </xdr:nvSpPr>
                                    <xdr:spPr>
                                      <a:xfrm>
                                        <a:off x="24155400" y="3238500"/>
                                        <a:ext cx="1188000" cy="39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sp macro="" textlink="">
                                    <xdr:nvSpPr>
                                      <xdr:cNvPr id="314" name="CasellaDiTesto 313"/>
                                      <xdr:cNvSpPr txBox="1"/>
                                    </xdr:nvSpPr>
                                    <xdr:spPr>
                                      <a:xfrm>
                                        <a:off x="25422225" y="3238500"/>
                                        <a:ext cx="1188000" cy="39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grpSp>
                                <xdr:grpSp>
                                  <xdr:nvGrpSpPr>
                                    <xdr:cNvPr id="284" name="Gruppo 283"/>
                                    <xdr:cNvGrpSpPr/>
                                  </xdr:nvGrpSpPr>
                                  <xdr:grpSpPr>
                                    <a:xfrm>
                                      <a:off x="22146000" y="3810000"/>
                                      <a:ext cx="2009175" cy="581023"/>
                                      <a:chOff x="22146000" y="3810000"/>
                                      <a:chExt cx="2009175" cy="581023"/>
                                    </a:xfrm>
                                  </xdr:grpSpPr>
                                  <xdr:sp macro="" textlink="">
                                    <xdr:nvSpPr>
                                      <xdr:cNvPr id="309" name="Rettangolo 308"/>
                                      <xdr:cNvSpPr/>
                                    </xdr:nvSpPr>
                                    <xdr:spPr>
                                      <a:xfrm>
                                        <a:off x="22355175" y="3810000"/>
                                        <a:ext cx="1800000" cy="216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310" name="Connettore 4 309"/>
                                      <xdr:cNvCxnSpPr/>
                                    </xdr:nvCxnSpPr>
                                    <xdr:spPr>
                                      <a:xfrm rot="10800000" flipV="1">
                                        <a:off x="22146000" y="4031023"/>
                                        <a:ext cx="1476000" cy="360000"/>
                                      </a:xfrm>
                                      <a:prstGeom prst="bentConnector3">
                                        <a:avLst>
                                          <a:gd name="adj1" fmla="val 0"/>
                                        </a:avLst>
                                      </a:prstGeom>
                                      <a:ln w="15875">
                                        <a:solidFill>
                                          <a:srgbClr val="FF0000">
                                            <a:alpha val="99000"/>
                                          </a:srgbClr>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5" name="CasellaDiTesto 284"/>
                                    <xdr:cNvSpPr txBox="1"/>
                                  </xdr:nvSpPr>
                                  <xdr:spPr>
                                    <a:xfrm>
                                      <a:off x="21375481" y="5588337"/>
                                      <a:ext cx="6010237" cy="186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4)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foglio CASSA ti permette di trovare una quadratura con l' INCASSO del periodo.</a:t>
                                      </a: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r>
                                      <a:b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 tal fine seleziona liberamente l' informazione "ENTRATA/USCITA monetaria" relativamente alle colonne che hai impostato (alcune colonne possono NON essere movimenti monetari, il campo può restare vuoto).</a:t>
                                      </a:r>
                                      <a:b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endPar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Le ENTRATE meno le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USCITE determinano un Saldo "monetario" che dovresti ritrovarti in CASSA. In basso trovi lo specchietto per procedere con questa prima quadratura (Q1).</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86" name="Rettangolo 285"/>
                                    <xdr:cNvSpPr/>
                                  </xdr:nvSpPr>
                                  <xdr:spPr>
                                    <a:xfrm>
                                      <a:off x="22374226" y="4495800"/>
                                      <a:ext cx="5821800" cy="468000"/>
                                    </a:xfrm>
                                    <a:prstGeom prst="rect">
                                      <a:avLst/>
                                    </a:prstGeom>
                                    <a:noFill/>
                                    <a:ln w="15875">
                                      <a:solidFill>
                                        <a:schemeClr val="bg1">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287" name="Gruppo 286"/>
                                    <xdr:cNvGrpSpPr/>
                                  </xdr:nvGrpSpPr>
                                  <xdr:grpSpPr>
                                    <a:xfrm>
                                      <a:off x="24032217" y="390525"/>
                                      <a:ext cx="5666479" cy="1400000"/>
                                      <a:chOff x="24032217" y="276225"/>
                                      <a:chExt cx="5666479" cy="1400000"/>
                                    </a:xfrm>
                                  </xdr:grpSpPr>
                                  <xdr:sp macro="" textlink="">
                                    <xdr:nvSpPr>
                                      <xdr:cNvPr id="307" name="CasellaDiTesto 306"/>
                                      <xdr:cNvSpPr txBox="1"/>
                                    </xdr:nvSpPr>
                                    <xdr:spPr>
                                      <a:xfrm>
                                        <a:off x="24032217" y="345129"/>
                                        <a:ext cx="3794107" cy="697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foglio CASSA funziona per SINGOLO</a:t>
                                        </a: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MESE che devi selezionare all' inizio.</a:t>
                                        </a:r>
                                      </a:p>
                                      <a:p>
                                        <a:r>
                                          <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Per altri intervalli di tempo, vedi</a:t>
                                        </a:r>
                                        <a:r>
                                          <a:rPr lang="it-IT" sz="1000" i="1" baseline="0">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 il foglio "VERIFICA".</a:t>
                                        </a:r>
                                        <a:endPar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endParaRPr>
                                      </a:p>
                                    </xdr:txBody>
                                  </xdr:sp>
                                  <xdr:pic>
                                    <xdr:nvPicPr>
                                      <xdr:cNvPr id="308" name="Immagine 307"/>
                                      <xdr:cNvPicPr>
                                        <a:picLocks noChangeAspect="1"/>
                                      </xdr:cNvPicPr>
                                    </xdr:nvPicPr>
                                    <xdr:blipFill>
                                      <a:blip xmlns:r="http://schemas.openxmlformats.org/officeDocument/2006/relationships" r:embed="rId4"/>
                                      <a:stretch>
                                        <a:fillRect/>
                                      </a:stretch>
                                    </xdr:blipFill>
                                    <xdr:spPr>
                                      <a:xfrm>
                                        <a:off x="27670125" y="276225"/>
                                        <a:ext cx="2028571" cy="1400000"/>
                                      </a:xfrm>
                                      <a:prstGeom prst="rect">
                                        <a:avLst/>
                                      </a:prstGeom>
                                    </xdr:spPr>
                                  </xdr:pic>
                                </xdr:grpSp>
                                <xdr:grpSp>
                                  <xdr:nvGrpSpPr>
                                    <xdr:cNvPr id="288" name="Gruppo 287"/>
                                    <xdr:cNvGrpSpPr/>
                                  </xdr:nvGrpSpPr>
                                  <xdr:grpSpPr>
                                    <a:xfrm>
                                      <a:off x="26641425" y="1837242"/>
                                      <a:ext cx="6056043" cy="4900463"/>
                                      <a:chOff x="26641425" y="1837242"/>
                                      <a:chExt cx="6056043" cy="4900463"/>
                                    </a:xfrm>
                                  </xdr:grpSpPr>
                                  <xdr:pic>
                                    <xdr:nvPicPr>
                                      <xdr:cNvPr id="289" name="Immagine 288"/>
                                      <xdr:cNvPicPr>
                                        <a:picLocks noChangeAspect="1"/>
                                      </xdr:cNvPicPr>
                                    </xdr:nvPicPr>
                                    <xdr:blipFill>
                                      <a:blip xmlns:r="http://schemas.openxmlformats.org/officeDocument/2006/relationships" r:embed="rId5"/>
                                      <a:stretch>
                                        <a:fillRect/>
                                      </a:stretch>
                                    </xdr:blipFill>
                                    <xdr:spPr>
                                      <a:xfrm>
                                        <a:off x="28727400" y="2219325"/>
                                        <a:ext cx="1942857" cy="1057143"/>
                                      </a:xfrm>
                                      <a:prstGeom prst="rect">
                                        <a:avLst/>
                                      </a:prstGeom>
                                    </xdr:spPr>
                                  </xdr:pic>
                                  <xdr:sp macro="" textlink="">
                                    <xdr:nvSpPr>
                                      <xdr:cNvPr id="290" name="CasellaDiTesto 289"/>
                                      <xdr:cNvSpPr txBox="1"/>
                                    </xdr:nvSpPr>
                                    <xdr:spPr>
                                      <a:xfrm>
                                        <a:off x="30651450" y="1837242"/>
                                        <a:ext cx="1876425" cy="1489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foglio gestisce tutte le "tipologie" di valori elaborate dal sistema</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(vedi punto 4 delle ISTRUZIONI nel foglio "Presentazione").</a:t>
                                        </a: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Seleziona una tipologia.</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91" name="Gruppo 290"/>
                                      <xdr:cNvGrpSpPr/>
                                    </xdr:nvGrpSpPr>
                                    <xdr:grpSpPr>
                                      <a:xfrm>
                                        <a:off x="26641425" y="3305175"/>
                                        <a:ext cx="6056043" cy="3432530"/>
                                        <a:chOff x="26641425" y="3305175"/>
                                        <a:chExt cx="6056043" cy="3432530"/>
                                      </a:xfrm>
                                    </xdr:grpSpPr>
                                    <xdr:grpSp>
                                      <xdr:nvGrpSpPr>
                                        <xdr:cNvPr id="295" name="Gruppo 294"/>
                                        <xdr:cNvGrpSpPr/>
                                      </xdr:nvGrpSpPr>
                                      <xdr:grpSpPr>
                                        <a:xfrm>
                                          <a:off x="28392451" y="3305175"/>
                                          <a:ext cx="3649231" cy="2628648"/>
                                          <a:chOff x="28392451" y="3305175"/>
                                          <a:chExt cx="3649231" cy="2628648"/>
                                        </a:xfrm>
                                      </xdr:grpSpPr>
                                      <xdr:pic>
                                        <xdr:nvPicPr>
                                          <xdr:cNvPr id="302" name="Immagine 301"/>
                                          <xdr:cNvPicPr>
                                            <a:picLocks noChangeAspect="1"/>
                                          </xdr:cNvPicPr>
                                        </xdr:nvPicPr>
                                        <xdr:blipFill>
                                          <a:blip xmlns:r="http://schemas.openxmlformats.org/officeDocument/2006/relationships" r:embed="rId6"/>
                                          <a:stretch>
                                            <a:fillRect/>
                                          </a:stretch>
                                        </xdr:blipFill>
                                        <xdr:spPr>
                                          <a:xfrm>
                                            <a:off x="28698825" y="3305175"/>
                                            <a:ext cx="3342857" cy="1657143"/>
                                          </a:xfrm>
                                          <a:prstGeom prst="rect">
                                            <a:avLst/>
                                          </a:prstGeom>
                                        </xdr:spPr>
                                      </xdr:pic>
                                      <xdr:sp macro="" textlink="">
                                        <xdr:nvSpPr>
                                          <xdr:cNvPr id="303" name="Rettangolo 302"/>
                                          <xdr:cNvSpPr/>
                                        </xdr:nvSpPr>
                                        <xdr:spPr>
                                          <a:xfrm>
                                            <a:off x="28784550" y="4238625"/>
                                            <a:ext cx="1440000" cy="432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304" name="Gruppo 303"/>
                                          <xdr:cNvGrpSpPr/>
                                        </xdr:nvGrpSpPr>
                                        <xdr:grpSpPr>
                                          <a:xfrm>
                                            <a:off x="28392451" y="4667025"/>
                                            <a:ext cx="1409701" cy="1266798"/>
                                            <a:chOff x="28392451" y="4667025"/>
                                            <a:chExt cx="1409701" cy="1266798"/>
                                          </a:xfrm>
                                        </xdr:grpSpPr>
                                        <xdr:sp macro="" textlink="">
                                          <xdr:nvSpPr>
                                            <xdr:cNvPr id="305" name="CasellaDiTesto 304"/>
                                            <xdr:cNvSpPr txBox="1"/>
                                          </xdr:nvSpPr>
                                          <xdr:spPr>
                                            <a:xfrm>
                                              <a:off x="28392451" y="4915716"/>
                                              <a:ext cx="1409701" cy="101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NB) </a:t>
                                              </a:r>
                                              <a:r>
                                                <a:rPr lang="it-IT" sz="105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Possono essere presenti entrambe le selezioni.</a:t>
                                              </a:r>
                                            </a:p>
                                          </xdr:txBody>
                                        </xdr:sp>
                                        <xdr:cxnSp macro="">
                                          <xdr:nvCxnSpPr>
                                            <xdr:cNvPr id="306" name="Connettore 4 305"/>
                                            <xdr:cNvCxnSpPr/>
                                          </xdr:nvCxnSpPr>
                                          <xdr:spPr>
                                            <a:xfrm flipV="1">
                                              <a:off x="29460900" y="4667025"/>
                                              <a:ext cx="216000" cy="900000"/>
                                            </a:xfrm>
                                            <a:prstGeom prst="bentConnector2">
                                              <a:avLst/>
                                            </a:prstGeom>
                                            <a:ln w="15875">
                                              <a:solidFill>
                                                <a:srgbClr val="FF0000">
                                                  <a:alpha val="99000"/>
                                                </a:srgbClr>
                                              </a:solidFill>
                                              <a:headEnd type="triangle"/>
                                              <a:tailEnd type="none"/>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96" name="CasellaDiTesto 295"/>
                                        <xdr:cNvSpPr txBox="1"/>
                                      </xdr:nvSpPr>
                                      <xdr:spPr>
                                        <a:xfrm>
                                          <a:off x="28860750" y="3562349"/>
                                          <a:ext cx="14097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sp macro="" textlink="">
                                      <xdr:nvSpPr>
                                        <xdr:cNvPr id="297" name="CasellaDiTesto 296"/>
                                        <xdr:cNvSpPr txBox="1"/>
                                      </xdr:nvSpPr>
                                      <xdr:spPr>
                                        <a:xfrm>
                                          <a:off x="30356175" y="3562349"/>
                                          <a:ext cx="14097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sp macro="" textlink="">
                                      <xdr:nvSpPr>
                                        <xdr:cNvPr id="298" name="CasellaDiTesto 297"/>
                                        <xdr:cNvSpPr txBox="1"/>
                                      </xdr:nvSpPr>
                                      <xdr:spPr>
                                        <a:xfrm>
                                          <a:off x="29749391" y="4986639"/>
                                          <a:ext cx="2948077" cy="1751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5)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Indipendentemente dalla natura del valore espresso dalla colonna (natura monetaria o no) gli importi giornalieri annotati possono confluire in un</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ELENCO ANALITICO che puoi QUADRARE inserendo fino ad un massimo di 48 importi analitici.</a:t>
                                          </a: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seguito, alla pagina 3, trovi quest' area dedicata ed altre spiegazioni.</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99" name="Gruppo 298"/>
                                        <xdr:cNvGrpSpPr/>
                                      </xdr:nvGrpSpPr>
                                      <xdr:grpSpPr>
                                        <a:xfrm>
                                          <a:off x="26641425" y="3971925"/>
                                          <a:ext cx="4114800" cy="396000"/>
                                          <a:chOff x="26641425" y="3971925"/>
                                          <a:chExt cx="4114800" cy="396000"/>
                                        </a:xfrm>
                                      </xdr:grpSpPr>
                                      <xdr:sp macro="" textlink="">
                                        <xdr:nvSpPr>
                                          <xdr:cNvPr id="300" name="Rettangolo 299"/>
                                          <xdr:cNvSpPr/>
                                        </xdr:nvSpPr>
                                        <xdr:spPr>
                                          <a:xfrm>
                                            <a:off x="26641425" y="3971925"/>
                                            <a:ext cx="1332000" cy="216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301" name="Figura a mano libera 300"/>
                                          <xdr:cNvSpPr/>
                                        </xdr:nvSpPr>
                                        <xdr:spPr>
                                          <a:xfrm>
                                            <a:off x="27974925" y="3971925"/>
                                            <a:ext cx="2781300" cy="396000"/>
                                          </a:xfrm>
                                          <a:custGeom>
                                            <a:avLst/>
                                            <a:gdLst>
                                              <a:gd name="connsiteX0" fmla="*/ 0 w 2781300"/>
                                              <a:gd name="connsiteY0" fmla="*/ 0 h 361950"/>
                                              <a:gd name="connsiteX1" fmla="*/ 2533650 w 2781300"/>
                                              <a:gd name="connsiteY1" fmla="*/ 9525 h 361950"/>
                                              <a:gd name="connsiteX2" fmla="*/ 2781300 w 2781300"/>
                                              <a:gd name="connsiteY2" fmla="*/ 361950 h 361950"/>
                                            </a:gdLst>
                                            <a:ahLst/>
                                            <a:cxnLst>
                                              <a:cxn ang="0">
                                                <a:pos x="connsiteX0" y="connsiteY0"/>
                                              </a:cxn>
                                              <a:cxn ang="0">
                                                <a:pos x="connsiteX1" y="connsiteY1"/>
                                              </a:cxn>
                                              <a:cxn ang="0">
                                                <a:pos x="connsiteX2" y="connsiteY2"/>
                                              </a:cxn>
                                            </a:cxnLst>
                                            <a:rect l="l" t="t" r="r" b="b"/>
                                            <a:pathLst>
                                              <a:path w="2781300" h="361950">
                                                <a:moveTo>
                                                  <a:pt x="0" y="0"/>
                                                </a:moveTo>
                                                <a:lnTo>
                                                  <a:pt x="2533650" y="9525"/>
                                                </a:lnTo>
                                                <a:lnTo>
                                                  <a:pt x="2781300" y="361950"/>
                                                </a:lnTo>
                                              </a:path>
                                            </a:pathLst>
                                          </a:custGeom>
                                          <a:noFill/>
                                          <a:ln w="15875">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grpSp>
                                    <xdr:nvGrpSpPr>
                                      <xdr:cNvPr id="292" name="Gruppo 291"/>
                                      <xdr:cNvGrpSpPr/>
                                    </xdr:nvGrpSpPr>
                                    <xdr:grpSpPr>
                                      <a:xfrm>
                                        <a:off x="27079575" y="2571750"/>
                                        <a:ext cx="1714500" cy="432000"/>
                                        <a:chOff x="27079575" y="2571750"/>
                                        <a:chExt cx="1714500" cy="432000"/>
                                      </a:xfrm>
                                    </xdr:grpSpPr>
                                    <xdr:sp macro="" textlink="">
                                      <xdr:nvSpPr>
                                        <xdr:cNvPr id="293" name="Rettangolo 292"/>
                                        <xdr:cNvSpPr/>
                                      </xdr:nvSpPr>
                                      <xdr:spPr>
                                        <a:xfrm>
                                          <a:off x="27079575" y="2571750"/>
                                          <a:ext cx="1080000" cy="432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94" name="Connettore 2 293"/>
                                        <xdr:cNvCxnSpPr/>
                                      </xdr:nvCxnSpPr>
                                      <xdr:spPr>
                                        <a:xfrm flipV="1">
                                          <a:off x="28146375" y="2571750"/>
                                          <a:ext cx="647700" cy="209551"/>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grpSp>
                              <xdr:nvGrpSpPr>
                                <xdr:cNvPr id="278" name="Gruppo 277"/>
                                <xdr:cNvGrpSpPr/>
                              </xdr:nvGrpSpPr>
                              <xdr:grpSpPr>
                                <a:xfrm>
                                  <a:off x="26812875" y="1257300"/>
                                  <a:ext cx="2057400" cy="1066800"/>
                                  <a:chOff x="26812875" y="1257300"/>
                                  <a:chExt cx="2057400" cy="1066800"/>
                                </a:xfrm>
                              </xdr:grpSpPr>
                              <xdr:sp macro="" textlink="">
                                <xdr:nvSpPr>
                                  <xdr:cNvPr id="279" name="Rettangolo 278"/>
                                  <xdr:cNvSpPr/>
                                </xdr:nvSpPr>
                                <xdr:spPr>
                                  <a:xfrm>
                                    <a:off x="26812875" y="1943100"/>
                                    <a:ext cx="1638300" cy="381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80" name="Connettore 4 279"/>
                                  <xdr:cNvCxnSpPr>
                                    <a:stCxn id="279" idx="3"/>
                                  </xdr:cNvCxnSpPr>
                                </xdr:nvCxnSpPr>
                                <xdr:spPr>
                                  <a:xfrm flipV="1">
                                    <a:off x="28451175" y="1257300"/>
                                    <a:ext cx="419100" cy="876300"/>
                                  </a:xfrm>
                                  <a:prstGeom prst="bentConnector2">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grpSp>
                            <xdr:nvGrpSpPr>
                              <xdr:cNvPr id="272" name="Gruppo 271"/>
                              <xdr:cNvGrpSpPr/>
                            </xdr:nvGrpSpPr>
                            <xdr:grpSpPr>
                              <a:xfrm>
                                <a:off x="21315490" y="1188666"/>
                                <a:ext cx="6528110" cy="1872234"/>
                                <a:chOff x="20429665" y="1131516"/>
                                <a:chExt cx="6528110" cy="1872234"/>
                              </a:xfrm>
                            </xdr:grpSpPr>
                            <xdr:sp macro="" textlink="">
                              <xdr:nvSpPr>
                                <xdr:cNvPr id="273" name="CasellaDiTesto 272"/>
                                <xdr:cNvSpPr txBox="1"/>
                              </xdr:nvSpPr>
                              <xdr:spPr>
                                <a:xfrm>
                                  <a:off x="20429665" y="1131516"/>
                                  <a:ext cx="5306496" cy="148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Digita o</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seleziona il periodo di tempo (all' interno del mese) per il quale vuoi procedere ad una quadratura. Questo foglio restituisce i VALORI REGISTRATI nel sistema, nei fogli mensili (GEN/FEB/MAR/..).</a:t>
                                  </a:r>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r>
                                  <a:b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endPar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1000" i="1" u="sng">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Fin tanto che non inserisci il tuo codice di proprietà del sistema (vedi il foglio "Presentazione"), puoi usare per</a:t>
                                  </a:r>
                                  <a:r>
                                    <a:rPr lang="it-IT" sz="1000" i="1" u="sng" baseline="0">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 tutto l'anno liberamente questo foglio per una chiusura solo GIORNALIERA.</a:t>
                                  </a:r>
                                  <a:endParaRPr lang="it-IT" sz="1000" i="1" u="sng">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74" name="Gruppo 273"/>
                                <xdr:cNvGrpSpPr/>
                              </xdr:nvGrpSpPr>
                              <xdr:grpSpPr>
                                <a:xfrm>
                                  <a:off x="24869775" y="2247750"/>
                                  <a:ext cx="2088000" cy="756000"/>
                                  <a:chOff x="24869775" y="2247750"/>
                                  <a:chExt cx="2088000" cy="756000"/>
                                </a:xfrm>
                              </xdr:grpSpPr>
                              <xdr:sp macro="" textlink="">
                                <xdr:nvSpPr>
                                  <xdr:cNvPr id="275" name="Rettangolo 274"/>
                                  <xdr:cNvSpPr/>
                                </xdr:nvSpPr>
                                <xdr:spPr>
                                  <a:xfrm>
                                    <a:off x="24869775" y="2571750"/>
                                    <a:ext cx="2088000" cy="432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76" name="Connettore 4 275"/>
                                  <xdr:cNvCxnSpPr/>
                                </xdr:nvCxnSpPr>
                                <xdr:spPr>
                                  <a:xfrm rot="-5400000" flipV="1">
                                    <a:off x="25927125" y="2085750"/>
                                    <a:ext cx="324000" cy="648000"/>
                                  </a:xfrm>
                                  <a:prstGeom prst="bentConnector2">
                                    <a:avLst/>
                                  </a:prstGeom>
                                  <a:ln w="15875">
                                    <a:solidFill>
                                      <a:srgbClr val="FF0000">
                                        <a:alpha val="99000"/>
                                      </a:srgbClr>
                                    </a:solidFill>
                                    <a:tailEnd type="triangle"/>
                                  </a:ln>
                                </xdr:spPr>
                                <xdr:style>
                                  <a:lnRef idx="1">
                                    <a:schemeClr val="accent1"/>
                                  </a:lnRef>
                                  <a:fillRef idx="0">
                                    <a:schemeClr val="accent1"/>
                                  </a:fillRef>
                                  <a:effectRef idx="0">
                                    <a:schemeClr val="accent1"/>
                                  </a:effectRef>
                                  <a:fontRef idx="minor">
                                    <a:schemeClr val="tx1"/>
                                  </a:fontRef>
                                </xdr:style>
                              </xdr:cxnSp>
                            </xdr:grpSp>
                          </xdr:grpSp>
                        </xdr:grpSp>
                        <xdr:sp macro="" textlink="">
                          <xdr:nvSpPr>
                            <xdr:cNvPr id="270" name="CasellaDiTesto 269"/>
                            <xdr:cNvSpPr txBox="1"/>
                          </xdr:nvSpPr>
                          <xdr:spPr>
                            <a:xfrm>
                              <a:off x="25774649" y="5096146"/>
                              <a:ext cx="3490972" cy="467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8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QUI trovi un riepilogo degli</a:t>
                              </a:r>
                              <a:r>
                                <a:rPr lang="it-IT" sz="8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importi sommati secondo le selezioni attive.</a:t>
                              </a:r>
                              <a:endParaRPr lang="it-IT" sz="8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sp macro="" textlink="">
                        <xdr:nvSpPr>
                          <xdr:cNvPr id="268" name="CasellaDiTesto 267"/>
                          <xdr:cNvSpPr txBox="1"/>
                        </xdr:nvSpPr>
                        <xdr:spPr>
                          <a:xfrm>
                            <a:off x="685798" y="561972"/>
                            <a:ext cx="883143" cy="4388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1</a:t>
                            </a:r>
                          </a:p>
                        </xdr:txBody>
                      </xdr:sp>
                    </xdr:grpSp>
                    <xdr:grpSp>
                      <xdr:nvGrpSpPr>
                        <xdr:cNvPr id="222" name="Gruppo 221"/>
                        <xdr:cNvGrpSpPr/>
                      </xdr:nvGrpSpPr>
                      <xdr:grpSpPr>
                        <a:xfrm>
                          <a:off x="19969152" y="19716741"/>
                          <a:ext cx="13798550" cy="6915152"/>
                          <a:chOff x="952499" y="13087348"/>
                          <a:chExt cx="13439775" cy="6915152"/>
                        </a:xfrm>
                      </xdr:grpSpPr>
                      <xdr:sp macro="" textlink="">
                        <xdr:nvSpPr>
                          <xdr:cNvPr id="223" name="Documento 222"/>
                          <xdr:cNvSpPr/>
                        </xdr:nvSpPr>
                        <xdr:spPr>
                          <a:xfrm>
                            <a:off x="952499" y="13087348"/>
                            <a:ext cx="13439775" cy="6915152"/>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224" name="Gruppo 223"/>
                          <xdr:cNvGrpSpPr/>
                        </xdr:nvGrpSpPr>
                        <xdr:grpSpPr>
                          <a:xfrm>
                            <a:off x="1066802" y="13475157"/>
                            <a:ext cx="13176641" cy="5614590"/>
                            <a:chOff x="20097757" y="10008694"/>
                            <a:chExt cx="13315741" cy="5946101"/>
                          </a:xfrm>
                        </xdr:grpSpPr>
                        <xdr:grpSp>
                          <xdr:nvGrpSpPr>
                            <xdr:cNvPr id="226" name="Gruppo 225"/>
                            <xdr:cNvGrpSpPr/>
                          </xdr:nvGrpSpPr>
                          <xdr:grpSpPr>
                            <a:xfrm>
                              <a:off x="20097757" y="10077456"/>
                              <a:ext cx="3262381" cy="2743193"/>
                              <a:chOff x="19583407" y="6715131"/>
                              <a:chExt cx="3262381" cy="2743193"/>
                            </a:xfrm>
                          </xdr:grpSpPr>
                          <xdr:sp macro="" textlink="">
                            <xdr:nvSpPr>
                              <xdr:cNvPr id="259" name="CasellaDiTesto 258"/>
                              <xdr:cNvSpPr txBox="1"/>
                            </xdr:nvSpPr>
                            <xdr:spPr>
                              <a:xfrm>
                                <a:off x="20697823" y="8991599"/>
                                <a:ext cx="16560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Numero di DOCUMENTI giustificativi</a:t>
                                </a:r>
                              </a:p>
                            </xdr:txBody>
                          </xdr:sp>
                          <xdr:grpSp>
                            <xdr:nvGrpSpPr>
                              <xdr:cNvPr id="260" name="Gruppo 259"/>
                              <xdr:cNvGrpSpPr/>
                            </xdr:nvGrpSpPr>
                            <xdr:grpSpPr>
                              <a:xfrm>
                                <a:off x="19583407" y="6715131"/>
                                <a:ext cx="3262381" cy="2512719"/>
                                <a:chOff x="19583407" y="6715131"/>
                                <a:chExt cx="3262381" cy="2512719"/>
                              </a:xfrm>
                            </xdr:grpSpPr>
                            <xdr:pic>
                              <xdr:nvPicPr>
                                <xdr:cNvPr id="261" name="Immagine 260"/>
                                <xdr:cNvPicPr>
                                  <a:picLocks noChangeAspect="1"/>
                                </xdr:cNvPicPr>
                              </xdr:nvPicPr>
                              <xdr:blipFill>
                                <a:blip xmlns:r="http://schemas.openxmlformats.org/officeDocument/2006/relationships" r:embed="rId7"/>
                                <a:stretch>
                                  <a:fillRect/>
                                </a:stretch>
                              </xdr:blipFill>
                              <xdr:spPr>
                                <a:xfrm>
                                  <a:off x="19583407" y="6715131"/>
                                  <a:ext cx="3262381" cy="2201905"/>
                                </a:xfrm>
                                <a:prstGeom prst="rect">
                                  <a:avLst/>
                                </a:prstGeom>
                              </xdr:spPr>
                            </xdr:pic>
                            <xdr:sp macro="" textlink="">
                              <xdr:nvSpPr>
                                <xdr:cNvPr id="262" name="CasellaDiTesto 261"/>
                                <xdr:cNvSpPr txBox="1"/>
                              </xdr:nvSpPr>
                              <xdr:spPr>
                                <a:xfrm>
                                  <a:off x="19916775" y="7248525"/>
                                  <a:ext cx="972000"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TESTI</a:t>
                                  </a:r>
                                </a:p>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LIBERI</a:t>
                                  </a:r>
                                </a:p>
                              </xdr:txBody>
                            </xdr:sp>
                            <xdr:sp macro="" textlink="">
                              <xdr:nvSpPr>
                                <xdr:cNvPr id="263" name="CasellaDiTesto 262"/>
                                <xdr:cNvSpPr txBox="1"/>
                              </xdr:nvSpPr>
                              <xdr:spPr>
                                <a:xfrm>
                                  <a:off x="19916773" y="8039100"/>
                                  <a:ext cx="1656000" cy="3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TESTI LIBERI</a:t>
                                  </a:r>
                                </a:p>
                              </xdr:txBody>
                            </xdr:sp>
                            <xdr:sp macro="" textlink="">
                              <xdr:nvSpPr>
                                <xdr:cNvPr id="264" name="CasellaDiTesto 263"/>
                                <xdr:cNvSpPr txBox="1"/>
                              </xdr:nvSpPr>
                              <xdr:spPr>
                                <a:xfrm>
                                  <a:off x="21859875" y="7315200"/>
                                  <a:ext cx="657225" cy="422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00">
                                      <a:latin typeface="Tahoma" panose="020B0604030504040204" pitchFamily="34" charset="0"/>
                                      <a:ea typeface="Tahoma" panose="020B0604030504040204" pitchFamily="34" charset="0"/>
                                      <a:cs typeface="Tahoma" panose="020B0604030504040204" pitchFamily="34" charset="0"/>
                                    </a:rPr>
                                    <a:t>IMPORTI</a:t>
                                  </a:r>
                                </a:p>
                                <a:p>
                                  <a:pPr algn="ctr"/>
                                  <a:r>
                                    <a:rPr lang="it-IT" sz="700">
                                      <a:latin typeface="Tahoma" panose="020B0604030504040204" pitchFamily="34" charset="0"/>
                                      <a:ea typeface="Tahoma" panose="020B0604030504040204" pitchFamily="34" charset="0"/>
                                      <a:cs typeface="Tahoma" panose="020B0604030504040204" pitchFamily="34" charset="0"/>
                                    </a:rPr>
                                    <a:t>liberi</a:t>
                                  </a:r>
                                </a:p>
                              </xdr:txBody>
                            </xdr:sp>
                            <xdr:cxnSp macro="">
                              <xdr:nvCxnSpPr>
                                <xdr:cNvPr id="265" name="Connettore 4 264"/>
                                <xdr:cNvCxnSpPr/>
                              </xdr:nvCxnSpPr>
                              <xdr:spPr>
                                <a:xfrm flipV="1">
                                  <a:off x="22383825" y="8219850"/>
                                  <a:ext cx="324000" cy="1008000"/>
                                </a:xfrm>
                                <a:prstGeom prst="bentConnector2">
                                  <a:avLst/>
                                </a:prstGeom>
                                <a:ln w="15875">
                                  <a:solidFill>
                                    <a:schemeClr val="bg1">
                                      <a:lumMod val="50000"/>
                                      <a:alpha val="99000"/>
                                    </a:schemeClr>
                                  </a:solidFill>
                                  <a:headEnd type="triangle"/>
                                  <a:tailEnd type="oval"/>
                                </a:ln>
                              </xdr:spPr>
                              <xdr:style>
                                <a:lnRef idx="1">
                                  <a:schemeClr val="accent1"/>
                                </a:lnRef>
                                <a:fillRef idx="0">
                                  <a:schemeClr val="accent1"/>
                                </a:fillRef>
                                <a:effectRef idx="0">
                                  <a:schemeClr val="accent1"/>
                                </a:effectRef>
                                <a:fontRef idx="minor">
                                  <a:schemeClr val="tx1"/>
                                </a:fontRef>
                              </xdr:style>
                            </xdr:cxnSp>
                          </xdr:grpSp>
                        </xdr:grpSp>
                        <xdr:grpSp>
                          <xdr:nvGrpSpPr>
                            <xdr:cNvPr id="227" name="Gruppo 226"/>
                            <xdr:cNvGrpSpPr/>
                          </xdr:nvGrpSpPr>
                          <xdr:grpSpPr>
                            <a:xfrm>
                              <a:off x="22505946" y="10008694"/>
                              <a:ext cx="10907552" cy="5946101"/>
                              <a:chOff x="22505946" y="10008694"/>
                              <a:chExt cx="10907552" cy="5946101"/>
                            </a:xfrm>
                          </xdr:grpSpPr>
                          <xdr:sp macro="" textlink="">
                            <xdr:nvSpPr>
                              <xdr:cNvPr id="228" name="CasellaDiTesto 227"/>
                              <xdr:cNvSpPr txBox="1"/>
                            </xdr:nvSpPr>
                            <xdr:spPr>
                              <a:xfrm>
                                <a:off x="23390168" y="10008694"/>
                                <a:ext cx="1730304" cy="2378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6)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questo campo (in grigio) inserisci una ABBREVIAZIONE rispetto alla descrizione principale.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Questa abbreviazione la ritrovi a pagina 2, dove potrai inserire una quadratura analitica.</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Più in basso altre spiegazioni.</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29" name="Gruppo 228"/>
                              <xdr:cNvGrpSpPr/>
                            </xdr:nvGrpSpPr>
                            <xdr:grpSpPr>
                              <a:xfrm>
                                <a:off x="22505946" y="10021661"/>
                                <a:ext cx="10907552" cy="5933134"/>
                                <a:chOff x="21743946" y="5821136"/>
                                <a:chExt cx="10907552" cy="5933134"/>
                              </a:xfrm>
                            </xdr:grpSpPr>
                            <xdr:sp macro="" textlink="">
                              <xdr:nvSpPr>
                                <xdr:cNvPr id="230" name="CasellaDiTesto 229"/>
                                <xdr:cNvSpPr txBox="1"/>
                              </xdr:nvSpPr>
                              <xdr:spPr>
                                <a:xfrm>
                                  <a:off x="21743946" y="9658350"/>
                                  <a:ext cx="2297154" cy="85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10)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Questo è il controvalore delle banconote e delle monete inserite in forma di NR.</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di PEZZI.</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31" name="CasellaDiTesto 230"/>
                                <xdr:cNvSpPr txBox="1"/>
                              </xdr:nvSpPr>
                              <xdr:spPr>
                                <a:xfrm>
                                  <a:off x="30051174" y="9564352"/>
                                  <a:ext cx="2600324" cy="1628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11)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questo momento, rispetto ad euro 400,00 che ci attendavamo come incasso in contanti (vedi punto 8), abbiamo contato anche l' eventuale Fondo cassa iniziale. E' giusto rilevare una differenza, che dovrebbe essere uguale al Fondo cassa iniziale.</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32" name="CasellaDiTesto 231"/>
                                <xdr:cNvSpPr txBox="1"/>
                              </xdr:nvSpPr>
                              <xdr:spPr>
                                <a:xfrm>
                                  <a:off x="23783924" y="10763248"/>
                                  <a:ext cx="3200400" cy="991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12)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Inserisci l' eventuale valore del Fondo cassa iniziale. Questo contante viene considerato a fine serata nel conteggio delle banconote e delle monete, assieme all'</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incasso vero e proprio</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33" name="Gruppo 232"/>
                                <xdr:cNvGrpSpPr/>
                              </xdr:nvGrpSpPr>
                              <xdr:grpSpPr>
                                <a:xfrm>
                                  <a:off x="24003000" y="5821136"/>
                                  <a:ext cx="5930415" cy="4999264"/>
                                  <a:chOff x="24003000" y="5821136"/>
                                  <a:chExt cx="5930415" cy="4999264"/>
                                </a:xfrm>
                              </xdr:grpSpPr>
                              <xdr:grpSp>
                                <xdr:nvGrpSpPr>
                                  <xdr:cNvPr id="238" name="Gruppo 237"/>
                                  <xdr:cNvGrpSpPr/>
                                </xdr:nvGrpSpPr>
                                <xdr:grpSpPr>
                                  <a:xfrm>
                                    <a:off x="24268336" y="5821136"/>
                                    <a:ext cx="5447619" cy="4767347"/>
                                    <a:chOff x="24268336" y="5821136"/>
                                    <a:chExt cx="5447619" cy="4767347"/>
                                  </a:xfrm>
                                </xdr:grpSpPr>
                                <xdr:pic>
                                  <xdr:nvPicPr>
                                    <xdr:cNvPr id="257" name="Immagine 256"/>
                                    <xdr:cNvPicPr>
                                      <a:picLocks noChangeAspect="1"/>
                                    </xdr:cNvPicPr>
                                  </xdr:nvPicPr>
                                  <xdr:blipFill>
                                    <a:blip xmlns:r="http://schemas.openxmlformats.org/officeDocument/2006/relationships" r:embed="rId8"/>
                                    <a:stretch>
                                      <a:fillRect/>
                                    </a:stretch>
                                  </xdr:blipFill>
                                  <xdr:spPr>
                                    <a:xfrm>
                                      <a:off x="24268336" y="5821136"/>
                                      <a:ext cx="5447619" cy="4767347"/>
                                    </a:xfrm>
                                    <a:prstGeom prst="rect">
                                      <a:avLst/>
                                    </a:prstGeom>
                                  </xdr:spPr>
                                </xdr:pic>
                                <xdr:sp macro="" textlink="">
                                  <xdr:nvSpPr>
                                    <xdr:cNvPr id="258" name="CasellaDiTesto 257"/>
                                    <xdr:cNvSpPr txBox="1"/>
                                  </xdr:nvSpPr>
                                  <xdr:spPr>
                                    <a:xfrm>
                                      <a:off x="26117548" y="6305549"/>
                                      <a:ext cx="756000" cy="252000"/>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ESEMPIO</a:t>
                                      </a:r>
                                    </a:p>
                                  </xdr:txBody>
                                </xdr:sp>
                              </xdr:grpSp>
                              <xdr:sp macro="" textlink="">
                                <xdr:nvSpPr>
                                  <xdr:cNvPr id="239" name="Rettangolo 238"/>
                                  <xdr:cNvSpPr/>
                                </xdr:nvSpPr>
                                <xdr:spPr>
                                  <a:xfrm>
                                    <a:off x="27946350" y="7058025"/>
                                    <a:ext cx="324000" cy="82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240" name="Gruppo 239"/>
                                  <xdr:cNvGrpSpPr/>
                                </xdr:nvGrpSpPr>
                                <xdr:grpSpPr>
                                  <a:xfrm>
                                    <a:off x="24250650" y="7200900"/>
                                    <a:ext cx="2776275" cy="684000"/>
                                    <a:chOff x="24250650" y="7200900"/>
                                    <a:chExt cx="2776275" cy="684000"/>
                                  </a:xfrm>
                                </xdr:grpSpPr>
                                <xdr:sp macro="" textlink="">
                                  <xdr:nvSpPr>
                                    <xdr:cNvPr id="255" name="Rettangolo 254"/>
                                    <xdr:cNvSpPr/>
                                  </xdr:nvSpPr>
                                  <xdr:spPr>
                                    <a:xfrm>
                                      <a:off x="26450925" y="7200900"/>
                                      <a:ext cx="576000" cy="684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56" name="Connettore 2 255"/>
                                    <xdr:cNvCxnSpPr/>
                                  </xdr:nvCxnSpPr>
                                  <xdr:spPr>
                                    <a:xfrm flipH="1">
                                      <a:off x="24250650" y="7439025"/>
                                      <a:ext cx="2200275"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241" name="Gruppo 240"/>
                                  <xdr:cNvGrpSpPr/>
                                </xdr:nvGrpSpPr>
                                <xdr:grpSpPr>
                                  <a:xfrm>
                                    <a:off x="26965275" y="7886700"/>
                                    <a:ext cx="2065307" cy="468000"/>
                                    <a:chOff x="26965275" y="7886700"/>
                                    <a:chExt cx="2065307" cy="468000"/>
                                  </a:xfrm>
                                </xdr:grpSpPr>
                                <xdr:cxnSp macro="">
                                  <xdr:nvCxnSpPr>
                                    <xdr:cNvPr id="253" name="Connettore 4 252"/>
                                    <xdr:cNvCxnSpPr/>
                                  </xdr:nvCxnSpPr>
                                  <xdr:spPr>
                                    <a:xfrm rot="10800000">
                                      <a:off x="28001882" y="8113778"/>
                                      <a:ext cx="1028700" cy="0"/>
                                    </a:xfrm>
                                    <a:prstGeom prst="bentConnector3">
                                      <a:avLst>
                                        <a:gd name="adj1" fmla="val 50000"/>
                                      </a:avLst>
                                    </a:prstGeom>
                                    <a:ln w="158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254" name="Rettangolo 253"/>
                                    <xdr:cNvSpPr/>
                                  </xdr:nvSpPr>
                                  <xdr:spPr>
                                    <a:xfrm>
                                      <a:off x="26965275" y="7886700"/>
                                      <a:ext cx="1044000" cy="46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cxnSp macro="">
                                <xdr:nvCxnSpPr>
                                  <xdr:cNvPr id="242" name="Connettore 2 241"/>
                                  <xdr:cNvCxnSpPr>
                                    <a:endCxn id="237" idx="1"/>
                                  </xdr:cNvCxnSpPr>
                                </xdr:nvCxnSpPr>
                                <xdr:spPr>
                                  <a:xfrm flipV="1">
                                    <a:off x="28232101" y="9200336"/>
                                    <a:ext cx="941355" cy="238940"/>
                                  </a:xfrm>
                                  <a:prstGeom prst="straightConnector1">
                                    <a:avLst/>
                                  </a:prstGeom>
                                  <a:ln w="15875">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nvGrpSpPr>
                                  <xdr:cNvPr id="243" name="Gruppo 242"/>
                                  <xdr:cNvGrpSpPr/>
                                </xdr:nvGrpSpPr>
                                <xdr:grpSpPr>
                                  <a:xfrm>
                                    <a:off x="24003000" y="9705975"/>
                                    <a:ext cx="2528250" cy="468000"/>
                                    <a:chOff x="24003000" y="9705975"/>
                                    <a:chExt cx="2528250" cy="468000"/>
                                  </a:xfrm>
                                </xdr:grpSpPr>
                                <xdr:sp macro="" textlink="">
                                  <xdr:nvSpPr>
                                    <xdr:cNvPr id="251" name="Rettangolo 250"/>
                                    <xdr:cNvSpPr/>
                                  </xdr:nvSpPr>
                                  <xdr:spPr>
                                    <a:xfrm>
                                      <a:off x="24479250" y="9705975"/>
                                      <a:ext cx="2052000" cy="46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52" name="Connettore 2 251"/>
                                    <xdr:cNvCxnSpPr/>
                                  </xdr:nvCxnSpPr>
                                  <xdr:spPr>
                                    <a:xfrm flipV="1">
                                      <a:off x="24003000" y="9934575"/>
                                      <a:ext cx="468000" cy="0"/>
                                    </a:xfrm>
                                    <a:prstGeom prst="straightConnector1">
                                      <a:avLst/>
                                    </a:prstGeom>
                                    <a:ln w="158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grpSp>
                              <xdr:grpSp>
                                <xdr:nvGrpSpPr>
                                  <xdr:cNvPr id="244" name="Gruppo 243"/>
                                  <xdr:cNvGrpSpPr/>
                                </xdr:nvGrpSpPr>
                                <xdr:grpSpPr>
                                  <a:xfrm>
                                    <a:off x="27460575" y="9715500"/>
                                    <a:ext cx="2472840" cy="468000"/>
                                    <a:chOff x="27460575" y="9715500"/>
                                    <a:chExt cx="2472840" cy="468000"/>
                                  </a:xfrm>
                                </xdr:grpSpPr>
                                <xdr:sp macro="" textlink="">
                                  <xdr:nvSpPr>
                                    <xdr:cNvPr id="249" name="Rettangolo 248"/>
                                    <xdr:cNvSpPr/>
                                  </xdr:nvSpPr>
                                  <xdr:spPr>
                                    <a:xfrm>
                                      <a:off x="27460575" y="9715500"/>
                                      <a:ext cx="1044000" cy="46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50" name="Connettore 2 249"/>
                                    <xdr:cNvCxnSpPr/>
                                  </xdr:nvCxnSpPr>
                                  <xdr:spPr>
                                    <a:xfrm>
                                      <a:off x="28508326" y="9944100"/>
                                      <a:ext cx="1425089"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245" name="Connettore 2 244"/>
                                  <xdr:cNvCxnSpPr/>
                                </xdr:nvCxnSpPr>
                                <xdr:spPr>
                                  <a:xfrm flipH="1">
                                    <a:off x="25736550" y="10439400"/>
                                    <a:ext cx="333376" cy="304800"/>
                                  </a:xfrm>
                                  <a:prstGeom prst="straightConnector1">
                                    <a:avLst/>
                                  </a:prstGeom>
                                  <a:ln w="15875">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nvGrpSpPr>
                                  <xdr:cNvPr id="246" name="Gruppo 245"/>
                                  <xdr:cNvGrpSpPr/>
                                </xdr:nvGrpSpPr>
                                <xdr:grpSpPr>
                                  <a:xfrm>
                                    <a:off x="26965275" y="10315575"/>
                                    <a:ext cx="2772000" cy="504825"/>
                                    <a:chOff x="26965275" y="10315575"/>
                                    <a:chExt cx="2772000" cy="504825"/>
                                  </a:xfrm>
                                </xdr:grpSpPr>
                                <xdr:sp macro="" textlink="">
                                  <xdr:nvSpPr>
                                    <xdr:cNvPr id="247" name="Rettangolo 246"/>
                                    <xdr:cNvSpPr/>
                                  </xdr:nvSpPr>
                                  <xdr:spPr>
                                    <a:xfrm>
                                      <a:off x="26965275" y="10315575"/>
                                      <a:ext cx="2772000" cy="252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48" name="Connettore 2 247"/>
                                    <xdr:cNvCxnSpPr/>
                                  </xdr:nvCxnSpPr>
                                  <xdr:spPr>
                                    <a:xfrm>
                                      <a:off x="27365325" y="10563225"/>
                                      <a:ext cx="409575" cy="25717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4" name="CasellaDiTesto 233"/>
                                <xdr:cNvSpPr txBox="1"/>
                              </xdr:nvSpPr>
                              <xdr:spPr>
                                <a:xfrm>
                                  <a:off x="27325981" y="10840791"/>
                                  <a:ext cx="2206319" cy="657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13)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ESITO FINALE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della quadratura ENTRATE meno USCITE monetarie (Q1).</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35" name="CasellaDiTesto 234"/>
                                <xdr:cNvSpPr txBox="1"/>
                              </xdr:nvSpPr>
                              <xdr:spPr>
                                <a:xfrm>
                                  <a:off x="28796919" y="6034399"/>
                                  <a:ext cx="3776183" cy="1485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7)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Qui inserisci il numero degli eventuali documenti giustificativi. Questo numero "prenota" una riga di quadratura analitica che troverai più in basso, alla pagina 2.</a:t>
                                  </a:r>
                                  <a:b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endPar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questo esempio abbiamo 4 assegni bancari (e più avanti potremmo indicare eventualmente anche il nome ed il numero) e 2 pratiche di finanziamento.</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36" name="CasellaDiTesto 235"/>
                                <xdr:cNvSpPr txBox="1"/>
                              </xdr:nvSpPr>
                              <xdr:spPr>
                                <a:xfrm>
                                  <a:off x="29092003" y="7472426"/>
                                  <a:ext cx="3343275" cy="1424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8)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Per come è strutturato questo specchietto, le prime 8 righe si riferiscono a pagamenti documentati (elettronici o con titoli); ne consegue (per differenza) che il RESTO dei pagamenti deve essere stato fatto in contanti.</a:t>
                                  </a: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Si procede alla quadratura dei movimenti monetari con il conteggio dei contanti.</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237" name="CasellaDiTesto 236"/>
                                <xdr:cNvSpPr txBox="1"/>
                              </xdr:nvSpPr>
                              <xdr:spPr>
                                <a:xfrm>
                                  <a:off x="29173457" y="8833935"/>
                                  <a:ext cx="3289224" cy="732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9)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Inserisci il numero delle banconote ed il numero delle monete presenti in cassa; il sistema esegue le operazioni e restituisce le somme.</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grpSp>
                      </xdr:grpSp>
                      <xdr:sp macro="" textlink="">
                        <xdr:nvSpPr>
                          <xdr:cNvPr id="225" name="CasellaDiTesto 224"/>
                          <xdr:cNvSpPr txBox="1"/>
                        </xdr:nvSpPr>
                        <xdr:spPr>
                          <a:xfrm>
                            <a:off x="1000125" y="13125448"/>
                            <a:ext cx="689057" cy="247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2</a:t>
                            </a:r>
                          </a:p>
                        </xdr:txBody>
                      </xdr:sp>
                    </xdr:grpSp>
                  </xdr:grpSp>
                  <xdr:grpSp>
                    <xdr:nvGrpSpPr>
                      <xdr:cNvPr id="189" name="Gruppo 188"/>
                      <xdr:cNvGrpSpPr/>
                    </xdr:nvGrpSpPr>
                    <xdr:grpSpPr>
                      <a:xfrm>
                        <a:off x="19978679" y="26993833"/>
                        <a:ext cx="11014076" cy="4757739"/>
                        <a:chOff x="1276350" y="19259548"/>
                        <a:chExt cx="10753726" cy="4676777"/>
                      </a:xfrm>
                    </xdr:grpSpPr>
                    <xdr:sp macro="" textlink="">
                      <xdr:nvSpPr>
                        <xdr:cNvPr id="190" name="Documento 189"/>
                        <xdr:cNvSpPr/>
                      </xdr:nvSpPr>
                      <xdr:spPr>
                        <a:xfrm>
                          <a:off x="1276350" y="19259548"/>
                          <a:ext cx="10753726" cy="4676777"/>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191" name="Gruppo 190"/>
                        <xdr:cNvGrpSpPr/>
                      </xdr:nvGrpSpPr>
                      <xdr:grpSpPr>
                        <a:xfrm>
                          <a:off x="1476375" y="19488150"/>
                          <a:ext cx="10340969" cy="3805896"/>
                          <a:chOff x="22240881" y="12077700"/>
                          <a:chExt cx="10448919" cy="3980880"/>
                        </a:xfrm>
                      </xdr:grpSpPr>
                      <xdr:grpSp>
                        <xdr:nvGrpSpPr>
                          <xdr:cNvPr id="193" name="Gruppo 192"/>
                          <xdr:cNvGrpSpPr/>
                        </xdr:nvGrpSpPr>
                        <xdr:grpSpPr>
                          <a:xfrm>
                            <a:off x="22240881" y="12201524"/>
                            <a:ext cx="4933945" cy="2848200"/>
                            <a:chOff x="22069431" y="12201524"/>
                            <a:chExt cx="4933945" cy="2848200"/>
                          </a:xfrm>
                        </xdr:grpSpPr>
                        <xdr:sp macro="" textlink="">
                          <xdr:nvSpPr>
                            <xdr:cNvPr id="213" name="CasellaDiTesto 212"/>
                            <xdr:cNvSpPr txBox="1"/>
                          </xdr:nvSpPr>
                          <xdr:spPr>
                            <a:xfrm>
                              <a:off x="25050750" y="12201524"/>
                              <a:ext cx="1952626" cy="20952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14)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secondo specchietto predisposto per le quadrature (Q2)</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ti permette di estrarre uno dei 3 valori che abbiamo impostato in precedenza per le singole colonne, e di procedere con una quadratura analitica.</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Seleziona dal menù a tendina.</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14" name="Gruppo 213"/>
                            <xdr:cNvGrpSpPr/>
                          </xdr:nvGrpSpPr>
                          <xdr:grpSpPr>
                            <a:xfrm>
                              <a:off x="22069431" y="12392031"/>
                              <a:ext cx="2898095" cy="2657693"/>
                              <a:chOff x="21964656" y="12392031"/>
                              <a:chExt cx="2898095" cy="2657693"/>
                            </a:xfrm>
                          </xdr:grpSpPr>
                          <xdr:pic>
                            <xdr:nvPicPr>
                              <xdr:cNvPr id="215" name="Immagine 214"/>
                              <xdr:cNvPicPr>
                                <a:picLocks noChangeAspect="1"/>
                              </xdr:cNvPicPr>
                            </xdr:nvPicPr>
                            <xdr:blipFill>
                              <a:blip xmlns:r="http://schemas.openxmlformats.org/officeDocument/2006/relationships" r:embed="rId9"/>
                              <a:stretch>
                                <a:fillRect/>
                              </a:stretch>
                            </xdr:blipFill>
                            <xdr:spPr>
                              <a:xfrm>
                                <a:off x="21964656" y="12392031"/>
                                <a:ext cx="2898095" cy="2048095"/>
                              </a:xfrm>
                              <a:prstGeom prst="rect">
                                <a:avLst/>
                              </a:prstGeom>
                            </xdr:spPr>
                          </xdr:pic>
                          <xdr:sp macro="" textlink="">
                            <xdr:nvSpPr>
                              <xdr:cNvPr id="216" name="CasellaDiTesto 215"/>
                              <xdr:cNvSpPr txBox="1"/>
                            </xdr:nvSpPr>
                            <xdr:spPr>
                              <a:xfrm>
                                <a:off x="22421850" y="12963525"/>
                                <a:ext cx="972000"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TESTI</a:t>
                                </a:r>
                              </a:p>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LIBERI</a:t>
                                </a:r>
                              </a:p>
                            </xdr:txBody>
                          </xdr:sp>
                          <xdr:sp macro="" textlink="">
                            <xdr:nvSpPr>
                              <xdr:cNvPr id="217" name="CasellaDiTesto 216"/>
                              <xdr:cNvSpPr txBox="1"/>
                            </xdr:nvSpPr>
                            <xdr:spPr>
                              <a:xfrm>
                                <a:off x="22174200" y="13754100"/>
                                <a:ext cx="1044000" cy="3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TESTI LIBERI</a:t>
                                </a:r>
                              </a:p>
                            </xdr:txBody>
                          </xdr:sp>
                          <xdr:sp macro="" textlink="">
                            <xdr:nvSpPr>
                              <xdr:cNvPr id="218" name="CasellaDiTesto 217"/>
                              <xdr:cNvSpPr txBox="1"/>
                            </xdr:nvSpPr>
                            <xdr:spPr>
                              <a:xfrm>
                                <a:off x="23841075" y="13039725"/>
                                <a:ext cx="6572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00">
                                    <a:latin typeface="Tahoma" panose="020B0604030504040204" pitchFamily="34" charset="0"/>
                                    <a:ea typeface="Tahoma" panose="020B0604030504040204" pitchFamily="34" charset="0"/>
                                    <a:cs typeface="Tahoma" panose="020B0604030504040204" pitchFamily="34" charset="0"/>
                                  </a:rPr>
                                  <a:t>IMPORTI</a:t>
                                </a:r>
                              </a:p>
                              <a:p>
                                <a:pPr algn="ctr"/>
                                <a:r>
                                  <a:rPr lang="it-IT" sz="700">
                                    <a:latin typeface="Tahoma" panose="020B0604030504040204" pitchFamily="34" charset="0"/>
                                    <a:ea typeface="Tahoma" panose="020B0604030504040204" pitchFamily="34" charset="0"/>
                                    <a:cs typeface="Tahoma" panose="020B0604030504040204" pitchFamily="34" charset="0"/>
                                  </a:rPr>
                                  <a:t>liberi</a:t>
                                </a:r>
                              </a:p>
                            </xdr:txBody>
                          </xdr:sp>
                          <xdr:sp macro="" textlink="">
                            <xdr:nvSpPr>
                              <xdr:cNvPr id="219" name="CasellaDiTesto 218"/>
                              <xdr:cNvSpPr txBox="1"/>
                            </xdr:nvSpPr>
                            <xdr:spPr>
                              <a:xfrm>
                                <a:off x="22679025" y="14582999"/>
                                <a:ext cx="16560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Numero di DOCUMENTI giustificativi</a:t>
                                </a:r>
                              </a:p>
                            </xdr:txBody>
                          </xdr:sp>
                          <xdr:cxnSp macro="">
                            <xdr:nvCxnSpPr>
                              <xdr:cNvPr id="220" name="Connettore 4 219"/>
                              <xdr:cNvCxnSpPr/>
                            </xdr:nvCxnSpPr>
                            <xdr:spPr>
                              <a:xfrm flipV="1">
                                <a:off x="24365027" y="13925550"/>
                                <a:ext cx="324000" cy="900000"/>
                              </a:xfrm>
                              <a:prstGeom prst="bentConnector2">
                                <a:avLst/>
                              </a:prstGeom>
                              <a:ln w="15875">
                                <a:solidFill>
                                  <a:schemeClr val="bg1">
                                    <a:lumMod val="50000"/>
                                    <a:alpha val="99000"/>
                                  </a:schemeClr>
                                </a:solidFill>
                                <a:headEnd type="triangle"/>
                                <a:tailEnd type="oval"/>
                              </a:ln>
                            </xdr:spPr>
                            <xdr:style>
                              <a:lnRef idx="1">
                                <a:schemeClr val="accent1"/>
                              </a:lnRef>
                              <a:fillRef idx="0">
                                <a:schemeClr val="accent1"/>
                              </a:fillRef>
                              <a:effectRef idx="0">
                                <a:schemeClr val="accent1"/>
                              </a:effectRef>
                              <a:fontRef idx="minor">
                                <a:schemeClr val="tx1"/>
                              </a:fontRef>
                            </xdr:style>
                          </xdr:cxnSp>
                        </xdr:grpSp>
                      </xdr:grpSp>
                      <xdr:grpSp>
                        <xdr:nvGrpSpPr>
                          <xdr:cNvPr id="194" name="Gruppo 193"/>
                          <xdr:cNvGrpSpPr/>
                        </xdr:nvGrpSpPr>
                        <xdr:grpSpPr>
                          <a:xfrm>
                            <a:off x="25362827" y="12077700"/>
                            <a:ext cx="7326973" cy="3980880"/>
                            <a:chOff x="25362827" y="12077700"/>
                            <a:chExt cx="7326973" cy="3980880"/>
                          </a:xfrm>
                        </xdr:grpSpPr>
                        <xdr:sp macro="" textlink="">
                          <xdr:nvSpPr>
                            <xdr:cNvPr id="195" name="CasellaDiTesto 194"/>
                            <xdr:cNvSpPr txBox="1"/>
                          </xdr:nvSpPr>
                          <xdr:spPr>
                            <a:xfrm>
                              <a:off x="31022925" y="13344525"/>
                              <a:ext cx="1666875" cy="1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16)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Qui inserisci il numero degli eventuali documenti giustificativi. Questo numero "prenota" una riga di quadratura analitica che troverai più in basso, alla pagina 2.</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196" name="CasellaDiTesto 195"/>
                            <xdr:cNvSpPr txBox="1"/>
                          </xdr:nvSpPr>
                          <xdr:spPr>
                            <a:xfrm>
                              <a:off x="28232099" y="14935201"/>
                              <a:ext cx="4095751" cy="7191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17)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Nel nostro</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esempio, partendo da 1.000,00 euro, procediamo inserendo dei totali fino ad arrivare a ZERO.</a:t>
                              </a:r>
                              <a:b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Le ultime 3 righe potranno ancora essere dettagliate in pagina 2.</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197" name="CasellaDiTesto 196"/>
                            <xdr:cNvSpPr txBox="1"/>
                          </xdr:nvSpPr>
                          <xdr:spPr>
                            <a:xfrm>
                              <a:off x="25362827" y="14362613"/>
                              <a:ext cx="2162175" cy="1695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15)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Questo campo (in grigio) ABBREVIA in</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automatico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la descrizione principale (4 caratteri + il punto).</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Non si può modificare. Questa abbreviazione la ritrovi in pagina 2, dove potrai inserire una quadratura analitica.</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198" name="Gruppo 197"/>
                            <xdr:cNvGrpSpPr/>
                          </xdr:nvGrpSpPr>
                          <xdr:grpSpPr>
                            <a:xfrm>
                              <a:off x="27327225" y="12077700"/>
                              <a:ext cx="4809948" cy="2819400"/>
                              <a:chOff x="27327225" y="12077700"/>
                              <a:chExt cx="4809948" cy="2819400"/>
                            </a:xfrm>
                          </xdr:grpSpPr>
                          <xdr:pic>
                            <xdr:nvPicPr>
                              <xdr:cNvPr id="199" name="Immagine 198"/>
                              <xdr:cNvPicPr>
                                <a:picLocks noChangeAspect="1"/>
                              </xdr:cNvPicPr>
                            </xdr:nvPicPr>
                            <xdr:blipFill>
                              <a:blip xmlns:r="http://schemas.openxmlformats.org/officeDocument/2006/relationships" r:embed="rId10"/>
                              <a:stretch>
                                <a:fillRect/>
                              </a:stretch>
                            </xdr:blipFill>
                            <xdr:spPr>
                              <a:xfrm>
                                <a:off x="30718125" y="12077700"/>
                                <a:ext cx="1419048" cy="895238"/>
                              </a:xfrm>
                              <a:prstGeom prst="rect">
                                <a:avLst/>
                              </a:prstGeom>
                            </xdr:spPr>
                          </xdr:pic>
                          <xdr:grpSp>
                            <xdr:nvGrpSpPr>
                              <xdr:cNvPr id="200" name="Gruppo 199"/>
                              <xdr:cNvGrpSpPr/>
                            </xdr:nvGrpSpPr>
                            <xdr:grpSpPr>
                              <a:xfrm>
                                <a:off x="27327225" y="12334875"/>
                                <a:ext cx="3409524" cy="2419048"/>
                                <a:chOff x="27327225" y="12334875"/>
                                <a:chExt cx="3409524" cy="2419048"/>
                              </a:xfrm>
                            </xdr:grpSpPr>
                            <xdr:pic>
                              <xdr:nvPicPr>
                                <xdr:cNvPr id="211" name="Immagine 210"/>
                                <xdr:cNvPicPr>
                                  <a:picLocks noChangeAspect="1"/>
                                </xdr:cNvPicPr>
                              </xdr:nvPicPr>
                              <xdr:blipFill>
                                <a:blip xmlns:r="http://schemas.openxmlformats.org/officeDocument/2006/relationships" r:embed="rId11"/>
                                <a:stretch>
                                  <a:fillRect/>
                                </a:stretch>
                              </xdr:blipFill>
                              <xdr:spPr>
                                <a:xfrm>
                                  <a:off x="27327225" y="12334875"/>
                                  <a:ext cx="3409524" cy="2419048"/>
                                </a:xfrm>
                                <a:prstGeom prst="rect">
                                  <a:avLst/>
                                </a:prstGeom>
                              </xdr:spPr>
                            </xdr:pic>
                            <xdr:sp macro="" textlink="">
                              <xdr:nvSpPr>
                                <xdr:cNvPr id="212" name="CasellaDiTesto 211"/>
                                <xdr:cNvSpPr txBox="1"/>
                              </xdr:nvSpPr>
                              <xdr:spPr>
                                <a:xfrm>
                                  <a:off x="27632023" y="13468349"/>
                                  <a:ext cx="756000" cy="252000"/>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ESEMPIO</a:t>
                                  </a:r>
                                </a:p>
                              </xdr:txBody>
                            </xdr:sp>
                          </xdr:grpSp>
                          <xdr:grpSp>
                            <xdr:nvGrpSpPr>
                              <xdr:cNvPr id="201" name="Gruppo 200"/>
                              <xdr:cNvGrpSpPr/>
                            </xdr:nvGrpSpPr>
                            <xdr:grpSpPr>
                              <a:xfrm>
                                <a:off x="30375225" y="13611225"/>
                                <a:ext cx="602325" cy="828000"/>
                                <a:chOff x="30375225" y="13611225"/>
                                <a:chExt cx="602325" cy="828000"/>
                              </a:xfrm>
                            </xdr:grpSpPr>
                            <xdr:sp macro="" textlink="">
                              <xdr:nvSpPr>
                                <xdr:cNvPr id="209" name="Rettangolo 208"/>
                                <xdr:cNvSpPr/>
                              </xdr:nvSpPr>
                              <xdr:spPr>
                                <a:xfrm>
                                  <a:off x="30375225" y="13611225"/>
                                  <a:ext cx="324000" cy="82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10" name="Connettore 2 209"/>
                                <xdr:cNvCxnSpPr/>
                              </xdr:nvCxnSpPr>
                              <xdr:spPr>
                                <a:xfrm flipV="1">
                                  <a:off x="30689550" y="14192250"/>
                                  <a:ext cx="288000"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202" name="Connettore 2 201"/>
                              <xdr:cNvCxnSpPr/>
                            </xdr:nvCxnSpPr>
                            <xdr:spPr>
                              <a:xfrm flipH="1">
                                <a:off x="29365575" y="14592300"/>
                                <a:ext cx="333376" cy="304800"/>
                              </a:xfrm>
                              <a:prstGeom prst="straightConnector1">
                                <a:avLst/>
                              </a:prstGeom>
                              <a:ln w="15875">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nvGrpSpPr>
                              <xdr:cNvPr id="203" name="Gruppo 202"/>
                              <xdr:cNvGrpSpPr/>
                            </xdr:nvGrpSpPr>
                            <xdr:grpSpPr>
                              <a:xfrm>
                                <a:off x="27641550" y="13754100"/>
                                <a:ext cx="1814250" cy="933450"/>
                                <a:chOff x="27641550" y="13754100"/>
                                <a:chExt cx="1814250" cy="933450"/>
                              </a:xfrm>
                            </xdr:grpSpPr>
                            <xdr:sp macro="" textlink="">
                              <xdr:nvSpPr>
                                <xdr:cNvPr id="207" name="Rettangolo 206"/>
                                <xdr:cNvSpPr/>
                              </xdr:nvSpPr>
                              <xdr:spPr>
                                <a:xfrm>
                                  <a:off x="28879800" y="13754100"/>
                                  <a:ext cx="576000" cy="684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08" name="Connettore 2 207"/>
                                <xdr:cNvCxnSpPr/>
                              </xdr:nvCxnSpPr>
                              <xdr:spPr>
                                <a:xfrm flipH="1">
                                  <a:off x="27641550" y="14439900"/>
                                  <a:ext cx="1242376" cy="24765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204" name="Gruppo 203"/>
                              <xdr:cNvGrpSpPr/>
                            </xdr:nvGrpSpPr>
                            <xdr:grpSpPr>
                              <a:xfrm>
                                <a:off x="29384625" y="12219525"/>
                                <a:ext cx="1457550" cy="359925"/>
                                <a:chOff x="29384625" y="12219525"/>
                                <a:chExt cx="1457550" cy="359925"/>
                              </a:xfrm>
                            </xdr:grpSpPr>
                            <xdr:sp macro="" textlink="">
                              <xdr:nvSpPr>
                                <xdr:cNvPr id="205" name="Rettangolo 204"/>
                                <xdr:cNvSpPr/>
                              </xdr:nvSpPr>
                              <xdr:spPr>
                                <a:xfrm>
                                  <a:off x="29384625" y="12363450"/>
                                  <a:ext cx="1044000" cy="216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06" name="Connettore 4 205"/>
                                <xdr:cNvCxnSpPr/>
                              </xdr:nvCxnSpPr>
                              <xdr:spPr>
                                <a:xfrm rot="10800000" flipV="1">
                                  <a:off x="30338175" y="12219525"/>
                                  <a:ext cx="504000" cy="144000"/>
                                </a:xfrm>
                                <a:prstGeom prst="bentConnector2">
                                  <a:avLst/>
                                </a:prstGeom>
                                <a:ln w="15875">
                                  <a:solidFill>
                                    <a:srgbClr val="FF0000">
                                      <a:alpha val="99000"/>
                                    </a:srgbClr>
                                  </a:solidFill>
                                  <a:headEnd type="triangle"/>
                                  <a:tailEnd type="none"/>
                                </a:ln>
                              </xdr:spPr>
                              <xdr:style>
                                <a:lnRef idx="1">
                                  <a:schemeClr val="accent1"/>
                                </a:lnRef>
                                <a:fillRef idx="0">
                                  <a:schemeClr val="accent1"/>
                                </a:fillRef>
                                <a:effectRef idx="0">
                                  <a:schemeClr val="accent1"/>
                                </a:effectRef>
                                <a:fontRef idx="minor">
                                  <a:schemeClr val="tx1"/>
                                </a:fontRef>
                              </xdr:style>
                            </xdr:cxnSp>
                          </xdr:grpSp>
                        </xdr:grpSp>
                      </xdr:grpSp>
                    </xdr:grpSp>
                    <xdr:sp macro="" textlink="">
                      <xdr:nvSpPr>
                        <xdr:cNvPr id="192" name="CasellaDiTesto 191"/>
                        <xdr:cNvSpPr txBox="1"/>
                      </xdr:nvSpPr>
                      <xdr:spPr>
                        <a:xfrm>
                          <a:off x="1323975" y="19297648"/>
                          <a:ext cx="689057" cy="247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3</a:t>
                          </a:r>
                        </a:p>
                      </xdr:txBody>
                    </xdr:sp>
                  </xdr:grpSp>
                </xdr:grpSp>
                <xdr:grpSp>
                  <xdr:nvGrpSpPr>
                    <xdr:cNvPr id="164" name="Gruppo 163"/>
                    <xdr:cNvGrpSpPr/>
                  </xdr:nvGrpSpPr>
                  <xdr:grpSpPr>
                    <a:xfrm>
                      <a:off x="19978700" y="32089716"/>
                      <a:ext cx="11014076" cy="4286252"/>
                      <a:chOff x="1123950" y="24707848"/>
                      <a:chExt cx="10753726" cy="4276727"/>
                    </a:xfrm>
                  </xdr:grpSpPr>
                  <xdr:sp macro="" textlink="">
                    <xdr:nvSpPr>
                      <xdr:cNvPr id="165" name="Documento 164"/>
                      <xdr:cNvSpPr/>
                    </xdr:nvSpPr>
                    <xdr:spPr>
                      <a:xfrm>
                        <a:off x="1123950" y="24707848"/>
                        <a:ext cx="10753726" cy="4276727"/>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166" name="CasellaDiTesto 165"/>
                      <xdr:cNvSpPr txBox="1"/>
                    </xdr:nvSpPr>
                    <xdr:spPr>
                      <a:xfrm>
                        <a:off x="1162049" y="24745948"/>
                        <a:ext cx="689057" cy="247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4</a:t>
                        </a:r>
                      </a:p>
                    </xdr:txBody>
                  </xdr:sp>
                  <xdr:grpSp>
                    <xdr:nvGrpSpPr>
                      <xdr:cNvPr id="167" name="Gruppo 166"/>
                      <xdr:cNvGrpSpPr/>
                    </xdr:nvGrpSpPr>
                    <xdr:grpSpPr>
                      <a:xfrm>
                        <a:off x="1400175" y="25028387"/>
                        <a:ext cx="10306049" cy="3119232"/>
                        <a:chOff x="22145626" y="16387924"/>
                        <a:chExt cx="10420349" cy="3299188"/>
                      </a:xfrm>
                    </xdr:grpSpPr>
                    <xdr:grpSp>
                      <xdr:nvGrpSpPr>
                        <xdr:cNvPr id="168" name="Gruppo 167"/>
                        <xdr:cNvGrpSpPr/>
                      </xdr:nvGrpSpPr>
                      <xdr:grpSpPr>
                        <a:xfrm>
                          <a:off x="22145626" y="16506832"/>
                          <a:ext cx="2760476" cy="2133817"/>
                          <a:chOff x="21878926" y="16487782"/>
                          <a:chExt cx="2760476" cy="2133817"/>
                        </a:xfrm>
                      </xdr:grpSpPr>
                      <xdr:pic>
                        <xdr:nvPicPr>
                          <xdr:cNvPr id="183" name="Immagine 182"/>
                          <xdr:cNvPicPr>
                            <a:picLocks noChangeAspect="1"/>
                          </xdr:cNvPicPr>
                        </xdr:nvPicPr>
                        <xdr:blipFill>
                          <a:blip xmlns:r="http://schemas.openxmlformats.org/officeDocument/2006/relationships" r:embed="rId12"/>
                          <a:stretch>
                            <a:fillRect/>
                          </a:stretch>
                        </xdr:blipFill>
                        <xdr:spPr>
                          <a:xfrm>
                            <a:off x="21878926" y="16487782"/>
                            <a:ext cx="2760476" cy="1562381"/>
                          </a:xfrm>
                          <a:prstGeom prst="rect">
                            <a:avLst/>
                          </a:prstGeom>
                        </xdr:spPr>
                      </xdr:pic>
                      <xdr:sp macro="" textlink="">
                        <xdr:nvSpPr>
                          <xdr:cNvPr id="184" name="CasellaDiTesto 183"/>
                          <xdr:cNvSpPr txBox="1"/>
                        </xdr:nvSpPr>
                        <xdr:spPr>
                          <a:xfrm>
                            <a:off x="22221825" y="17068800"/>
                            <a:ext cx="972000"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TESTI</a:t>
                            </a:r>
                          </a:p>
                          <a:p>
                            <a:pPr algn="ct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LIBERI</a:t>
                            </a:r>
                          </a:p>
                        </xdr:txBody>
                      </xdr:sp>
                      <xdr:sp macro="" textlink="">
                        <xdr:nvSpPr>
                          <xdr:cNvPr id="185" name="CasellaDiTesto 184"/>
                          <xdr:cNvSpPr txBox="1"/>
                        </xdr:nvSpPr>
                        <xdr:spPr>
                          <a:xfrm>
                            <a:off x="23641050" y="17119554"/>
                            <a:ext cx="657226" cy="446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00">
                                <a:latin typeface="Tahoma" panose="020B0604030504040204" pitchFamily="34" charset="0"/>
                                <a:ea typeface="Tahoma" panose="020B0604030504040204" pitchFamily="34" charset="0"/>
                                <a:cs typeface="Tahoma" panose="020B0604030504040204" pitchFamily="34" charset="0"/>
                              </a:rPr>
                              <a:t>IMPORTI</a:t>
                            </a:r>
                          </a:p>
                          <a:p>
                            <a:pPr algn="ctr"/>
                            <a:r>
                              <a:rPr lang="it-IT" sz="700">
                                <a:latin typeface="Tahoma" panose="020B0604030504040204" pitchFamily="34" charset="0"/>
                                <a:ea typeface="Tahoma" panose="020B0604030504040204" pitchFamily="34" charset="0"/>
                                <a:cs typeface="Tahoma" panose="020B0604030504040204" pitchFamily="34" charset="0"/>
                              </a:rPr>
                              <a:t>liberi</a:t>
                            </a:r>
                          </a:p>
                        </xdr:txBody>
                      </xdr:sp>
                      <xdr:sp macro="" textlink="">
                        <xdr:nvSpPr>
                          <xdr:cNvPr id="186" name="CasellaDiTesto 185"/>
                          <xdr:cNvSpPr txBox="1"/>
                        </xdr:nvSpPr>
                        <xdr:spPr>
                          <a:xfrm>
                            <a:off x="22498050" y="18154874"/>
                            <a:ext cx="16560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Numero di DOCUMENTI giustificativi</a:t>
                            </a:r>
                          </a:p>
                        </xdr:txBody>
                      </xdr:sp>
                      <xdr:cxnSp macro="">
                        <xdr:nvCxnSpPr>
                          <xdr:cNvPr id="187" name="Connettore 4 186"/>
                          <xdr:cNvCxnSpPr/>
                        </xdr:nvCxnSpPr>
                        <xdr:spPr>
                          <a:xfrm flipV="1">
                            <a:off x="24184052" y="17249775"/>
                            <a:ext cx="324000" cy="1152000"/>
                          </a:xfrm>
                          <a:prstGeom prst="bentConnector2">
                            <a:avLst/>
                          </a:prstGeom>
                          <a:ln w="15875">
                            <a:solidFill>
                              <a:schemeClr val="bg1">
                                <a:lumMod val="50000"/>
                                <a:alpha val="99000"/>
                              </a:schemeClr>
                            </a:solidFill>
                            <a:headEnd type="triangle"/>
                            <a:tailEnd type="oval"/>
                          </a:ln>
                        </xdr:spPr>
                        <xdr:style>
                          <a:lnRef idx="1">
                            <a:schemeClr val="accent1"/>
                          </a:lnRef>
                          <a:fillRef idx="0">
                            <a:schemeClr val="accent1"/>
                          </a:fillRef>
                          <a:effectRef idx="0">
                            <a:schemeClr val="accent1"/>
                          </a:effectRef>
                          <a:fontRef idx="minor">
                            <a:schemeClr val="tx1"/>
                          </a:fontRef>
                        </xdr:style>
                      </xdr:cxnSp>
                    </xdr:grpSp>
                    <xdr:grpSp>
                      <xdr:nvGrpSpPr>
                        <xdr:cNvPr id="169" name="Gruppo 168"/>
                        <xdr:cNvGrpSpPr/>
                      </xdr:nvGrpSpPr>
                      <xdr:grpSpPr>
                        <a:xfrm>
                          <a:off x="25092460" y="16387924"/>
                          <a:ext cx="7473515" cy="3299188"/>
                          <a:chOff x="25092460" y="16387924"/>
                          <a:chExt cx="7473515" cy="3299188"/>
                        </a:xfrm>
                      </xdr:grpSpPr>
                      <xdr:sp macro="" textlink="">
                        <xdr:nvSpPr>
                          <xdr:cNvPr id="170" name="CasellaDiTesto 169"/>
                          <xdr:cNvSpPr txBox="1"/>
                        </xdr:nvSpPr>
                        <xdr:spPr>
                          <a:xfrm>
                            <a:off x="25092460" y="16387924"/>
                            <a:ext cx="2268864" cy="1663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18)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terzo specchietto predisposto per le quadrature (Q3)</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ti permette di inserire un IMPORTO LIBERO (nel nostro esempio il valore della colonna 1), e di procedere con una quadratura analitica che trovi a pagina 3.</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171" name="CasellaDiTesto 170"/>
                          <xdr:cNvSpPr txBox="1"/>
                        </xdr:nvSpPr>
                        <xdr:spPr>
                          <a:xfrm>
                            <a:off x="31041975" y="16716374"/>
                            <a:ext cx="1524000" cy="1906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19)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Qui inserisci il numero degli eventuali documenti giustificativi. Questo numero "prenota" una riga di quadratura analitica che troverai più in basso, alla pagina 3.</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sp macro="" textlink="">
                        <xdr:nvSpPr>
                          <xdr:cNvPr id="172" name="CasellaDiTesto 171"/>
                          <xdr:cNvSpPr txBox="1"/>
                        </xdr:nvSpPr>
                        <xdr:spPr>
                          <a:xfrm>
                            <a:off x="25217592" y="17981224"/>
                            <a:ext cx="2124076" cy="1705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20)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Questo campo (in grigio) non si può modificare;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individua le 6 righe in modo sintetico con un numero romano e ritrovi questo dettaglio a pagina 3, dove potrai inserire una quadratura analitica.</a:t>
                            </a:r>
                          </a:p>
                          <a:p>
                            <a:endParaRPr lang="it-IT" sz="900" i="1"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it-IT" sz="900" u="sng" baseline="0">
                                <a:solidFill>
                                  <a:schemeClr val="bg2">
                                    <a:lumMod val="10000"/>
                                  </a:schemeClr>
                                </a:solidFill>
                                <a:effectLst/>
                                <a:latin typeface="Tahoma" panose="020B0604030504040204" pitchFamily="34" charset="0"/>
                                <a:ea typeface="Tahoma" panose="020B0604030504040204" pitchFamily="34" charset="0"/>
                                <a:cs typeface="Tahoma" panose="020B0604030504040204" pitchFamily="34" charset="0"/>
                              </a:rPr>
                              <a:t>Più in basso altre spiegazioni</a:t>
                            </a:r>
                            <a:r>
                              <a:rPr lang="it-IT" sz="900" baseline="0">
                                <a:solidFill>
                                  <a:schemeClr val="bg2">
                                    <a:lumMod val="10000"/>
                                  </a:schemeClr>
                                </a:solidFill>
                                <a:effectLst/>
                                <a:latin typeface="Tahoma" panose="020B0604030504040204" pitchFamily="34" charset="0"/>
                                <a:ea typeface="Tahoma" panose="020B0604030504040204" pitchFamily="34" charset="0"/>
                                <a:cs typeface="Tahoma" panose="020B0604030504040204" pitchFamily="34" charset="0"/>
                              </a:rPr>
                              <a:t>.</a:t>
                            </a:r>
                            <a:endParaRPr lang="it-IT" sz="900">
                              <a:solidFill>
                                <a:schemeClr val="bg2">
                                  <a:lumMod val="10000"/>
                                </a:schemeClr>
                              </a:solidFill>
                              <a:effectLst/>
                              <a:latin typeface="Tahoma" panose="020B0604030504040204" pitchFamily="34" charset="0"/>
                              <a:ea typeface="Tahoma" panose="020B0604030504040204" pitchFamily="34" charset="0"/>
                              <a:cs typeface="Tahoma" panose="020B0604030504040204" pitchFamily="34" charset="0"/>
                            </a:endParaRPr>
                          </a:p>
                        </xdr:txBody>
                      </xdr:sp>
                      <xdr:grpSp>
                        <xdr:nvGrpSpPr>
                          <xdr:cNvPr id="173" name="Gruppo 172"/>
                          <xdr:cNvGrpSpPr/>
                        </xdr:nvGrpSpPr>
                        <xdr:grpSpPr>
                          <a:xfrm>
                            <a:off x="27260550" y="16773525"/>
                            <a:ext cx="3717000" cy="2095500"/>
                            <a:chOff x="27260550" y="16773525"/>
                            <a:chExt cx="3717000" cy="2095500"/>
                          </a:xfrm>
                        </xdr:grpSpPr>
                        <xdr:pic>
                          <xdr:nvPicPr>
                            <xdr:cNvPr id="175" name="Immagine 174"/>
                            <xdr:cNvPicPr>
                              <a:picLocks noChangeAspect="1"/>
                            </xdr:cNvPicPr>
                          </xdr:nvPicPr>
                          <xdr:blipFill>
                            <a:blip xmlns:r="http://schemas.openxmlformats.org/officeDocument/2006/relationships" r:embed="rId13"/>
                            <a:stretch>
                              <a:fillRect/>
                            </a:stretch>
                          </xdr:blipFill>
                          <xdr:spPr>
                            <a:xfrm>
                              <a:off x="27260550" y="16773525"/>
                              <a:ext cx="3495238" cy="1942857"/>
                            </a:xfrm>
                            <a:prstGeom prst="rect">
                              <a:avLst/>
                            </a:prstGeom>
                          </xdr:spPr>
                        </xdr:pic>
                        <xdr:grpSp>
                          <xdr:nvGrpSpPr>
                            <xdr:cNvPr id="176" name="Gruppo 175"/>
                            <xdr:cNvGrpSpPr/>
                          </xdr:nvGrpSpPr>
                          <xdr:grpSpPr>
                            <a:xfrm>
                              <a:off x="30375225" y="17049750"/>
                              <a:ext cx="602325" cy="1440000"/>
                              <a:chOff x="30375225" y="17049750"/>
                              <a:chExt cx="602325" cy="1440000"/>
                            </a:xfrm>
                          </xdr:grpSpPr>
                          <xdr:sp macro="" textlink="">
                            <xdr:nvSpPr>
                              <xdr:cNvPr id="181" name="Rettangolo 180"/>
                              <xdr:cNvSpPr/>
                            </xdr:nvSpPr>
                            <xdr:spPr>
                              <a:xfrm>
                                <a:off x="30375225" y="17049750"/>
                                <a:ext cx="324000" cy="1440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82" name="Connettore 2 181"/>
                              <xdr:cNvCxnSpPr/>
                            </xdr:nvCxnSpPr>
                            <xdr:spPr>
                              <a:xfrm flipV="1">
                                <a:off x="30689550" y="17640300"/>
                                <a:ext cx="288000"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7" name="Gruppo 176"/>
                            <xdr:cNvGrpSpPr/>
                          </xdr:nvGrpSpPr>
                          <xdr:grpSpPr>
                            <a:xfrm>
                              <a:off x="27460575" y="17221200"/>
                              <a:ext cx="1981350" cy="1260000"/>
                              <a:chOff x="27460575" y="17221200"/>
                              <a:chExt cx="1981350" cy="1260000"/>
                            </a:xfrm>
                          </xdr:grpSpPr>
                          <xdr:sp macro="" textlink="">
                            <xdr:nvSpPr>
                              <xdr:cNvPr id="179" name="Rettangolo 178"/>
                              <xdr:cNvSpPr/>
                            </xdr:nvSpPr>
                            <xdr:spPr>
                              <a:xfrm>
                                <a:off x="29117925" y="17221200"/>
                                <a:ext cx="324000" cy="1260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80" name="Connettore 2 179"/>
                              <xdr:cNvCxnSpPr/>
                            </xdr:nvCxnSpPr>
                            <xdr:spPr>
                              <a:xfrm flipH="1">
                                <a:off x="27460575" y="17907000"/>
                                <a:ext cx="1661476" cy="56197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78" name="Connettore 2 177"/>
                            <xdr:cNvCxnSpPr/>
                          </xdr:nvCxnSpPr>
                          <xdr:spPr>
                            <a:xfrm flipH="1">
                              <a:off x="29375100" y="18564225"/>
                              <a:ext cx="333376" cy="304800"/>
                            </a:xfrm>
                            <a:prstGeom prst="straightConnector1">
                              <a:avLst/>
                            </a:prstGeom>
                            <a:ln w="15875">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74" name="CasellaDiTesto 173"/>
                          <xdr:cNvSpPr txBox="1"/>
                        </xdr:nvSpPr>
                        <xdr:spPr>
                          <a:xfrm>
                            <a:off x="27781420" y="18930442"/>
                            <a:ext cx="4015721" cy="706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21)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Nel nostro</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esempio, partendo da 250,00 euro, procediamo inserendo dei totali fino ad arrivare a ZERO.</a:t>
                            </a:r>
                            <a:b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b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Tutte le 6 righe potranno ancora essere dettagliate in pagina 3.</a:t>
                            </a:r>
                            <a:endParaRPr lang="it-IT" sz="90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grpSp>
                </xdr:grpSp>
              </xdr:grpSp>
              <xdr:grpSp>
                <xdr:nvGrpSpPr>
                  <xdr:cNvPr id="103" name="Gruppo 102"/>
                  <xdr:cNvGrpSpPr/>
                </xdr:nvGrpSpPr>
                <xdr:grpSpPr>
                  <a:xfrm>
                    <a:off x="19978687" y="36742680"/>
                    <a:ext cx="11506201" cy="10237789"/>
                    <a:chOff x="1076324" y="25260298"/>
                    <a:chExt cx="11220451" cy="9753601"/>
                  </a:xfrm>
                </xdr:grpSpPr>
                <xdr:sp macro="" textlink="">
                  <xdr:nvSpPr>
                    <xdr:cNvPr id="104" name="Documento 103"/>
                    <xdr:cNvSpPr/>
                  </xdr:nvSpPr>
                  <xdr:spPr>
                    <a:xfrm>
                      <a:off x="1076324" y="25260298"/>
                      <a:ext cx="11220451" cy="9753601"/>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105" name="CasellaDiTesto 104"/>
                    <xdr:cNvSpPr txBox="1"/>
                  </xdr:nvSpPr>
                  <xdr:spPr>
                    <a:xfrm>
                      <a:off x="1123950" y="25307925"/>
                      <a:ext cx="689057" cy="335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5</a:t>
                      </a:r>
                    </a:p>
                  </xdr:txBody>
                </xdr:sp>
                <xdr:grpSp>
                  <xdr:nvGrpSpPr>
                    <xdr:cNvPr id="106" name="Gruppo 105"/>
                    <xdr:cNvGrpSpPr/>
                  </xdr:nvGrpSpPr>
                  <xdr:grpSpPr>
                    <a:xfrm>
                      <a:off x="1181108" y="25449802"/>
                      <a:ext cx="11007661" cy="7897762"/>
                      <a:chOff x="1285883" y="25745077"/>
                      <a:chExt cx="11007661" cy="7897762"/>
                    </a:xfrm>
                  </xdr:grpSpPr>
                  <xdr:grpSp>
                    <xdr:nvGrpSpPr>
                      <xdr:cNvPr id="107" name="Gruppo 106"/>
                      <xdr:cNvGrpSpPr/>
                    </xdr:nvGrpSpPr>
                    <xdr:grpSpPr>
                      <a:xfrm>
                        <a:off x="1285883" y="25745077"/>
                        <a:ext cx="11007661" cy="7897762"/>
                        <a:chOff x="21326479" y="20334531"/>
                        <a:chExt cx="11122921" cy="8157001"/>
                      </a:xfrm>
                    </xdr:grpSpPr>
                    <xdr:grpSp>
                      <xdr:nvGrpSpPr>
                        <xdr:cNvPr id="109" name="Gruppo 108"/>
                        <xdr:cNvGrpSpPr/>
                      </xdr:nvGrpSpPr>
                      <xdr:grpSpPr>
                        <a:xfrm>
                          <a:off x="22002749" y="24250650"/>
                          <a:ext cx="10446651" cy="4240882"/>
                          <a:chOff x="22002749" y="24250650"/>
                          <a:chExt cx="10446651" cy="4240882"/>
                        </a:xfrm>
                      </xdr:grpSpPr>
                      <xdr:sp macro="" textlink="">
                        <xdr:nvSpPr>
                          <xdr:cNvPr id="143" name="CasellaDiTesto 142"/>
                          <xdr:cNvSpPr txBox="1"/>
                        </xdr:nvSpPr>
                        <xdr:spPr>
                          <a:xfrm>
                            <a:off x="29022673" y="27717751"/>
                            <a:ext cx="2467439" cy="50760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26)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Qui ritrovi la descrizione estesa così come scritta in pagina 1.</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144" name="Gruppo 143"/>
                          <xdr:cNvGrpSpPr/>
                        </xdr:nvGrpSpPr>
                        <xdr:grpSpPr>
                          <a:xfrm>
                            <a:off x="22002749" y="24803102"/>
                            <a:ext cx="8528362" cy="3688430"/>
                            <a:chOff x="22002749" y="24803102"/>
                            <a:chExt cx="8528362" cy="3688430"/>
                          </a:xfrm>
                        </xdr:grpSpPr>
                        <xdr:sp macro="" textlink="">
                          <xdr:nvSpPr>
                            <xdr:cNvPr id="151" name="CasellaDiTesto 150"/>
                            <xdr:cNvSpPr txBox="1"/>
                          </xdr:nvSpPr>
                          <xdr:spPr>
                            <a:xfrm>
                              <a:off x="24677896" y="27534206"/>
                              <a:ext cx="3619501" cy="9573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25)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La colonna dei TOTALI è</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calcolata in AUTOMATICO.</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u="sng"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STAMPA la pagina, le informazioni analitiche NON VENGONO MEMORIZZATE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152" name="Gruppo 151"/>
                            <xdr:cNvGrpSpPr/>
                          </xdr:nvGrpSpPr>
                          <xdr:grpSpPr>
                            <a:xfrm>
                              <a:off x="24079206" y="24803102"/>
                              <a:ext cx="6451905" cy="3072298"/>
                              <a:chOff x="26231856" y="24212552"/>
                              <a:chExt cx="6451905" cy="3072298"/>
                            </a:xfrm>
                          </xdr:grpSpPr>
                          <xdr:grpSp>
                            <xdr:nvGrpSpPr>
                              <xdr:cNvPr id="155" name="Gruppo 154"/>
                              <xdr:cNvGrpSpPr/>
                            </xdr:nvGrpSpPr>
                            <xdr:grpSpPr>
                              <a:xfrm>
                                <a:off x="26231856" y="24212552"/>
                                <a:ext cx="6451905" cy="2574285"/>
                                <a:chOff x="26231856" y="24212552"/>
                                <a:chExt cx="6451905" cy="2574285"/>
                              </a:xfrm>
                            </xdr:grpSpPr>
                            <xdr:pic>
                              <xdr:nvPicPr>
                                <xdr:cNvPr id="161" name="Immagine 160"/>
                                <xdr:cNvPicPr>
                                  <a:picLocks noChangeAspect="1"/>
                                </xdr:cNvPicPr>
                              </xdr:nvPicPr>
                              <xdr:blipFill>
                                <a:blip xmlns:r="http://schemas.openxmlformats.org/officeDocument/2006/relationships" r:embed="rId14"/>
                                <a:stretch>
                                  <a:fillRect/>
                                </a:stretch>
                              </xdr:blipFill>
                              <xdr:spPr>
                                <a:xfrm>
                                  <a:off x="26231856" y="24212552"/>
                                  <a:ext cx="6451905" cy="2574285"/>
                                </a:xfrm>
                                <a:prstGeom prst="rect">
                                  <a:avLst/>
                                </a:prstGeom>
                              </xdr:spPr>
                            </xdr:pic>
                            <xdr:sp macro="" textlink="">
                              <xdr:nvSpPr>
                                <xdr:cNvPr id="162" name="Rettangolo 161"/>
                                <xdr:cNvSpPr/>
                              </xdr:nvSpPr>
                              <xdr:spPr>
                                <a:xfrm>
                                  <a:off x="26269951" y="24298276"/>
                                  <a:ext cx="3429000" cy="2286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sp macro="" textlink="">
                            <xdr:nvSpPr>
                              <xdr:cNvPr id="156" name="Rettangolo 155"/>
                              <xdr:cNvSpPr/>
                            </xdr:nvSpPr>
                            <xdr:spPr>
                              <a:xfrm>
                                <a:off x="26936699" y="24479250"/>
                                <a:ext cx="3324225" cy="2304000"/>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157" name="Rettangolo 156"/>
                              <xdr:cNvSpPr/>
                            </xdr:nvSpPr>
                            <xdr:spPr>
                              <a:xfrm>
                                <a:off x="30308549" y="24479250"/>
                                <a:ext cx="792000" cy="2304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58" name="Connettore 4 157"/>
                              <xdr:cNvCxnSpPr/>
                            </xdr:nvCxnSpPr>
                            <xdr:spPr>
                              <a:xfrm flipV="1">
                                <a:off x="30211575" y="26780850"/>
                                <a:ext cx="540000" cy="504000"/>
                              </a:xfrm>
                              <a:prstGeom prst="bentConnector2">
                                <a:avLst/>
                              </a:prstGeom>
                              <a:ln w="15875">
                                <a:solidFill>
                                  <a:srgbClr val="FF0000">
                                    <a:alpha val="99000"/>
                                  </a:srgbClr>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59" name="Rettangolo 158"/>
                              <xdr:cNvSpPr/>
                            </xdr:nvSpPr>
                            <xdr:spPr>
                              <a:xfrm>
                                <a:off x="31137224" y="25126950"/>
                                <a:ext cx="1512000" cy="1656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60" name="Connettore 2 159"/>
                              <xdr:cNvCxnSpPr/>
                            </xdr:nvCxnSpPr>
                            <xdr:spPr>
                              <a:xfrm>
                                <a:off x="31820023" y="26788648"/>
                                <a:ext cx="0" cy="28800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53" name="CasellaDiTesto 152"/>
                            <xdr:cNvSpPr txBox="1"/>
                          </xdr:nvSpPr>
                          <xdr:spPr>
                            <a:xfrm>
                              <a:off x="22002749" y="25059024"/>
                              <a:ext cx="1752601" cy="133198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24)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Inserisci liberamente le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informazioni analitiche secondo le tue esigenze.</a:t>
                              </a: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Tutto il foglio si può personalizzare in più modi. Questo è solo un esempio.</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154" name="Connettore 4 153"/>
                            <xdr:cNvCxnSpPr/>
                          </xdr:nvCxnSpPr>
                          <xdr:spPr>
                            <a:xfrm>
                              <a:off x="23107649" y="26174700"/>
                              <a:ext cx="936000" cy="304800"/>
                            </a:xfrm>
                            <a:prstGeom prst="bentConnector3">
                              <a:avLst>
                                <a:gd name="adj1" fmla="val 794"/>
                              </a:avLst>
                            </a:prstGeom>
                            <a:ln w="15875">
                              <a:solidFill>
                                <a:srgbClr val="FF0000">
                                  <a:alpha val="99000"/>
                                </a:srgbClr>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45" name="Gruppo 144"/>
                          <xdr:cNvGrpSpPr/>
                        </xdr:nvGrpSpPr>
                        <xdr:grpSpPr>
                          <a:xfrm>
                            <a:off x="29036579" y="24250650"/>
                            <a:ext cx="3412821" cy="1297650"/>
                            <a:chOff x="31151129" y="23574375"/>
                            <a:chExt cx="3412821" cy="1297650"/>
                          </a:xfrm>
                        </xdr:grpSpPr>
                        <xdr:sp macro="" textlink="">
                          <xdr:nvSpPr>
                            <xdr:cNvPr id="147" name="CasellaDiTesto 146"/>
                            <xdr:cNvSpPr txBox="1"/>
                          </xdr:nvSpPr>
                          <xdr:spPr>
                            <a:xfrm>
                              <a:off x="31168722" y="23646074"/>
                              <a:ext cx="3350791" cy="93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NB) </a:t>
                              </a: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Nella riga </a:t>
                              </a:r>
                              <a:r>
                                <a:rPr lang="it-IT" sz="900">
                                  <a:solidFill>
                                    <a:srgbClr val="FF0000"/>
                                  </a:solidFill>
                                  <a:latin typeface="Tahoma" panose="020B0604030504040204" pitchFamily="34" charset="0"/>
                                  <a:ea typeface="Tahoma" panose="020B0604030504040204" pitchFamily="34" charset="0"/>
                                  <a:cs typeface="Tahoma" panose="020B0604030504040204" pitchFamily="34" charset="0"/>
                                </a:rPr>
                                <a:t>4 A/B</a:t>
                              </a: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a:t>
                              </a:r>
                              <a:r>
                                <a:rPr lang="it-IT" sz="900" i="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se invece di 150,00 euro avessi digitato</a:t>
                              </a:r>
                              <a:r>
                                <a:rPr lang="it-IT" sz="9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un numero errato (ad esempio 149,00 euro), il totale, per la tipologia "A/B", non sarebbe in quadratura con quanto imputato precedentemente.</a:t>
                              </a:r>
                            </a:p>
                            <a:p>
                              <a:r>
                                <a:rPr lang="it-IT" sz="9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In questi casi il sistema restituisce "</a:t>
                              </a:r>
                              <a:r>
                                <a:rPr lang="it-IT" sz="900" i="0" baseline="0">
                                  <a:solidFill>
                                    <a:srgbClr val="FF0000"/>
                                  </a:solidFill>
                                  <a:latin typeface="Tahoma" panose="020B0604030504040204" pitchFamily="34" charset="0"/>
                                  <a:ea typeface="Tahoma" panose="020B0604030504040204" pitchFamily="34" charset="0"/>
                                  <a:cs typeface="Tahoma" panose="020B0604030504040204" pitchFamily="34" charset="0"/>
                                </a:rPr>
                                <a:t>ERR</a:t>
                              </a:r>
                              <a:r>
                                <a:rPr lang="it-IT" sz="9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t>
                              </a:r>
                              <a:endParaRPr lang="it-IT" sz="900" i="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148" name="Gruppo 147"/>
                            <xdr:cNvGrpSpPr/>
                          </xdr:nvGrpSpPr>
                          <xdr:grpSpPr>
                            <a:xfrm>
                              <a:off x="31151129" y="23574375"/>
                              <a:ext cx="3412821" cy="1297650"/>
                              <a:chOff x="31189229" y="23641050"/>
                              <a:chExt cx="3412821" cy="1297650"/>
                            </a:xfrm>
                          </xdr:grpSpPr>
                          <xdr:pic>
                            <xdr:nvPicPr>
                              <xdr:cNvPr id="149" name="Immagine 148"/>
                              <xdr:cNvPicPr>
                                <a:picLocks noChangeAspect="1"/>
                              </xdr:cNvPicPr>
                            </xdr:nvPicPr>
                            <xdr:blipFill>
                              <a:blip xmlns:r="http://schemas.openxmlformats.org/officeDocument/2006/relationships" r:embed="rId15"/>
                              <a:stretch>
                                <a:fillRect/>
                              </a:stretch>
                            </xdr:blipFill>
                            <xdr:spPr>
                              <a:xfrm>
                                <a:off x="31337254" y="24660228"/>
                                <a:ext cx="3011428" cy="259048"/>
                              </a:xfrm>
                              <a:prstGeom prst="rect">
                                <a:avLst/>
                              </a:prstGeom>
                            </xdr:spPr>
                          </xdr:pic>
                          <xdr:sp macro="" textlink="">
                            <xdr:nvSpPr>
                              <xdr:cNvPr id="150" name="Rettangolo 149"/>
                              <xdr:cNvSpPr/>
                            </xdr:nvSpPr>
                            <xdr:spPr>
                              <a:xfrm>
                                <a:off x="31189229" y="23641050"/>
                                <a:ext cx="3412821" cy="1297650"/>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xnSp macro="">
                        <xdr:nvCxnSpPr>
                          <xdr:cNvPr id="146" name="Connettore 4 145"/>
                          <xdr:cNvCxnSpPr/>
                        </xdr:nvCxnSpPr>
                        <xdr:spPr>
                          <a:xfrm flipV="1">
                            <a:off x="30415240" y="25561649"/>
                            <a:ext cx="1673340" cy="1673175"/>
                          </a:xfrm>
                          <a:prstGeom prst="bentConnector2">
                            <a:avLst/>
                          </a:prstGeom>
                          <a:ln w="15875">
                            <a:solidFill>
                              <a:schemeClr val="bg1">
                                <a:lumMod val="50000"/>
                                <a:alpha val="99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0" name="Gruppo 109"/>
                        <xdr:cNvGrpSpPr/>
                      </xdr:nvGrpSpPr>
                      <xdr:grpSpPr>
                        <a:xfrm>
                          <a:off x="21326479" y="20334531"/>
                          <a:ext cx="7067409" cy="4699342"/>
                          <a:chOff x="21326479" y="20334531"/>
                          <a:chExt cx="7067409" cy="4699342"/>
                        </a:xfrm>
                      </xdr:grpSpPr>
                      <xdr:sp macro="" textlink="">
                        <xdr:nvSpPr>
                          <xdr:cNvPr id="111" name="CasellaDiTesto 110"/>
                          <xdr:cNvSpPr txBox="1"/>
                        </xdr:nvSpPr>
                        <xdr:spPr>
                          <a:xfrm>
                            <a:off x="22276473" y="20334531"/>
                            <a:ext cx="3022880" cy="1089409"/>
                          </a:xfrm>
                          <a:prstGeom prst="rect">
                            <a:avLst/>
                          </a:prstGeom>
                          <a:solidFill>
                            <a:sysClr val="window" lastClr="FFFF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22)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PAGINA 2: questa è l' area destinata alla quadratura</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analitica degli importi inseriti nella pagina precedente, negli specchietti Q1 e Q2. Fino ad un massimo di 50 righe di dettaglio.</a:t>
                            </a: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Vedi il punto </a:t>
                            </a:r>
                            <a:r>
                              <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rPr>
                              <a:t>7)</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ed il punto </a:t>
                            </a:r>
                            <a:r>
                              <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rPr>
                              <a:t>16)</a:t>
                            </a:r>
                          </a:p>
                        </xdr:txBody>
                      </xdr:sp>
                      <xdr:grpSp>
                        <xdr:nvGrpSpPr>
                          <xdr:cNvPr id="112" name="Gruppo 111"/>
                          <xdr:cNvGrpSpPr/>
                        </xdr:nvGrpSpPr>
                        <xdr:grpSpPr>
                          <a:xfrm>
                            <a:off x="21326479" y="21398027"/>
                            <a:ext cx="2095503" cy="1404662"/>
                            <a:chOff x="21336004" y="21398027"/>
                            <a:chExt cx="2095503" cy="1404662"/>
                          </a:xfrm>
                        </xdr:grpSpPr>
                        <xdr:grpSp>
                          <xdr:nvGrpSpPr>
                            <xdr:cNvPr id="134" name="Gruppo 133"/>
                            <xdr:cNvGrpSpPr>
                              <a:grpSpLocks noChangeAspect="1"/>
                            </xdr:cNvGrpSpPr>
                          </xdr:nvGrpSpPr>
                          <xdr:grpSpPr>
                            <a:xfrm>
                              <a:off x="21336004" y="21398027"/>
                              <a:ext cx="1686291" cy="1133745"/>
                              <a:chOff x="21336000" y="21388921"/>
                              <a:chExt cx="1876193" cy="1261423"/>
                            </a:xfrm>
                          </xdr:grpSpPr>
                          <xdr:grpSp>
                            <xdr:nvGrpSpPr>
                              <xdr:cNvPr id="139" name="Gruppo 138"/>
                              <xdr:cNvGrpSpPr/>
                            </xdr:nvGrpSpPr>
                            <xdr:grpSpPr>
                              <a:xfrm>
                                <a:off x="21336000" y="21707475"/>
                                <a:ext cx="1876193" cy="942869"/>
                                <a:chOff x="21336000" y="21707475"/>
                                <a:chExt cx="1876193" cy="942869"/>
                              </a:xfrm>
                            </xdr:grpSpPr>
                            <xdr:pic>
                              <xdr:nvPicPr>
                                <xdr:cNvPr id="141" name="Immagine 140"/>
                                <xdr:cNvPicPr>
                                  <a:picLocks noChangeAspect="1"/>
                                </xdr:cNvPicPr>
                              </xdr:nvPicPr>
                              <xdr:blipFill>
                                <a:blip xmlns:r="http://schemas.openxmlformats.org/officeDocument/2006/relationships" r:embed="rId16"/>
                                <a:stretch>
                                  <a:fillRect/>
                                </a:stretch>
                              </xdr:blipFill>
                              <xdr:spPr>
                                <a:xfrm>
                                  <a:off x="21355050" y="21802725"/>
                                  <a:ext cx="1857143" cy="847619"/>
                                </a:xfrm>
                                <a:prstGeom prst="rect">
                                  <a:avLst/>
                                </a:prstGeom>
                              </xdr:spPr>
                            </xdr:pic>
                            <xdr:sp macro="" textlink="">
                              <xdr:nvSpPr>
                                <xdr:cNvPr id="142" name="Rettangolo 141"/>
                                <xdr:cNvSpPr/>
                              </xdr:nvSpPr>
                              <xdr:spPr>
                                <a:xfrm>
                                  <a:off x="21336000" y="21707475"/>
                                  <a:ext cx="1581150" cy="295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sp macro="" textlink="">
                            <xdr:nvSpPr>
                              <xdr:cNvPr id="140" name="CasellaDiTesto 139"/>
                              <xdr:cNvSpPr txBox="1"/>
                            </xdr:nvSpPr>
                            <xdr:spPr>
                              <a:xfrm>
                                <a:off x="21435540" y="21388921"/>
                                <a:ext cx="1437116" cy="566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Estratto da specchietto</a:t>
                                </a:r>
                                <a:r>
                                  <a:rPr lang="it-IT" sz="1000" i="1" baseline="0">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   </a:t>
                                </a:r>
                                <a:r>
                                  <a:rPr lang="it-IT" sz="10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Q1</a:t>
                                </a:r>
                                <a:endPar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sp macro="" textlink="">
                          <xdr:nvSpPr>
                            <xdr:cNvPr id="135" name="Rettangolo 134"/>
                            <xdr:cNvSpPr/>
                          </xdr:nvSpPr>
                          <xdr:spPr>
                            <a:xfrm>
                              <a:off x="21383625" y="21936075"/>
                              <a:ext cx="1620000" cy="216000"/>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36" name="Connettore 2 135"/>
                            <xdr:cNvCxnSpPr/>
                          </xdr:nvCxnSpPr>
                          <xdr:spPr>
                            <a:xfrm>
                              <a:off x="23012770" y="22065137"/>
                              <a:ext cx="390155" cy="194788"/>
                            </a:xfrm>
                            <a:prstGeom prst="straightConnector1">
                              <a:avLst/>
                            </a:prstGeom>
                            <a:ln w="158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Rettangolo 136"/>
                            <xdr:cNvSpPr/>
                          </xdr:nvSpPr>
                          <xdr:spPr>
                            <a:xfrm>
                              <a:off x="21383625" y="22298025"/>
                              <a:ext cx="1620000" cy="216000"/>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38" name="Connettore 2 137"/>
                            <xdr:cNvCxnSpPr>
                              <a:stCxn id="137" idx="3"/>
                              <a:endCxn id="119" idx="1"/>
                            </xdr:cNvCxnSpPr>
                          </xdr:nvCxnSpPr>
                          <xdr:spPr>
                            <a:xfrm>
                              <a:off x="23003625" y="22406025"/>
                              <a:ext cx="427882" cy="396664"/>
                            </a:xfrm>
                            <a:prstGeom prst="straightConnector1">
                              <a:avLst/>
                            </a:prstGeom>
                            <a:ln w="158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3" name="Gruppo 112"/>
                          <xdr:cNvGrpSpPr/>
                        </xdr:nvGrpSpPr>
                        <xdr:grpSpPr>
                          <a:xfrm>
                            <a:off x="21326491" y="22775300"/>
                            <a:ext cx="2085959" cy="1094349"/>
                            <a:chOff x="21326491" y="22775300"/>
                            <a:chExt cx="2085959" cy="1094349"/>
                          </a:xfrm>
                        </xdr:grpSpPr>
                        <xdr:grpSp>
                          <xdr:nvGrpSpPr>
                            <xdr:cNvPr id="126" name="Gruppo 125"/>
                            <xdr:cNvGrpSpPr/>
                          </xdr:nvGrpSpPr>
                          <xdr:grpSpPr>
                            <a:xfrm>
                              <a:off x="21326491" y="22775300"/>
                              <a:ext cx="1692560" cy="1086351"/>
                              <a:chOff x="24069691" y="24251675"/>
                              <a:chExt cx="1692560" cy="1086351"/>
                            </a:xfrm>
                          </xdr:grpSpPr>
                          <xdr:grpSp>
                            <xdr:nvGrpSpPr>
                              <xdr:cNvPr id="130" name="Gruppo 129"/>
                              <xdr:cNvGrpSpPr/>
                            </xdr:nvGrpSpPr>
                            <xdr:grpSpPr>
                              <a:xfrm>
                                <a:off x="24069691" y="24484639"/>
                                <a:ext cx="1692560" cy="853387"/>
                                <a:chOff x="24069691" y="24484639"/>
                                <a:chExt cx="1692560" cy="853387"/>
                              </a:xfrm>
                            </xdr:grpSpPr>
                            <xdr:pic>
                              <xdr:nvPicPr>
                                <xdr:cNvPr id="132" name="Immagine 131"/>
                                <xdr:cNvPicPr>
                                  <a:picLocks noChangeAspect="1"/>
                                </xdr:cNvPicPr>
                              </xdr:nvPicPr>
                              <xdr:blipFill>
                                <a:blip xmlns:r="http://schemas.openxmlformats.org/officeDocument/2006/relationships" r:embed="rId17"/>
                                <a:stretch>
                                  <a:fillRect/>
                                </a:stretch>
                              </xdr:blipFill>
                              <xdr:spPr>
                                <a:xfrm>
                                  <a:off x="24098251" y="24584026"/>
                                  <a:ext cx="1664000" cy="754000"/>
                                </a:xfrm>
                                <a:prstGeom prst="rect">
                                  <a:avLst/>
                                </a:prstGeom>
                              </xdr:spPr>
                            </xdr:pic>
                            <xdr:sp macro="" textlink="">
                              <xdr:nvSpPr>
                                <xdr:cNvPr id="133" name="Rettangolo 132"/>
                                <xdr:cNvSpPr/>
                              </xdr:nvSpPr>
                              <xdr:spPr>
                                <a:xfrm>
                                  <a:off x="24069691" y="24484639"/>
                                  <a:ext cx="1421110" cy="2653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sp macro="" textlink="">
                            <xdr:nvSpPr>
                              <xdr:cNvPr id="131" name="CasellaDiTesto 130"/>
                              <xdr:cNvSpPr txBox="1"/>
                            </xdr:nvSpPr>
                            <xdr:spPr>
                              <a:xfrm>
                                <a:off x="24168669" y="24251675"/>
                                <a:ext cx="1291656" cy="4746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Estratto da specchietto</a:t>
                                </a:r>
                                <a:r>
                                  <a:rPr lang="it-IT" sz="1000" i="1" baseline="0">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   </a:t>
                                </a:r>
                                <a:r>
                                  <a:rPr lang="it-IT" sz="1000" i="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Q2</a:t>
                                </a:r>
                                <a:endPar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sp macro="" textlink="">
                          <xdr:nvSpPr>
                            <xdr:cNvPr id="127" name="Rettangolo 126"/>
                            <xdr:cNvSpPr/>
                          </xdr:nvSpPr>
                          <xdr:spPr>
                            <a:xfrm>
                              <a:off x="21345525" y="23250524"/>
                              <a:ext cx="1656000" cy="619125"/>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28" name="Connettore 2 127"/>
                            <xdr:cNvCxnSpPr/>
                          </xdr:nvCxnSpPr>
                          <xdr:spPr>
                            <a:xfrm flipV="1">
                              <a:off x="22992000" y="23250525"/>
                              <a:ext cx="420450" cy="138113"/>
                            </a:xfrm>
                            <a:prstGeom prst="straightConnector1">
                              <a:avLst/>
                            </a:prstGeom>
                            <a:ln w="158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9" name="Connettore 2 128"/>
                            <xdr:cNvCxnSpPr/>
                          </xdr:nvCxnSpPr>
                          <xdr:spPr>
                            <a:xfrm>
                              <a:off x="23012400" y="23660100"/>
                              <a:ext cx="396000" cy="142875"/>
                            </a:xfrm>
                            <a:prstGeom prst="straightConnector1">
                              <a:avLst/>
                            </a:prstGeom>
                            <a:ln w="158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4" name="Gruppo 113"/>
                          <xdr:cNvGrpSpPr/>
                        </xdr:nvGrpSpPr>
                        <xdr:grpSpPr>
                          <a:xfrm>
                            <a:off x="23431507" y="21507451"/>
                            <a:ext cx="4962381" cy="3526422"/>
                            <a:chOff x="23412457" y="21507451"/>
                            <a:chExt cx="4962381" cy="3526422"/>
                          </a:xfrm>
                        </xdr:grpSpPr>
                        <xdr:sp macro="" textlink="">
                          <xdr:nvSpPr>
                            <xdr:cNvPr id="116" name="CasellaDiTesto 115"/>
                            <xdr:cNvSpPr txBox="1"/>
                          </xdr:nvSpPr>
                          <xdr:spPr>
                            <a:xfrm>
                              <a:off x="24260174" y="24088724"/>
                              <a:ext cx="3171826" cy="850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23)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prime 2 colonne si compilano in AUTOMATICO sulla base del numero di documenti analitici impostati precedentemente, negli specchietti Q1 e Q2.</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117" name="Gruppo 116"/>
                            <xdr:cNvGrpSpPr/>
                          </xdr:nvGrpSpPr>
                          <xdr:grpSpPr>
                            <a:xfrm>
                              <a:off x="23412457" y="21507451"/>
                              <a:ext cx="4962381" cy="3526422"/>
                              <a:chOff x="23383882" y="21497926"/>
                              <a:chExt cx="4962381" cy="3526422"/>
                            </a:xfrm>
                          </xdr:grpSpPr>
                          <xdr:pic>
                            <xdr:nvPicPr>
                              <xdr:cNvPr id="119" name="Immagine 118"/>
                              <xdr:cNvPicPr>
                                <a:picLocks noChangeAspect="1"/>
                              </xdr:cNvPicPr>
                            </xdr:nvPicPr>
                            <xdr:blipFill>
                              <a:blip xmlns:r="http://schemas.openxmlformats.org/officeDocument/2006/relationships" r:embed="rId18"/>
                              <a:stretch>
                                <a:fillRect/>
                              </a:stretch>
                            </xdr:blipFill>
                            <xdr:spPr>
                              <a:xfrm>
                                <a:off x="23383882" y="21497926"/>
                                <a:ext cx="4962381" cy="2590476"/>
                              </a:xfrm>
                              <a:prstGeom prst="rect">
                                <a:avLst/>
                              </a:prstGeom>
                            </xdr:spPr>
                          </xdr:pic>
                          <xdr:cxnSp macro="">
                            <xdr:nvCxnSpPr>
                              <xdr:cNvPr id="120" name="Connettore 2 119"/>
                              <xdr:cNvCxnSpPr/>
                            </xdr:nvCxnSpPr>
                            <xdr:spPr>
                              <a:xfrm>
                                <a:off x="27403425" y="22726650"/>
                                <a:ext cx="144000" cy="0"/>
                              </a:xfrm>
                              <a:prstGeom prst="straightConnector1">
                                <a:avLst/>
                              </a:prstGeom>
                              <a:ln w="15875">
                                <a:solidFill>
                                  <a:schemeClr val="bg1">
                                    <a:lumMod val="50000"/>
                                  </a:schemeClr>
                                </a:solidFill>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21" name="Rettangolo 120"/>
                              <xdr:cNvSpPr/>
                            </xdr:nvSpPr>
                            <xdr:spPr>
                              <a:xfrm>
                                <a:off x="23412450" y="21736050"/>
                                <a:ext cx="628650" cy="2304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122" name="Rettangolo 121"/>
                              <xdr:cNvSpPr/>
                            </xdr:nvSpPr>
                            <xdr:spPr>
                              <a:xfrm>
                                <a:off x="24079199" y="21736050"/>
                                <a:ext cx="3324225" cy="2304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123" name="CasellaDiTesto 122"/>
                              <xdr:cNvSpPr txBox="1"/>
                            </xdr:nvSpPr>
                            <xdr:spPr>
                              <a:xfrm>
                                <a:off x="24460197" y="22259923"/>
                                <a:ext cx="2419353" cy="1314451"/>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AREA</a:t>
                                </a:r>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LIBERA destinata all' inserimento dei valori analitici, i cui totali devono corrispondere a quanto imputato precedentemente.</a:t>
                                </a:r>
                              </a:p>
                              <a:p>
                                <a:pPr algn="l"/>
                                <a:endPar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a:p>
                                <a:pPr algn="l"/>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Ci sono 3 colonne disponibili:</a:t>
                                </a:r>
                              </a:p>
                              <a:p>
                                <a:pPr algn="l"/>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NOME / RIF. / IMPORTO</a:t>
                                </a:r>
                                <a:endPar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24" name="CasellaDiTesto 123"/>
                              <xdr:cNvSpPr txBox="1"/>
                            </xdr:nvSpPr>
                            <xdr:spPr>
                              <a:xfrm>
                                <a:off x="27527248" y="22612349"/>
                                <a:ext cx="756000" cy="252000"/>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ESEMPIO</a:t>
                                </a:r>
                              </a:p>
                            </xdr:txBody>
                          </xdr:sp>
                          <xdr:cxnSp macro="">
                            <xdr:nvCxnSpPr>
                              <xdr:cNvPr id="125" name="Connettore 2 124"/>
                              <xdr:cNvCxnSpPr/>
                            </xdr:nvCxnSpPr>
                            <xdr:spPr>
                              <a:xfrm>
                                <a:off x="27762373" y="22864348"/>
                                <a:ext cx="0" cy="2160000"/>
                              </a:xfrm>
                              <a:prstGeom prst="straightConnector1">
                                <a:avLst/>
                              </a:prstGeom>
                              <a:ln w="158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nettore 4 117"/>
                            <xdr:cNvCxnSpPr/>
                          </xdr:nvCxnSpPr>
                          <xdr:spPr>
                            <a:xfrm rot="5400000" flipV="1">
                              <a:off x="23794950" y="23948700"/>
                              <a:ext cx="324000" cy="504000"/>
                            </a:xfrm>
                            <a:prstGeom prst="bentConnector2">
                              <a:avLst/>
                            </a:prstGeom>
                            <a:ln w="15875">
                              <a:solidFill>
                                <a:srgbClr val="FF0000">
                                  <a:alpha val="99000"/>
                                </a:srgbClr>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5" name="Connettore 4 114"/>
                          <xdr:cNvCxnSpPr/>
                        </xdr:nvCxnSpPr>
                        <xdr:spPr>
                          <a:xfrm rot="-5400000" flipV="1">
                            <a:off x="25364100" y="20629725"/>
                            <a:ext cx="1008000" cy="1152000"/>
                          </a:xfrm>
                          <a:prstGeom prst="bentConnector2">
                            <a:avLst/>
                          </a:prstGeom>
                          <a:ln w="15875">
                            <a:solidFill>
                              <a:schemeClr val="bg1">
                                <a:lumMod val="50000"/>
                                <a:alpha val="99000"/>
                              </a:schemeClr>
                            </a:solidFill>
                            <a:headEnd type="triangle"/>
                            <a:tailEnd type="ova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08" name="CasellaDiTesto 107"/>
                      <xdr:cNvSpPr txBox="1"/>
                    </xdr:nvSpPr>
                    <xdr:spPr>
                      <a:xfrm>
                        <a:off x="10500666" y="30919764"/>
                        <a:ext cx="1351323" cy="14154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sistema restituisce "OK" quando la SOMMA degli importi analitici CORRISPONDE con il totale già inserito precedentemente.</a:t>
                        </a:r>
                      </a:p>
                    </xdr:txBody>
                  </xdr:sp>
                </xdr:grpSp>
              </xdr:grpSp>
            </xdr:grpSp>
            <xdr:grpSp>
              <xdr:nvGrpSpPr>
                <xdr:cNvPr id="62" name="Gruppo 61"/>
                <xdr:cNvGrpSpPr>
                  <a:grpSpLocks noChangeAspect="1"/>
                </xdr:cNvGrpSpPr>
              </xdr:nvGrpSpPr>
              <xdr:grpSpPr>
                <a:xfrm>
                  <a:off x="19969154" y="47339229"/>
                  <a:ext cx="11788776" cy="7850189"/>
                  <a:chOff x="761999" y="37652324"/>
                  <a:chExt cx="11477626" cy="7477125"/>
                </a:xfrm>
              </xdr:grpSpPr>
              <xdr:sp macro="" textlink="">
                <xdr:nvSpPr>
                  <xdr:cNvPr id="63" name="Documento 62"/>
                  <xdr:cNvSpPr/>
                </xdr:nvSpPr>
                <xdr:spPr>
                  <a:xfrm>
                    <a:off x="761999" y="37652324"/>
                    <a:ext cx="11477626" cy="7477125"/>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64" name="Gruppo 63"/>
                  <xdr:cNvGrpSpPr/>
                </xdr:nvGrpSpPr>
                <xdr:grpSpPr>
                  <a:xfrm>
                    <a:off x="838200" y="37785675"/>
                    <a:ext cx="11292267" cy="5733140"/>
                    <a:chOff x="22993351" y="33261304"/>
                    <a:chExt cx="11292267" cy="5733140"/>
                  </a:xfrm>
                </xdr:grpSpPr>
                <xdr:grpSp>
                  <xdr:nvGrpSpPr>
                    <xdr:cNvPr id="66" name="Gruppo 65"/>
                    <xdr:cNvGrpSpPr/>
                  </xdr:nvGrpSpPr>
                  <xdr:grpSpPr>
                    <a:xfrm>
                      <a:off x="22993351" y="33261304"/>
                      <a:ext cx="11292267" cy="5733140"/>
                      <a:chOff x="23545801" y="29584654"/>
                      <a:chExt cx="11292267" cy="5733140"/>
                    </a:xfrm>
                  </xdr:grpSpPr>
                  <xdr:grpSp>
                    <xdr:nvGrpSpPr>
                      <xdr:cNvPr id="68" name="Gruppo 67"/>
                      <xdr:cNvGrpSpPr/>
                    </xdr:nvGrpSpPr>
                    <xdr:grpSpPr>
                      <a:xfrm>
                        <a:off x="23545801" y="29840393"/>
                        <a:ext cx="3950476" cy="4268732"/>
                        <a:chOff x="23517226" y="29840393"/>
                        <a:chExt cx="3950476" cy="4268732"/>
                      </a:xfrm>
                    </xdr:grpSpPr>
                    <xdr:sp macro="" textlink="">
                      <xdr:nvSpPr>
                        <xdr:cNvPr id="97" name="CasellaDiTesto 96"/>
                        <xdr:cNvSpPr txBox="1"/>
                      </xdr:nvSpPr>
                      <xdr:spPr>
                        <a:xfrm>
                          <a:off x="23679151" y="29840393"/>
                          <a:ext cx="3686175" cy="1332163"/>
                        </a:xfrm>
                        <a:prstGeom prst="rect">
                          <a:avLst/>
                        </a:prstGeom>
                        <a:solidFill>
                          <a:sysClr val="window" lastClr="FFFF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27)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PAGINA 3: questa pagina si divide in 2 sezioni verticali: SINISTRA 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DESTRA. Ci sono 48 righe disponibili al massimo.</a:t>
                          </a:r>
                        </a:p>
                        <a:p>
                          <a:endPar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Questa è l' area destinata alla quadratura</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analitica delle COLONNE per le quali hai selezionato "In quadratura analitica" (all' inizio del foglio CASSA). Vedi punto </a:t>
                          </a:r>
                          <a:r>
                            <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rPr>
                            <a:t>5)</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p>
                        <a:p>
                          <a:endParaRPr lang="it-IT" sz="10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1000" u="sng"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Lato sinistro della pagina 3</a:t>
                          </a:r>
                          <a:r>
                            <a:rPr lang="it-IT" sz="10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endParaRPr lang="it-IT" sz="10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98" name="Gruppo 97"/>
                        <xdr:cNvGrpSpPr/>
                      </xdr:nvGrpSpPr>
                      <xdr:grpSpPr>
                        <a:xfrm>
                          <a:off x="23517226" y="31089601"/>
                          <a:ext cx="3950476" cy="3019524"/>
                          <a:chOff x="23402926" y="31165801"/>
                          <a:chExt cx="3950476" cy="3019524"/>
                        </a:xfrm>
                      </xdr:grpSpPr>
                      <xdr:pic>
                        <xdr:nvPicPr>
                          <xdr:cNvPr id="100" name="Immagine 99"/>
                          <xdr:cNvPicPr>
                            <a:picLocks noChangeAspect="1"/>
                          </xdr:cNvPicPr>
                        </xdr:nvPicPr>
                        <xdr:blipFill>
                          <a:blip xmlns:r="http://schemas.openxmlformats.org/officeDocument/2006/relationships" r:embed="rId19"/>
                          <a:stretch>
                            <a:fillRect/>
                          </a:stretch>
                        </xdr:blipFill>
                        <xdr:spPr>
                          <a:xfrm>
                            <a:off x="23402926" y="31165801"/>
                            <a:ext cx="3950476" cy="3019524"/>
                          </a:xfrm>
                          <a:prstGeom prst="rect">
                            <a:avLst/>
                          </a:prstGeom>
                        </xdr:spPr>
                      </xdr:pic>
                      <xdr:sp macro="" textlink="">
                        <xdr:nvSpPr>
                          <xdr:cNvPr id="101" name="CasellaDiTesto 100"/>
                          <xdr:cNvSpPr txBox="1"/>
                        </xdr:nvSpPr>
                        <xdr:spPr>
                          <a:xfrm>
                            <a:off x="23879172" y="32671310"/>
                            <a:ext cx="2619378" cy="1270798"/>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AREA</a:t>
                            </a:r>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LIBERA destinata all' inserimento di una descrizione e di un importo analitico.</a:t>
                            </a:r>
                          </a:p>
                          <a:p>
                            <a:pPr algn="l"/>
                            <a:endPar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a:p>
                            <a:pPr algn="l"/>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Il SALDO è automatico; ogni valore viene portato in DETRAZIONE rispetto all' importo iniziale "da quadrare".</a:t>
                            </a:r>
                          </a:p>
                        </xdr:txBody>
                      </xdr:sp>
                    </xdr:grpSp>
                    <xdr:cxnSp macro="">
                      <xdr:nvCxnSpPr>
                        <xdr:cNvPr id="99" name="Connettore 2 98"/>
                        <xdr:cNvCxnSpPr/>
                      </xdr:nvCxnSpPr>
                      <xdr:spPr>
                        <a:xfrm>
                          <a:off x="27013650" y="30902324"/>
                          <a:ext cx="0" cy="828000"/>
                        </a:xfrm>
                        <a:prstGeom prst="straightConnector1">
                          <a:avLst/>
                        </a:prstGeom>
                        <a:ln w="15875">
                          <a:solidFill>
                            <a:schemeClr val="bg1">
                              <a:lumMod val="50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9" name="Gruppo 68"/>
                      <xdr:cNvGrpSpPr/>
                    </xdr:nvGrpSpPr>
                    <xdr:grpSpPr>
                      <a:xfrm>
                        <a:off x="27565350" y="29584654"/>
                        <a:ext cx="7272718" cy="5733140"/>
                        <a:chOff x="27565350" y="29584654"/>
                        <a:chExt cx="7272718" cy="5733140"/>
                      </a:xfrm>
                    </xdr:grpSpPr>
                    <xdr:sp macro="" textlink="">
                      <xdr:nvSpPr>
                        <xdr:cNvPr id="70" name="CasellaDiTesto 69"/>
                        <xdr:cNvSpPr txBox="1"/>
                      </xdr:nvSpPr>
                      <xdr:spPr>
                        <a:xfrm>
                          <a:off x="32356425" y="31089602"/>
                          <a:ext cx="2349388" cy="7457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29)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ALTRE POSTE somma tutte le colonne portate in quadratura, che NON sono movimenti monetari.</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71" name="CasellaDiTesto 70"/>
                        <xdr:cNvSpPr txBox="1"/>
                      </xdr:nvSpPr>
                      <xdr:spPr>
                        <a:xfrm>
                          <a:off x="32489775" y="31918277"/>
                          <a:ext cx="2348293" cy="181086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30)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questo esempio procedo con il quadrare un primo "blocco" (importi monetari 3.000,00 euro).</a:t>
                          </a: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 dettagli analitici presenti qui possono integrare informazioni già espresse (in altro modo) in precedenza. Ad esempio la voce "Finanziamenti" prima era espressa in modo analitico per "Nome Cliente", vedi punto </a:t>
                          </a:r>
                          <a:r>
                            <a:rPr lang="it-IT" sz="900">
                              <a:solidFill>
                                <a:srgbClr val="FF0000"/>
                              </a:solidFill>
                              <a:latin typeface="Tahoma" panose="020B0604030504040204" pitchFamily="34" charset="0"/>
                              <a:ea typeface="Tahoma" panose="020B0604030504040204" pitchFamily="34" charset="0"/>
                              <a:cs typeface="Tahoma" panose="020B0604030504040204" pitchFamily="34" charset="0"/>
                            </a:rPr>
                            <a:t>24)</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72" name="CasellaDiTesto 71"/>
                        <xdr:cNvSpPr txBox="1"/>
                      </xdr:nvSpPr>
                      <xdr:spPr>
                        <a:xfrm>
                          <a:off x="32670750" y="33804226"/>
                          <a:ext cx="1952625" cy="151356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31)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Sempre in questo esempio procedo poi con il quadrare un secondo "blocco" (altre poste 5.000,00 euro).</a:t>
                          </a:r>
                        </a:p>
                        <a:p>
                          <a:endPar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Inserisci liberamente i testi ed i valori (fino a 48 righe).</a:t>
                          </a:r>
                        </a:p>
                      </xdr:txBody>
                    </xdr:sp>
                    <xdr:grpSp>
                      <xdr:nvGrpSpPr>
                        <xdr:cNvPr id="73" name="Gruppo 72"/>
                        <xdr:cNvGrpSpPr/>
                      </xdr:nvGrpSpPr>
                      <xdr:grpSpPr>
                        <a:xfrm>
                          <a:off x="27565350" y="29584654"/>
                          <a:ext cx="5976126" cy="5657846"/>
                          <a:chOff x="27565350" y="29584654"/>
                          <a:chExt cx="5976126" cy="5657846"/>
                        </a:xfrm>
                      </xdr:grpSpPr>
                      <xdr:sp macro="" textlink="">
                        <xdr:nvSpPr>
                          <xdr:cNvPr id="74" name="CasellaDiTesto 73"/>
                          <xdr:cNvSpPr txBox="1"/>
                        </xdr:nvSpPr>
                        <xdr:spPr>
                          <a:xfrm>
                            <a:off x="28209510" y="30150610"/>
                            <a:ext cx="2371726" cy="8667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28)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Questa prima sezione riepiloga le colonne di </a:t>
                            </a:r>
                            <a:r>
                              <a:rPr lang="it-IT" sz="9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natura MONETARIA per le quali è stato selezionato anche l' opzione "In quadratura analitica".</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75" name="Gruppo 74"/>
                          <xdr:cNvGrpSpPr/>
                        </xdr:nvGrpSpPr>
                        <xdr:grpSpPr>
                          <a:xfrm>
                            <a:off x="30803849" y="29584654"/>
                            <a:ext cx="2737627" cy="1343809"/>
                            <a:chOff x="30889574" y="29584654"/>
                            <a:chExt cx="2737627" cy="1343809"/>
                          </a:xfrm>
                        </xdr:grpSpPr>
                        <xdr:grpSp>
                          <xdr:nvGrpSpPr>
                            <xdr:cNvPr id="92" name="Gruppo 91"/>
                            <xdr:cNvGrpSpPr/>
                          </xdr:nvGrpSpPr>
                          <xdr:grpSpPr>
                            <a:xfrm>
                              <a:off x="30899106" y="29584654"/>
                              <a:ext cx="2728095" cy="1343809"/>
                              <a:chOff x="19440531" y="32985079"/>
                              <a:chExt cx="2728095" cy="1343809"/>
                            </a:xfrm>
                          </xdr:grpSpPr>
                          <xdr:pic>
                            <xdr:nvPicPr>
                              <xdr:cNvPr id="94" name="Immagine 93"/>
                              <xdr:cNvPicPr>
                                <a:picLocks noChangeAspect="1"/>
                              </xdr:cNvPicPr>
                            </xdr:nvPicPr>
                            <xdr:blipFill>
                              <a:blip xmlns:r="http://schemas.openxmlformats.org/officeDocument/2006/relationships" r:embed="rId20"/>
                              <a:stretch>
                                <a:fillRect/>
                              </a:stretch>
                            </xdr:blipFill>
                            <xdr:spPr>
                              <a:xfrm>
                                <a:off x="19440531" y="32985079"/>
                                <a:ext cx="2728095" cy="1343809"/>
                              </a:xfrm>
                              <a:prstGeom prst="rect">
                                <a:avLst/>
                              </a:prstGeom>
                            </xdr:spPr>
                          </xdr:pic>
                          <xdr:sp macro="" textlink="">
                            <xdr:nvSpPr>
                              <xdr:cNvPr id="95" name="CasellaDiTesto 94"/>
                              <xdr:cNvSpPr txBox="1"/>
                            </xdr:nvSpPr>
                            <xdr:spPr>
                              <a:xfrm>
                                <a:off x="19484819" y="33153673"/>
                                <a:ext cx="1198245" cy="3743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sp macro="" textlink="">
                            <xdr:nvSpPr>
                              <xdr:cNvPr id="96" name="CasellaDiTesto 95"/>
                              <xdr:cNvSpPr txBox="1"/>
                            </xdr:nvSpPr>
                            <xdr:spPr>
                              <a:xfrm>
                                <a:off x="20747834" y="33153673"/>
                                <a:ext cx="1198245" cy="3743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grpSp>
                        <xdr:sp macro="" textlink="">
                          <xdr:nvSpPr>
                            <xdr:cNvPr id="93" name="Rettangolo 92"/>
                            <xdr:cNvSpPr/>
                          </xdr:nvSpPr>
                          <xdr:spPr>
                            <a:xfrm>
                              <a:off x="30889574" y="30327600"/>
                              <a:ext cx="1224000" cy="360000"/>
                            </a:xfrm>
                            <a:prstGeom prst="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nvGrpSpPr>
                          <xdr:cNvPr id="76" name="Gruppo 75"/>
                          <xdr:cNvGrpSpPr/>
                        </xdr:nvGrpSpPr>
                        <xdr:grpSpPr>
                          <a:xfrm>
                            <a:off x="27565350" y="30899100"/>
                            <a:ext cx="5047274" cy="4343400"/>
                            <a:chOff x="27565350" y="30899100"/>
                            <a:chExt cx="5047274" cy="4343400"/>
                          </a:xfrm>
                        </xdr:grpSpPr>
                        <xdr:pic>
                          <xdr:nvPicPr>
                            <xdr:cNvPr id="77" name="Immagine 76"/>
                            <xdr:cNvPicPr>
                              <a:picLocks noChangeAspect="1"/>
                            </xdr:cNvPicPr>
                          </xdr:nvPicPr>
                          <xdr:blipFill>
                            <a:blip xmlns:r="http://schemas.openxmlformats.org/officeDocument/2006/relationships" r:embed="rId21"/>
                            <a:stretch>
                              <a:fillRect/>
                            </a:stretch>
                          </xdr:blipFill>
                          <xdr:spPr>
                            <a:xfrm>
                              <a:off x="27565350" y="31146750"/>
                              <a:ext cx="4533333" cy="4085714"/>
                            </a:xfrm>
                            <a:prstGeom prst="rect">
                              <a:avLst/>
                            </a:prstGeom>
                          </xdr:spPr>
                        </xdr:pic>
                        <xdr:sp macro="" textlink="">
                          <xdr:nvSpPr>
                            <xdr:cNvPr id="78" name="Rettangolo 77"/>
                            <xdr:cNvSpPr/>
                          </xdr:nvSpPr>
                          <xdr:spPr>
                            <a:xfrm>
                              <a:off x="27860624" y="33775650"/>
                              <a:ext cx="4248000" cy="146685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79" name="Connettore 2 78"/>
                            <xdr:cNvCxnSpPr/>
                          </xdr:nvCxnSpPr>
                          <xdr:spPr>
                            <a:xfrm flipV="1">
                              <a:off x="32108624" y="34470975"/>
                              <a:ext cx="504000" cy="10185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0" name="Rettangolo 79"/>
                            <xdr:cNvSpPr/>
                          </xdr:nvSpPr>
                          <xdr:spPr>
                            <a:xfrm>
                              <a:off x="27870149" y="32565975"/>
                              <a:ext cx="4248000" cy="1080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81" name="Connettore 2 80"/>
                            <xdr:cNvCxnSpPr>
                              <a:stCxn id="80" idx="3"/>
                            </xdr:cNvCxnSpPr>
                          </xdr:nvCxnSpPr>
                          <xdr:spPr>
                            <a:xfrm flipV="1">
                              <a:off x="32118149" y="32546925"/>
                              <a:ext cx="343051" cy="55905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82" name="Gruppo 81"/>
                            <xdr:cNvGrpSpPr/>
                          </xdr:nvGrpSpPr>
                          <xdr:grpSpPr>
                            <a:xfrm>
                              <a:off x="28060649" y="30899100"/>
                              <a:ext cx="4133851" cy="1495425"/>
                              <a:chOff x="28060649" y="30899100"/>
                              <a:chExt cx="4133851" cy="1495425"/>
                            </a:xfrm>
                          </xdr:grpSpPr>
                          <xdr:sp macro="" textlink="">
                            <xdr:nvSpPr>
                              <xdr:cNvPr id="83" name="Rettangolo 82"/>
                              <xdr:cNvSpPr/>
                            </xdr:nvSpPr>
                            <xdr:spPr>
                              <a:xfrm>
                                <a:off x="30127574" y="31937325"/>
                                <a:ext cx="1908000" cy="276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84" name="Gruppo 83"/>
                              <xdr:cNvGrpSpPr/>
                            </xdr:nvGrpSpPr>
                            <xdr:grpSpPr>
                              <a:xfrm>
                                <a:off x="30270450" y="32127828"/>
                                <a:ext cx="1716701" cy="266697"/>
                                <a:chOff x="30003750" y="35937828"/>
                                <a:chExt cx="1716701" cy="266697"/>
                              </a:xfrm>
                            </xdr:grpSpPr>
                            <xdr:pic>
                              <xdr:nvPicPr>
                                <xdr:cNvPr id="90" name="Immagine 89"/>
                                <xdr:cNvPicPr>
                                  <a:picLocks noChangeAspect="1"/>
                                </xdr:cNvPicPr>
                              </xdr:nvPicPr>
                              <xdr:blipFill>
                                <a:blip xmlns:r="http://schemas.openxmlformats.org/officeDocument/2006/relationships" r:embed="rId22"/>
                                <a:stretch>
                                  <a:fillRect/>
                                </a:stretch>
                              </xdr:blipFill>
                              <xdr:spPr>
                                <a:xfrm>
                                  <a:off x="30222832" y="35937828"/>
                                  <a:ext cx="1497619" cy="259048"/>
                                </a:xfrm>
                                <a:prstGeom prst="rect">
                                  <a:avLst/>
                                </a:prstGeom>
                              </xdr:spPr>
                            </xdr:pic>
                            <xdr:sp macro="" textlink="">
                              <xdr:nvSpPr>
                                <xdr:cNvPr id="91" name="Rettangolo 90"/>
                                <xdr:cNvSpPr/>
                              </xdr:nvSpPr>
                              <xdr:spPr>
                                <a:xfrm>
                                  <a:off x="30003750" y="35985450"/>
                                  <a:ext cx="247650"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nvGrpSpPr>
                              <xdr:cNvPr id="85" name="Gruppo 84"/>
                              <xdr:cNvGrpSpPr/>
                            </xdr:nvGrpSpPr>
                            <xdr:grpSpPr>
                              <a:xfrm>
                                <a:off x="28060649" y="30899100"/>
                                <a:ext cx="4133851" cy="1297650"/>
                                <a:chOff x="28060649" y="30899100"/>
                                <a:chExt cx="4133851" cy="1297650"/>
                              </a:xfrm>
                            </xdr:grpSpPr>
                            <xdr:sp macro="" textlink="">
                              <xdr:nvSpPr>
                                <xdr:cNvPr id="86" name="Rettangolo 85"/>
                                <xdr:cNvSpPr/>
                              </xdr:nvSpPr>
                              <xdr:spPr>
                                <a:xfrm>
                                  <a:off x="28060649" y="31442025"/>
                                  <a:ext cx="3312000" cy="46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87" name="Connettore 2 86"/>
                                <xdr:cNvCxnSpPr/>
                              </xdr:nvCxnSpPr>
                              <xdr:spPr>
                                <a:xfrm flipH="1" flipV="1">
                                  <a:off x="30099000" y="30899100"/>
                                  <a:ext cx="0" cy="54000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8" name="Rettangolo 87"/>
                                <xdr:cNvSpPr/>
                              </xdr:nvSpPr>
                              <xdr:spPr>
                                <a:xfrm>
                                  <a:off x="28060649" y="31908750"/>
                                  <a:ext cx="2052000" cy="28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89" name="Connettore 4 88"/>
                                <xdr:cNvCxnSpPr/>
                              </xdr:nvCxnSpPr>
                              <xdr:spPr>
                                <a:xfrm rot="10800000" flipH="1">
                                  <a:off x="30106500" y="30959438"/>
                                  <a:ext cx="2088000" cy="1116000"/>
                                </a:xfrm>
                                <a:prstGeom prst="bentConnector3">
                                  <a:avLst>
                                    <a:gd name="adj1" fmla="val 100000"/>
                                  </a:avLst>
                                </a:prstGeom>
                                <a:ln w="15875">
                                  <a:solidFill>
                                    <a:srgbClr val="FF0000">
                                      <a:alpha val="99000"/>
                                    </a:srgbClr>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grpSp>
                </xdr:grpSp>
                <xdr:sp macro="" textlink="">
                  <xdr:nvSpPr>
                    <xdr:cNvPr id="67" name="CasellaDiTesto 66"/>
                    <xdr:cNvSpPr txBox="1"/>
                  </xdr:nvSpPr>
                  <xdr:spPr>
                    <a:xfrm>
                      <a:off x="29127450" y="36347400"/>
                      <a:ext cx="756000" cy="252000"/>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ESEMPIO</a:t>
                      </a:r>
                    </a:p>
                  </xdr:txBody>
                </xdr:sp>
              </xdr:grpSp>
              <xdr:sp macro="" textlink="">
                <xdr:nvSpPr>
                  <xdr:cNvPr id="65" name="CasellaDiTesto 64"/>
                  <xdr:cNvSpPr txBox="1"/>
                </xdr:nvSpPr>
                <xdr:spPr>
                  <a:xfrm>
                    <a:off x="828675" y="37709475"/>
                    <a:ext cx="7048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6</a:t>
                    </a:r>
                  </a:p>
                </xdr:txBody>
              </xdr:sp>
            </xdr:grpSp>
          </xdr:grpSp>
          <xdr:grpSp>
            <xdr:nvGrpSpPr>
              <xdr:cNvPr id="29" name="Gruppo 28"/>
              <xdr:cNvGrpSpPr/>
            </xdr:nvGrpSpPr>
            <xdr:grpSpPr>
              <a:xfrm>
                <a:off x="19978687" y="55554549"/>
                <a:ext cx="9114250" cy="5954713"/>
                <a:chOff x="1047749" y="45453300"/>
                <a:chExt cx="8892000" cy="5676900"/>
              </a:xfrm>
            </xdr:grpSpPr>
            <xdr:sp macro="" textlink="">
              <xdr:nvSpPr>
                <xdr:cNvPr id="30" name="Documento 29"/>
                <xdr:cNvSpPr/>
              </xdr:nvSpPr>
              <xdr:spPr>
                <a:xfrm>
                  <a:off x="1047749" y="45453300"/>
                  <a:ext cx="8892000" cy="5676900"/>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31" name="Gruppo 30"/>
                <xdr:cNvGrpSpPr/>
              </xdr:nvGrpSpPr>
              <xdr:grpSpPr>
                <a:xfrm>
                  <a:off x="1217681" y="45908489"/>
                  <a:ext cx="8448694" cy="4354935"/>
                  <a:chOff x="24572980" y="39736289"/>
                  <a:chExt cx="8448694" cy="4354935"/>
                </a:xfrm>
              </xdr:grpSpPr>
              <xdr:grpSp>
                <xdr:nvGrpSpPr>
                  <xdr:cNvPr id="33" name="Gruppo 32"/>
                  <xdr:cNvGrpSpPr/>
                </xdr:nvGrpSpPr>
                <xdr:grpSpPr>
                  <a:xfrm>
                    <a:off x="24572980" y="39736289"/>
                    <a:ext cx="8448694" cy="4354935"/>
                    <a:chOff x="24334855" y="36231089"/>
                    <a:chExt cx="8448694" cy="4354935"/>
                  </a:xfrm>
                </xdr:grpSpPr>
                <xdr:grpSp>
                  <xdr:nvGrpSpPr>
                    <xdr:cNvPr id="35" name="Gruppo 34"/>
                    <xdr:cNvGrpSpPr/>
                  </xdr:nvGrpSpPr>
                  <xdr:grpSpPr>
                    <a:xfrm>
                      <a:off x="24334855" y="36231089"/>
                      <a:ext cx="2642521" cy="3850737"/>
                      <a:chOff x="24315805" y="36231089"/>
                      <a:chExt cx="2642521" cy="3850737"/>
                    </a:xfrm>
                  </xdr:grpSpPr>
                  <xdr:pic>
                    <xdr:nvPicPr>
                      <xdr:cNvPr id="57" name="Immagine 56"/>
                      <xdr:cNvPicPr>
                        <a:picLocks noChangeAspect="1"/>
                      </xdr:cNvPicPr>
                    </xdr:nvPicPr>
                    <xdr:blipFill>
                      <a:blip xmlns:r="http://schemas.openxmlformats.org/officeDocument/2006/relationships" r:embed="rId23"/>
                      <a:stretch>
                        <a:fillRect/>
                      </a:stretch>
                    </xdr:blipFill>
                    <xdr:spPr>
                      <a:xfrm>
                        <a:off x="24679275" y="37442778"/>
                        <a:ext cx="2145238" cy="2639048"/>
                      </a:xfrm>
                      <a:prstGeom prst="rect">
                        <a:avLst/>
                      </a:prstGeom>
                    </xdr:spPr>
                  </xdr:pic>
                  <xdr:sp macro="" textlink="">
                    <xdr:nvSpPr>
                      <xdr:cNvPr id="58" name="CasellaDiTesto 57"/>
                      <xdr:cNvSpPr txBox="1"/>
                    </xdr:nvSpPr>
                    <xdr:spPr>
                      <a:xfrm>
                        <a:off x="24315805" y="36231089"/>
                        <a:ext cx="2642521" cy="1209675"/>
                      </a:xfrm>
                      <a:prstGeom prst="rect">
                        <a:avLst/>
                      </a:prstGeom>
                      <a:solidFill>
                        <a:sysClr val="window" lastClr="FFFF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32</a:t>
                        </a:r>
                        <a:r>
                          <a:rPr lang="it-IT" sz="900">
                            <a:solidFill>
                              <a:srgbClr val="FF0000"/>
                            </a:solidFill>
                            <a:latin typeface="Tahoma" panose="020B0604030504040204" pitchFamily="34" charset="0"/>
                            <a:ea typeface="Tahoma" panose="020B0604030504040204" pitchFamily="34" charset="0"/>
                            <a:cs typeface="Tahoma" panose="020B0604030504040204" pitchFamily="34" charset="0"/>
                          </a:rPr>
                          <a:t>)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PAGINA 3: questa è l' area destinata alla quadratura</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analitica di un IMPORTO LIBERO inserito precedentemente nello specchietto Q3, vedi punto </a:t>
                        </a:r>
                        <a:r>
                          <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rPr>
                          <a:t>18)</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u="sng"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Lato destro della pagina 3</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t>
                        </a:r>
                        <a:endParaRPr lang="it-IT" sz="900" baseline="0">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59" name="Connettore 2 58"/>
                      <xdr:cNvCxnSpPr/>
                    </xdr:nvCxnSpPr>
                    <xdr:spPr>
                      <a:xfrm>
                        <a:off x="26394525" y="36979274"/>
                        <a:ext cx="0" cy="576000"/>
                      </a:xfrm>
                      <a:prstGeom prst="straightConnector1">
                        <a:avLst/>
                      </a:prstGeom>
                      <a:ln w="15875">
                        <a:solidFill>
                          <a:schemeClr val="bg1">
                            <a:lumMod val="50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0" name="CasellaDiTesto 59"/>
                      <xdr:cNvSpPr txBox="1"/>
                    </xdr:nvSpPr>
                    <xdr:spPr>
                      <a:xfrm>
                        <a:off x="25315931" y="38532117"/>
                        <a:ext cx="1076325" cy="1251098"/>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AREA</a:t>
                        </a:r>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LIBERA destinata all' inserimento di una descrizione e di un importo analitico</a:t>
                        </a:r>
                        <a:r>
                          <a:rPr lang="it-IT" sz="10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t>
                        </a:r>
                      </a:p>
                    </xdr:txBody>
                  </xdr:sp>
                </xdr:grpSp>
                <xdr:grpSp>
                  <xdr:nvGrpSpPr>
                    <xdr:cNvPr id="36" name="Gruppo 35"/>
                    <xdr:cNvGrpSpPr/>
                  </xdr:nvGrpSpPr>
                  <xdr:grpSpPr>
                    <a:xfrm>
                      <a:off x="27117674" y="36404550"/>
                      <a:ext cx="5665875" cy="4181474"/>
                      <a:chOff x="27089099" y="36404550"/>
                      <a:chExt cx="5665875" cy="4181474"/>
                    </a:xfrm>
                  </xdr:grpSpPr>
                  <xdr:grpSp>
                    <xdr:nvGrpSpPr>
                      <xdr:cNvPr id="37" name="Gruppo 36"/>
                      <xdr:cNvGrpSpPr/>
                    </xdr:nvGrpSpPr>
                    <xdr:grpSpPr>
                      <a:xfrm>
                        <a:off x="30137101" y="36690300"/>
                        <a:ext cx="2614762" cy="799055"/>
                        <a:chOff x="24926926" y="39671625"/>
                        <a:chExt cx="2614762" cy="799055"/>
                      </a:xfrm>
                    </xdr:grpSpPr>
                    <xdr:pic>
                      <xdr:nvPicPr>
                        <xdr:cNvPr id="55" name="Immagine 54"/>
                        <xdr:cNvPicPr>
                          <a:picLocks noChangeAspect="1"/>
                        </xdr:cNvPicPr>
                      </xdr:nvPicPr>
                      <xdr:blipFill>
                        <a:blip xmlns:r="http://schemas.openxmlformats.org/officeDocument/2006/relationships" r:embed="rId24"/>
                        <a:stretch>
                          <a:fillRect/>
                        </a:stretch>
                      </xdr:blipFill>
                      <xdr:spPr>
                        <a:xfrm>
                          <a:off x="24926926" y="39709728"/>
                          <a:ext cx="2614762" cy="760952"/>
                        </a:xfrm>
                        <a:prstGeom prst="rect">
                          <a:avLst/>
                        </a:prstGeom>
                      </xdr:spPr>
                    </xdr:pic>
                    <xdr:sp macro="" textlink="">
                      <xdr:nvSpPr>
                        <xdr:cNvPr id="56" name="Rettangolo 55"/>
                        <xdr:cNvSpPr/>
                      </xdr:nvSpPr>
                      <xdr:spPr>
                        <a:xfrm>
                          <a:off x="25193625" y="39671625"/>
                          <a:ext cx="1238250" cy="228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nvGrpSpPr>
                      <xdr:cNvPr id="38" name="Gruppo 37"/>
                      <xdr:cNvGrpSpPr/>
                    </xdr:nvGrpSpPr>
                    <xdr:grpSpPr>
                      <a:xfrm>
                        <a:off x="27089099" y="36404550"/>
                        <a:ext cx="5665875" cy="4181474"/>
                        <a:chOff x="27089099" y="36404550"/>
                        <a:chExt cx="5665875" cy="4181474"/>
                      </a:xfrm>
                    </xdr:grpSpPr>
                    <xdr:grpSp>
                      <xdr:nvGrpSpPr>
                        <xdr:cNvPr id="39" name="Gruppo 38"/>
                        <xdr:cNvGrpSpPr/>
                      </xdr:nvGrpSpPr>
                      <xdr:grpSpPr>
                        <a:xfrm>
                          <a:off x="27089099" y="36404550"/>
                          <a:ext cx="2752383" cy="3114286"/>
                          <a:chOff x="27451049" y="37004625"/>
                          <a:chExt cx="2752383" cy="3114286"/>
                        </a:xfrm>
                      </xdr:grpSpPr>
                      <xdr:grpSp>
                        <xdr:nvGrpSpPr>
                          <xdr:cNvPr id="49" name="Gruppo 48"/>
                          <xdr:cNvGrpSpPr/>
                        </xdr:nvGrpSpPr>
                        <xdr:grpSpPr>
                          <a:xfrm>
                            <a:off x="27460575" y="37004625"/>
                            <a:ext cx="2742857" cy="3114286"/>
                            <a:chOff x="27460575" y="36404550"/>
                            <a:chExt cx="2742857" cy="3114286"/>
                          </a:xfrm>
                        </xdr:grpSpPr>
                        <xdr:pic>
                          <xdr:nvPicPr>
                            <xdr:cNvPr id="51" name="Immagine 50"/>
                            <xdr:cNvPicPr>
                              <a:picLocks noChangeAspect="1"/>
                            </xdr:cNvPicPr>
                          </xdr:nvPicPr>
                          <xdr:blipFill>
                            <a:blip xmlns:r="http://schemas.openxmlformats.org/officeDocument/2006/relationships" r:embed="rId25"/>
                            <a:stretch>
                              <a:fillRect/>
                            </a:stretch>
                          </xdr:blipFill>
                          <xdr:spPr>
                            <a:xfrm>
                              <a:off x="27460575" y="36404550"/>
                              <a:ext cx="2742857" cy="3114286"/>
                            </a:xfrm>
                            <a:prstGeom prst="rect">
                              <a:avLst/>
                            </a:prstGeom>
                          </xdr:spPr>
                        </xdr:pic>
                        <xdr:sp macro="" textlink="">
                          <xdr:nvSpPr>
                            <xdr:cNvPr id="52" name="CasellaDiTesto 51"/>
                            <xdr:cNvSpPr txBox="1"/>
                          </xdr:nvSpPr>
                          <xdr:spPr>
                            <a:xfrm>
                              <a:off x="27927300" y="38233350"/>
                              <a:ext cx="144000" cy="18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E</a:t>
                              </a:r>
                            </a:p>
                          </xdr:txBody>
                        </xdr:sp>
                        <xdr:sp macro="" textlink="">
                          <xdr:nvSpPr>
                            <xdr:cNvPr id="53" name="CasellaDiTesto 52"/>
                            <xdr:cNvSpPr txBox="1"/>
                          </xdr:nvSpPr>
                          <xdr:spPr>
                            <a:xfrm>
                              <a:off x="27927300" y="38433375"/>
                              <a:ext cx="144000" cy="18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a:t>
                              </a:r>
                            </a:p>
                          </xdr:txBody>
                        </xdr:sp>
                        <xdr:sp macro="" textlink="">
                          <xdr:nvSpPr>
                            <xdr:cNvPr id="54" name="CasellaDiTesto 53"/>
                            <xdr:cNvSpPr txBox="1"/>
                          </xdr:nvSpPr>
                          <xdr:spPr>
                            <a:xfrm>
                              <a:off x="27927300" y="38633400"/>
                              <a:ext cx="144000" cy="18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B</a:t>
                              </a:r>
                            </a:p>
                          </xdr:txBody>
                        </xdr:sp>
                      </xdr:grpSp>
                      <xdr:sp macro="" textlink="">
                        <xdr:nvSpPr>
                          <xdr:cNvPr id="50" name="Rettangolo 49"/>
                          <xdr:cNvSpPr/>
                        </xdr:nvSpPr>
                        <xdr:spPr>
                          <a:xfrm>
                            <a:off x="27451049" y="37042725"/>
                            <a:ext cx="1781175"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cxnSp macro="">
                      <xdr:nvCxnSpPr>
                        <xdr:cNvPr id="40" name="Connettore 2 39"/>
                        <xdr:cNvCxnSpPr/>
                      </xdr:nvCxnSpPr>
                      <xdr:spPr>
                        <a:xfrm flipH="1" flipV="1">
                          <a:off x="29565600" y="36871275"/>
                          <a:ext cx="2304000" cy="0"/>
                        </a:xfrm>
                        <a:prstGeom prst="straightConnector1">
                          <a:avLst/>
                        </a:prstGeom>
                        <a:ln w="15875">
                          <a:solidFill>
                            <a:schemeClr val="bg1">
                              <a:lumMod val="50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1" name="CasellaDiTesto 40"/>
                        <xdr:cNvSpPr txBox="1"/>
                      </xdr:nvSpPr>
                      <xdr:spPr>
                        <a:xfrm>
                          <a:off x="30175199" y="37823775"/>
                          <a:ext cx="2486026" cy="1864665"/>
                        </a:xfrm>
                        <a:prstGeom prst="rect">
                          <a:avLst/>
                        </a:prstGeom>
                        <a:solidFill>
                          <a:sysClr val="window" lastClr="FFFF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33)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In base al numero di documenti inserito precedentemente in corrispondenza delle righe individuate dai numeri romani (pagina 1), attivi l' ultima sezione del</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foglio CASSA.</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sistema restituisce "OK" quando la somma degli importi analitici CORRISPONDE con il totale già inserito.</a:t>
                          </a:r>
                        </a:p>
                      </xdr:txBody>
                    </xdr:sp>
                    <xdr:sp macro="" textlink="">
                      <xdr:nvSpPr>
                        <xdr:cNvPr id="42" name="CasellaDiTesto 41"/>
                        <xdr:cNvSpPr txBox="1"/>
                      </xdr:nvSpPr>
                      <xdr:spPr>
                        <a:xfrm>
                          <a:off x="27784426" y="39604949"/>
                          <a:ext cx="1733550"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NB) </a:t>
                          </a:r>
                          <a:r>
                            <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In</a:t>
                          </a:r>
                          <a:r>
                            <a:rPr lang="it-IT" sz="1000" i="1" baseline="0">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rPr>
                            <a:t> questo esempio ho inserito come descrizione libera semplicemente le prime lettere dell' alfabeto.</a:t>
                          </a:r>
                          <a:endParaRPr lang="it-IT" sz="1000" i="1">
                            <a:solidFill>
                              <a:schemeClr val="bg1">
                                <a:lumMod val="50000"/>
                              </a:schemeClr>
                            </a:solidFill>
                            <a:latin typeface="Corbel" panose="020B0503020204020204" pitchFamily="34" charset="0"/>
                            <a:ea typeface="Tahoma" panose="020B0604030504040204" pitchFamily="34" charset="0"/>
                            <a:cs typeface="Tahoma" panose="020B0604030504040204" pitchFamily="34" charset="0"/>
                          </a:endParaRPr>
                        </a:p>
                      </xdr:txBody>
                    </xdr:sp>
                    <xdr:cxnSp macro="">
                      <xdr:nvCxnSpPr>
                        <xdr:cNvPr id="43" name="Connettore 2 42"/>
                        <xdr:cNvCxnSpPr/>
                      </xdr:nvCxnSpPr>
                      <xdr:spPr>
                        <a:xfrm flipH="1" flipV="1">
                          <a:off x="27936825" y="38528626"/>
                          <a:ext cx="295275" cy="1047749"/>
                        </a:xfrm>
                        <a:prstGeom prst="straightConnector1">
                          <a:avLst/>
                        </a:prstGeom>
                        <a:ln w="15875">
                          <a:solidFill>
                            <a:schemeClr val="bg1">
                              <a:lumMod val="50000"/>
                            </a:schemeClr>
                          </a:solidFill>
                          <a:headEnd type="ova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Rettangolo 43"/>
                        <xdr:cNvSpPr/>
                      </xdr:nvSpPr>
                      <xdr:spPr>
                        <a:xfrm>
                          <a:off x="31422974" y="36937950"/>
                          <a:ext cx="1332000" cy="576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45" name="Rettangolo 44"/>
                        <xdr:cNvSpPr/>
                      </xdr:nvSpPr>
                      <xdr:spPr>
                        <a:xfrm>
                          <a:off x="27289124" y="37385625"/>
                          <a:ext cx="270000" cy="208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46" name="Rettangolo 45"/>
                        <xdr:cNvSpPr/>
                      </xdr:nvSpPr>
                      <xdr:spPr>
                        <a:xfrm>
                          <a:off x="28765499" y="37385625"/>
                          <a:ext cx="1044000" cy="20880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47" name="Connettore 4 46"/>
                        <xdr:cNvCxnSpPr/>
                      </xdr:nvCxnSpPr>
                      <xdr:spPr>
                        <a:xfrm flipV="1">
                          <a:off x="29822775" y="37509450"/>
                          <a:ext cx="2088000" cy="108000"/>
                        </a:xfrm>
                        <a:prstGeom prst="bentConnector2">
                          <a:avLst/>
                        </a:prstGeom>
                        <a:ln w="15875">
                          <a:solidFill>
                            <a:srgbClr val="FF0000">
                              <a:alpha val="99000"/>
                            </a:srgbClr>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48" name="CasellaDiTesto 47"/>
                        <xdr:cNvSpPr txBox="1"/>
                      </xdr:nvSpPr>
                      <xdr:spPr>
                        <a:xfrm>
                          <a:off x="31718251" y="36452176"/>
                          <a:ext cx="723900" cy="266700"/>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8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Pagina 1</a:t>
                          </a:r>
                          <a:endParaRPr lang="it-IT" sz="8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grpSp>
                </xdr:grpSp>
              </xdr:grpSp>
              <xdr:cxnSp macro="">
                <xdr:nvCxnSpPr>
                  <xdr:cNvPr id="34" name="Connettore 2 33"/>
                  <xdr:cNvCxnSpPr/>
                </xdr:nvCxnSpPr>
                <xdr:spPr>
                  <a:xfrm rot="10800000" flipV="1">
                    <a:off x="27844500" y="41128950"/>
                    <a:ext cx="1188000"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32" name="CasellaDiTesto 31"/>
                <xdr:cNvSpPr txBox="1"/>
              </xdr:nvSpPr>
              <xdr:spPr>
                <a:xfrm>
                  <a:off x="1143000" y="45529500"/>
                  <a:ext cx="7048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7</a:t>
                  </a:r>
                </a:p>
              </xdr:txBody>
            </xdr:sp>
          </xdr:grpSp>
        </xdr:grpSp>
        <xdr:grpSp>
          <xdr:nvGrpSpPr>
            <xdr:cNvPr id="10" name="Gruppo 9"/>
            <xdr:cNvGrpSpPr/>
          </xdr:nvGrpSpPr>
          <xdr:grpSpPr>
            <a:xfrm>
              <a:off x="19978690" y="61864875"/>
              <a:ext cx="8293100" cy="4500563"/>
              <a:chOff x="114300" y="47996475"/>
              <a:chExt cx="8086725" cy="4286250"/>
            </a:xfrm>
          </xdr:grpSpPr>
          <xdr:grpSp>
            <xdr:nvGrpSpPr>
              <xdr:cNvPr id="11" name="Gruppo 10"/>
              <xdr:cNvGrpSpPr/>
            </xdr:nvGrpSpPr>
            <xdr:grpSpPr>
              <a:xfrm>
                <a:off x="114300" y="47996475"/>
                <a:ext cx="8086725" cy="4286250"/>
                <a:chOff x="1581150" y="50949225"/>
                <a:chExt cx="8086725" cy="4286250"/>
              </a:xfrm>
            </xdr:grpSpPr>
            <xdr:sp macro="" textlink="">
              <xdr:nvSpPr>
                <xdr:cNvPr id="13" name="Documento 12"/>
                <xdr:cNvSpPr/>
              </xdr:nvSpPr>
              <xdr:spPr>
                <a:xfrm>
                  <a:off x="1581150" y="50949225"/>
                  <a:ext cx="8086725" cy="4286250"/>
                </a:xfrm>
                <a:prstGeom prst="flowChartDocument">
                  <a:avLst/>
                </a:prstGeom>
                <a:solidFill>
                  <a:schemeClr val="bg1"/>
                </a:solidFill>
                <a:ln w="254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nvGrpSpPr>
                <xdr:cNvPr id="14" name="Gruppo 13"/>
                <xdr:cNvGrpSpPr/>
              </xdr:nvGrpSpPr>
              <xdr:grpSpPr>
                <a:xfrm>
                  <a:off x="1828800" y="51168298"/>
                  <a:ext cx="7581901" cy="3377397"/>
                  <a:chOff x="2438400" y="2105023"/>
                  <a:chExt cx="7581901" cy="3377397"/>
                </a:xfrm>
              </xdr:grpSpPr>
              <xdr:grpSp>
                <xdr:nvGrpSpPr>
                  <xdr:cNvPr id="16" name="Gruppo 15"/>
                  <xdr:cNvGrpSpPr/>
                </xdr:nvGrpSpPr>
                <xdr:grpSpPr>
                  <a:xfrm>
                    <a:off x="2438400" y="2105023"/>
                    <a:ext cx="7581901" cy="3377397"/>
                    <a:chOff x="25250774" y="41147999"/>
                    <a:chExt cx="7581901" cy="3377397"/>
                  </a:xfrm>
                  <a:noFill/>
                </xdr:grpSpPr>
                <xdr:sp macro="" textlink="">
                  <xdr:nvSpPr>
                    <xdr:cNvPr id="20" name="CasellaDiTesto 19"/>
                    <xdr:cNvSpPr txBox="1"/>
                  </xdr:nvSpPr>
                  <xdr:spPr>
                    <a:xfrm>
                      <a:off x="25351453" y="42391795"/>
                      <a:ext cx="3743129" cy="213360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"Registro Contabile Giornaliero" è disponibile con</a:t>
                      </a:r>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 3, 4, 7 e 10 colonne.</a:t>
                      </a:r>
                    </a:p>
                    <a:p>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Puoi utilizzare più di una copia contemporaneamente e rinominare liberamente il file.</a:t>
                      </a:r>
                    </a:p>
                    <a:p>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Il sistema funziona con calendario perpetuo.</a:t>
                      </a:r>
                    </a:p>
                    <a:p>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Il codice di proprietà del sistema (vedi foglio "Presentazione") attiva TUTTI i registri per sempre.</a:t>
                      </a:r>
                    </a:p>
                    <a:p>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Lo stesso codice di proprietà attiva anche il sistema</a:t>
                      </a:r>
                    </a:p>
                    <a:p>
                      <a:r>
                        <a:rPr lang="it-IT" sz="900"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"Prima Nota di Contabilità Excel".</a:t>
                      </a:r>
                    </a:p>
                    <a:p>
                      <a:endParaRPr lang="it-IT" sz="1000" i="1"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a:p>
                      <a:r>
                        <a:rPr lang="it-IT" sz="1000" i="1" baseline="0">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rPr>
                        <a:t>Contattami liberamente via mail per qualsiasi informazione.</a:t>
                      </a:r>
                    </a:p>
                    <a:p>
                      <a:r>
                        <a:rPr lang="it-IT" sz="1000" i="1" baseline="0">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rPr>
                        <a:t>MP</a:t>
                      </a:r>
                      <a:endParaRPr lang="it-IT" sz="1050" i="1">
                        <a:solidFill>
                          <a:schemeClr val="bg2">
                            <a:lumMod val="10000"/>
                          </a:schemeClr>
                        </a:solidFill>
                        <a:latin typeface="Corbel" panose="020B0503020204020204" pitchFamily="34" charset="0"/>
                        <a:ea typeface="Tahoma" panose="020B0604030504040204" pitchFamily="34" charset="0"/>
                        <a:cs typeface="Tahoma" panose="020B0604030504040204" pitchFamily="34" charset="0"/>
                      </a:endParaRPr>
                    </a:p>
                  </xdr:txBody>
                </xdr:sp>
                <xdr:grpSp>
                  <xdr:nvGrpSpPr>
                    <xdr:cNvPr id="21" name="Gruppo 20"/>
                    <xdr:cNvGrpSpPr/>
                  </xdr:nvGrpSpPr>
                  <xdr:grpSpPr>
                    <a:xfrm>
                      <a:off x="25250774" y="41348025"/>
                      <a:ext cx="3959999" cy="756000"/>
                      <a:chOff x="25250774" y="41348025"/>
                      <a:chExt cx="3959999" cy="756000"/>
                    </a:xfrm>
                    <a:grpFill/>
                  </xdr:grpSpPr>
                  <xdr:pic>
                    <xdr:nvPicPr>
                      <xdr:cNvPr id="23" name="Immagine 22"/>
                      <xdr:cNvPicPr>
                        <a:picLocks noChangeAspect="1"/>
                      </xdr:cNvPicPr>
                    </xdr:nvPicPr>
                    <xdr:blipFill rotWithShape="1">
                      <a:blip xmlns:r="http://schemas.openxmlformats.org/officeDocument/2006/relationships" r:embed="rId26"/>
                      <a:srcRect t="4395" r="2578" b="5346"/>
                      <a:stretch/>
                    </xdr:blipFill>
                    <xdr:spPr>
                      <a:xfrm>
                        <a:off x="25317450" y="41423701"/>
                        <a:ext cx="900000" cy="576000"/>
                      </a:xfrm>
                      <a:prstGeom prst="rect">
                        <a:avLst/>
                      </a:prstGeom>
                      <a:grpFill/>
                      <a:ln>
                        <a:noFill/>
                      </a:ln>
                    </xdr:spPr>
                  </xdr:pic>
                  <xdr:pic>
                    <xdr:nvPicPr>
                      <xdr:cNvPr id="24" name="Immagine 23"/>
                      <xdr:cNvPicPr>
                        <a:picLocks noChangeAspect="1"/>
                      </xdr:cNvPicPr>
                    </xdr:nvPicPr>
                    <xdr:blipFill rotWithShape="1">
                      <a:blip xmlns:r="http://schemas.openxmlformats.org/officeDocument/2006/relationships" r:embed="rId27"/>
                      <a:srcRect l="4001" r="-431"/>
                      <a:stretch/>
                    </xdr:blipFill>
                    <xdr:spPr>
                      <a:xfrm>
                        <a:off x="26373974" y="41414700"/>
                        <a:ext cx="900000" cy="600000"/>
                      </a:xfrm>
                      <a:prstGeom prst="rect">
                        <a:avLst/>
                      </a:prstGeom>
                      <a:grpFill/>
                      <a:ln>
                        <a:noFill/>
                      </a:ln>
                    </xdr:spPr>
                  </xdr:pic>
                  <xdr:pic>
                    <xdr:nvPicPr>
                      <xdr:cNvPr id="25" name="Immagine 24"/>
                      <xdr:cNvPicPr>
                        <a:picLocks noChangeAspect="1"/>
                      </xdr:cNvPicPr>
                    </xdr:nvPicPr>
                    <xdr:blipFill>
                      <a:blip xmlns:r="http://schemas.openxmlformats.org/officeDocument/2006/relationships" r:embed="rId28"/>
                      <a:stretch>
                        <a:fillRect/>
                      </a:stretch>
                    </xdr:blipFill>
                    <xdr:spPr>
                      <a:xfrm>
                        <a:off x="27384375" y="41424225"/>
                        <a:ext cx="914286" cy="580952"/>
                      </a:xfrm>
                      <a:prstGeom prst="rect">
                        <a:avLst/>
                      </a:prstGeom>
                      <a:grpFill/>
                      <a:ln>
                        <a:noFill/>
                      </a:ln>
                    </xdr:spPr>
                  </xdr:pic>
                  <xdr:sp macro="" textlink="">
                    <xdr:nvSpPr>
                      <xdr:cNvPr id="26" name="Rettangolo 25"/>
                      <xdr:cNvSpPr/>
                    </xdr:nvSpPr>
                    <xdr:spPr>
                      <a:xfrm>
                        <a:off x="25250774" y="41348025"/>
                        <a:ext cx="3132000" cy="756000"/>
                      </a:xfrm>
                      <a:prstGeom prst="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27" name="Connettore 2 26"/>
                      <xdr:cNvCxnSpPr>
                        <a:stCxn id="26" idx="3"/>
                      </xdr:cNvCxnSpPr>
                    </xdr:nvCxnSpPr>
                    <xdr:spPr>
                      <a:xfrm flipV="1">
                        <a:off x="28382773" y="41681400"/>
                        <a:ext cx="828000" cy="0"/>
                      </a:xfrm>
                      <a:prstGeom prst="straightConnector1">
                        <a:avLst/>
                      </a:prstGeom>
                      <a:grpFill/>
                      <a:ln w="15875">
                        <a:no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CasellaDiTesto 21"/>
                    <xdr:cNvSpPr txBox="1"/>
                  </xdr:nvSpPr>
                  <xdr:spPr>
                    <a:xfrm>
                      <a:off x="29317949" y="41147999"/>
                      <a:ext cx="3514726" cy="1936931"/>
                    </a:xfrm>
                    <a:prstGeom prst="rect">
                      <a:avLst/>
                    </a:prstGeom>
                    <a:grp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a:solidFill>
                            <a:srgbClr val="FF0000"/>
                          </a:solidFill>
                          <a:latin typeface="Tahoma" panose="020B0604030504040204" pitchFamily="34" charset="0"/>
                          <a:ea typeface="Tahoma" panose="020B0604030504040204" pitchFamily="34" charset="0"/>
                          <a:cs typeface="Tahoma" panose="020B0604030504040204" pitchFamily="34" charset="0"/>
                        </a:rPr>
                        <a:t>34</a:t>
                      </a:r>
                      <a:r>
                        <a:rPr lang="it-IT" sz="900">
                          <a:solidFill>
                            <a:srgbClr val="FF0000"/>
                          </a:solidFill>
                          <a:latin typeface="Tahoma" panose="020B0604030504040204" pitchFamily="34" charset="0"/>
                          <a:ea typeface="Tahoma" panose="020B0604030504040204" pitchFamily="34" charset="0"/>
                          <a:cs typeface="Tahoma" panose="020B0604030504040204" pitchFamily="34" charset="0"/>
                        </a:rPr>
                        <a:t>) </a:t>
                      </a:r>
                      <a:r>
                        <a:rPr lang="it-IT" sz="9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Questi sono i 3 TASTI ai quali è collegata una specifica MACRO (vedi il foglio "Presentazione") che ti permette di CANCELLARE ISTANTANEAMENTE il contenuto delle celle che,</a:t>
                      </a:r>
                      <a:r>
                        <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 sulla base della progettazione di questo foglio, si presume tu debba cancellare ogni volta.</a:t>
                      </a:r>
                    </a:p>
                    <a:p>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a:p>
                      <a:r>
                        <a:rPr lang="it-IT" sz="900" u="sng"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Il foglio CASSA è pensato per essere STAMPATO e ripetitivamente compilato ogni giorno (come chiusura serale) oppure in occasione di QUADRATURE CONTABILI settimanali o mensili.</a:t>
                      </a:r>
                      <a:endParaRPr lang="it-IT" sz="900" baseline="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endParaRPr>
                    </a:p>
                  </xdr:txBody>
                </xdr:sp>
              </xdr:grpSp>
              <xdr:grpSp>
                <xdr:nvGrpSpPr>
                  <xdr:cNvPr id="17" name="Gruppo 16"/>
                  <xdr:cNvGrpSpPr/>
                </xdr:nvGrpSpPr>
                <xdr:grpSpPr>
                  <a:xfrm>
                    <a:off x="2438400" y="2333625"/>
                    <a:ext cx="3981450" cy="647700"/>
                    <a:chOff x="2438400" y="2333625"/>
                    <a:chExt cx="3981450" cy="647700"/>
                  </a:xfrm>
                </xdr:grpSpPr>
                <xdr:sp macro="" textlink="">
                  <xdr:nvSpPr>
                    <xdr:cNvPr id="18" name="Rettangolo 17"/>
                    <xdr:cNvSpPr/>
                  </xdr:nvSpPr>
                  <xdr:spPr>
                    <a:xfrm>
                      <a:off x="2438400" y="2333625"/>
                      <a:ext cx="3181350" cy="647700"/>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xnSp macro="">
                  <xdr:nvCxnSpPr>
                    <xdr:cNvPr id="19" name="Connettore 2 18"/>
                    <xdr:cNvCxnSpPr>
                      <a:stCxn id="18" idx="3"/>
                    </xdr:cNvCxnSpPr>
                  </xdr:nvCxnSpPr>
                  <xdr:spPr>
                    <a:xfrm flipV="1">
                      <a:off x="5619750" y="2647950"/>
                      <a:ext cx="800100" cy="95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 name="CasellaDiTesto 14"/>
                <xdr:cNvSpPr txBox="1"/>
              </xdr:nvSpPr>
              <xdr:spPr>
                <a:xfrm>
                  <a:off x="1628776" y="50987325"/>
                  <a:ext cx="7048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000">
                      <a:solidFill>
                        <a:schemeClr val="bg2">
                          <a:lumMod val="10000"/>
                        </a:schemeClr>
                      </a:solidFill>
                      <a:latin typeface="Tahoma" panose="020B0604030504040204" pitchFamily="34" charset="0"/>
                      <a:ea typeface="Tahoma" panose="020B0604030504040204" pitchFamily="34" charset="0"/>
                      <a:cs typeface="Tahoma" panose="020B0604030504040204" pitchFamily="34" charset="0"/>
                    </a:rPr>
                    <a:t>Area 8</a:t>
                  </a:r>
                </a:p>
              </xdr:txBody>
            </xdr:sp>
          </xdr:grpSp>
          <xdr:sp macro="" textlink="">
            <xdr:nvSpPr>
              <xdr:cNvPr id="12" name="CasellaDiTesto 11"/>
              <xdr:cNvSpPr txBox="1"/>
            </xdr:nvSpPr>
            <xdr:spPr>
              <a:xfrm>
                <a:off x="4448175" y="50082450"/>
                <a:ext cx="3467101" cy="10588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90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Aree da 1 a 8</a:t>
                </a:r>
              </a:p>
              <a:p>
                <a:pPr marL="0" marR="0" lvl="0" indent="0" defTabSz="914400" eaLnBrk="1" fontAlgn="auto" latinLnBrk="0" hangingPunct="1">
                  <a:lnSpc>
                    <a:spcPct val="100000"/>
                  </a:lnSpc>
                  <a:spcBef>
                    <a:spcPts val="0"/>
                  </a:spcBef>
                  <a:spcAft>
                    <a:spcPts val="0"/>
                  </a:spcAft>
                  <a:buClrTx/>
                  <a:buSzTx/>
                  <a:buFontTx/>
                  <a:buNone/>
                  <a:tabLst/>
                  <a:defRPr/>
                </a:pPr>
                <a:r>
                  <a:rPr lang="it-IT" sz="1000" i="1">
                    <a:solidFill>
                      <a:schemeClr val="bg2">
                        <a:lumMod val="10000"/>
                      </a:schemeClr>
                    </a:solidFill>
                    <a:effectLst/>
                    <a:latin typeface="Corbel" panose="020B0503020204020204" pitchFamily="34" charset="0"/>
                    <a:ea typeface="+mn-ea"/>
                    <a:cs typeface="+mn-cs"/>
                  </a:rPr>
                  <a:t>Questa spiegazione dettagliata è un "oggetto" che si può selezionare </a:t>
                </a:r>
                <a:r>
                  <a:rPr lang="it-IT" sz="1000" i="1" baseline="0">
                    <a:solidFill>
                      <a:schemeClr val="bg2">
                        <a:lumMod val="10000"/>
                      </a:schemeClr>
                    </a:solidFill>
                    <a:effectLst/>
                    <a:latin typeface="Corbel" panose="020B0503020204020204" pitchFamily="34" charset="0"/>
                    <a:ea typeface="+mn-ea"/>
                    <a:cs typeface="+mn-cs"/>
                  </a:rPr>
                  <a:t>(clicca sul bordo) e cancellare con tasto "canc" senza danneggiare il sistema. Queste spiegazioni le trovi sempre anche sul mio sito.</a:t>
                </a:r>
                <a:endParaRPr lang="it-IT" sz="1000">
                  <a:solidFill>
                    <a:schemeClr val="bg2">
                      <a:lumMod val="10000"/>
                    </a:schemeClr>
                  </a:solidFill>
                  <a:effectLst/>
                  <a:latin typeface="Corbel" panose="020B0503020204020204" pitchFamily="34" charset="0"/>
                </a:endParaRPr>
              </a:p>
            </xdr:txBody>
          </xdr:sp>
        </xdr:grpSp>
      </xdr:grpSp>
      <xdr:cxnSp macro="">
        <xdr:nvCxnSpPr>
          <xdr:cNvPr id="8" name="Connettore 4 7"/>
          <xdr:cNvCxnSpPr/>
        </xdr:nvCxnSpPr>
        <xdr:spPr>
          <a:xfrm rot="10800000" flipV="1">
            <a:off x="18997008" y="8105645"/>
            <a:ext cx="540000" cy="540000"/>
          </a:xfrm>
          <a:prstGeom prst="bentConnector2">
            <a:avLst/>
          </a:prstGeom>
          <a:ln w="15875">
            <a:solidFill>
              <a:srgbClr val="FF0000">
                <a:alpha val="99000"/>
              </a:srgbClr>
            </a:solidFill>
            <a:headEnd type="triangle"/>
            <a:tailEnd type="none"/>
          </a:ln>
        </xdr:spPr>
        <xdr:style>
          <a:lnRef idx="1">
            <a:schemeClr val="accent1"/>
          </a:lnRef>
          <a:fillRef idx="0">
            <a:schemeClr val="accent1"/>
          </a:fillRef>
          <a:effectRef idx="0">
            <a:schemeClr val="accent1"/>
          </a:effectRef>
          <a:fontRef idx="minor">
            <a:schemeClr val="tx1"/>
          </a:fontRef>
        </xdr:style>
      </xdr:cxnSp>
    </xdr:grpSp>
    <xdr:clientData fLocksWithSheet="0" fPrintsWithSheet="0"/>
  </xdr:twoCellAnchor>
  <xdr:twoCellAnchor editAs="oneCell">
    <xdr:from>
      <xdr:col>104</xdr:col>
      <xdr:colOff>257175</xdr:colOff>
      <xdr:row>3</xdr:row>
      <xdr:rowOff>38099</xdr:rowOff>
    </xdr:from>
    <xdr:to>
      <xdr:col>107</xdr:col>
      <xdr:colOff>85725</xdr:colOff>
      <xdr:row>5</xdr:row>
      <xdr:rowOff>285750</xdr:rowOff>
    </xdr:to>
    <xdr:sp macro="" textlink="" fLocksText="0">
      <xdr:nvSpPr>
        <xdr:cNvPr id="2" name="CasellaDiTesto 1"/>
        <xdr:cNvSpPr txBox="1"/>
      </xdr:nvSpPr>
      <xdr:spPr>
        <a:xfrm>
          <a:off x="9944100" y="742949"/>
          <a:ext cx="1657350"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a:t>Qui a destra trovi una spiegazione dettagliata per questo foglio. </a:t>
          </a:r>
        </a:p>
      </xdr:txBody>
    </xdr:sp>
    <xdr:clientData fLocksWithSheet="0" fPrintsWithSheet="0"/>
  </xdr:twoCellAnchor>
  <xdr:twoCellAnchor>
    <xdr:from>
      <xdr:col>118</xdr:col>
      <xdr:colOff>76201</xdr:colOff>
      <xdr:row>12</xdr:row>
      <xdr:rowOff>152400</xdr:rowOff>
    </xdr:from>
    <xdr:to>
      <xdr:col>119</xdr:col>
      <xdr:colOff>405569</xdr:colOff>
      <xdr:row>23</xdr:row>
      <xdr:rowOff>219007</xdr:rowOff>
    </xdr:to>
    <xdr:sp macro="" textlink="">
      <xdr:nvSpPr>
        <xdr:cNvPr id="323" name="CasellaDiTesto 322"/>
        <xdr:cNvSpPr txBox="1"/>
      </xdr:nvSpPr>
      <xdr:spPr>
        <a:xfrm>
          <a:off x="18297526" y="2752725"/>
          <a:ext cx="938968" cy="323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IMPOSTAZIONI</a:t>
          </a:r>
        </a:p>
        <a:p>
          <a:pPr algn="ctr"/>
          <a:r>
            <a:rPr lang="it-IT" sz="75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delle tue colonne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85725</xdr:colOff>
      <xdr:row>1</xdr:row>
      <xdr:rowOff>114300</xdr:rowOff>
    </xdr:from>
    <xdr:to>
      <xdr:col>44</xdr:col>
      <xdr:colOff>47625</xdr:colOff>
      <xdr:row>2</xdr:row>
      <xdr:rowOff>133350</xdr:rowOff>
    </xdr:to>
    <xdr:pic>
      <xdr:nvPicPr>
        <xdr:cNvPr id="54668" name="Picture 346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22860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oneCell">
    <xdr:from>
      <xdr:col>18</xdr:col>
      <xdr:colOff>53975</xdr:colOff>
      <xdr:row>3</xdr:row>
      <xdr:rowOff>79375</xdr:rowOff>
    </xdr:from>
    <xdr:to>
      <xdr:col>47</xdr:col>
      <xdr:colOff>73025</xdr:colOff>
      <xdr:row>9</xdr:row>
      <xdr:rowOff>155575</xdr:rowOff>
    </xdr:to>
    <xdr:sp macro="" textlink="">
      <xdr:nvSpPr>
        <xdr:cNvPr id="4" name="Text Box 4723"/>
        <xdr:cNvSpPr txBox="1">
          <a:spLocks noChangeArrowheads="1"/>
        </xdr:cNvSpPr>
      </xdr:nvSpPr>
      <xdr:spPr bwMode="auto">
        <a:xfrm>
          <a:off x="9055100" y="889000"/>
          <a:ext cx="2987675" cy="1330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Con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restituito in ogni singolo quadrante.</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Con unità di misura "</a:t>
          </a:r>
          <a:r>
            <a:rPr lang="it-IT" sz="800" b="0" i="0" u="none" strike="noStrike" baseline="0">
              <a:solidFill>
                <a:srgbClr val="333333"/>
              </a:solidFill>
              <a:latin typeface="Tahoma"/>
              <a:ea typeface="Tahoma"/>
              <a:cs typeface="Tahoma"/>
            </a:rPr>
            <a:t>ASSOLUTA</a:t>
          </a:r>
          <a:r>
            <a:rPr lang="it-IT" sz="800" b="0" i="0" u="none" strike="noStrike" baseline="0">
              <a:solidFill>
                <a:srgbClr val="808080"/>
              </a:solidFill>
              <a:latin typeface="Tahoma"/>
              <a:ea typeface="Tahoma"/>
              <a:cs typeface="Tahoma"/>
            </a:rPr>
            <a:t>" tutti i rettangoli costituiscono 1/10 dell' importo più grande restituito da tutti i quadranti insieme.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39</xdr:col>
      <xdr:colOff>190500</xdr:colOff>
      <xdr:row>1</xdr:row>
      <xdr:rowOff>9525</xdr:rowOff>
    </xdr:from>
    <xdr:to>
      <xdr:col>48</xdr:col>
      <xdr:colOff>145819</xdr:colOff>
      <xdr:row>2</xdr:row>
      <xdr:rowOff>187625</xdr:rowOff>
    </xdr:to>
    <xdr:pic>
      <xdr:nvPicPr>
        <xdr:cNvPr id="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4250" y="152400"/>
          <a:ext cx="2527069" cy="4067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135&amp;Itemid=399" TargetMode="External"/><Relationship Id="rId13" Type="http://schemas.openxmlformats.org/officeDocument/2006/relationships/hyperlink" Target="http://www.marcopiccoli.it/public/index.php?option=com_phocadownload&amp;view=category&amp;id=11&amp;Itemid=285" TargetMode="External"/><Relationship Id="rId3" Type="http://schemas.openxmlformats.org/officeDocument/2006/relationships/hyperlink" Target="mailto:info@marcopiccoli.it" TargetMode="External"/><Relationship Id="rId7" Type="http://schemas.openxmlformats.org/officeDocument/2006/relationships/hyperlink" Target="https://www.marcopiccoli.it/public/index.php?option=com_phocadownload&amp;view=category&amp;id=33&amp;Itemid=461" TargetMode="External"/><Relationship Id="rId12" Type="http://schemas.openxmlformats.org/officeDocument/2006/relationships/hyperlink" Target="https://www.marcopiccoli.it/public/index.php?option=com_content&amp;view=article&amp;id=138&amp;Itemid=458" TargetMode="External"/><Relationship Id="rId2" Type="http://schemas.openxmlformats.org/officeDocument/2006/relationships/hyperlink" Target="https://support.office.com/it-IT/article/Introduzione-alle-macro-a39c2a26-e745-4957-8d06-89e0b435aac3" TargetMode="External"/><Relationship Id="rId16" Type="http://schemas.openxmlformats.org/officeDocument/2006/relationships/drawing" Target="../drawings/drawing1.xml"/><Relationship Id="rId1" Type="http://schemas.openxmlformats.org/officeDocument/2006/relationships/hyperlink" Target="mailto:info@marcopiccoli.it" TargetMode="External"/><Relationship Id="rId6" Type="http://schemas.openxmlformats.org/officeDocument/2006/relationships/hyperlink" Target="mailto:info@marcopiccoli.it" TargetMode="External"/><Relationship Id="rId11" Type="http://schemas.openxmlformats.org/officeDocument/2006/relationships/hyperlink" Target="https://account.microsoft.com/account" TargetMode="External"/><Relationship Id="rId5" Type="http://schemas.openxmlformats.org/officeDocument/2006/relationships/hyperlink" Target="mailto:mpiccoli@marcopiccoli.it" TargetMode="External"/><Relationship Id="rId15" Type="http://schemas.openxmlformats.org/officeDocument/2006/relationships/printerSettings" Target="../printerSettings/printerSettings1.bin"/><Relationship Id="rId10" Type="http://schemas.openxmlformats.org/officeDocument/2006/relationships/hyperlink" Target="https://www.marcopiccoli.it/public/index.php?option=com_content&amp;view=article&amp;id=21&amp;Itemid=142" TargetMode="External"/><Relationship Id="rId4" Type="http://schemas.openxmlformats.org/officeDocument/2006/relationships/hyperlink" Target="https://www.marcopiccoli.it/public/index.php?option=com_content&amp;view=article&amp;id=81&amp;Itemid=260" TargetMode="External"/><Relationship Id="rId9" Type="http://schemas.openxmlformats.org/officeDocument/2006/relationships/hyperlink" Target="https://www.marcopiccoli.it/public/index.php?option=com_content&amp;view=article&amp;id=110&amp;Itemid=320" TargetMode="External"/><Relationship Id="rId14" Type="http://schemas.openxmlformats.org/officeDocument/2006/relationships/hyperlink" Target="https://www.marcopiccoli.it/public/index.php?option=com_phocadownload&amp;view=category&amp;id=33&amp;Itemid=46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marcopiccoli.it" TargetMode="External"/><Relationship Id="rId1" Type="http://schemas.openxmlformats.org/officeDocument/2006/relationships/hyperlink" Target="https://www.marcopiccoli.it/public/index.php?option=com_content&amp;view=article&amp;id=135&amp;Itemid=399"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autoPageBreaks="0" fitToPage="1"/>
  </sheetPr>
  <dimension ref="A1:DE184"/>
  <sheetViews>
    <sheetView showGridLines="0" showRowColHeaders="0" tabSelected="1" zoomScaleNormal="100" workbookViewId="0"/>
  </sheetViews>
  <sheetFormatPr defaultRowHeight="12.75" x14ac:dyDescent="0.2"/>
  <cols>
    <col min="1" max="1" width="7.5703125" style="627" customWidth="1"/>
    <col min="2" max="2" width="9.5703125" style="627" customWidth="1"/>
    <col min="3" max="13" width="9.28515625" style="627" customWidth="1"/>
    <col min="14" max="14" width="9.5703125" style="627" customWidth="1"/>
    <col min="15" max="16" width="9.140625" style="627"/>
    <col min="17" max="18" width="9.140625" style="627" hidden="1" customWidth="1"/>
    <col min="19" max="109" width="0" style="627" hidden="1" customWidth="1"/>
    <col min="110" max="16384" width="9.140625" style="627"/>
  </cols>
  <sheetData>
    <row r="1" spans="1:19" ht="12" customHeight="1" x14ac:dyDescent="0.2">
      <c r="A1" s="123"/>
      <c r="B1" s="1"/>
      <c r="C1" s="1452"/>
      <c r="D1" s="1452"/>
      <c r="E1" s="1452"/>
      <c r="F1" s="1452"/>
      <c r="G1" s="1452"/>
      <c r="H1" s="1452"/>
      <c r="I1" s="1452"/>
      <c r="J1" s="1453"/>
      <c r="K1" s="1454"/>
      <c r="L1" s="1454"/>
      <c r="M1" s="1"/>
      <c r="N1" s="1"/>
      <c r="O1" s="454"/>
      <c r="P1" s="39"/>
      <c r="Q1" s="39"/>
      <c r="R1" s="39"/>
      <c r="S1" s="39"/>
    </row>
    <row r="2" spans="1:19" ht="15.75" customHeight="1" x14ac:dyDescent="0.2">
      <c r="A2" s="123"/>
      <c r="B2" s="1"/>
      <c r="C2" s="1460" t="s">
        <v>640</v>
      </c>
      <c r="D2" s="1460"/>
      <c r="E2" s="1460"/>
      <c r="F2" s="1460"/>
      <c r="G2" s="1460"/>
      <c r="H2" s="1460"/>
      <c r="I2" s="1460"/>
      <c r="J2" s="1460"/>
      <c r="K2" s="1460"/>
      <c r="L2" s="1460"/>
      <c r="M2" s="1460"/>
      <c r="N2" s="1"/>
      <c r="O2" s="1"/>
      <c r="P2" s="39"/>
      <c r="Q2" s="39"/>
      <c r="R2" s="39"/>
    </row>
    <row r="3" spans="1:19" x14ac:dyDescent="0.2">
      <c r="A3" s="123"/>
      <c r="B3" s="1"/>
      <c r="C3" s="1457" t="s">
        <v>473</v>
      </c>
      <c r="D3" s="1457"/>
      <c r="E3" s="1457"/>
      <c r="F3" s="1457"/>
      <c r="G3" s="1457"/>
      <c r="H3" s="1457"/>
      <c r="I3" s="1457"/>
      <c r="J3" s="1457"/>
      <c r="K3" s="1457"/>
      <c r="L3" s="1457"/>
      <c r="M3" s="1457"/>
      <c r="N3" s="25"/>
      <c r="O3" s="1"/>
      <c r="P3" s="39"/>
      <c r="Q3" s="549"/>
      <c r="R3" s="39"/>
    </row>
    <row r="4" spans="1:19" ht="22.5" customHeight="1" x14ac:dyDescent="0.2">
      <c r="A4" s="123"/>
      <c r="B4" s="1"/>
      <c r="C4" s="1461" t="s">
        <v>478</v>
      </c>
      <c r="D4" s="1461"/>
      <c r="E4" s="1461"/>
      <c r="F4" s="1461"/>
      <c r="G4" s="1461"/>
      <c r="H4" s="1461"/>
      <c r="I4" s="1461"/>
      <c r="J4" s="1461"/>
      <c r="K4" s="1461"/>
      <c r="L4" s="1461"/>
      <c r="M4" s="559" t="s">
        <v>167</v>
      </c>
      <c r="N4" s="589"/>
      <c r="O4" s="1"/>
      <c r="P4" s="39"/>
      <c r="Q4" s="549"/>
      <c r="R4" s="39"/>
    </row>
    <row r="5" spans="1:19" ht="27.75" customHeight="1" x14ac:dyDescent="0.2">
      <c r="A5" s="270"/>
      <c r="B5" s="25"/>
      <c r="C5" s="536" t="s">
        <v>195</v>
      </c>
      <c r="D5" s="364"/>
      <c r="E5" s="364"/>
      <c r="F5" s="364"/>
      <c r="G5" s="364"/>
      <c r="H5" s="364"/>
      <c r="I5" s="364"/>
      <c r="J5" s="364"/>
      <c r="K5" s="364"/>
      <c r="L5" s="364"/>
      <c r="M5" s="537"/>
      <c r="N5" s="25"/>
      <c r="O5" s="25"/>
      <c r="P5" s="39"/>
      <c r="Q5" s="39"/>
      <c r="R5" s="39"/>
    </row>
    <row r="6" spans="1:19" s="54" customFormat="1" ht="50.25" customHeight="1" x14ac:dyDescent="0.2">
      <c r="A6" s="366"/>
      <c r="B6" s="33"/>
      <c r="C6" s="1458" t="s">
        <v>474</v>
      </c>
      <c r="D6" s="1458"/>
      <c r="E6" s="1458"/>
      <c r="F6" s="1458"/>
      <c r="G6" s="1458"/>
      <c r="H6" s="1458"/>
      <c r="I6" s="1458"/>
      <c r="J6" s="1458"/>
      <c r="K6" s="1458"/>
      <c r="L6" s="1458"/>
      <c r="M6" s="1458"/>
      <c r="N6" s="55"/>
      <c r="O6" s="55"/>
      <c r="P6" s="39"/>
      <c r="Q6" s="39"/>
      <c r="R6" s="39"/>
    </row>
    <row r="7" spans="1:19" s="54" customFormat="1" ht="15" customHeight="1" x14ac:dyDescent="0.2">
      <c r="A7" s="366"/>
      <c r="B7" s="33"/>
      <c r="C7" s="1459" t="s">
        <v>131</v>
      </c>
      <c r="D7" s="1459"/>
      <c r="E7" s="1459"/>
      <c r="F7" s="1459"/>
      <c r="G7" s="1459"/>
      <c r="H7" s="33"/>
      <c r="I7" s="33"/>
      <c r="J7" s="33"/>
      <c r="K7" s="56"/>
      <c r="L7" s="56"/>
      <c r="M7" s="538"/>
      <c r="N7" s="56"/>
      <c r="O7" s="56"/>
      <c r="P7" s="627"/>
      <c r="Q7" s="627"/>
      <c r="R7" s="627"/>
    </row>
    <row r="8" spans="1:19" s="54" customFormat="1" ht="19.5" customHeight="1" x14ac:dyDescent="0.2">
      <c r="A8" s="366"/>
      <c r="B8" s="33"/>
      <c r="C8" s="1382"/>
      <c r="D8" s="1276"/>
      <c r="E8" s="1276"/>
      <c r="F8" s="1276"/>
      <c r="G8" s="1276"/>
      <c r="H8" s="33"/>
      <c r="I8" s="33"/>
      <c r="J8" s="33"/>
      <c r="K8" s="56"/>
      <c r="L8" s="56"/>
      <c r="M8" s="538" t="s">
        <v>70</v>
      </c>
      <c r="N8" s="56"/>
      <c r="O8" s="56"/>
      <c r="P8" s="39"/>
      <c r="Q8" s="39"/>
      <c r="R8" s="39"/>
      <c r="S8" s="264"/>
    </row>
    <row r="9" spans="1:19" ht="9" customHeight="1" x14ac:dyDescent="0.2">
      <c r="A9" s="270"/>
      <c r="B9" s="25"/>
      <c r="C9" s="1384"/>
      <c r="D9" s="1384"/>
      <c r="E9" s="1384"/>
      <c r="F9" s="1384"/>
      <c r="G9" s="1384"/>
      <c r="H9" s="1384"/>
      <c r="I9" s="1384"/>
      <c r="J9" s="1384"/>
      <c r="K9" s="1384"/>
      <c r="L9" s="1384"/>
      <c r="M9" s="1384"/>
      <c r="N9" s="25"/>
      <c r="O9" s="25"/>
      <c r="P9" s="39"/>
      <c r="Q9" s="39"/>
      <c r="R9" s="39"/>
      <c r="S9" s="39"/>
    </row>
    <row r="10" spans="1:19" ht="15" customHeight="1" x14ac:dyDescent="0.2">
      <c r="A10" s="123"/>
      <c r="B10" s="1"/>
      <c r="C10" s="1462" t="s">
        <v>469</v>
      </c>
      <c r="D10" s="1462"/>
      <c r="E10" s="1462"/>
      <c r="F10" s="1462"/>
      <c r="G10" s="1462"/>
      <c r="H10" s="1462"/>
      <c r="I10" s="1462"/>
      <c r="J10" s="1462"/>
      <c r="K10" s="1462"/>
      <c r="L10" s="1462"/>
      <c r="M10" s="1462"/>
      <c r="N10" s="1"/>
      <c r="O10" s="1"/>
      <c r="P10" s="39"/>
    </row>
    <row r="11" spans="1:19" ht="12.75" customHeight="1" x14ac:dyDescent="0.2">
      <c r="A11" s="123"/>
      <c r="B11" s="1"/>
      <c r="C11" s="1463" t="s">
        <v>470</v>
      </c>
      <c r="D11" s="1463"/>
      <c r="E11" s="1463"/>
      <c r="F11" s="1463"/>
      <c r="G11" s="1463"/>
      <c r="H11" s="1463"/>
      <c r="I11" s="1463"/>
      <c r="J11" s="1463"/>
      <c r="K11" s="1463"/>
      <c r="L11" s="1463"/>
      <c r="M11" s="1463"/>
      <c r="N11" s="1"/>
      <c r="O11" s="377"/>
      <c r="P11" s="39"/>
      <c r="Q11" s="39"/>
      <c r="R11" s="39"/>
      <c r="S11" s="39"/>
    </row>
    <row r="12" spans="1:19" ht="21" customHeight="1" x14ac:dyDescent="0.2">
      <c r="A12" s="123"/>
      <c r="B12" s="1"/>
      <c r="C12" s="1473" t="str">
        <f>IF(K95=J173,B156,B155)</f>
        <v>Richiedi via mail il TUO CODICE di PROPRIETA'</v>
      </c>
      <c r="D12" s="1473"/>
      <c r="E12" s="1473"/>
      <c r="F12" s="1473"/>
      <c r="G12" s="1473"/>
      <c r="H12" s="1473"/>
      <c r="I12" s="1473"/>
      <c r="J12" s="1467" t="s">
        <v>71</v>
      </c>
      <c r="K12" s="1468"/>
      <c r="L12" s="1468"/>
      <c r="M12" s="1"/>
      <c r="N12" s="1"/>
      <c r="O12" s="454"/>
      <c r="P12" s="39"/>
      <c r="Q12" s="39"/>
      <c r="R12" s="39"/>
      <c r="S12" s="39"/>
    </row>
    <row r="13" spans="1:19" ht="21" customHeight="1" x14ac:dyDescent="0.25">
      <c r="A13" s="569"/>
      <c r="B13" s="1"/>
      <c r="C13" s="615" t="s">
        <v>639</v>
      </c>
      <c r="D13" s="539"/>
      <c r="E13" s="539"/>
      <c r="F13" s="539"/>
      <c r="G13" s="539"/>
      <c r="H13" s="539"/>
      <c r="I13" s="539"/>
      <c r="J13" s="539"/>
      <c r="K13" s="539"/>
      <c r="L13" s="539"/>
      <c r="M13" s="539"/>
      <c r="N13" s="37"/>
      <c r="O13" s="37"/>
      <c r="P13" s="39"/>
      <c r="Q13" s="39"/>
      <c r="R13" s="39"/>
      <c r="S13" s="39"/>
    </row>
    <row r="14" spans="1:19" ht="19.5" customHeight="1" x14ac:dyDescent="0.2">
      <c r="A14" s="570"/>
      <c r="B14" s="1"/>
      <c r="C14" s="542" t="s">
        <v>168</v>
      </c>
      <c r="D14" s="540"/>
      <c r="E14" s="540"/>
      <c r="F14" s="540"/>
      <c r="G14" s="540"/>
      <c r="H14" s="540"/>
      <c r="I14" s="1475" t="s">
        <v>169</v>
      </c>
      <c r="J14" s="1475"/>
      <c r="K14" s="1475"/>
      <c r="L14" s="614"/>
      <c r="M14" s="614"/>
      <c r="N14" s="614"/>
      <c r="O14" s="614"/>
      <c r="P14" s="541"/>
      <c r="Q14" s="39"/>
      <c r="R14" s="39"/>
      <c r="S14" s="39"/>
    </row>
    <row r="15" spans="1:19" ht="22.5" customHeight="1" x14ac:dyDescent="0.2">
      <c r="A15" s="570"/>
      <c r="B15" s="1"/>
      <c r="C15" s="1471" t="s">
        <v>69</v>
      </c>
      <c r="D15" s="1471"/>
      <c r="E15" s="1471"/>
      <c r="F15" s="1471"/>
      <c r="G15" s="1471"/>
      <c r="H15" s="1471"/>
      <c r="I15" s="444"/>
      <c r="J15" s="444"/>
      <c r="K15" s="444"/>
      <c r="L15" s="444"/>
      <c r="M15" s="444"/>
      <c r="N15" s="120"/>
      <c r="O15" s="120"/>
    </row>
    <row r="16" spans="1:19" ht="18" customHeight="1" x14ac:dyDescent="0.2">
      <c r="A16" s="270"/>
      <c r="B16" s="25"/>
      <c r="C16" s="1470" t="s">
        <v>403</v>
      </c>
      <c r="D16" s="1470"/>
      <c r="E16" s="1470"/>
      <c r="F16" s="1470"/>
      <c r="G16" s="1470"/>
      <c r="H16" s="119"/>
      <c r="I16" s="1469" t="s">
        <v>475</v>
      </c>
      <c r="J16" s="1469"/>
      <c r="K16" s="1469"/>
      <c r="L16" s="1469"/>
      <c r="M16" s="1469"/>
      <c r="N16" s="25"/>
      <c r="O16" s="25"/>
    </row>
    <row r="17" spans="1:18" ht="12.75" customHeight="1" x14ac:dyDescent="0.2">
      <c r="A17" s="270"/>
      <c r="B17" s="25"/>
      <c r="C17" s="1472" t="s">
        <v>171</v>
      </c>
      <c r="D17" s="1472"/>
      <c r="E17" s="1472"/>
      <c r="F17" s="1472"/>
      <c r="G17" s="1472"/>
      <c r="H17" s="117"/>
      <c r="I17" s="1464" t="s">
        <v>231</v>
      </c>
      <c r="J17" s="1464"/>
      <c r="K17" s="1464"/>
      <c r="L17" s="1464"/>
      <c r="M17" s="1464"/>
      <c r="N17" s="25"/>
      <c r="O17" s="25"/>
    </row>
    <row r="18" spans="1:18" ht="12.75" customHeight="1" x14ac:dyDescent="0.2">
      <c r="A18" s="270"/>
      <c r="B18" s="25"/>
      <c r="C18" s="1466" t="s">
        <v>404</v>
      </c>
      <c r="D18" s="1466"/>
      <c r="E18" s="1466"/>
      <c r="F18" s="1466"/>
      <c r="G18" s="1466"/>
      <c r="H18" s="117"/>
      <c r="I18" s="1465" t="s">
        <v>172</v>
      </c>
      <c r="J18" s="1465"/>
      <c r="K18" s="1465"/>
      <c r="L18" s="1465"/>
      <c r="M18" s="1465"/>
      <c r="N18" s="25"/>
      <c r="O18" s="25"/>
    </row>
    <row r="19" spans="1:18" ht="16.5" customHeight="1" x14ac:dyDescent="0.2">
      <c r="A19" s="270"/>
      <c r="B19" s="25"/>
      <c r="C19" s="1474"/>
      <c r="D19" s="1474"/>
      <c r="E19" s="1474"/>
      <c r="F19" s="1474"/>
      <c r="G19" s="1474"/>
      <c r="H19" s="1474"/>
      <c r="I19" s="1474"/>
      <c r="J19" s="1474"/>
      <c r="K19" s="1474"/>
      <c r="L19" s="1474"/>
      <c r="M19" s="1474"/>
      <c r="N19" s="25"/>
      <c r="O19" s="25"/>
    </row>
    <row r="20" spans="1:18" ht="16.5" customHeight="1" x14ac:dyDescent="0.2">
      <c r="A20" s="270"/>
      <c r="B20" s="25"/>
      <c r="C20" s="1278"/>
      <c r="D20" s="1278"/>
      <c r="E20" s="1278"/>
      <c r="F20" s="1278"/>
      <c r="G20" s="1281" t="s">
        <v>476</v>
      </c>
      <c r="H20" s="616"/>
      <c r="I20" s="616"/>
      <c r="J20" s="616"/>
      <c r="K20" s="1278"/>
      <c r="L20" s="1278"/>
      <c r="M20" s="1278"/>
      <c r="N20" s="25"/>
      <c r="O20" s="25"/>
    </row>
    <row r="21" spans="1:18" ht="16.5" customHeight="1" x14ac:dyDescent="0.2">
      <c r="A21" s="270"/>
      <c r="B21" s="25"/>
      <c r="C21" s="305"/>
      <c r="D21" s="305"/>
      <c r="E21" s="305"/>
      <c r="F21" s="305"/>
      <c r="G21" s="1282" t="s">
        <v>477</v>
      </c>
      <c r="H21" s="614"/>
      <c r="I21" s="1283"/>
      <c r="J21" s="1283"/>
      <c r="K21" s="305"/>
      <c r="L21" s="305"/>
      <c r="M21" s="305"/>
      <c r="N21" s="25"/>
      <c r="O21" s="25"/>
    </row>
    <row r="22" spans="1:18" ht="16.5" customHeight="1" x14ac:dyDescent="0.2">
      <c r="A22" s="270"/>
      <c r="B22" s="25"/>
      <c r="C22" s="305"/>
      <c r="D22" s="305"/>
      <c r="E22" s="305"/>
      <c r="F22" s="305"/>
      <c r="G22" s="305"/>
      <c r="H22" s="305"/>
      <c r="I22" s="305"/>
      <c r="J22" s="305"/>
      <c r="K22" s="305"/>
      <c r="L22" s="305"/>
      <c r="M22" s="305"/>
      <c r="N22" s="25"/>
      <c r="O22" s="25"/>
    </row>
    <row r="23" spans="1:18" ht="19.5" customHeight="1" x14ac:dyDescent="0.2">
      <c r="A23" s="569"/>
      <c r="B23" s="1"/>
      <c r="C23" s="614"/>
      <c r="D23" s="614"/>
      <c r="E23" s="614"/>
      <c r="F23" s="614"/>
      <c r="G23" s="614"/>
      <c r="H23" s="1456" t="str">
        <f>IF(J169="",IF(E168=1,B165,""),J169)</f>
        <v/>
      </c>
      <c r="I23" s="1456"/>
      <c r="J23" s="1456"/>
      <c r="K23" s="1456"/>
      <c r="L23" s="1456"/>
      <c r="M23" s="1456"/>
      <c r="N23" s="311"/>
      <c r="O23" s="311"/>
    </row>
    <row r="24" spans="1:18" ht="15" x14ac:dyDescent="0.25">
      <c r="A24" s="270"/>
      <c r="B24" s="25"/>
      <c r="C24" s="600"/>
      <c r="D24" s="601" t="str">
        <f>IF(K95=J173,UPPER(CONCATENATE(C95," ",C96,".")),"SELEZIONA da qui il TRIMESTRE per il quale ATTIVARE questo sistema.")</f>
        <v>SELEZIONA da qui il TRIMESTRE per il quale ATTIVARE questo sistema.</v>
      </c>
      <c r="E24" s="600"/>
      <c r="F24" s="600"/>
      <c r="G24" s="600"/>
      <c r="H24" s="600"/>
      <c r="I24" s="600"/>
      <c r="J24" s="600"/>
      <c r="K24" s="600"/>
      <c r="L24" s="600"/>
      <c r="M24" s="600"/>
      <c r="N24" s="25"/>
      <c r="O24" s="25"/>
    </row>
    <row r="25" spans="1:18" x14ac:dyDescent="0.2">
      <c r="A25" s="270"/>
      <c r="B25" s="25"/>
      <c r="C25" s="563"/>
      <c r="D25" s="563" t="s">
        <v>2</v>
      </c>
      <c r="E25" s="563"/>
      <c r="F25" s="563"/>
      <c r="G25" s="563"/>
      <c r="H25" s="563"/>
      <c r="I25" s="563"/>
      <c r="J25" s="563"/>
      <c r="K25" s="563"/>
      <c r="L25" s="563"/>
      <c r="M25" s="563"/>
      <c r="N25" s="25"/>
      <c r="O25" s="25"/>
      <c r="Q25" s="1455" t="s">
        <v>170</v>
      </c>
      <c r="R25" s="1455"/>
    </row>
    <row r="26" spans="1:18" ht="18" customHeight="1" x14ac:dyDescent="0.2">
      <c r="A26" s="270"/>
      <c r="B26" s="25"/>
      <c r="C26" s="558"/>
      <c r="D26" s="558"/>
      <c r="E26" s="558"/>
      <c r="F26" s="558"/>
      <c r="G26" s="558"/>
      <c r="H26" s="617" t="s">
        <v>3</v>
      </c>
      <c r="I26" s="1426" t="s">
        <v>459</v>
      </c>
      <c r="J26" s="1427"/>
      <c r="K26" s="1428"/>
      <c r="L26" s="558"/>
      <c r="M26" s="558"/>
      <c r="N26" s="25"/>
      <c r="O26" s="25"/>
      <c r="Q26" s="442">
        <f>IF(OR(I26="",E167=1),F178,VLOOKUP(I26,C178:F181,4,FALSE))</f>
        <v>45292</v>
      </c>
      <c r="R26" s="442">
        <f>IF(E167=1,G181,IF(I26="",G178,VLOOKUP(I26,C178:G181,5,FALSE)))</f>
        <v>45382</v>
      </c>
    </row>
    <row r="27" spans="1:18" x14ac:dyDescent="0.2">
      <c r="A27" s="270"/>
      <c r="B27" s="25"/>
      <c r="C27" s="25"/>
      <c r="D27" s="25"/>
      <c r="E27" s="25"/>
      <c r="F27" s="25"/>
      <c r="G27" s="25"/>
      <c r="H27" s="25"/>
      <c r="I27" s="25"/>
      <c r="J27" s="25"/>
      <c r="K27" s="25"/>
      <c r="L27" s="25"/>
      <c r="M27" s="25"/>
      <c r="N27" s="25"/>
      <c r="O27" s="25"/>
    </row>
    <row r="28" spans="1:18" ht="22.5" customHeight="1" x14ac:dyDescent="0.2">
      <c r="A28" s="270"/>
      <c r="B28" s="25"/>
      <c r="C28" s="1278"/>
      <c r="D28" s="1278"/>
      <c r="E28" s="1278"/>
      <c r="F28" s="1278"/>
      <c r="G28" s="1278"/>
      <c r="H28" s="1278"/>
      <c r="I28" s="1278"/>
      <c r="J28" s="1476" t="s">
        <v>479</v>
      </c>
      <c r="K28" s="1476"/>
      <c r="L28" s="1476"/>
      <c r="M28" s="1476"/>
      <c r="N28" s="25"/>
      <c r="O28" s="25"/>
    </row>
    <row r="29" spans="1:18" ht="18" customHeight="1" x14ac:dyDescent="0.2">
      <c r="A29" s="270"/>
      <c r="B29" s="25"/>
      <c r="C29" s="1451" t="s">
        <v>481</v>
      </c>
      <c r="D29" s="1451"/>
      <c r="E29" s="1451"/>
      <c r="F29" s="1451"/>
      <c r="G29" s="1477" t="s">
        <v>480</v>
      </c>
      <c r="H29" s="1477"/>
      <c r="I29" s="1477"/>
      <c r="J29" s="1477"/>
      <c r="K29" s="1477"/>
      <c r="L29" s="1477"/>
      <c r="M29" s="1477"/>
      <c r="N29" s="25"/>
      <c r="O29" s="25"/>
    </row>
    <row r="30" spans="1:18" ht="21" customHeight="1" x14ac:dyDescent="0.2">
      <c r="A30" s="123"/>
      <c r="B30" s="1"/>
      <c r="C30" s="1481"/>
      <c r="D30" s="1481"/>
      <c r="E30" s="1481"/>
      <c r="F30" s="1481"/>
      <c r="G30" s="1481"/>
      <c r="H30" s="1481"/>
      <c r="I30" s="1481"/>
      <c r="J30" s="1481"/>
      <c r="K30" s="1481"/>
      <c r="L30" s="1481"/>
      <c r="M30" s="1481"/>
      <c r="N30" s="1"/>
      <c r="O30" s="1"/>
    </row>
    <row r="31" spans="1:18" ht="22.5" customHeight="1" x14ac:dyDescent="0.2">
      <c r="A31" s="123"/>
      <c r="B31" s="1"/>
      <c r="C31" s="1482" t="s">
        <v>405</v>
      </c>
      <c r="D31" s="1482"/>
      <c r="E31" s="1482"/>
      <c r="F31" s="1482"/>
      <c r="G31" s="1482"/>
      <c r="H31" s="1482"/>
      <c r="I31" s="1482"/>
      <c r="J31" s="1482"/>
      <c r="K31" s="1482"/>
      <c r="L31" s="1482"/>
      <c r="M31" s="1482"/>
      <c r="N31" s="1"/>
      <c r="O31" s="1"/>
    </row>
    <row r="32" spans="1:18" ht="15" customHeight="1" x14ac:dyDescent="0.2">
      <c r="A32" s="123"/>
      <c r="B32" s="1"/>
      <c r="C32" s="546" t="s">
        <v>406</v>
      </c>
      <c r="D32" s="1386" t="s">
        <v>228</v>
      </c>
      <c r="E32" s="1386"/>
      <c r="F32" s="1386"/>
      <c r="G32" s="1386"/>
      <c r="H32" s="1386"/>
      <c r="I32" s="1386"/>
      <c r="J32" s="1386"/>
      <c r="K32" s="1386"/>
      <c r="L32" s="1386"/>
      <c r="M32" s="1386"/>
      <c r="N32" s="1"/>
      <c r="O32" s="1"/>
    </row>
    <row r="33" spans="1:15" ht="15" customHeight="1" x14ac:dyDescent="0.2">
      <c r="A33" s="123"/>
      <c r="B33" s="1"/>
      <c r="C33" s="543"/>
      <c r="D33" s="136" t="s">
        <v>221</v>
      </c>
      <c r="E33" s="136"/>
      <c r="F33" s="136"/>
      <c r="G33" s="136"/>
      <c r="H33" s="136"/>
      <c r="I33" s="136"/>
      <c r="J33" s="136"/>
      <c r="K33" s="136"/>
      <c r="L33" s="136"/>
      <c r="M33" s="136"/>
      <c r="N33" s="1"/>
      <c r="O33" s="1"/>
    </row>
    <row r="34" spans="1:15" ht="15" customHeight="1" x14ac:dyDescent="0.2">
      <c r="A34" s="123"/>
      <c r="B34" s="1"/>
      <c r="C34" s="543"/>
      <c r="D34" s="1386" t="s">
        <v>641</v>
      </c>
      <c r="E34" s="1388"/>
      <c r="F34" s="1388"/>
      <c r="G34" s="1388"/>
      <c r="H34" s="1388"/>
      <c r="I34" s="1388"/>
      <c r="J34" s="1388"/>
      <c r="K34" s="1388"/>
      <c r="L34" s="1388"/>
      <c r="M34" s="1388"/>
      <c r="N34" s="1"/>
      <c r="O34" s="1"/>
    </row>
    <row r="35" spans="1:15" ht="15" customHeight="1" x14ac:dyDescent="0.2">
      <c r="A35" s="123"/>
      <c r="B35" s="1"/>
      <c r="C35" s="543"/>
      <c r="D35" s="1480" t="s">
        <v>225</v>
      </c>
      <c r="E35" s="1480"/>
      <c r="F35" s="1480"/>
      <c r="G35" s="1480"/>
      <c r="H35" s="1480"/>
      <c r="I35" s="1480"/>
      <c r="J35" s="1480"/>
      <c r="K35" s="1480"/>
      <c r="L35" s="1480"/>
      <c r="M35" s="1480"/>
      <c r="N35" s="1"/>
      <c r="O35" s="1"/>
    </row>
    <row r="36" spans="1:15" s="124" customFormat="1" ht="18" customHeight="1" x14ac:dyDescent="0.2">
      <c r="A36" s="123"/>
      <c r="B36" s="1"/>
      <c r="C36" s="121"/>
      <c r="D36" s="1479" t="s">
        <v>642</v>
      </c>
      <c r="E36" s="1479"/>
      <c r="F36" s="1479"/>
      <c r="G36" s="1479"/>
      <c r="H36" s="1479"/>
      <c r="I36" s="1389"/>
      <c r="J36" s="1389"/>
      <c r="K36" s="1389"/>
      <c r="L36" s="1389"/>
      <c r="M36" s="1389"/>
      <c r="N36" s="1"/>
      <c r="O36" s="1"/>
    </row>
    <row r="37" spans="1:15" ht="21" customHeight="1" x14ac:dyDescent="0.2">
      <c r="A37" s="123"/>
      <c r="B37" s="1"/>
      <c r="C37" s="545"/>
      <c r="D37" s="1275" t="s">
        <v>222</v>
      </c>
      <c r="E37" s="1280"/>
      <c r="F37" s="1280"/>
      <c r="G37" s="1280"/>
      <c r="H37" s="1280"/>
      <c r="I37" s="1280"/>
      <c r="J37" s="1280"/>
      <c r="K37" s="1280"/>
      <c r="L37" s="1280"/>
      <c r="M37" s="1280"/>
      <c r="N37" s="1"/>
      <c r="O37" s="1"/>
    </row>
    <row r="38" spans="1:15" ht="15" customHeight="1" x14ac:dyDescent="0.2">
      <c r="A38" s="123"/>
      <c r="B38" s="1"/>
      <c r="C38" s="546" t="s">
        <v>408</v>
      </c>
      <c r="D38" s="1386" t="s">
        <v>174</v>
      </c>
      <c r="E38" s="1388"/>
      <c r="F38" s="1388"/>
      <c r="G38" s="1388"/>
      <c r="H38" s="1388"/>
      <c r="I38" s="1388"/>
      <c r="J38" s="1388"/>
      <c r="K38" s="1388"/>
      <c r="L38" s="1388"/>
      <c r="M38" s="1388"/>
      <c r="N38" s="1"/>
      <c r="O38" s="1"/>
    </row>
    <row r="39" spans="1:15" ht="16.5" customHeight="1" x14ac:dyDescent="0.2">
      <c r="A39" s="123"/>
      <c r="B39" s="1"/>
      <c r="C39" s="121"/>
      <c r="D39" s="1478" t="s">
        <v>643</v>
      </c>
      <c r="E39" s="1478"/>
      <c r="F39" s="1478"/>
      <c r="G39" s="1478"/>
      <c r="H39" s="1478"/>
      <c r="I39" s="1478"/>
      <c r="J39" s="1478"/>
      <c r="K39" s="1478"/>
      <c r="L39" s="1478"/>
      <c r="M39" s="1478"/>
      <c r="N39" s="1"/>
      <c r="O39" s="1"/>
    </row>
    <row r="40" spans="1:15" ht="16.5" customHeight="1" x14ac:dyDescent="0.2">
      <c r="A40" s="123"/>
      <c r="B40" s="1"/>
      <c r="C40" s="121"/>
      <c r="D40" s="1488" t="s">
        <v>644</v>
      </c>
      <c r="E40" s="1488"/>
      <c r="F40" s="1488"/>
      <c r="G40" s="1488"/>
      <c r="H40" s="1488"/>
      <c r="I40" s="1488"/>
      <c r="J40" s="1488"/>
      <c r="K40" s="1488"/>
      <c r="L40" s="1488"/>
      <c r="M40" s="1488"/>
      <c r="N40" s="1"/>
      <c r="O40" s="1"/>
    </row>
    <row r="41" spans="1:15" ht="16.5" customHeight="1" x14ac:dyDescent="0.2">
      <c r="A41" s="123"/>
      <c r="B41" s="1"/>
      <c r="C41" s="121"/>
      <c r="D41" s="1185" t="s">
        <v>645</v>
      </c>
      <c r="E41" s="121"/>
      <c r="F41" s="121"/>
      <c r="G41" s="121"/>
      <c r="H41" s="121"/>
      <c r="I41" s="121"/>
      <c r="J41" s="121"/>
      <c r="K41" s="121"/>
      <c r="L41" s="121"/>
      <c r="M41" s="121"/>
      <c r="N41" s="1"/>
      <c r="O41" s="1"/>
    </row>
    <row r="42" spans="1:15" ht="15" customHeight="1" x14ac:dyDescent="0.2">
      <c r="A42" s="123"/>
      <c r="B42" s="1"/>
      <c r="C42" s="367"/>
      <c r="D42" s="1187"/>
      <c r="E42" s="38"/>
      <c r="F42" s="1020" t="s">
        <v>415</v>
      </c>
      <c r="G42" s="1371" t="s">
        <v>646</v>
      </c>
      <c r="H42" s="38"/>
      <c r="I42" s="38"/>
      <c r="J42" s="38"/>
      <c r="K42" s="38"/>
      <c r="L42" s="38"/>
      <c r="M42" s="38"/>
      <c r="N42" s="1"/>
      <c r="O42" s="1"/>
    </row>
    <row r="43" spans="1:15" ht="14.25" x14ac:dyDescent="0.2">
      <c r="A43" s="123"/>
      <c r="B43" s="1"/>
      <c r="C43" s="367"/>
      <c r="D43" s="1188"/>
      <c r="E43" s="1274"/>
      <c r="F43" s="1020" t="s">
        <v>647</v>
      </c>
      <c r="G43" s="1370" t="s">
        <v>648</v>
      </c>
      <c r="H43" s="1274"/>
      <c r="I43" s="121"/>
      <c r="J43" s="121"/>
      <c r="K43" s="1274"/>
      <c r="L43" s="1274"/>
      <c r="M43" s="1274"/>
      <c r="N43" s="1"/>
      <c r="O43" s="1"/>
    </row>
    <row r="44" spans="1:15" ht="14.25" x14ac:dyDescent="0.2">
      <c r="A44" s="123"/>
      <c r="B44" s="1"/>
      <c r="C44" s="367"/>
      <c r="D44" s="1186"/>
      <c r="E44" s="1274"/>
      <c r="F44" s="1020" t="s">
        <v>416</v>
      </c>
      <c r="G44" s="1370" t="s">
        <v>649</v>
      </c>
      <c r="H44" s="1274"/>
      <c r="I44" s="121"/>
      <c r="J44" s="121"/>
      <c r="K44" s="1274"/>
      <c r="L44" s="1274"/>
      <c r="M44" s="1274"/>
      <c r="N44" s="1"/>
      <c r="O44" s="1"/>
    </row>
    <row r="45" spans="1:15" ht="22.5" customHeight="1" x14ac:dyDescent="0.2">
      <c r="A45" s="123"/>
      <c r="B45" s="1"/>
      <c r="C45" s="545"/>
      <c r="D45" s="1187" t="s">
        <v>653</v>
      </c>
      <c r="E45" s="136"/>
      <c r="F45" s="614"/>
      <c r="G45" s="1392" t="s">
        <v>418</v>
      </c>
      <c r="H45" s="1392"/>
      <c r="I45" s="1392" t="s">
        <v>419</v>
      </c>
      <c r="J45" s="1392"/>
      <c r="K45" s="1392" t="s">
        <v>420</v>
      </c>
      <c r="L45" s="1392"/>
      <c r="M45" s="136"/>
      <c r="N45" s="1"/>
      <c r="O45" s="1"/>
    </row>
    <row r="46" spans="1:15" ht="14.25" x14ac:dyDescent="0.2">
      <c r="A46" s="123"/>
      <c r="B46" s="1"/>
      <c r="C46" s="367"/>
      <c r="D46" s="1186"/>
      <c r="E46" s="1274"/>
      <c r="F46" s="1191" t="s">
        <v>415</v>
      </c>
      <c r="G46" s="1393" t="s">
        <v>652</v>
      </c>
      <c r="H46" s="1394"/>
      <c r="I46" s="1393" t="s">
        <v>650</v>
      </c>
      <c r="J46" s="1394"/>
      <c r="K46" s="1393" t="s">
        <v>659</v>
      </c>
      <c r="L46" s="1394"/>
      <c r="M46" s="1274"/>
      <c r="N46" s="1"/>
      <c r="O46" s="1"/>
    </row>
    <row r="47" spans="1:15" ht="14.25" x14ac:dyDescent="0.2">
      <c r="A47" s="123"/>
      <c r="B47" s="1"/>
      <c r="C47" s="367"/>
      <c r="D47" s="1188"/>
      <c r="E47" s="1274"/>
      <c r="F47" s="1194" t="s">
        <v>647</v>
      </c>
      <c r="G47" s="1189"/>
      <c r="H47" s="1190"/>
      <c r="I47" s="1189"/>
      <c r="J47" s="1190"/>
      <c r="K47" s="1189"/>
      <c r="L47" s="1190"/>
      <c r="M47" s="1274"/>
      <c r="N47" s="1"/>
      <c r="O47" s="1"/>
    </row>
    <row r="48" spans="1:15" ht="14.25" x14ac:dyDescent="0.2">
      <c r="A48" s="123"/>
      <c r="B48" s="1"/>
      <c r="C48" s="367"/>
      <c r="D48" s="1186"/>
      <c r="E48" s="1274"/>
      <c r="F48" s="1193" t="s">
        <v>416</v>
      </c>
      <c r="G48" s="1395" t="s">
        <v>651</v>
      </c>
      <c r="H48" s="1396"/>
      <c r="I48" s="1395" t="s">
        <v>651</v>
      </c>
      <c r="J48" s="1396"/>
      <c r="K48" s="1395"/>
      <c r="L48" s="1396"/>
      <c r="M48" s="1274"/>
      <c r="N48" s="1"/>
      <c r="O48" s="1"/>
    </row>
    <row r="49" spans="1:15" ht="6" customHeight="1" x14ac:dyDescent="0.2">
      <c r="A49" s="123"/>
      <c r="B49" s="1"/>
      <c r="C49" s="545"/>
      <c r="D49" s="1280"/>
      <c r="E49" s="1280"/>
      <c r="F49" s="1192"/>
      <c r="G49" s="1280"/>
      <c r="H49" s="1280"/>
      <c r="I49" s="1280"/>
      <c r="J49" s="1280"/>
      <c r="K49" s="1280"/>
      <c r="L49" s="1280"/>
      <c r="M49" s="1280"/>
      <c r="N49" s="1"/>
      <c r="O49" s="1"/>
    </row>
    <row r="50" spans="1:15" ht="14.25" x14ac:dyDescent="0.2">
      <c r="A50" s="123"/>
      <c r="B50" s="1"/>
      <c r="C50" s="367"/>
      <c r="D50" s="1186"/>
      <c r="E50" s="1274"/>
      <c r="F50" s="1191" t="s">
        <v>415</v>
      </c>
      <c r="G50" s="1393" t="s">
        <v>654</v>
      </c>
      <c r="H50" s="1394"/>
      <c r="I50" s="1393" t="s">
        <v>655</v>
      </c>
      <c r="J50" s="1394"/>
      <c r="K50" s="1274"/>
      <c r="L50" s="1274"/>
      <c r="M50" s="1274"/>
      <c r="N50" s="1"/>
      <c r="O50" s="1"/>
    </row>
    <row r="51" spans="1:15" ht="14.25" x14ac:dyDescent="0.2">
      <c r="A51" s="123"/>
      <c r="B51" s="1"/>
      <c r="C51" s="367"/>
      <c r="D51" s="1188"/>
      <c r="E51" s="1274"/>
      <c r="F51" s="1194" t="s">
        <v>647</v>
      </c>
      <c r="G51" s="1397" t="s">
        <v>658</v>
      </c>
      <c r="H51" s="1398"/>
      <c r="I51" s="1397" t="s">
        <v>656</v>
      </c>
      <c r="J51" s="1398"/>
      <c r="K51" s="1274"/>
      <c r="L51" s="1274"/>
      <c r="M51" s="1274"/>
      <c r="N51" s="1"/>
      <c r="O51" s="1"/>
    </row>
    <row r="52" spans="1:15" ht="14.25" x14ac:dyDescent="0.2">
      <c r="A52" s="123"/>
      <c r="B52" s="1"/>
      <c r="C52" s="367"/>
      <c r="D52" s="1186"/>
      <c r="E52" s="1274"/>
      <c r="F52" s="1193" t="s">
        <v>416</v>
      </c>
      <c r="G52" s="1395" t="s">
        <v>657</v>
      </c>
      <c r="H52" s="1396"/>
      <c r="I52" s="1395" t="s">
        <v>657</v>
      </c>
      <c r="J52" s="1396"/>
      <c r="K52" s="1274"/>
      <c r="L52" s="1274"/>
      <c r="M52" s="1274"/>
      <c r="N52" s="1"/>
      <c r="O52" s="1"/>
    </row>
    <row r="53" spans="1:15" ht="18" customHeight="1" x14ac:dyDescent="0.2">
      <c r="A53" s="1195"/>
      <c r="B53" s="839"/>
      <c r="C53" s="545"/>
      <c r="D53" s="1280"/>
      <c r="E53" s="1280"/>
      <c r="F53" s="1280"/>
      <c r="G53" s="1280"/>
      <c r="H53" s="1280"/>
      <c r="I53" s="1280"/>
      <c r="J53" s="1280"/>
      <c r="K53" s="1280"/>
      <c r="L53" s="1280"/>
      <c r="M53" s="1280"/>
      <c r="N53" s="839"/>
      <c r="O53" s="839"/>
    </row>
    <row r="54" spans="1:15" ht="15" customHeight="1" x14ac:dyDescent="0.2">
      <c r="A54" s="1195"/>
      <c r="B54" s="839"/>
      <c r="C54" s="546" t="s">
        <v>409</v>
      </c>
      <c r="D54" s="1391" t="s">
        <v>660</v>
      </c>
      <c r="E54" s="1391"/>
      <c r="F54" s="1391"/>
      <c r="G54" s="1391"/>
      <c r="H54" s="1391"/>
      <c r="I54" s="1391"/>
      <c r="J54" s="1391"/>
      <c r="K54" s="1391"/>
      <c r="L54" s="1391"/>
      <c r="M54" s="1391"/>
      <c r="N54" s="839"/>
      <c r="O54" s="839"/>
    </row>
    <row r="55" spans="1:15" ht="14.25" x14ac:dyDescent="0.2">
      <c r="A55" s="1195"/>
      <c r="B55" s="839"/>
      <c r="C55" s="546"/>
      <c r="D55" s="1388" t="s">
        <v>661</v>
      </c>
      <c r="E55" s="1388"/>
      <c r="F55" s="1388"/>
      <c r="G55" s="1388"/>
      <c r="H55" s="1388"/>
      <c r="I55" s="1388"/>
      <c r="J55" s="1388"/>
      <c r="K55" s="1388"/>
      <c r="L55" s="1388"/>
      <c r="M55" s="1388"/>
      <c r="N55" s="839"/>
      <c r="O55" s="839"/>
    </row>
    <row r="56" spans="1:15" ht="14.25" x14ac:dyDescent="0.2">
      <c r="A56" s="1195"/>
      <c r="B56" s="839"/>
      <c r="C56" s="544"/>
      <c r="D56" s="1388" t="s">
        <v>662</v>
      </c>
      <c r="E56" s="1388"/>
      <c r="F56" s="1388"/>
      <c r="G56" s="1388"/>
      <c r="H56" s="1388"/>
      <c r="I56" s="1388"/>
      <c r="J56" s="1388"/>
      <c r="K56" s="1388"/>
      <c r="L56" s="1388"/>
      <c r="M56" s="1388"/>
      <c r="N56" s="1196"/>
      <c r="O56" s="839"/>
    </row>
    <row r="57" spans="1:15" ht="10.5" customHeight="1" x14ac:dyDescent="0.2">
      <c r="A57" s="1195"/>
      <c r="B57" s="839"/>
      <c r="C57" s="544"/>
      <c r="D57" s="586"/>
      <c r="E57" s="1279"/>
      <c r="F57" s="1279"/>
      <c r="G57" s="1279"/>
      <c r="H57" s="1279"/>
      <c r="I57" s="1279"/>
      <c r="J57" s="1279"/>
      <c r="K57" s="1279"/>
      <c r="L57" s="1279"/>
      <c r="M57" s="1279"/>
      <c r="N57" s="1196"/>
      <c r="O57" s="839"/>
    </row>
    <row r="58" spans="1:15" ht="15" customHeight="1" x14ac:dyDescent="0.2">
      <c r="A58" s="1195"/>
      <c r="B58" s="839"/>
      <c r="C58" s="546" t="s">
        <v>410</v>
      </c>
      <c r="D58" s="1386" t="s">
        <v>711</v>
      </c>
      <c r="E58" s="1386"/>
      <c r="F58" s="1386"/>
      <c r="G58" s="1386"/>
      <c r="H58" s="1386"/>
      <c r="I58" s="1386"/>
      <c r="J58" s="1386"/>
      <c r="K58" s="1386"/>
      <c r="L58" s="1386"/>
      <c r="M58" s="1386"/>
      <c r="N58" s="839"/>
      <c r="O58" s="839"/>
    </row>
    <row r="59" spans="1:15" ht="19.5" customHeight="1" x14ac:dyDescent="0.2">
      <c r="A59" s="1195"/>
      <c r="B59" s="839"/>
      <c r="C59" s="544"/>
      <c r="D59" s="1387" t="s">
        <v>178</v>
      </c>
      <c r="E59" s="1387"/>
      <c r="F59" s="1387"/>
      <c r="G59" s="1387"/>
      <c r="H59" s="1387"/>
      <c r="I59" s="1387"/>
      <c r="J59" s="1387"/>
      <c r="K59" s="1387"/>
      <c r="L59" s="1387"/>
      <c r="M59" s="1387"/>
      <c r="N59" s="1196"/>
      <c r="O59" s="839"/>
    </row>
    <row r="60" spans="1:15" ht="19.5" customHeight="1" x14ac:dyDescent="0.2">
      <c r="A60" s="1195"/>
      <c r="B60" s="839"/>
      <c r="C60" s="367" t="s">
        <v>407</v>
      </c>
      <c r="D60" s="1197" t="s">
        <v>663</v>
      </c>
      <c r="E60" s="1279"/>
      <c r="F60" s="1279"/>
      <c r="G60" s="1198" t="s">
        <v>513</v>
      </c>
      <c r="H60" s="1199" t="s">
        <v>664</v>
      </c>
      <c r="I60" s="614"/>
      <c r="J60" s="614"/>
      <c r="K60" s="614"/>
      <c r="L60" s="614"/>
      <c r="M60" s="614"/>
      <c r="N60" s="614"/>
      <c r="O60" s="614"/>
    </row>
    <row r="61" spans="1:15" ht="14.25" x14ac:dyDescent="0.2">
      <c r="A61" s="1195"/>
      <c r="B61" s="839"/>
      <c r="C61" s="544"/>
      <c r="D61" s="1279"/>
      <c r="E61" s="1279"/>
      <c r="F61" s="1279"/>
      <c r="G61" s="1198" t="s">
        <v>568</v>
      </c>
      <c r="H61" s="1199" t="s">
        <v>665</v>
      </c>
      <c r="I61" s="1279"/>
      <c r="J61" s="1279"/>
      <c r="K61" s="1279"/>
      <c r="L61" s="1279"/>
      <c r="M61" s="1279"/>
      <c r="N61" s="1196"/>
      <c r="O61" s="839"/>
    </row>
    <row r="62" spans="1:15" ht="14.25" x14ac:dyDescent="0.2">
      <c r="A62" s="1195"/>
      <c r="B62" s="839"/>
      <c r="C62" s="544"/>
      <c r="D62" s="1279"/>
      <c r="E62" s="1279"/>
      <c r="F62" s="1279"/>
      <c r="G62" s="1198" t="s">
        <v>666</v>
      </c>
      <c r="H62" s="1199" t="s">
        <v>667</v>
      </c>
      <c r="I62" s="1279"/>
      <c r="J62" s="1279"/>
      <c r="K62" s="1279"/>
      <c r="L62" s="1279"/>
      <c r="M62" s="1279"/>
      <c r="N62" s="1196"/>
      <c r="O62" s="839"/>
    </row>
    <row r="63" spans="1:15" ht="14.25" x14ac:dyDescent="0.2">
      <c r="A63" s="1195"/>
      <c r="B63" s="839"/>
      <c r="C63" s="544"/>
      <c r="D63" s="1279"/>
      <c r="E63" s="1279"/>
      <c r="F63" s="1279"/>
      <c r="G63" s="1198"/>
      <c r="H63" s="1200" t="s">
        <v>668</v>
      </c>
      <c r="I63" s="1279"/>
      <c r="J63" s="1187" t="s">
        <v>669</v>
      </c>
      <c r="K63" s="1279"/>
      <c r="L63" s="1279"/>
      <c r="M63" s="1279"/>
      <c r="N63" s="1196"/>
      <c r="O63" s="839"/>
    </row>
    <row r="64" spans="1:15" ht="14.25" x14ac:dyDescent="0.2">
      <c r="A64" s="1195"/>
      <c r="B64" s="839"/>
      <c r="C64" s="544"/>
      <c r="D64" s="1279"/>
      <c r="E64" s="1279"/>
      <c r="F64" s="1279"/>
      <c r="G64" s="1198"/>
      <c r="H64" s="1199"/>
      <c r="I64" s="1279"/>
      <c r="J64" s="1188" t="s">
        <v>670</v>
      </c>
      <c r="K64" s="1279"/>
      <c r="L64" s="1279"/>
      <c r="M64" s="1279"/>
      <c r="N64" s="1196"/>
      <c r="O64" s="839"/>
    </row>
    <row r="65" spans="1:15" ht="22.5" customHeight="1" x14ac:dyDescent="0.2">
      <c r="A65" s="1195"/>
      <c r="B65" s="839"/>
      <c r="C65" s="839"/>
      <c r="D65" s="545"/>
      <c r="E65" s="1201" t="s">
        <v>653</v>
      </c>
      <c r="F65" s="136"/>
      <c r="G65" s="614"/>
      <c r="H65" s="1198" t="s">
        <v>513</v>
      </c>
      <c r="I65" s="1198"/>
      <c r="J65" s="1198" t="s">
        <v>568</v>
      </c>
      <c r="K65" s="1198"/>
      <c r="L65" s="1198" t="s">
        <v>666</v>
      </c>
      <c r="M65" s="614"/>
      <c r="N65" s="136"/>
      <c r="O65" s="839"/>
    </row>
    <row r="66" spans="1:15" ht="18" customHeight="1" x14ac:dyDescent="0.2">
      <c r="A66" s="1195"/>
      <c r="B66" s="839"/>
      <c r="C66" s="839"/>
      <c r="D66" s="544"/>
      <c r="E66" s="1202" t="s">
        <v>671</v>
      </c>
      <c r="F66" s="1279"/>
      <c r="G66" s="1279"/>
      <c r="H66" s="1203">
        <v>1000</v>
      </c>
      <c r="I66" s="1204"/>
      <c r="J66" s="1279"/>
      <c r="K66" s="1279"/>
      <c r="L66" s="1279"/>
      <c r="M66" s="1279"/>
      <c r="N66" s="1279"/>
      <c r="O66" s="1196"/>
    </row>
    <row r="67" spans="1:15" ht="14.25" x14ac:dyDescent="0.2">
      <c r="A67" s="1195"/>
      <c r="B67" s="839"/>
      <c r="C67" s="839"/>
      <c r="D67" s="544"/>
      <c r="E67" s="1205" t="s">
        <v>712</v>
      </c>
      <c r="F67" s="1206"/>
      <c r="G67" s="1206"/>
      <c r="H67" s="1207">
        <v>1000</v>
      </c>
      <c r="I67" s="1208"/>
      <c r="J67" s="1209">
        <v>1000</v>
      </c>
      <c r="K67" s="1208"/>
      <c r="L67" s="1210">
        <v>0</v>
      </c>
      <c r="M67" s="1279"/>
      <c r="N67" s="1279"/>
      <c r="O67" s="1196"/>
    </row>
    <row r="68" spans="1:15" ht="14.25" x14ac:dyDescent="0.2">
      <c r="A68" s="1195"/>
      <c r="B68" s="839"/>
      <c r="C68" s="839"/>
      <c r="D68" s="544"/>
      <c r="E68" s="1205" t="s">
        <v>713</v>
      </c>
      <c r="F68" s="1206"/>
      <c r="G68" s="1206"/>
      <c r="H68" s="1207">
        <v>1000</v>
      </c>
      <c r="I68" s="1208"/>
      <c r="J68" s="1209">
        <v>1100</v>
      </c>
      <c r="K68" s="1208"/>
      <c r="L68" s="1211">
        <v>100</v>
      </c>
      <c r="M68" s="1279"/>
      <c r="N68" s="1279"/>
      <c r="O68" s="1196"/>
    </row>
    <row r="69" spans="1:15" ht="14.25" x14ac:dyDescent="0.2">
      <c r="A69" s="1195"/>
      <c r="B69" s="839"/>
      <c r="C69" s="839"/>
      <c r="D69" s="544"/>
      <c r="E69" s="1205" t="s">
        <v>714</v>
      </c>
      <c r="F69" s="1206"/>
      <c r="G69" s="1206"/>
      <c r="H69" s="1207">
        <v>1000</v>
      </c>
      <c r="I69" s="1208"/>
      <c r="J69" s="1209">
        <v>900</v>
      </c>
      <c r="K69" s="1208"/>
      <c r="L69" s="1211">
        <v>100</v>
      </c>
      <c r="M69" s="1279"/>
      <c r="N69" s="1279"/>
      <c r="O69" s="1196"/>
    </row>
    <row r="70" spans="1:15" ht="14.25" x14ac:dyDescent="0.2">
      <c r="A70" s="1195"/>
      <c r="B70" s="839"/>
      <c r="C70" s="839"/>
      <c r="D70" s="544"/>
      <c r="E70" s="1205" t="s">
        <v>715</v>
      </c>
      <c r="F70" s="1206"/>
      <c r="G70" s="1206"/>
      <c r="H70" s="1207">
        <v>1000</v>
      </c>
      <c r="I70" s="1208"/>
      <c r="J70" s="1209">
        <f>1000/1.1</f>
        <v>909.09090909090901</v>
      </c>
      <c r="K70" s="1208"/>
      <c r="L70" s="1211">
        <f>H70-J70</f>
        <v>90.909090909090992</v>
      </c>
      <c r="M70" s="1279"/>
      <c r="N70" s="1279"/>
      <c r="O70" s="1196"/>
    </row>
    <row r="71" spans="1:15" ht="19.5" customHeight="1" x14ac:dyDescent="0.2">
      <c r="A71" s="1195"/>
      <c r="B71" s="839"/>
      <c r="C71" s="544"/>
      <c r="D71" s="1279"/>
      <c r="E71" s="1279"/>
      <c r="F71" s="1279"/>
      <c r="G71" s="1279"/>
      <c r="H71" s="1279"/>
      <c r="I71" s="1279"/>
      <c r="J71" s="1279"/>
      <c r="K71" s="1279"/>
      <c r="L71" s="1279"/>
      <c r="M71" s="1279"/>
      <c r="N71" s="1196"/>
      <c r="O71" s="839"/>
    </row>
    <row r="72" spans="1:15" ht="15" customHeight="1" x14ac:dyDescent="0.2">
      <c r="A72" s="1195"/>
      <c r="B72" s="839"/>
      <c r="C72" s="546" t="s">
        <v>67</v>
      </c>
      <c r="D72" s="1388" t="s">
        <v>672</v>
      </c>
      <c r="E72" s="1388"/>
      <c r="F72" s="1388"/>
      <c r="G72" s="1388"/>
      <c r="H72" s="1388"/>
      <c r="I72" s="1388"/>
      <c r="J72" s="1388"/>
      <c r="K72" s="1388"/>
      <c r="L72" s="1388"/>
      <c r="M72" s="1388"/>
      <c r="N72" s="1196"/>
      <c r="O72" s="839"/>
    </row>
    <row r="73" spans="1:15" ht="12.75" customHeight="1" x14ac:dyDescent="0.2">
      <c r="A73" s="1195"/>
      <c r="B73" s="839"/>
      <c r="C73" s="544"/>
      <c r="D73" s="1389" t="s">
        <v>180</v>
      </c>
      <c r="E73" s="1389"/>
      <c r="F73" s="1389"/>
      <c r="G73" s="1389"/>
      <c r="H73" s="1389"/>
      <c r="I73" s="1389"/>
      <c r="J73" s="1389"/>
      <c r="K73" s="1389"/>
      <c r="L73" s="1389"/>
      <c r="M73" s="1389"/>
      <c r="N73" s="1196"/>
      <c r="O73" s="839"/>
    </row>
    <row r="74" spans="1:15" ht="12.75" customHeight="1" x14ac:dyDescent="0.2">
      <c r="A74" s="1195"/>
      <c r="B74" s="839"/>
      <c r="C74" s="544"/>
      <c r="D74" s="1389" t="s">
        <v>223</v>
      </c>
      <c r="E74" s="1389"/>
      <c r="F74" s="1389"/>
      <c r="G74" s="1389"/>
      <c r="H74" s="1389"/>
      <c r="I74" s="1389"/>
      <c r="J74" s="1389"/>
      <c r="K74" s="1389"/>
      <c r="L74" s="1389"/>
      <c r="M74" s="1389"/>
      <c r="N74" s="1196"/>
      <c r="O74" s="839"/>
    </row>
    <row r="75" spans="1:15" ht="12.75" customHeight="1" x14ac:dyDescent="0.2">
      <c r="A75" s="1195"/>
      <c r="B75" s="839"/>
      <c r="C75" s="544"/>
      <c r="D75" s="1389" t="s">
        <v>224</v>
      </c>
      <c r="E75" s="1389"/>
      <c r="F75" s="1389"/>
      <c r="G75" s="1389"/>
      <c r="H75" s="1389"/>
      <c r="I75" s="1389"/>
      <c r="J75" s="1389"/>
      <c r="K75" s="1389"/>
      <c r="L75" s="1389"/>
      <c r="M75" s="1389"/>
      <c r="N75" s="1196"/>
      <c r="O75" s="839"/>
    </row>
    <row r="76" spans="1:15" ht="12.75" customHeight="1" x14ac:dyDescent="0.2">
      <c r="A76" s="1195"/>
      <c r="B76" s="839"/>
      <c r="C76" s="544"/>
      <c r="D76" s="1390" t="s">
        <v>240</v>
      </c>
      <c r="E76" s="1390"/>
      <c r="F76" s="1390"/>
      <c r="G76" s="1390"/>
      <c r="H76" s="1390"/>
      <c r="I76" s="1390"/>
      <c r="J76" s="1390"/>
      <c r="K76" s="1390"/>
      <c r="L76" s="1390"/>
      <c r="M76" s="1390"/>
      <c r="N76" s="1196"/>
      <c r="O76" s="839"/>
    </row>
    <row r="77" spans="1:15" ht="19.5" customHeight="1" x14ac:dyDescent="0.2">
      <c r="A77" s="1195"/>
      <c r="B77" s="839"/>
      <c r="C77" s="544"/>
      <c r="D77" s="1212" t="s">
        <v>673</v>
      </c>
      <c r="E77" s="1280"/>
      <c r="F77" s="1280"/>
      <c r="G77" s="1280"/>
      <c r="H77" s="1280"/>
      <c r="I77" s="1280"/>
      <c r="J77" s="1280"/>
      <c r="K77" s="1280"/>
      <c r="L77" s="1280"/>
      <c r="M77" s="1280"/>
      <c r="N77" s="1196"/>
      <c r="O77" s="839"/>
    </row>
    <row r="78" spans="1:15" ht="15" customHeight="1" x14ac:dyDescent="0.2">
      <c r="A78" s="123"/>
      <c r="B78" s="1"/>
      <c r="C78" s="546" t="s">
        <v>89</v>
      </c>
      <c r="D78" s="1391" t="s">
        <v>181</v>
      </c>
      <c r="E78" s="1391"/>
      <c r="F78" s="1391"/>
      <c r="G78" s="1391"/>
      <c r="H78" s="1391"/>
      <c r="I78" s="1391"/>
      <c r="J78" s="1391"/>
      <c r="K78" s="1391"/>
      <c r="L78" s="1391"/>
      <c r="M78" s="1391"/>
      <c r="N78" s="55"/>
      <c r="O78" s="1"/>
    </row>
    <row r="79" spans="1:15" ht="13.5" customHeight="1" x14ac:dyDescent="0.2">
      <c r="A79" s="123"/>
      <c r="B79" s="1"/>
      <c r="C79" s="544"/>
      <c r="D79" s="121" t="s">
        <v>674</v>
      </c>
      <c r="E79" s="121"/>
      <c r="F79" s="121"/>
      <c r="G79" s="121"/>
      <c r="H79" s="121"/>
      <c r="I79" s="121"/>
      <c r="J79" s="121"/>
      <c r="K79" s="121"/>
      <c r="L79" s="121"/>
      <c r="M79" s="121"/>
      <c r="N79" s="55"/>
      <c r="O79" s="1"/>
    </row>
    <row r="80" spans="1:15" ht="15.75" customHeight="1" x14ac:dyDescent="0.2">
      <c r="A80" s="123"/>
      <c r="B80" s="1"/>
      <c r="C80" s="544"/>
      <c r="D80" s="1387" t="s">
        <v>182</v>
      </c>
      <c r="E80" s="1387"/>
      <c r="F80" s="1387"/>
      <c r="G80" s="1387"/>
      <c r="H80" s="1387"/>
      <c r="I80" s="1387"/>
      <c r="J80" s="1387"/>
      <c r="K80" s="1387"/>
      <c r="L80" s="1387"/>
      <c r="M80" s="1387"/>
      <c r="N80" s="55"/>
      <c r="O80" s="1"/>
    </row>
    <row r="81" spans="1:109" ht="26.25" customHeight="1" x14ac:dyDescent="0.2">
      <c r="A81" s="270"/>
      <c r="B81" s="25"/>
      <c r="C81" s="25"/>
      <c r="D81" s="136"/>
      <c r="E81" s="25"/>
      <c r="F81" s="25"/>
      <c r="G81" s="25"/>
      <c r="H81" s="25"/>
      <c r="I81" s="25"/>
      <c r="J81" s="25"/>
      <c r="K81" s="25"/>
      <c r="L81" s="1213" t="s">
        <v>49</v>
      </c>
      <c r="M81" s="1214" t="s">
        <v>72</v>
      </c>
      <c r="N81" s="25"/>
      <c r="O81" s="25"/>
    </row>
    <row r="82" spans="1:109" ht="26.25" customHeight="1" x14ac:dyDescent="0.2">
      <c r="A82" s="270"/>
      <c r="B82" s="25"/>
      <c r="C82" s="591"/>
      <c r="D82" s="592" t="str">
        <f>IF(H167=1,H23,IF(ISERROR(K167),I164,I163))</f>
        <v>Questo file risulta al momento completamente funzionante ed il sistema rileva tutti i suoi fogli.</v>
      </c>
      <c r="E82" s="25"/>
      <c r="F82" s="25"/>
      <c r="G82" s="25"/>
      <c r="H82" s="25"/>
      <c r="I82" s="25"/>
      <c r="J82" s="25"/>
      <c r="K82" s="25"/>
      <c r="L82" s="25"/>
      <c r="M82" s="25"/>
      <c r="N82" s="25"/>
      <c r="O82" s="25"/>
    </row>
    <row r="83" spans="1:109" ht="15.75" customHeight="1" x14ac:dyDescent="0.2">
      <c r="A83" s="270"/>
      <c r="B83" s="25"/>
      <c r="C83" s="1384"/>
      <c r="D83" s="1384"/>
      <c r="E83" s="1384"/>
      <c r="F83" s="1384"/>
      <c r="G83" s="1384"/>
      <c r="H83" s="1384"/>
      <c r="I83" s="1384"/>
      <c r="J83" s="1384"/>
      <c r="K83" s="1384"/>
      <c r="L83" s="1384"/>
      <c r="M83" s="1384"/>
      <c r="N83" s="25"/>
      <c r="O83" s="25"/>
    </row>
    <row r="84" spans="1:109" ht="16.5" customHeight="1" x14ac:dyDescent="0.2">
      <c r="A84" s="123"/>
      <c r="B84" s="1"/>
      <c r="C84" s="1437" t="s">
        <v>196</v>
      </c>
      <c r="D84" s="1437"/>
      <c r="E84" s="1437"/>
      <c r="F84" s="1437"/>
      <c r="G84" s="560"/>
      <c r="H84" s="560"/>
      <c r="I84" s="560"/>
      <c r="J84" s="560"/>
      <c r="K84" s="560"/>
      <c r="L84" s="561" t="s">
        <v>197</v>
      </c>
      <c r="M84" s="547" t="s">
        <v>72</v>
      </c>
      <c r="N84" s="1"/>
      <c r="O84" s="1"/>
    </row>
    <row r="85" spans="1:109" ht="16.5" customHeight="1" x14ac:dyDescent="0.2">
      <c r="A85" s="123"/>
      <c r="B85" s="1"/>
      <c r="C85" s="1435" t="s">
        <v>461</v>
      </c>
      <c r="D85" s="1435"/>
      <c r="E85" s="1435"/>
      <c r="F85" s="1435"/>
      <c r="G85" s="1435"/>
      <c r="H85" s="1435"/>
      <c r="I85" s="1435"/>
      <c r="J85" s="1435"/>
      <c r="K85" s="1435"/>
      <c r="L85" s="1435"/>
      <c r="M85" s="1435"/>
      <c r="N85" s="1"/>
      <c r="O85" s="1"/>
    </row>
    <row r="86" spans="1:109" ht="12.75" customHeight="1" x14ac:dyDescent="0.2">
      <c r="A86" s="123"/>
      <c r="B86" s="1"/>
      <c r="C86" s="1484" t="s">
        <v>0</v>
      </c>
      <c r="D86" s="1484"/>
      <c r="E86" s="1484"/>
      <c r="F86" s="1484"/>
      <c r="G86" s="1484"/>
      <c r="H86" s="1484"/>
      <c r="I86" s="1484"/>
      <c r="J86" s="1484"/>
      <c r="K86" s="1484"/>
      <c r="L86" s="1484"/>
      <c r="M86" s="1484"/>
      <c r="N86" s="1"/>
      <c r="O86" s="1"/>
    </row>
    <row r="87" spans="1:109" ht="16.5" customHeight="1" x14ac:dyDescent="0.2">
      <c r="A87" s="123"/>
      <c r="B87" s="1"/>
      <c r="C87" s="1485" t="s">
        <v>1</v>
      </c>
      <c r="D87" s="1486"/>
      <c r="E87" s="1486"/>
      <c r="F87" s="1486"/>
      <c r="G87" s="1486"/>
      <c r="H87" s="1486"/>
      <c r="I87" s="1486"/>
      <c r="J87" s="1486"/>
      <c r="K87" s="1486"/>
      <c r="L87" s="1486"/>
      <c r="M87" s="1486"/>
      <c r="N87" s="1"/>
      <c r="O87" s="1"/>
    </row>
    <row r="88" spans="1:109" s="115" customFormat="1" ht="19.5" customHeight="1" x14ac:dyDescent="0.2">
      <c r="A88" s="571"/>
      <c r="B88" s="114"/>
      <c r="C88" s="114"/>
      <c r="D88" s="114"/>
      <c r="E88" s="114"/>
      <c r="F88" s="1487" t="str">
        <f>IF(K95=J173,B165,"")</f>
        <v/>
      </c>
      <c r="G88" s="1487"/>
      <c r="H88" s="1487"/>
      <c r="I88" s="1487"/>
      <c r="J88" s="1487"/>
      <c r="K88" s="1487"/>
      <c r="L88" s="1487"/>
      <c r="M88" s="1487"/>
      <c r="N88" s="114"/>
      <c r="O88" s="114"/>
    </row>
    <row r="89" spans="1:109" s="115" customFormat="1" ht="18.75" customHeight="1" x14ac:dyDescent="0.2">
      <c r="A89" s="571"/>
      <c r="B89" s="114"/>
      <c r="C89" s="114"/>
      <c r="D89" s="1444" t="s">
        <v>392</v>
      </c>
      <c r="E89" s="1444"/>
      <c r="F89" s="1400" t="str">
        <f>IMPOSTAZIONI!C74</f>
        <v>Inserisci la tua Ragione Sociale</v>
      </c>
      <c r="G89" s="1401"/>
      <c r="H89" s="1401"/>
      <c r="I89" s="1401"/>
      <c r="J89" s="1401"/>
      <c r="K89" s="1401"/>
      <c r="L89" s="1401"/>
      <c r="M89" s="1402"/>
      <c r="N89" s="114"/>
      <c r="O89" s="602"/>
    </row>
    <row r="90" spans="1:109" s="115" customFormat="1" ht="4.5" customHeight="1" x14ac:dyDescent="0.2">
      <c r="A90" s="571"/>
      <c r="B90" s="114"/>
      <c r="C90" s="114"/>
      <c r="D90" s="114"/>
      <c r="E90" s="114"/>
      <c r="F90" s="114"/>
      <c r="G90" s="114"/>
      <c r="H90" s="114"/>
      <c r="I90" s="114"/>
      <c r="J90" s="114"/>
      <c r="K90" s="114"/>
      <c r="L90" s="114"/>
      <c r="M90" s="114"/>
      <c r="N90" s="114"/>
      <c r="O90" s="114"/>
    </row>
    <row r="91" spans="1:109" s="115" customFormat="1" ht="18.75" customHeight="1" x14ac:dyDescent="0.2">
      <c r="A91" s="571"/>
      <c r="B91" s="114"/>
      <c r="C91" s="114"/>
      <c r="D91" s="114"/>
      <c r="E91" s="114"/>
      <c r="F91" s="114"/>
      <c r="G91" s="114"/>
      <c r="H91" s="114"/>
      <c r="I91" s="1448" t="s">
        <v>394</v>
      </c>
      <c r="J91" s="1449"/>
      <c r="K91" s="1438" t="str">
        <f>IMPOSTAZIONI!O74</f>
        <v>01234567891</v>
      </c>
      <c r="L91" s="1439"/>
      <c r="M91" s="1440"/>
      <c r="N91" s="114"/>
      <c r="O91" s="116"/>
    </row>
    <row r="92" spans="1:109" s="115" customFormat="1" ht="4.5" customHeight="1" x14ac:dyDescent="0.2">
      <c r="A92" s="571"/>
      <c r="B92" s="114"/>
      <c r="C92" s="114"/>
      <c r="D92" s="114"/>
      <c r="E92" s="114"/>
      <c r="F92" s="114"/>
      <c r="G92" s="114"/>
      <c r="H92" s="114"/>
      <c r="I92" s="114"/>
      <c r="J92" s="114"/>
      <c r="K92" s="114"/>
      <c r="L92" s="114"/>
      <c r="M92" s="114"/>
      <c r="N92" s="114"/>
      <c r="O92" s="114"/>
    </row>
    <row r="93" spans="1:109" s="115" customFormat="1" ht="18.75" customHeight="1" x14ac:dyDescent="0.2">
      <c r="A93" s="571"/>
      <c r="B93" s="114"/>
      <c r="C93" s="114"/>
      <c r="D93" s="1424" t="s">
        <v>393</v>
      </c>
      <c r="E93" s="1424"/>
      <c r="F93" s="1483" t="str">
        <f>CONCATENATE(IMPOSTAZIONI!C76," - ",IMPOSTAZIONI!M76," - ",IMPOSTAZIONI!O76," - ",IMPOSTAZIONI!V76)</f>
        <v xml:space="preserve">Indirizzo per esteso -  -  - </v>
      </c>
      <c r="G93" s="1483"/>
      <c r="H93" s="1483"/>
      <c r="I93" s="1483"/>
      <c r="J93" s="1483"/>
      <c r="K93" s="1483"/>
      <c r="L93" s="1483"/>
      <c r="M93" s="1483"/>
      <c r="N93" s="114"/>
      <c r="O93" s="114"/>
    </row>
    <row r="94" spans="1:109" s="115" customFormat="1" ht="11.25" customHeight="1" x14ac:dyDescent="0.2">
      <c r="A94" s="571"/>
      <c r="B94" s="114"/>
      <c r="C94" s="114"/>
      <c r="D94" s="114"/>
      <c r="E94" s="114"/>
      <c r="F94" s="114"/>
      <c r="G94" s="114"/>
      <c r="H94" s="114"/>
      <c r="I94" s="114"/>
      <c r="J94" s="114"/>
      <c r="K94" s="114"/>
      <c r="L94" s="114"/>
      <c r="M94" s="114"/>
      <c r="N94" s="114"/>
      <c r="O94" s="114"/>
    </row>
    <row r="95" spans="1:109" s="115" customFormat="1" ht="18.75" customHeight="1" x14ac:dyDescent="0.2">
      <c r="A95" s="571"/>
      <c r="B95" s="602"/>
      <c r="C95" s="452" t="s">
        <v>72</v>
      </c>
      <c r="D95" s="114"/>
      <c r="E95" s="114"/>
      <c r="F95" s="114"/>
      <c r="G95" s="1443" t="s">
        <v>74</v>
      </c>
      <c r="H95" s="1443"/>
      <c r="I95" s="1443"/>
      <c r="J95" s="1443"/>
      <c r="K95" s="1445"/>
      <c r="L95" s="1446"/>
      <c r="M95" s="1447"/>
      <c r="N95" s="309">
        <f>IF(ISBLANK(K95),0,1)</f>
        <v>0</v>
      </c>
      <c r="O95" s="114"/>
      <c r="P95" s="306"/>
      <c r="DE95" s="306"/>
    </row>
    <row r="96" spans="1:109" s="115" customFormat="1" x14ac:dyDescent="0.2">
      <c r="A96" s="571"/>
      <c r="B96" s="114"/>
      <c r="C96" s="603" t="str">
        <f>IF($K$95=$J$173,"ora è disattivato","cambi trimestre")</f>
        <v>cambi trimestre</v>
      </c>
      <c r="D96" s="114"/>
      <c r="E96" s="114"/>
      <c r="F96" s="114"/>
      <c r="G96" s="114"/>
      <c r="H96" s="114"/>
      <c r="I96" s="114"/>
      <c r="J96" s="114"/>
      <c r="K96" s="1385"/>
      <c r="L96" s="1385"/>
      <c r="M96" s="1385"/>
      <c r="N96" s="309"/>
      <c r="O96" s="114"/>
    </row>
    <row r="97" spans="1:38" ht="21.75" customHeight="1" x14ac:dyDescent="0.2">
      <c r="A97" s="572"/>
      <c r="B97" s="25"/>
      <c r="C97" s="618"/>
      <c r="D97" s="618"/>
      <c r="E97" s="595" t="s">
        <v>135</v>
      </c>
      <c r="F97" s="112"/>
      <c r="G97" s="596"/>
      <c r="H97" s="443"/>
      <c r="I97" s="1450" t="str">
        <f>IF(K95="","",IF(J173=K95,B163,B164))</f>
        <v/>
      </c>
      <c r="J97" s="1450"/>
      <c r="K97" s="1450"/>
      <c r="L97" s="1450"/>
      <c r="M97" s="1450"/>
      <c r="N97" s="118"/>
      <c r="O97" s="114"/>
      <c r="P97" s="115"/>
      <c r="Q97" s="115"/>
      <c r="R97" s="115"/>
      <c r="S97" s="115"/>
      <c r="T97" s="115"/>
      <c r="U97" s="115"/>
      <c r="V97" s="115"/>
      <c r="W97" s="115"/>
      <c r="X97" s="115"/>
      <c r="Y97" s="39"/>
      <c r="Z97" s="39"/>
      <c r="AA97" s="39"/>
      <c r="AB97" s="39"/>
      <c r="AC97" s="39"/>
      <c r="AD97" s="39"/>
      <c r="AE97" s="39"/>
      <c r="AF97" s="39"/>
      <c r="AG97" s="39"/>
      <c r="AH97" s="39"/>
      <c r="AI97" s="39"/>
      <c r="AJ97" s="39"/>
      <c r="AK97" s="39"/>
      <c r="AL97" s="39"/>
    </row>
    <row r="98" spans="1:38" ht="21.75" customHeight="1" x14ac:dyDescent="0.25">
      <c r="A98" s="270"/>
      <c r="B98" s="1425" t="str">
        <f>IF(K95=J173,B159,IF(I97=B164,B160,""))</f>
        <v/>
      </c>
      <c r="C98" s="1425"/>
      <c r="D98" s="1425"/>
      <c r="E98" s="1425"/>
      <c r="F98" s="1425"/>
      <c r="G98" s="1425"/>
      <c r="H98" s="1425"/>
      <c r="I98" s="1425"/>
      <c r="J98" s="1425"/>
      <c r="K98" s="1425"/>
      <c r="L98" s="1425"/>
      <c r="M98" s="1425"/>
      <c r="N98" s="554" t="s">
        <v>190</v>
      </c>
      <c r="O98" s="550" t="str">
        <f>IF(K95=J173,I159,H155)</f>
        <v>Il codice che hai inserito nel sistema non è stato riconosciuto.</v>
      </c>
      <c r="P98" s="115"/>
      <c r="Q98" s="115"/>
      <c r="R98" s="115"/>
      <c r="S98" s="115"/>
      <c r="T98" s="115"/>
      <c r="U98" s="115"/>
      <c r="V98" s="115"/>
      <c r="W98" s="115"/>
      <c r="X98" s="115"/>
      <c r="Y98" s="39"/>
      <c r="Z98" s="39"/>
      <c r="AA98" s="39"/>
      <c r="AB98" s="39"/>
      <c r="AC98" s="39"/>
      <c r="AD98" s="39"/>
      <c r="AE98" s="39"/>
      <c r="AF98" s="39"/>
      <c r="AG98" s="39"/>
      <c r="AH98" s="39"/>
      <c r="AI98" s="39"/>
      <c r="AJ98" s="39"/>
      <c r="AK98" s="39"/>
    </row>
    <row r="99" spans="1:38" ht="20.25" customHeight="1" x14ac:dyDescent="0.2">
      <c r="A99" s="270"/>
      <c r="B99" s="25"/>
      <c r="C99" s="1417" t="s">
        <v>482</v>
      </c>
      <c r="D99" s="1417"/>
      <c r="E99" s="1417"/>
      <c r="F99" s="1417"/>
      <c r="G99" s="1417"/>
      <c r="H99" s="1421" t="s">
        <v>483</v>
      </c>
      <c r="I99" s="1421"/>
      <c r="J99" s="1421"/>
      <c r="K99" s="1421"/>
      <c r="L99" s="1421"/>
      <c r="M99" s="1421"/>
      <c r="N99" s="25"/>
      <c r="O99" s="551" t="str">
        <f>IF(K95=J173,I160,H156)</f>
        <v>Le cause possono essere le seguenti:</v>
      </c>
    </row>
    <row r="100" spans="1:38" ht="18" customHeight="1" x14ac:dyDescent="0.2">
      <c r="A100" s="270"/>
      <c r="B100" s="25"/>
      <c r="C100" s="1383" t="str">
        <f>$G$29</f>
        <v>Registro Contabile Giornaliero 6.0.7 - per EXCEL .xlsm</v>
      </c>
      <c r="D100" s="1383"/>
      <c r="E100" s="1383"/>
      <c r="F100" s="1383"/>
      <c r="G100" s="1383"/>
      <c r="H100" s="1383"/>
      <c r="I100" s="1383"/>
      <c r="J100" s="1383"/>
      <c r="K100" s="1383"/>
      <c r="L100" s="1436" t="s">
        <v>289</v>
      </c>
      <c r="M100" s="1436"/>
      <c r="N100" s="25"/>
      <c r="O100" s="25"/>
    </row>
    <row r="101" spans="1:38" ht="13.5" customHeight="1" x14ac:dyDescent="0.2">
      <c r="A101" s="270"/>
      <c r="B101" s="25"/>
      <c r="C101" s="126"/>
      <c r="D101" s="126"/>
      <c r="E101" s="126"/>
      <c r="F101" s="126"/>
      <c r="G101" s="126"/>
      <c r="H101" s="126"/>
      <c r="I101" s="126"/>
      <c r="J101" s="126"/>
      <c r="K101" s="126"/>
      <c r="L101" s="126"/>
      <c r="M101" s="126"/>
      <c r="N101" s="25"/>
      <c r="O101" s="1376" t="s">
        <v>96</v>
      </c>
    </row>
    <row r="102" spans="1:38" ht="13.5" customHeight="1" x14ac:dyDescent="0.2">
      <c r="A102" s="270"/>
      <c r="B102" s="25"/>
      <c r="C102" s="1410" t="s">
        <v>675</v>
      </c>
      <c r="D102" s="1410"/>
      <c r="E102" s="1410"/>
      <c r="F102" s="1410"/>
      <c r="G102" s="1410"/>
      <c r="H102" s="1410"/>
      <c r="I102" s="1410"/>
      <c r="J102" s="1410"/>
      <c r="K102" s="1410"/>
      <c r="L102" s="1410"/>
      <c r="M102" s="1410"/>
      <c r="N102" s="25"/>
      <c r="O102" s="1377" t="s">
        <v>59</v>
      </c>
    </row>
    <row r="103" spans="1:38" ht="13.5" customHeight="1" x14ac:dyDescent="0.2">
      <c r="A103" s="270"/>
      <c r="B103" s="25"/>
      <c r="C103" s="1418" t="s">
        <v>198</v>
      </c>
      <c r="D103" s="1418"/>
      <c r="E103" s="1418"/>
      <c r="F103" s="1418"/>
      <c r="G103" s="1418"/>
      <c r="H103" s="1418"/>
      <c r="I103" s="1418"/>
      <c r="J103" s="1418"/>
      <c r="K103" s="1418"/>
      <c r="L103" s="1418"/>
      <c r="M103" s="1418"/>
      <c r="N103" s="25"/>
      <c r="O103" s="1378" t="s">
        <v>97</v>
      </c>
    </row>
    <row r="104" spans="1:38" ht="13.5" customHeight="1" x14ac:dyDescent="0.2">
      <c r="A104" s="270"/>
      <c r="B104" s="25"/>
      <c r="C104" s="1419" t="s">
        <v>369</v>
      </c>
      <c r="D104" s="1420"/>
      <c r="E104" s="1420"/>
      <c r="F104" s="1420"/>
      <c r="G104" s="1420"/>
      <c r="H104" s="1420"/>
      <c r="I104" s="1420"/>
      <c r="J104" s="1420"/>
      <c r="K104" s="1420"/>
      <c r="L104" s="1420"/>
      <c r="M104" s="1420"/>
      <c r="N104" s="25"/>
      <c r="O104" s="1379" t="s">
        <v>141</v>
      </c>
    </row>
    <row r="105" spans="1:38" ht="13.5" customHeight="1" x14ac:dyDescent="0.2">
      <c r="A105" s="270"/>
      <c r="B105" s="25"/>
      <c r="C105" s="25"/>
      <c r="D105" s="25"/>
      <c r="E105" s="25"/>
      <c r="F105" s="25"/>
      <c r="G105" s="25"/>
      <c r="H105" s="25"/>
      <c r="I105" s="25"/>
      <c r="J105" s="25"/>
      <c r="K105" s="25"/>
      <c r="L105" s="25"/>
      <c r="M105" s="25"/>
      <c r="N105" s="25"/>
      <c r="O105" s="1379" t="s">
        <v>94</v>
      </c>
    </row>
    <row r="106" spans="1:38" ht="13.5" customHeight="1" x14ac:dyDescent="0.2">
      <c r="A106" s="270"/>
      <c r="B106" s="25"/>
      <c r="C106" s="25"/>
      <c r="D106" s="25"/>
      <c r="E106" s="25"/>
      <c r="F106" s="25"/>
      <c r="G106" s="25"/>
      <c r="H106" s="25"/>
      <c r="I106" s="25"/>
      <c r="J106" s="25"/>
      <c r="K106" s="25"/>
      <c r="L106" s="25"/>
      <c r="M106" s="25"/>
      <c r="N106" s="25"/>
      <c r="O106" s="1377" t="s">
        <v>95</v>
      </c>
    </row>
    <row r="107" spans="1:38" ht="13.5" customHeight="1" x14ac:dyDescent="0.2">
      <c r="A107" s="270"/>
      <c r="B107" s="25"/>
      <c r="C107" s="25"/>
      <c r="D107" s="25"/>
      <c r="E107" s="25"/>
      <c r="F107" s="25"/>
      <c r="G107" s="25"/>
      <c r="H107" s="25"/>
      <c r="I107" s="25"/>
      <c r="J107" s="25"/>
      <c r="K107" s="25"/>
      <c r="L107" s="25"/>
      <c r="M107" s="25"/>
      <c r="N107" s="25"/>
      <c r="O107" s="1378" t="s">
        <v>718</v>
      </c>
    </row>
    <row r="108" spans="1:38" ht="13.5" customHeight="1" x14ac:dyDescent="0.2">
      <c r="A108" s="270"/>
      <c r="B108" s="25"/>
      <c r="C108" s="25"/>
      <c r="D108" s="25"/>
      <c r="E108" s="25"/>
      <c r="F108" s="25"/>
      <c r="G108" s="25"/>
      <c r="H108" s="25"/>
      <c r="I108" s="25"/>
      <c r="J108" s="25"/>
      <c r="K108" s="25"/>
      <c r="L108" s="25"/>
      <c r="M108" s="25"/>
      <c r="N108" s="25"/>
      <c r="O108" s="1379" t="s">
        <v>719</v>
      </c>
    </row>
    <row r="109" spans="1:38" ht="13.5" customHeight="1" x14ac:dyDescent="0.2">
      <c r="A109" s="270"/>
      <c r="B109" s="25"/>
      <c r="C109" s="1441" t="s">
        <v>676</v>
      </c>
      <c r="D109" s="1441"/>
      <c r="E109" s="1441"/>
      <c r="F109" s="1441"/>
      <c r="G109" s="1441"/>
      <c r="H109" s="1441"/>
      <c r="I109" s="1441"/>
      <c r="J109" s="1441"/>
      <c r="K109" s="1441"/>
      <c r="L109" s="1441"/>
      <c r="M109" s="1441"/>
      <c r="N109" s="25"/>
      <c r="O109" s="1377" t="s">
        <v>720</v>
      </c>
    </row>
    <row r="110" spans="1:38" ht="13.5" customHeight="1" x14ac:dyDescent="0.2">
      <c r="A110" s="270"/>
      <c r="B110" s="25"/>
      <c r="C110" s="1442" t="s">
        <v>465</v>
      </c>
      <c r="D110" s="1442"/>
      <c r="E110" s="1442"/>
      <c r="F110" s="1442"/>
      <c r="G110" s="1442"/>
      <c r="H110" s="1442"/>
      <c r="I110" s="1442"/>
      <c r="J110" s="1442"/>
      <c r="K110" s="1442"/>
      <c r="L110" s="1442"/>
      <c r="M110" s="1442"/>
      <c r="N110" s="25"/>
      <c r="O110" s="25"/>
    </row>
    <row r="111" spans="1:38" ht="13.5" customHeight="1" x14ac:dyDescent="0.2">
      <c r="A111" s="270"/>
      <c r="B111" s="25"/>
      <c r="C111" s="25"/>
      <c r="D111" s="25"/>
      <c r="E111" s="25"/>
      <c r="F111" s="25"/>
      <c r="G111" s="25"/>
      <c r="H111" s="25"/>
      <c r="I111" s="25"/>
      <c r="J111" s="25"/>
      <c r="K111" s="25"/>
      <c r="L111" s="1430" t="s">
        <v>71</v>
      </c>
      <c r="M111" s="1430"/>
      <c r="N111" s="25"/>
      <c r="O111" s="552" t="s">
        <v>191</v>
      </c>
    </row>
    <row r="112" spans="1:38" ht="13.5" customHeight="1" x14ac:dyDescent="0.25">
      <c r="A112" s="270"/>
      <c r="B112" s="25"/>
      <c r="C112" s="579" t="s">
        <v>368</v>
      </c>
      <c r="D112" s="25"/>
      <c r="E112" s="556"/>
      <c r="F112" s="555" t="s">
        <v>721</v>
      </c>
      <c r="G112" s="25"/>
      <c r="H112" s="1372" t="s">
        <v>192</v>
      </c>
      <c r="I112" s="25"/>
      <c r="J112" s="25"/>
      <c r="K112" s="555" t="s">
        <v>193</v>
      </c>
      <c r="L112" s="580"/>
      <c r="M112" s="580"/>
      <c r="N112" s="25"/>
      <c r="O112" s="25"/>
    </row>
    <row r="113" spans="1:15" ht="13.5" customHeight="1" x14ac:dyDescent="0.25">
      <c r="A113" s="270"/>
      <c r="B113" s="25"/>
      <c r="C113" s="581" t="s">
        <v>72</v>
      </c>
      <c r="D113" s="25"/>
      <c r="E113" s="558"/>
      <c r="F113" s="557" t="s">
        <v>72</v>
      </c>
      <c r="G113" s="25"/>
      <c r="H113" s="1373" t="s">
        <v>73</v>
      </c>
      <c r="I113" s="581" t="s">
        <v>194</v>
      </c>
      <c r="J113" s="25"/>
      <c r="K113" s="313" t="s">
        <v>140</v>
      </c>
      <c r="L113" s="25"/>
      <c r="M113" s="585"/>
      <c r="N113" s="25"/>
      <c r="O113" s="25"/>
    </row>
    <row r="114" spans="1:15" x14ac:dyDescent="0.2">
      <c r="A114" s="270"/>
      <c r="B114" s="25"/>
      <c r="C114" s="25"/>
      <c r="D114" s="25"/>
      <c r="E114" s="1374" t="s">
        <v>717</v>
      </c>
      <c r="F114" s="25"/>
      <c r="G114" s="25"/>
      <c r="H114" s="25"/>
      <c r="I114" s="25"/>
      <c r="J114" s="25"/>
      <c r="K114" s="25"/>
      <c r="L114" s="25"/>
      <c r="M114" s="25"/>
      <c r="N114" s="25"/>
      <c r="O114" s="25"/>
    </row>
    <row r="115" spans="1:15" x14ac:dyDescent="0.2">
      <c r="A115" s="270"/>
      <c r="B115" s="25"/>
      <c r="C115" s="25"/>
      <c r="D115" s="25"/>
      <c r="E115" s="25"/>
      <c r="F115" s="25"/>
      <c r="G115" s="25"/>
      <c r="H115" s="25"/>
      <c r="I115" s="25"/>
      <c r="J115" s="25"/>
      <c r="K115" s="25"/>
      <c r="L115" s="25"/>
      <c r="M115" s="25"/>
      <c r="N115" s="25"/>
      <c r="O115" s="25"/>
    </row>
    <row r="116" spans="1:15" x14ac:dyDescent="0.2">
      <c r="A116" s="270"/>
      <c r="B116" s="25"/>
      <c r="C116" s="295"/>
      <c r="D116" s="295"/>
      <c r="E116" s="295"/>
      <c r="F116" s="295"/>
      <c r="G116" s="295"/>
      <c r="H116" s="295"/>
      <c r="I116" s="295"/>
      <c r="J116" s="295"/>
      <c r="K116" s="295"/>
      <c r="L116" s="295"/>
      <c r="M116" s="295"/>
      <c r="N116" s="25"/>
      <c r="O116" s="25"/>
    </row>
    <row r="117" spans="1:15" ht="12" customHeight="1" x14ac:dyDescent="0.2">
      <c r="A117" s="270"/>
      <c r="B117" s="25"/>
      <c r="C117" s="1277"/>
      <c r="D117" s="25"/>
      <c r="E117" s="25"/>
      <c r="F117" s="25"/>
      <c r="G117" s="308"/>
      <c r="H117" s="25"/>
      <c r="I117" s="316"/>
      <c r="J117" s="25"/>
      <c r="K117" s="593" t="s">
        <v>209</v>
      </c>
      <c r="L117" s="1415" t="s">
        <v>269</v>
      </c>
      <c r="M117" s="25"/>
      <c r="N117" s="25"/>
      <c r="O117" s="25"/>
    </row>
    <row r="118" spans="1:15" ht="16.5" customHeight="1" x14ac:dyDescent="0.2">
      <c r="A118" s="270"/>
      <c r="B118" s="25"/>
      <c r="C118" s="1277"/>
      <c r="D118" s="1412" t="s">
        <v>66</v>
      </c>
      <c r="E118" s="1412"/>
      <c r="F118" s="1412"/>
      <c r="H118" s="25"/>
      <c r="I118" s="1277"/>
      <c r="J118" s="25"/>
      <c r="K118" s="594" t="s">
        <v>210</v>
      </c>
      <c r="L118" s="1416"/>
      <c r="M118" s="25"/>
      <c r="N118" s="25"/>
      <c r="O118" s="25"/>
    </row>
    <row r="119" spans="1:15" ht="15.75" customHeight="1" x14ac:dyDescent="0.2">
      <c r="A119" s="270"/>
      <c r="B119" s="25"/>
      <c r="C119" s="1277"/>
      <c r="D119" s="1432" t="s">
        <v>183</v>
      </c>
      <c r="E119" s="1432"/>
      <c r="F119" s="1432"/>
      <c r="G119" s="1432"/>
      <c r="H119" s="308"/>
      <c r="I119" s="1277"/>
      <c r="J119" s="1277"/>
      <c r="K119" s="1277"/>
      <c r="L119" s="1277"/>
      <c r="M119" s="25"/>
      <c r="N119" s="25"/>
      <c r="O119" s="25"/>
    </row>
    <row r="120" spans="1:15" ht="18" customHeight="1" x14ac:dyDescent="0.2">
      <c r="A120" s="270"/>
      <c r="B120" s="25"/>
      <c r="C120" s="1277"/>
      <c r="D120" s="1411" t="s">
        <v>136</v>
      </c>
      <c r="E120" s="1411"/>
      <c r="F120" s="1411"/>
      <c r="G120" s="1411"/>
      <c r="H120" s="1411"/>
      <c r="I120" s="1411"/>
      <c r="J120" s="1411"/>
      <c r="K120" s="1411"/>
      <c r="L120" s="1215"/>
      <c r="M120" s="25"/>
      <c r="N120" s="25"/>
      <c r="O120" s="25"/>
    </row>
    <row r="121" spans="1:15" ht="14.25" x14ac:dyDescent="0.2">
      <c r="A121" s="270"/>
      <c r="B121" s="25"/>
      <c r="C121" s="1277"/>
      <c r="D121" s="1411" t="s">
        <v>716</v>
      </c>
      <c r="E121" s="1411"/>
      <c r="F121" s="1411"/>
      <c r="G121" s="1411"/>
      <c r="H121" s="1411"/>
      <c r="I121" s="1411"/>
      <c r="J121" s="1411"/>
      <c r="K121" s="1411"/>
      <c r="L121" s="1215"/>
      <c r="M121" s="25"/>
      <c r="N121" s="25"/>
      <c r="O121" s="25"/>
    </row>
    <row r="122" spans="1:15" ht="18" customHeight="1" x14ac:dyDescent="0.2">
      <c r="A122" s="270"/>
      <c r="B122" s="25"/>
      <c r="C122" s="1277"/>
      <c r="D122" s="1406" t="s">
        <v>677</v>
      </c>
      <c r="E122" s="1407"/>
      <c r="F122" s="1407"/>
      <c r="G122" s="1407"/>
      <c r="H122" s="1407"/>
      <c r="I122" s="1407"/>
      <c r="J122" s="1407"/>
      <c r="K122" s="1407"/>
      <c r="L122" s="1277"/>
      <c r="M122" s="25"/>
      <c r="N122" s="25"/>
      <c r="O122" s="25"/>
    </row>
    <row r="123" spans="1:15" ht="18" customHeight="1" x14ac:dyDescent="0.2">
      <c r="A123" s="270"/>
      <c r="B123" s="25"/>
      <c r="C123" s="1277"/>
      <c r="D123" s="1408" t="s">
        <v>466</v>
      </c>
      <c r="E123" s="1408"/>
      <c r="F123" s="1408"/>
      <c r="G123" s="1408"/>
      <c r="H123" s="1408"/>
      <c r="I123" s="1408"/>
      <c r="J123" s="1408"/>
      <c r="K123" s="1408"/>
      <c r="L123" s="1277"/>
      <c r="M123" s="25"/>
      <c r="N123" s="25"/>
      <c r="O123" s="25"/>
    </row>
    <row r="124" spans="1:15" ht="14.25" x14ac:dyDescent="0.2">
      <c r="A124" s="270"/>
      <c r="B124" s="25"/>
      <c r="C124" s="1277"/>
      <c r="D124" s="1405" t="s">
        <v>468</v>
      </c>
      <c r="E124" s="1405"/>
      <c r="F124" s="1405"/>
      <c r="G124" s="1405"/>
      <c r="H124" s="1405"/>
      <c r="I124" s="1405"/>
      <c r="J124" s="1405"/>
      <c r="K124" s="1405"/>
      <c r="L124" s="1277"/>
      <c r="M124" s="25"/>
      <c r="N124" s="25"/>
      <c r="O124" s="25"/>
    </row>
    <row r="125" spans="1:15" ht="18" customHeight="1" x14ac:dyDescent="0.2">
      <c r="A125" s="270"/>
      <c r="B125" s="25"/>
      <c r="C125" s="1277"/>
      <c r="D125" s="1429" t="s">
        <v>467</v>
      </c>
      <c r="E125" s="1429"/>
      <c r="F125" s="1429"/>
      <c r="G125" s="591"/>
      <c r="H125" s="591"/>
      <c r="I125" s="591"/>
      <c r="J125" s="591"/>
      <c r="K125" s="591"/>
      <c r="L125" s="1277"/>
      <c r="M125" s="25"/>
      <c r="N125" s="25"/>
      <c r="O125" s="25"/>
    </row>
    <row r="126" spans="1:15" ht="18" customHeight="1" x14ac:dyDescent="0.2">
      <c r="A126" s="270"/>
      <c r="B126" s="25"/>
      <c r="C126" s="1277"/>
      <c r="D126" s="1408" t="s">
        <v>184</v>
      </c>
      <c r="E126" s="1408"/>
      <c r="F126" s="1408"/>
      <c r="G126" s="1408"/>
      <c r="H126" s="1408"/>
      <c r="I126" s="1408"/>
      <c r="J126" s="1408"/>
      <c r="K126" s="1408"/>
      <c r="L126" s="1277"/>
      <c r="M126" s="25"/>
      <c r="N126" s="25"/>
      <c r="O126" s="25"/>
    </row>
    <row r="127" spans="1:15" ht="18" customHeight="1" x14ac:dyDescent="0.2">
      <c r="A127" s="270"/>
      <c r="B127" s="25"/>
      <c r="C127" s="1277"/>
      <c r="D127" s="1407" t="s">
        <v>185</v>
      </c>
      <c r="E127" s="1407"/>
      <c r="F127" s="1407"/>
      <c r="G127" s="1407"/>
      <c r="H127" s="1407"/>
      <c r="I127" s="1407"/>
      <c r="J127" s="1407"/>
      <c r="K127" s="1407"/>
      <c r="L127" s="1216" t="s">
        <v>72</v>
      </c>
      <c r="M127" s="25"/>
      <c r="N127" s="25"/>
      <c r="O127" s="25"/>
    </row>
    <row r="128" spans="1:15" ht="18" customHeight="1" x14ac:dyDescent="0.2">
      <c r="A128" s="270"/>
      <c r="B128" s="25"/>
      <c r="C128" s="1277"/>
      <c r="D128" s="1414" t="s">
        <v>485</v>
      </c>
      <c r="E128" s="1414"/>
      <c r="F128" s="1414"/>
      <c r="G128" s="1414"/>
      <c r="H128" s="1414"/>
      <c r="I128" s="1414"/>
      <c r="J128" s="1414"/>
      <c r="K128" s="1414"/>
      <c r="L128" s="1277"/>
      <c r="M128" s="25"/>
      <c r="N128" s="25"/>
      <c r="O128" s="25"/>
    </row>
    <row r="129" spans="1:15" ht="33" customHeight="1" x14ac:dyDescent="0.2">
      <c r="A129" s="1259"/>
      <c r="B129" s="614"/>
      <c r="C129" s="614"/>
      <c r="D129" s="614"/>
      <c r="E129" s="614"/>
      <c r="F129" s="614"/>
      <c r="G129" s="614"/>
      <c r="H129" s="614"/>
      <c r="I129" s="614"/>
      <c r="J129" s="614"/>
      <c r="K129" s="614"/>
      <c r="L129" s="614"/>
      <c r="M129" s="614"/>
      <c r="N129" s="614"/>
      <c r="O129" s="614"/>
    </row>
    <row r="130" spans="1:15" ht="18" customHeight="1" x14ac:dyDescent="0.2">
      <c r="A130" s="1259"/>
      <c r="B130" s="614"/>
      <c r="C130" s="614"/>
      <c r="D130" s="614"/>
      <c r="E130" s="614"/>
      <c r="F130" s="614"/>
      <c r="G130" s="614"/>
      <c r="H130" s="614"/>
      <c r="I130" s="614"/>
      <c r="J130" s="614"/>
      <c r="K130" s="614"/>
      <c r="L130" s="614"/>
      <c r="M130" s="614"/>
      <c r="N130" s="614"/>
      <c r="O130" s="614"/>
    </row>
    <row r="131" spans="1:15" ht="18" customHeight="1" x14ac:dyDescent="0.2">
      <c r="A131" s="1259"/>
      <c r="B131" s="614"/>
      <c r="C131" s="614"/>
      <c r="D131" s="614"/>
      <c r="E131" s="614"/>
      <c r="F131" s="614"/>
      <c r="G131" s="614"/>
      <c r="H131" s="614"/>
      <c r="I131" s="614"/>
      <c r="J131" s="614"/>
      <c r="K131" s="614"/>
      <c r="L131" s="614"/>
      <c r="M131" s="614"/>
      <c r="N131" s="614"/>
      <c r="O131" s="614"/>
    </row>
    <row r="132" spans="1:15" ht="18" customHeight="1" x14ac:dyDescent="0.2">
      <c r="A132" s="1259"/>
      <c r="B132" s="614"/>
      <c r="C132" s="614"/>
      <c r="D132" s="614"/>
      <c r="E132" s="614"/>
      <c r="F132" s="614"/>
      <c r="G132" s="614"/>
      <c r="H132" s="614"/>
      <c r="I132" s="614"/>
      <c r="J132" s="614"/>
      <c r="K132" s="614"/>
      <c r="L132" s="614"/>
      <c r="M132" s="614"/>
      <c r="N132" s="614"/>
      <c r="O132" s="614"/>
    </row>
    <row r="133" spans="1:15" ht="18" customHeight="1" x14ac:dyDescent="0.2">
      <c r="A133" s="1259"/>
      <c r="B133" s="614"/>
      <c r="C133" s="614"/>
      <c r="D133" s="614"/>
      <c r="E133" s="614"/>
      <c r="F133" s="614"/>
      <c r="G133" s="614"/>
      <c r="H133" s="614"/>
      <c r="I133" s="614"/>
      <c r="J133" s="614"/>
      <c r="K133" s="614"/>
      <c r="L133" s="614"/>
      <c r="M133" s="614"/>
      <c r="N133" s="614"/>
      <c r="O133" s="614"/>
    </row>
    <row r="134" spans="1:15" ht="18" customHeight="1" x14ac:dyDescent="0.2">
      <c r="A134" s="1259"/>
      <c r="B134" s="614"/>
      <c r="C134" s="614"/>
      <c r="D134" s="614"/>
      <c r="E134" s="614"/>
      <c r="F134" s="614"/>
      <c r="G134" s="614"/>
      <c r="H134" s="614"/>
      <c r="I134" s="614"/>
      <c r="J134" s="614"/>
      <c r="K134" s="614"/>
      <c r="L134" s="614"/>
      <c r="M134" s="614"/>
      <c r="N134" s="614"/>
      <c r="O134" s="614"/>
    </row>
    <row r="135" spans="1:15" ht="15.75" customHeight="1" x14ac:dyDescent="0.2">
      <c r="A135" s="1259"/>
      <c r="B135" s="614"/>
      <c r="C135" s="614"/>
      <c r="D135" s="614"/>
      <c r="E135" s="614"/>
      <c r="F135" s="614"/>
      <c r="G135" s="614"/>
      <c r="H135" s="614"/>
      <c r="I135" s="614"/>
      <c r="J135" s="614"/>
      <c r="K135" s="614"/>
      <c r="L135" s="614"/>
      <c r="M135" s="614"/>
      <c r="N135" s="614"/>
      <c r="O135" s="614"/>
    </row>
    <row r="136" spans="1:15" ht="18.75" customHeight="1" x14ac:dyDescent="0.2">
      <c r="A136" s="270"/>
      <c r="B136" s="25"/>
      <c r="C136" s="1399" t="str">
        <f>CONCATENATE(G29,"   /   Sistema originale, nessuna riproduzione è permessa.")</f>
        <v>Registro Contabile Giornaliero 6.0.7 - per EXCEL .xlsm   /   Sistema originale, nessuna riproduzione è permessa.</v>
      </c>
      <c r="D136" s="1399"/>
      <c r="E136" s="1399"/>
      <c r="F136" s="1399"/>
      <c r="G136" s="1399"/>
      <c r="H136" s="1399"/>
      <c r="I136" s="1399"/>
      <c r="J136" s="1399"/>
      <c r="K136" s="1399"/>
      <c r="L136" s="1399"/>
      <c r="M136" s="1399"/>
      <c r="N136" s="25"/>
      <c r="O136" s="25"/>
    </row>
    <row r="137" spans="1:15" ht="15.75" customHeight="1" x14ac:dyDescent="0.2">
      <c r="A137" s="270"/>
      <c r="B137" s="25"/>
      <c r="C137" s="1413" t="s">
        <v>186</v>
      </c>
      <c r="D137" s="1413"/>
      <c r="E137" s="1413"/>
      <c r="F137" s="1413"/>
      <c r="G137" s="1413"/>
      <c r="H137" s="1413"/>
      <c r="I137" s="1413"/>
      <c r="J137" s="1413"/>
      <c r="K137" s="1413"/>
      <c r="L137" s="1413"/>
      <c r="M137" s="1413"/>
      <c r="N137" s="25"/>
      <c r="O137" s="25"/>
    </row>
    <row r="138" spans="1:15" ht="12.75" customHeight="1" x14ac:dyDescent="0.2">
      <c r="A138" s="270"/>
      <c r="B138" s="25"/>
      <c r="C138" s="1434" t="s">
        <v>233</v>
      </c>
      <c r="D138" s="1434"/>
      <c r="E138" s="1434"/>
      <c r="F138" s="1434"/>
      <c r="G138" s="1434"/>
      <c r="H138" s="1434"/>
      <c r="I138" s="1434"/>
      <c r="J138" s="1434"/>
      <c r="K138" s="1434"/>
      <c r="L138" s="1434"/>
      <c r="M138" s="1434"/>
      <c r="N138" s="25"/>
      <c r="O138" s="25"/>
    </row>
    <row r="139" spans="1:15" ht="15.75" customHeight="1" x14ac:dyDescent="0.2">
      <c r="A139" s="270"/>
      <c r="B139" s="25"/>
      <c r="C139" s="1409" t="s">
        <v>234</v>
      </c>
      <c r="D139" s="1409"/>
      <c r="E139" s="1409"/>
      <c r="F139" s="1409"/>
      <c r="G139" s="1409"/>
      <c r="H139" s="1409"/>
      <c r="I139" s="1409"/>
      <c r="J139" s="1409"/>
      <c r="K139" s="1409"/>
      <c r="L139" s="1409"/>
      <c r="M139" s="1409"/>
      <c r="N139" s="25"/>
      <c r="O139" s="25"/>
    </row>
    <row r="140" spans="1:15" ht="15.75" customHeight="1" x14ac:dyDescent="0.2">
      <c r="A140" s="270"/>
      <c r="B140" s="25"/>
      <c r="C140" s="1413" t="s">
        <v>187</v>
      </c>
      <c r="D140" s="1413"/>
      <c r="E140" s="1413"/>
      <c r="F140" s="1413"/>
      <c r="G140" s="1413"/>
      <c r="H140" s="1413"/>
      <c r="I140" s="1413"/>
      <c r="J140" s="1413"/>
      <c r="K140" s="1413"/>
      <c r="L140" s="1413"/>
      <c r="M140" s="1413"/>
      <c r="N140" s="25"/>
      <c r="O140" s="25"/>
    </row>
    <row r="141" spans="1:15" ht="18" customHeight="1" x14ac:dyDescent="0.2">
      <c r="A141" s="270"/>
      <c r="B141" s="25"/>
      <c r="C141" s="1409" t="s">
        <v>188</v>
      </c>
      <c r="D141" s="1409"/>
      <c r="E141" s="1409"/>
      <c r="F141" s="1409"/>
      <c r="G141" s="1409"/>
      <c r="H141" s="1409"/>
      <c r="I141" s="1409"/>
      <c r="J141" s="1409"/>
      <c r="K141" s="1409"/>
      <c r="L141" s="1409"/>
      <c r="M141" s="1409"/>
      <c r="N141" s="25"/>
      <c r="O141" s="25"/>
    </row>
    <row r="142" spans="1:15" ht="15.75" customHeight="1" x14ac:dyDescent="0.2">
      <c r="A142" s="270"/>
      <c r="B142" s="25"/>
      <c r="C142" s="25"/>
      <c r="D142" s="25"/>
      <c r="E142" s="25"/>
      <c r="F142" s="25"/>
      <c r="G142" s="25"/>
      <c r="H142" s="25"/>
      <c r="I142" s="25"/>
      <c r="J142" s="25"/>
      <c r="K142" s="25"/>
      <c r="L142" s="25"/>
      <c r="M142" s="25"/>
      <c r="N142" s="25"/>
      <c r="O142" s="25"/>
    </row>
    <row r="143" spans="1:15" ht="15" customHeight="1" x14ac:dyDescent="0.2">
      <c r="A143" s="270"/>
      <c r="B143" s="25"/>
      <c r="C143" s="548"/>
      <c r="D143" s="548"/>
      <c r="E143" s="548"/>
      <c r="F143" s="548"/>
      <c r="G143" s="548"/>
      <c r="H143" s="548"/>
      <c r="I143" s="548"/>
      <c r="J143" s="548"/>
      <c r="K143" s="548"/>
      <c r="L143" s="548"/>
      <c r="M143" s="548"/>
      <c r="N143" s="25"/>
      <c r="O143" s="25"/>
    </row>
    <row r="144" spans="1:15" ht="15" customHeight="1" x14ac:dyDescent="0.2">
      <c r="A144" s="270"/>
      <c r="B144" s="25"/>
      <c r="C144" s="295"/>
      <c r="D144" s="295"/>
      <c r="E144" s="295"/>
      <c r="F144" s="295"/>
      <c r="G144" s="295"/>
      <c r="H144" s="295"/>
      <c r="I144" s="295"/>
      <c r="J144" s="295"/>
      <c r="K144" s="295"/>
      <c r="L144" s="295"/>
      <c r="M144" s="295"/>
      <c r="N144" s="25"/>
      <c r="O144" s="25"/>
    </row>
    <row r="145" spans="1:37" ht="18.75" customHeight="1" x14ac:dyDescent="0.2">
      <c r="A145" s="270"/>
      <c r="B145" s="25"/>
      <c r="C145" s="1433" t="s">
        <v>55</v>
      </c>
      <c r="D145" s="1433"/>
      <c r="E145" s="1433"/>
      <c r="F145" s="1433"/>
      <c r="G145" s="1433"/>
      <c r="H145" s="1433"/>
      <c r="I145" s="1433"/>
      <c r="J145" s="1433"/>
      <c r="K145" s="1433"/>
      <c r="L145" s="1433"/>
      <c r="M145" s="1433"/>
      <c r="N145" s="25"/>
      <c r="O145" s="25"/>
    </row>
    <row r="146" spans="1:37" ht="13.5" customHeight="1" x14ac:dyDescent="0.2">
      <c r="A146" s="270"/>
      <c r="B146" s="25"/>
      <c r="C146" s="1418" t="s">
        <v>57</v>
      </c>
      <c r="D146" s="1418"/>
      <c r="E146" s="1418"/>
      <c r="F146" s="1418"/>
      <c r="G146" s="1418"/>
      <c r="H146" s="1418"/>
      <c r="I146" s="1418"/>
      <c r="J146" s="1418"/>
      <c r="K146" s="1418"/>
      <c r="L146" s="1418"/>
      <c r="M146" s="1418"/>
      <c r="N146" s="25"/>
      <c r="O146" s="25"/>
    </row>
    <row r="147" spans="1:37" ht="13.5" customHeight="1" x14ac:dyDescent="0.2">
      <c r="A147" s="270"/>
      <c r="B147" s="25"/>
      <c r="C147" s="1422" t="s">
        <v>56</v>
      </c>
      <c r="D147" s="1422"/>
      <c r="E147" s="1422"/>
      <c r="F147" s="1422"/>
      <c r="G147" s="1422"/>
      <c r="H147" s="1422"/>
      <c r="I147" s="1422"/>
      <c r="J147" s="1422"/>
      <c r="K147" s="1422"/>
      <c r="L147" s="1422"/>
      <c r="M147" s="1422"/>
      <c r="N147" s="25"/>
      <c r="O147" s="25"/>
    </row>
    <row r="148" spans="1:37" ht="13.5" customHeight="1" x14ac:dyDescent="0.2">
      <c r="A148" s="270"/>
      <c r="B148" s="25"/>
      <c r="C148" s="1423" t="s">
        <v>139</v>
      </c>
      <c r="D148" s="1423"/>
      <c r="E148" s="1423"/>
      <c r="F148" s="1423"/>
      <c r="G148" s="1423"/>
      <c r="H148" s="25"/>
      <c r="I148" s="25"/>
      <c r="J148" s="25"/>
      <c r="K148" s="25"/>
      <c r="L148" s="25"/>
      <c r="M148" s="25"/>
      <c r="N148" s="25"/>
      <c r="O148" s="25"/>
    </row>
    <row r="149" spans="1:37" ht="13.5" customHeight="1" x14ac:dyDescent="0.2">
      <c r="A149" s="270"/>
      <c r="B149" s="25"/>
      <c r="C149" s="1431" t="s">
        <v>71</v>
      </c>
      <c r="D149" s="1431"/>
      <c r="E149" s="312"/>
      <c r="F149" s="295"/>
      <c r="G149" s="295"/>
      <c r="H149" s="25"/>
      <c r="I149" s="25"/>
      <c r="J149" s="25"/>
      <c r="K149" s="307"/>
      <c r="L149" s="307"/>
      <c r="M149" s="307"/>
      <c r="N149" s="25"/>
      <c r="O149" s="582" t="s">
        <v>98</v>
      </c>
    </row>
    <row r="150" spans="1:37" ht="15" customHeight="1" x14ac:dyDescent="0.2">
      <c r="A150" s="270"/>
      <c r="B150" s="25"/>
      <c r="C150" s="583"/>
      <c r="D150" s="583"/>
      <c r="E150" s="312"/>
      <c r="F150" s="295"/>
      <c r="G150" s="295"/>
      <c r="H150" s="25"/>
      <c r="I150" s="25"/>
      <c r="J150" s="25"/>
      <c r="K150" s="307"/>
      <c r="L150" s="307"/>
      <c r="M150" s="307"/>
      <c r="N150" s="25"/>
      <c r="O150" s="584"/>
    </row>
    <row r="151" spans="1:37" ht="15" customHeight="1" x14ac:dyDescent="0.2">
      <c r="A151" s="270"/>
      <c r="B151" s="25"/>
      <c r="C151" s="583"/>
      <c r="D151" s="583"/>
      <c r="E151" s="312"/>
      <c r="F151" s="295"/>
      <c r="G151" s="295"/>
      <c r="H151" s="25"/>
      <c r="I151" s="25"/>
      <c r="J151" s="25"/>
      <c r="K151" s="307"/>
      <c r="L151" s="307"/>
      <c r="M151" s="307"/>
      <c r="N151" s="25"/>
      <c r="O151" s="584"/>
    </row>
    <row r="152" spans="1:37" ht="18" customHeight="1" x14ac:dyDescent="0.2">
      <c r="A152" s="270"/>
      <c r="B152" s="25"/>
      <c r="C152" s="1403" t="str">
        <f>$G$29</f>
        <v>Registro Contabile Giornaliero 6.0.7 - per EXCEL .xlsm</v>
      </c>
      <c r="D152" s="1403"/>
      <c r="E152" s="1403"/>
      <c r="F152" s="1403"/>
      <c r="G152" s="1403"/>
      <c r="H152" s="1403"/>
      <c r="I152" s="1403"/>
      <c r="J152" s="1403"/>
      <c r="K152" s="1403"/>
      <c r="L152" s="1404" t="s">
        <v>289</v>
      </c>
      <c r="M152" s="1404"/>
      <c r="N152" s="25"/>
      <c r="O152" s="25"/>
    </row>
    <row r="153" spans="1:37" ht="22.5" customHeight="1" x14ac:dyDescent="0.2">
      <c r="A153" s="270"/>
      <c r="B153" s="111"/>
      <c r="C153" s="111"/>
      <c r="D153" s="111"/>
      <c r="E153" s="111"/>
      <c r="F153" s="111"/>
      <c r="G153" s="111"/>
      <c r="H153" s="111"/>
      <c r="I153" s="111"/>
      <c r="J153" s="111"/>
      <c r="K153" s="111"/>
      <c r="L153" s="111"/>
      <c r="M153" s="111"/>
      <c r="N153" s="38"/>
      <c r="O153" s="38"/>
      <c r="P153" s="1368"/>
      <c r="Q153" s="115"/>
      <c r="R153" s="115"/>
      <c r="S153" s="115"/>
      <c r="T153" s="115"/>
      <c r="U153" s="115"/>
      <c r="V153" s="115"/>
      <c r="W153" s="115"/>
      <c r="X153" s="115"/>
      <c r="Y153" s="39"/>
      <c r="Z153" s="39"/>
      <c r="AA153" s="39"/>
      <c r="AB153" s="39"/>
      <c r="AC153" s="39"/>
      <c r="AD153" s="39"/>
      <c r="AE153" s="39"/>
      <c r="AF153" s="39"/>
      <c r="AG153" s="39"/>
      <c r="AH153" s="39"/>
      <c r="AI153" s="39"/>
      <c r="AJ153" s="39"/>
      <c r="AK153" s="39"/>
    </row>
    <row r="154" spans="1:37" ht="11.25" hidden="1" customHeight="1" x14ac:dyDescent="0.2">
      <c r="A154" s="604"/>
      <c r="B154" s="605"/>
      <c r="C154" s="606"/>
      <c r="D154" s="606"/>
      <c r="E154" s="606"/>
      <c r="F154" s="606"/>
      <c r="G154" s="606"/>
      <c r="H154" s="607"/>
      <c r="I154" s="606"/>
      <c r="J154" s="606"/>
      <c r="K154" s="606"/>
      <c r="L154" s="606"/>
      <c r="M154" s="606"/>
      <c r="N154" s="606"/>
      <c r="O154" s="606"/>
      <c r="P154" s="608"/>
      <c r="Q154" s="608"/>
      <c r="R154" s="608"/>
      <c r="S154" s="608"/>
      <c r="T154" s="115"/>
      <c r="U154" s="115"/>
      <c r="V154" s="115"/>
      <c r="W154" s="115"/>
      <c r="X154" s="115"/>
      <c r="Y154" s="39"/>
      <c r="Z154" s="39"/>
      <c r="AA154" s="39"/>
      <c r="AB154" s="39"/>
      <c r="AC154" s="39"/>
      <c r="AD154" s="39"/>
      <c r="AE154" s="39"/>
      <c r="AF154" s="39"/>
      <c r="AG154" s="39"/>
      <c r="AH154" s="39"/>
      <c r="AI154" s="39"/>
      <c r="AJ154" s="39"/>
      <c r="AK154" s="39"/>
    </row>
    <row r="155" spans="1:37" s="368" customFormat="1" ht="12.75" hidden="1" customHeight="1" x14ac:dyDescent="0.2">
      <c r="A155" s="604"/>
      <c r="B155" s="605" t="s">
        <v>173</v>
      </c>
      <c r="C155" s="606"/>
      <c r="D155" s="606"/>
      <c r="E155" s="606"/>
      <c r="F155" s="606"/>
      <c r="G155" s="606"/>
      <c r="H155" s="607" t="s">
        <v>50</v>
      </c>
      <c r="I155" s="606"/>
      <c r="J155" s="606"/>
      <c r="K155" s="606"/>
      <c r="L155" s="606"/>
      <c r="M155" s="606"/>
      <c r="N155" s="606"/>
      <c r="O155" s="606"/>
      <c r="P155" s="609"/>
      <c r="Q155" s="609"/>
      <c r="R155" s="609"/>
      <c r="S155" s="609"/>
      <c r="T155" s="369"/>
      <c r="U155" s="369"/>
      <c r="V155" s="369"/>
      <c r="W155" s="369"/>
      <c r="X155" s="369"/>
    </row>
    <row r="156" spans="1:37" s="368" customFormat="1" ht="12.75" hidden="1" customHeight="1" x14ac:dyDescent="0.2">
      <c r="A156" s="604"/>
      <c r="B156" s="610" t="s">
        <v>412</v>
      </c>
      <c r="C156" s="606"/>
      <c r="D156" s="606"/>
      <c r="E156" s="606"/>
      <c r="F156" s="606"/>
      <c r="G156" s="606"/>
      <c r="H156" s="610" t="s">
        <v>51</v>
      </c>
      <c r="I156" s="606"/>
      <c r="J156" s="606"/>
      <c r="K156" s="606"/>
      <c r="L156" s="606"/>
      <c r="M156" s="606"/>
      <c r="N156" s="606"/>
      <c r="O156" s="606"/>
      <c r="P156" s="609"/>
      <c r="Q156" s="609"/>
      <c r="R156" s="609"/>
      <c r="S156" s="609"/>
      <c r="T156" s="369"/>
      <c r="U156" s="369"/>
      <c r="V156" s="369"/>
      <c r="W156" s="369"/>
      <c r="X156" s="369"/>
    </row>
    <row r="157" spans="1:37" s="368" customFormat="1" ht="12.75" hidden="1" customHeight="1" x14ac:dyDescent="0.2">
      <c r="A157" s="604"/>
      <c r="B157" s="605" t="s">
        <v>411</v>
      </c>
      <c r="C157" s="606"/>
      <c r="D157" s="606"/>
      <c r="E157" s="606"/>
      <c r="F157" s="606"/>
      <c r="G157" s="606"/>
      <c r="H157" s="606"/>
      <c r="I157" s="606"/>
      <c r="J157" s="606"/>
      <c r="K157" s="606"/>
      <c r="L157" s="606"/>
      <c r="M157" s="606"/>
      <c r="N157" s="606"/>
      <c r="O157" s="606"/>
      <c r="P157" s="609"/>
      <c r="Q157" s="609"/>
      <c r="R157" s="609"/>
      <c r="S157" s="609"/>
      <c r="T157" s="369"/>
      <c r="U157" s="369"/>
      <c r="V157" s="369"/>
      <c r="W157" s="369"/>
      <c r="X157" s="369"/>
    </row>
    <row r="158" spans="1:37" s="368" customFormat="1" ht="12.75" hidden="1" customHeight="1" x14ac:dyDescent="0.2">
      <c r="A158" s="604"/>
      <c r="B158" s="610" t="s">
        <v>413</v>
      </c>
      <c r="C158" s="606"/>
      <c r="D158" s="606"/>
      <c r="E158" s="606"/>
      <c r="F158" s="606"/>
      <c r="G158" s="606"/>
      <c r="H158" s="606"/>
      <c r="I158" s="606"/>
      <c r="J158" s="606"/>
      <c r="K158" s="611" t="s">
        <v>75</v>
      </c>
      <c r="L158" s="611"/>
      <c r="M158" s="606"/>
      <c r="N158" s="606"/>
      <c r="O158" s="606"/>
      <c r="P158" s="609"/>
      <c r="Q158" s="609"/>
      <c r="R158" s="609"/>
      <c r="S158" s="609"/>
      <c r="T158" s="369"/>
      <c r="U158" s="369"/>
      <c r="V158" s="369"/>
      <c r="W158" s="369"/>
      <c r="X158" s="369"/>
    </row>
    <row r="159" spans="1:37" s="368" customFormat="1" ht="12.75" hidden="1" customHeight="1" x14ac:dyDescent="0.2">
      <c r="A159" s="604"/>
      <c r="B159" s="610" t="s">
        <v>414</v>
      </c>
      <c r="C159" s="606"/>
      <c r="D159" s="606"/>
      <c r="E159" s="606"/>
      <c r="F159" s="606"/>
      <c r="G159" s="606"/>
      <c r="H159" s="606"/>
      <c r="I159" s="607" t="s">
        <v>60</v>
      </c>
      <c r="J159" s="606"/>
      <c r="K159" s="606"/>
      <c r="L159" s="606"/>
      <c r="M159" s="606"/>
      <c r="N159" s="606"/>
      <c r="O159" s="606"/>
      <c r="P159" s="609"/>
      <c r="Q159" s="609"/>
      <c r="R159" s="609"/>
      <c r="S159" s="609"/>
      <c r="T159" s="369"/>
      <c r="U159" s="369"/>
      <c r="V159" s="369"/>
      <c r="W159" s="369"/>
      <c r="X159" s="369"/>
    </row>
    <row r="160" spans="1:37" s="368" customFormat="1" ht="12.75" hidden="1" customHeight="1" x14ac:dyDescent="0.2">
      <c r="A160" s="604"/>
      <c r="B160" s="610" t="s">
        <v>189</v>
      </c>
      <c r="C160" s="606"/>
      <c r="D160" s="606"/>
      <c r="E160" s="606"/>
      <c r="F160" s="606"/>
      <c r="G160" s="606"/>
      <c r="H160" s="606"/>
      <c r="I160" s="610" t="s">
        <v>65</v>
      </c>
      <c r="J160" s="606"/>
      <c r="K160" s="606"/>
      <c r="L160" s="606"/>
      <c r="M160" s="606"/>
      <c r="N160" s="606"/>
      <c r="O160" s="606"/>
      <c r="P160" s="609"/>
      <c r="Q160" s="609"/>
      <c r="R160" s="609"/>
      <c r="S160" s="609"/>
      <c r="T160" s="369"/>
      <c r="U160" s="369"/>
      <c r="V160" s="369"/>
      <c r="W160" s="369"/>
      <c r="X160" s="369"/>
    </row>
    <row r="161" spans="1:107" s="368" customFormat="1" ht="12.75" hidden="1" customHeight="1" x14ac:dyDescent="0.2">
      <c r="A161" s="604"/>
      <c r="B161" s="606"/>
      <c r="C161" s="606"/>
      <c r="D161" s="606"/>
      <c r="E161" s="606"/>
      <c r="F161" s="606"/>
      <c r="G161" s="606"/>
      <c r="H161" s="606"/>
      <c r="I161" s="606"/>
      <c r="J161" s="606"/>
      <c r="K161" s="606"/>
      <c r="L161" s="606"/>
      <c r="M161" s="606"/>
      <c r="N161" s="606"/>
      <c r="O161" s="606"/>
      <c r="P161" s="609"/>
      <c r="Q161" s="609"/>
      <c r="R161" s="609"/>
      <c r="S161" s="609"/>
      <c r="T161" s="369"/>
      <c r="U161" s="369"/>
      <c r="V161" s="369"/>
      <c r="W161" s="369"/>
      <c r="X161" s="369"/>
    </row>
    <row r="162" spans="1:107" s="368" customFormat="1" ht="12.75" hidden="1" customHeight="1" x14ac:dyDescent="0.2">
      <c r="A162" s="604"/>
      <c r="B162" s="606"/>
      <c r="C162" s="606"/>
      <c r="D162" s="606"/>
      <c r="E162" s="606"/>
      <c r="F162" s="606"/>
      <c r="G162" s="606"/>
      <c r="H162" s="606"/>
      <c r="I162" s="612"/>
      <c r="J162" s="606"/>
      <c r="K162" s="606"/>
      <c r="L162" s="606"/>
      <c r="M162" s="606"/>
      <c r="N162" s="606"/>
      <c r="O162" s="606"/>
      <c r="P162" s="609"/>
      <c r="Q162" s="609"/>
      <c r="R162" s="609"/>
      <c r="S162" s="609"/>
      <c r="T162" s="369"/>
      <c r="U162" s="369"/>
      <c r="V162" s="369"/>
      <c r="W162" s="369"/>
      <c r="X162" s="369"/>
    </row>
    <row r="163" spans="1:107" s="368" customFormat="1" ht="12.75" hidden="1" customHeight="1" x14ac:dyDescent="0.2">
      <c r="A163" s="604"/>
      <c r="B163" s="605" t="s">
        <v>399</v>
      </c>
      <c r="C163" s="604"/>
      <c r="D163" s="604"/>
      <c r="E163" s="606" t="s">
        <v>269</v>
      </c>
      <c r="G163" s="604"/>
      <c r="H163" s="604"/>
      <c r="I163" s="606" t="s">
        <v>208</v>
      </c>
      <c r="J163" s="604"/>
      <c r="K163" s="604"/>
      <c r="L163" s="604"/>
      <c r="M163" s="604"/>
      <c r="N163" s="604"/>
      <c r="O163" s="604"/>
      <c r="P163" s="609"/>
      <c r="Q163" s="609"/>
      <c r="R163" s="609"/>
      <c r="S163" s="609"/>
      <c r="T163" s="369"/>
      <c r="U163" s="369"/>
      <c r="V163" s="369"/>
      <c r="W163" s="369"/>
      <c r="X163" s="369"/>
    </row>
    <row r="164" spans="1:107" s="368" customFormat="1" ht="12.75" hidden="1" customHeight="1" x14ac:dyDescent="0.2">
      <c r="A164" s="604"/>
      <c r="B164" s="605" t="s">
        <v>401</v>
      </c>
      <c r="C164" s="604"/>
      <c r="D164" s="604"/>
      <c r="E164" s="606" t="s">
        <v>130</v>
      </c>
      <c r="F164" s="606" t="b">
        <f>IF(L117=E163,TRUE,FALSE)</f>
        <v>1</v>
      </c>
      <c r="G164" s="604"/>
      <c r="H164" s="604"/>
      <c r="I164" s="606" t="s">
        <v>400</v>
      </c>
      <c r="J164" s="604"/>
      <c r="K164" s="604"/>
      <c r="L164" s="604"/>
      <c r="M164" s="604"/>
      <c r="N164" s="604"/>
      <c r="O164" s="604"/>
      <c r="P164" s="609"/>
      <c r="Q164" s="609"/>
      <c r="R164" s="609"/>
      <c r="S164" s="609"/>
      <c r="T164" s="369"/>
      <c r="U164" s="369"/>
      <c r="V164" s="369"/>
      <c r="W164" s="369"/>
      <c r="X164" s="369"/>
    </row>
    <row r="165" spans="1:107" s="368" customFormat="1" ht="12.75" hidden="1" customHeight="1" x14ac:dyDescent="0.2">
      <c r="A165" s="604"/>
      <c r="B165" s="605" t="s">
        <v>484</v>
      </c>
      <c r="C165" s="604"/>
      <c r="D165" s="604"/>
      <c r="E165" s="604"/>
      <c r="F165" s="604"/>
      <c r="G165" s="604"/>
      <c r="H165" s="604"/>
      <c r="I165" s="606" t="str">
        <f>CONCATENATE("Sistema attivato dal ",TEXT(Q26,"GG/MM")," al ",TEXT(R26,"GG/MM"),". Modifica il trimestre dal foglio Presentazione.")</f>
        <v>Sistema attivato dal 01/01 al 31/03. Modifica il trimestre dal foglio Presentazione.</v>
      </c>
      <c r="J165" s="604"/>
      <c r="K165" s="604"/>
      <c r="L165" s="604"/>
      <c r="M165" s="604"/>
      <c r="N165" s="604"/>
      <c r="O165" s="604"/>
      <c r="P165" s="609"/>
      <c r="Q165" s="609"/>
      <c r="R165" s="609"/>
      <c r="S165" s="609"/>
      <c r="T165" s="369"/>
      <c r="U165" s="369"/>
      <c r="V165" s="369"/>
      <c r="W165" s="369"/>
      <c r="X165" s="369"/>
    </row>
    <row r="166" spans="1:107" s="368" customFormat="1" ht="12.75" hidden="1" customHeight="1" x14ac:dyDescent="0.2">
      <c r="A166" s="604"/>
      <c r="B166" s="604"/>
      <c r="C166" s="604"/>
      <c r="D166" s="604"/>
      <c r="E166" s="604"/>
      <c r="F166" s="604"/>
      <c r="G166" s="604"/>
      <c r="H166" s="604"/>
      <c r="I166" s="604"/>
      <c r="J166" s="604"/>
      <c r="K166" s="604"/>
      <c r="L166" s="604"/>
      <c r="M166" s="604"/>
      <c r="N166" s="604"/>
      <c r="O166" s="604"/>
      <c r="P166" s="609"/>
      <c r="Q166" s="609"/>
      <c r="R166" s="609"/>
      <c r="S166" s="609"/>
      <c r="T166" s="369"/>
      <c r="U166" s="369"/>
      <c r="V166" s="369"/>
      <c r="W166" s="369"/>
      <c r="X166" s="369"/>
    </row>
    <row r="167" spans="1:107" s="368" customFormat="1" ht="12.75" hidden="1" customHeight="1" x14ac:dyDescent="0.2">
      <c r="A167" s="604"/>
      <c r="B167" s="605">
        <v>1</v>
      </c>
      <c r="C167" s="605" t="s">
        <v>395</v>
      </c>
      <c r="D167" s="604"/>
      <c r="E167" s="605">
        <f>IF(AND(F164=TRUE,K95=J173),1,0)</f>
        <v>0</v>
      </c>
      <c r="F167" s="605" t="s">
        <v>396</v>
      </c>
      <c r="G167" s="604"/>
      <c r="H167" s="607">
        <f>IF(ISERROR(K167),1,0)</f>
        <v>0</v>
      </c>
      <c r="I167" s="605" t="s">
        <v>397</v>
      </c>
      <c r="J167" s="604"/>
      <c r="K167" s="605">
        <f>B167+IMPOSTAZIONI!U417+GEN!N199+FEB!N199+MAR!N199+APR!N199+MAG!N199+GIU!N199+LUG!N199+AGO!N199+SET!N199+OTT!N199+NOV!N199+DIC!N199+CASSA!V569+RIEPILOGO!C179+VERIFICA!C116+STORICO!V133</f>
        <v>18</v>
      </c>
      <c r="L167" s="605" t="s">
        <v>398</v>
      </c>
      <c r="M167" s="604"/>
      <c r="N167" s="604"/>
      <c r="O167" s="604"/>
      <c r="P167" s="609"/>
      <c r="Q167" s="609"/>
      <c r="R167" s="609"/>
      <c r="S167" s="609"/>
      <c r="T167" s="369"/>
      <c r="U167" s="369"/>
      <c r="V167" s="369"/>
      <c r="W167" s="369"/>
      <c r="X167" s="369"/>
    </row>
    <row r="168" spans="1:107" s="368" customFormat="1" ht="12.75" hidden="1" customHeight="1" x14ac:dyDescent="0.2">
      <c r="A168" s="604"/>
      <c r="B168" s="604"/>
      <c r="C168" s="604"/>
      <c r="D168" s="604"/>
      <c r="E168" s="605">
        <f>IF(K95=J173,1,0)</f>
        <v>0</v>
      </c>
      <c r="F168" s="605" t="s">
        <v>396</v>
      </c>
      <c r="G168" s="604"/>
      <c r="H168" s="604"/>
      <c r="I168" s="604"/>
      <c r="J168" s="604"/>
      <c r="K168" s="604"/>
      <c r="L168" s="604"/>
      <c r="M168" s="604"/>
      <c r="N168" s="604"/>
      <c r="O168" s="604"/>
      <c r="P168" s="609"/>
      <c r="Q168" s="609"/>
      <c r="R168" s="609"/>
      <c r="S168" s="609"/>
      <c r="T168" s="369"/>
      <c r="U168" s="369"/>
      <c r="V168" s="369"/>
      <c r="W168" s="369"/>
      <c r="X168" s="369"/>
    </row>
    <row r="169" spans="1:107" s="368" customFormat="1" ht="12.75" hidden="1" customHeight="1" x14ac:dyDescent="0.2">
      <c r="A169" s="604"/>
      <c r="B169" s="613"/>
      <c r="C169" s="613"/>
      <c r="D169" s="613"/>
      <c r="E169" s="613"/>
      <c r="F169" s="613"/>
      <c r="G169" s="613"/>
      <c r="H169" s="613"/>
      <c r="I169" s="606"/>
      <c r="J169" s="606" t="str">
        <f>IF(F164=FALSE,"ERRORE: manca l' OK sulle regole di utilizzo del file.",IF(K95=J173,"",""))</f>
        <v/>
      </c>
      <c r="K169" s="611"/>
      <c r="L169" s="611"/>
      <c r="M169" s="606"/>
      <c r="N169" s="606"/>
      <c r="O169" s="606"/>
      <c r="P169" s="606"/>
      <c r="Q169" s="606"/>
      <c r="R169" s="606"/>
      <c r="S169" s="606"/>
      <c r="T169" s="370"/>
      <c r="U169" s="370"/>
      <c r="V169" s="370"/>
    </row>
    <row r="170" spans="1:107" s="368" customFormat="1" ht="12.75" hidden="1" customHeight="1" x14ac:dyDescent="0.2">
      <c r="A170" s="604"/>
      <c r="B170" s="604"/>
      <c r="C170" s="604"/>
      <c r="D170" s="604"/>
      <c r="E170" s="604"/>
      <c r="F170" s="604"/>
      <c r="G170" s="604"/>
      <c r="H170" s="604"/>
      <c r="I170" s="604"/>
      <c r="J170" s="604"/>
      <c r="K170" s="604"/>
      <c r="L170" s="604"/>
      <c r="M170" s="604"/>
      <c r="N170" s="604"/>
      <c r="O170" s="604"/>
      <c r="P170" s="604"/>
      <c r="Q170" s="604"/>
      <c r="R170" s="604"/>
      <c r="S170" s="604"/>
    </row>
    <row r="171" spans="1:107" s="368" customFormat="1" ht="12.75" hidden="1" customHeight="1" x14ac:dyDescent="0.2">
      <c r="A171" s="604"/>
      <c r="B171" s="605" t="s">
        <v>290</v>
      </c>
      <c r="C171" s="606"/>
      <c r="D171" s="606"/>
      <c r="E171" s="606"/>
      <c r="F171" s="606"/>
      <c r="G171" s="606" t="s">
        <v>291</v>
      </c>
      <c r="H171" s="606"/>
      <c r="I171" s="606"/>
      <c r="J171" s="606"/>
      <c r="K171" s="606"/>
      <c r="L171" s="606"/>
      <c r="M171" s="606">
        <v>1</v>
      </c>
      <c r="N171" s="606">
        <v>2</v>
      </c>
      <c r="O171" s="606">
        <v>3</v>
      </c>
      <c r="P171" s="609">
        <v>4</v>
      </c>
      <c r="Q171" s="609">
        <v>5</v>
      </c>
      <c r="R171" s="609">
        <v>6</v>
      </c>
      <c r="S171" s="609">
        <v>7</v>
      </c>
      <c r="T171" s="369">
        <v>8</v>
      </c>
      <c r="U171" s="369">
        <v>9</v>
      </c>
      <c r="V171" s="369">
        <v>10</v>
      </c>
      <c r="W171" s="369">
        <v>11</v>
      </c>
      <c r="X171" s="369"/>
      <c r="Z171" s="368">
        <f>M173</f>
        <v>0</v>
      </c>
      <c r="AA171" s="368">
        <f>ROUND((Z171+AC171)*3,1)</f>
        <v>3</v>
      </c>
      <c r="AB171" s="368">
        <v>61</v>
      </c>
      <c r="AC171" s="368">
        <f>N173</f>
        <v>1</v>
      </c>
      <c r="AD171" s="368">
        <f>ROUND((AC171+AF171)*3,1)</f>
        <v>9</v>
      </c>
      <c r="AE171" s="368">
        <f>AB171-5</f>
        <v>56</v>
      </c>
      <c r="AF171" s="368">
        <f>O173</f>
        <v>2</v>
      </c>
      <c r="AG171" s="368">
        <f>ROUND((AF171+AI171)*3,1)</f>
        <v>15</v>
      </c>
      <c r="AH171" s="368">
        <f>AE171-5</f>
        <v>51</v>
      </c>
      <c r="AI171" s="368">
        <f>P173</f>
        <v>3</v>
      </c>
      <c r="AJ171" s="368">
        <f>ROUND((AI171+AL171)*3,1)</f>
        <v>21</v>
      </c>
      <c r="AK171" s="368">
        <f>AH171-5</f>
        <v>46</v>
      </c>
      <c r="AL171" s="368">
        <f>Q173</f>
        <v>4</v>
      </c>
      <c r="AM171" s="368">
        <f>ROUND((AL171+AO171)*3,1)</f>
        <v>27</v>
      </c>
      <c r="AN171" s="368">
        <f>AK171-5</f>
        <v>41</v>
      </c>
      <c r="AO171" s="368">
        <f>R173</f>
        <v>5</v>
      </c>
      <c r="AP171" s="368">
        <f>ROUND((AO171+AR171)*3,1)</f>
        <v>33</v>
      </c>
      <c r="AQ171" s="368">
        <f>AN171-5</f>
        <v>36</v>
      </c>
      <c r="AR171" s="368">
        <f>S173</f>
        <v>6</v>
      </c>
      <c r="AS171" s="368">
        <f>ROUND((AR171+AU171)*3,1)</f>
        <v>39</v>
      </c>
      <c r="AT171" s="368">
        <f>AQ171-5</f>
        <v>31</v>
      </c>
      <c r="AU171" s="368">
        <f>T173</f>
        <v>7</v>
      </c>
      <c r="AV171" s="368">
        <f>ROUND((AU171+AX171)*3,1)</f>
        <v>45</v>
      </c>
      <c r="AW171" s="368">
        <f>AT171-5</f>
        <v>26</v>
      </c>
      <c r="AX171" s="368">
        <f>U173</f>
        <v>8</v>
      </c>
      <c r="AY171" s="368">
        <f>ROUND((AX171+BA171)*3,1)</f>
        <v>51</v>
      </c>
      <c r="AZ171" s="368">
        <f>AW171-5</f>
        <v>21</v>
      </c>
      <c r="BA171" s="368">
        <f>V173</f>
        <v>9</v>
      </c>
      <c r="BB171" s="368">
        <f>ROUND((BA171+BD171)*3,1)</f>
        <v>30</v>
      </c>
      <c r="BC171" s="368">
        <f>AZ171-5</f>
        <v>16</v>
      </c>
      <c r="BD171" s="368">
        <f>W173</f>
        <v>1</v>
      </c>
      <c r="BE171" s="368">
        <f>ROUND((BD171+Z171)*3,1)</f>
        <v>3</v>
      </c>
      <c r="BF171" s="368">
        <f>BC171-5</f>
        <v>11</v>
      </c>
      <c r="BI171" s="368" t="s">
        <v>292</v>
      </c>
      <c r="BJ171" s="368" t="s">
        <v>293</v>
      </c>
      <c r="BK171" s="368" t="s">
        <v>294</v>
      </c>
      <c r="BL171" s="368" t="s">
        <v>295</v>
      </c>
      <c r="BM171" s="368" t="s">
        <v>254</v>
      </c>
      <c r="BN171" s="368" t="s">
        <v>296</v>
      </c>
      <c r="BO171" s="368" t="s">
        <v>242</v>
      </c>
      <c r="BP171" s="368" t="s">
        <v>297</v>
      </c>
      <c r="BQ171" s="368" t="s">
        <v>298</v>
      </c>
      <c r="BR171" s="368" t="s">
        <v>300</v>
      </c>
      <c r="BS171" s="368" t="s">
        <v>299</v>
      </c>
      <c r="BT171" s="368" t="s">
        <v>303</v>
      </c>
      <c r="BU171" s="368" t="s">
        <v>301</v>
      </c>
      <c r="BV171" s="368" t="s">
        <v>302</v>
      </c>
      <c r="BW171" s="368" t="s">
        <v>263</v>
      </c>
      <c r="BX171" s="368" t="s">
        <v>304</v>
      </c>
      <c r="BY171" s="368" t="s">
        <v>307</v>
      </c>
      <c r="BZ171" s="368" t="s">
        <v>305</v>
      </c>
      <c r="CA171" s="368" t="s">
        <v>306</v>
      </c>
      <c r="CB171" s="368" t="s">
        <v>309</v>
      </c>
      <c r="CC171" s="368" t="s">
        <v>308</v>
      </c>
      <c r="CD171" s="368" t="s">
        <v>312</v>
      </c>
      <c r="CE171" s="368" t="s">
        <v>310</v>
      </c>
      <c r="CF171" s="368" t="s">
        <v>311</v>
      </c>
      <c r="CG171" s="368" t="s">
        <v>314</v>
      </c>
      <c r="CH171" s="368" t="s">
        <v>313</v>
      </c>
      <c r="CI171" s="368" t="s">
        <v>317</v>
      </c>
      <c r="CJ171" s="368" t="s">
        <v>315</v>
      </c>
      <c r="CK171" s="368" t="s">
        <v>316</v>
      </c>
      <c r="CL171" s="368" t="s">
        <v>347</v>
      </c>
      <c r="CM171" s="368" t="s">
        <v>318</v>
      </c>
      <c r="CN171" s="368" t="s">
        <v>320</v>
      </c>
      <c r="CO171" s="368" t="s">
        <v>319</v>
      </c>
      <c r="CP171" s="368" t="s">
        <v>348</v>
      </c>
      <c r="CQ171" s="368" t="s">
        <v>260</v>
      </c>
      <c r="CR171" s="368" t="s">
        <v>253</v>
      </c>
      <c r="CS171" s="368" t="s">
        <v>351</v>
      </c>
      <c r="CT171" s="368" t="s">
        <v>349</v>
      </c>
      <c r="CU171" s="368" t="s">
        <v>350</v>
      </c>
      <c r="CV171" s="368" t="s">
        <v>353</v>
      </c>
      <c r="CW171" s="368" t="s">
        <v>352</v>
      </c>
      <c r="CX171" s="368" t="s">
        <v>356</v>
      </c>
      <c r="CY171" s="368" t="s">
        <v>354</v>
      </c>
      <c r="CZ171" s="368" t="s">
        <v>355</v>
      </c>
      <c r="DA171" s="368" t="s">
        <v>358</v>
      </c>
      <c r="DB171" s="368" t="s">
        <v>357</v>
      </c>
      <c r="DC171" s="368" t="s">
        <v>321</v>
      </c>
    </row>
    <row r="172" spans="1:107" s="368" customFormat="1" ht="12.75" hidden="1" customHeight="1" x14ac:dyDescent="0.2">
      <c r="A172" s="604"/>
      <c r="B172" s="605"/>
      <c r="C172" s="606"/>
      <c r="D172" s="606"/>
      <c r="E172" s="606"/>
      <c r="F172" s="606"/>
      <c r="G172" s="606"/>
      <c r="H172" s="606"/>
      <c r="I172" s="606"/>
      <c r="J172" s="606"/>
      <c r="K172" s="606"/>
      <c r="L172" s="606"/>
      <c r="M172" s="606"/>
      <c r="N172" s="606"/>
      <c r="O172" s="606"/>
      <c r="P172" s="609"/>
      <c r="Q172" s="609"/>
      <c r="R172" s="609"/>
      <c r="S172" s="609"/>
      <c r="T172" s="369"/>
      <c r="U172" s="369"/>
      <c r="V172" s="369"/>
      <c r="W172" s="369"/>
      <c r="X172" s="369"/>
    </row>
    <row r="173" spans="1:107" s="368" customFormat="1" ht="12.75" hidden="1" customHeight="1" x14ac:dyDescent="0.2">
      <c r="A173" s="604"/>
      <c r="B173" s="605" t="str">
        <f>F89</f>
        <v>Inserisci la tua Ragione Sociale</v>
      </c>
      <c r="C173" s="606"/>
      <c r="D173" s="606"/>
      <c r="E173" s="606"/>
      <c r="F173" s="606"/>
      <c r="G173" s="606" t="str">
        <f>K91</f>
        <v>01234567891</v>
      </c>
      <c r="H173" s="606"/>
      <c r="I173" s="606"/>
      <c r="J173" s="606" t="str">
        <f>CONCATENATE(J177,"-",J178,"-",J179)</f>
        <v>931-PGGKA-520</v>
      </c>
      <c r="K173" s="606"/>
      <c r="L173" s="606"/>
      <c r="M173" s="606">
        <f t="shared" ref="M173:W173" si="0">IF(ISERROR(VALUE(MID($G173,M171,1))),M171,IF(M171&lt;($H174+1),VALUE(MID($G173,M171,1)),0))</f>
        <v>0</v>
      </c>
      <c r="N173" s="606">
        <f t="shared" si="0"/>
        <v>1</v>
      </c>
      <c r="O173" s="606">
        <f t="shared" si="0"/>
        <v>2</v>
      </c>
      <c r="P173" s="609">
        <f t="shared" si="0"/>
        <v>3</v>
      </c>
      <c r="Q173" s="609">
        <f t="shared" si="0"/>
        <v>4</v>
      </c>
      <c r="R173" s="609">
        <f t="shared" si="0"/>
        <v>5</v>
      </c>
      <c r="S173" s="609">
        <f t="shared" si="0"/>
        <v>6</v>
      </c>
      <c r="T173" s="369">
        <f t="shared" si="0"/>
        <v>7</v>
      </c>
      <c r="U173" s="369">
        <f t="shared" si="0"/>
        <v>8</v>
      </c>
      <c r="V173" s="369">
        <f t="shared" si="0"/>
        <v>9</v>
      </c>
      <c r="W173" s="369">
        <f t="shared" si="0"/>
        <v>1</v>
      </c>
      <c r="X173" s="369"/>
      <c r="Z173" s="368" t="e">
        <f t="shared" ref="Z173:BF173" si="1">HLOOKUP(MID($B173,Z171,1),$BI171:$DC173,3,FALSE)</f>
        <v>#VALUE!</v>
      </c>
      <c r="AA173" s="368">
        <f t="shared" si="1"/>
        <v>17</v>
      </c>
      <c r="AB173" s="368">
        <f t="shared" si="1"/>
        <v>33</v>
      </c>
      <c r="AC173" s="368">
        <f t="shared" si="1"/>
        <v>7</v>
      </c>
      <c r="AD173" s="368">
        <f t="shared" si="1"/>
        <v>7</v>
      </c>
      <c r="AE173" s="368">
        <f t="shared" si="1"/>
        <v>33</v>
      </c>
      <c r="AF173" s="368">
        <f t="shared" si="1"/>
        <v>12</v>
      </c>
      <c r="AG173" s="368">
        <f t="shared" si="1"/>
        <v>20</v>
      </c>
      <c r="AH173" s="368">
        <f t="shared" si="1"/>
        <v>33</v>
      </c>
      <c r="AI173" s="368">
        <f t="shared" si="1"/>
        <v>17</v>
      </c>
      <c r="AJ173" s="368">
        <f t="shared" si="1"/>
        <v>7</v>
      </c>
      <c r="AK173" s="368">
        <f t="shared" si="1"/>
        <v>33</v>
      </c>
      <c r="AL173" s="368">
        <f t="shared" si="1"/>
        <v>6</v>
      </c>
      <c r="AM173" s="368">
        <f t="shared" si="1"/>
        <v>16</v>
      </c>
      <c r="AN173" s="368">
        <f t="shared" si="1"/>
        <v>33</v>
      </c>
      <c r="AO173" s="368">
        <f t="shared" si="1"/>
        <v>19</v>
      </c>
      <c r="AP173" s="368">
        <f t="shared" si="1"/>
        <v>33</v>
      </c>
      <c r="AQ173" s="368">
        <f t="shared" si="1"/>
        <v>33</v>
      </c>
      <c r="AR173" s="368">
        <f t="shared" si="1"/>
        <v>7</v>
      </c>
      <c r="AS173" s="368">
        <f t="shared" si="1"/>
        <v>33</v>
      </c>
      <c r="AT173" s="368">
        <f t="shared" si="1"/>
        <v>13</v>
      </c>
      <c r="AU173" s="368">
        <f t="shared" si="1"/>
        <v>17</v>
      </c>
      <c r="AV173" s="368">
        <f t="shared" si="1"/>
        <v>33</v>
      </c>
      <c r="AW173" s="368">
        <f t="shared" si="1"/>
        <v>17</v>
      </c>
      <c r="AX173" s="368">
        <f t="shared" si="1"/>
        <v>3</v>
      </c>
      <c r="AY173" s="368">
        <f t="shared" si="1"/>
        <v>33</v>
      </c>
      <c r="AZ173" s="368">
        <f t="shared" si="1"/>
        <v>7</v>
      </c>
      <c r="BA173" s="368">
        <f t="shared" si="1"/>
        <v>7</v>
      </c>
      <c r="BB173" s="368">
        <f t="shared" si="1"/>
        <v>1</v>
      </c>
      <c r="BC173" s="368">
        <f t="shared" si="1"/>
        <v>1</v>
      </c>
      <c r="BD173" s="368">
        <f t="shared" si="1"/>
        <v>7</v>
      </c>
      <c r="BE173" s="368">
        <f t="shared" si="1"/>
        <v>17</v>
      </c>
      <c r="BF173" s="368">
        <f t="shared" si="1"/>
        <v>13</v>
      </c>
      <c r="BI173" s="368">
        <v>1</v>
      </c>
      <c r="BJ173" s="368">
        <v>2</v>
      </c>
      <c r="BK173" s="368">
        <v>3</v>
      </c>
      <c r="BL173" s="368">
        <v>4</v>
      </c>
      <c r="BM173" s="368">
        <v>5</v>
      </c>
      <c r="BN173" s="368">
        <v>6</v>
      </c>
      <c r="BO173" s="368">
        <v>7</v>
      </c>
      <c r="BP173" s="368">
        <v>8</v>
      </c>
      <c r="BQ173" s="368">
        <v>9</v>
      </c>
      <c r="BR173" s="368">
        <v>10</v>
      </c>
      <c r="BS173" s="368">
        <v>11</v>
      </c>
      <c r="BT173" s="368">
        <v>12</v>
      </c>
      <c r="BU173" s="368">
        <v>13</v>
      </c>
      <c r="BV173" s="368">
        <v>14</v>
      </c>
      <c r="BW173" s="368">
        <v>15</v>
      </c>
      <c r="BX173" s="368">
        <v>16</v>
      </c>
      <c r="BY173" s="368">
        <v>17</v>
      </c>
      <c r="BZ173" s="368">
        <v>18</v>
      </c>
      <c r="CA173" s="368">
        <v>19</v>
      </c>
      <c r="CB173" s="368">
        <v>20</v>
      </c>
      <c r="CC173" s="368">
        <v>21</v>
      </c>
      <c r="CD173" s="368">
        <v>22</v>
      </c>
      <c r="CE173" s="368">
        <v>23</v>
      </c>
      <c r="CF173" s="368">
        <v>24</v>
      </c>
      <c r="CG173" s="368">
        <v>25</v>
      </c>
      <c r="CH173" s="368">
        <v>26</v>
      </c>
      <c r="CI173" s="368">
        <v>27</v>
      </c>
      <c r="CJ173" s="368">
        <v>28</v>
      </c>
      <c r="CK173" s="368">
        <v>29</v>
      </c>
      <c r="CL173" s="368">
        <v>30</v>
      </c>
      <c r="CM173" s="368">
        <v>31</v>
      </c>
      <c r="CN173" s="368">
        <v>32</v>
      </c>
      <c r="CO173" s="368">
        <v>33</v>
      </c>
      <c r="CP173" s="368">
        <v>34</v>
      </c>
      <c r="CQ173" s="368">
        <v>35</v>
      </c>
      <c r="CR173" s="368">
        <v>36</v>
      </c>
      <c r="CS173" s="368">
        <v>37</v>
      </c>
      <c r="CT173" s="368">
        <v>38</v>
      </c>
      <c r="CU173" s="368">
        <v>39</v>
      </c>
      <c r="CV173" s="368">
        <v>40</v>
      </c>
      <c r="CW173" s="368">
        <v>41</v>
      </c>
      <c r="CX173" s="368">
        <v>42</v>
      </c>
      <c r="CY173" s="368">
        <v>43</v>
      </c>
      <c r="CZ173" s="368">
        <v>44</v>
      </c>
      <c r="DA173" s="368">
        <v>45</v>
      </c>
      <c r="DB173" s="368">
        <v>46</v>
      </c>
      <c r="DC173" s="368">
        <v>47</v>
      </c>
    </row>
    <row r="174" spans="1:107" s="368" customFormat="1" ht="12.75" hidden="1" customHeight="1" x14ac:dyDescent="0.2">
      <c r="A174" s="604"/>
      <c r="B174" s="605"/>
      <c r="C174" s="606"/>
      <c r="D174" s="606"/>
      <c r="E174" s="606"/>
      <c r="F174" s="606"/>
      <c r="G174" s="606" t="s">
        <v>359</v>
      </c>
      <c r="H174" s="606">
        <f>LEN(G173)</f>
        <v>11</v>
      </c>
      <c r="I174" s="606"/>
      <c r="J174" s="606"/>
      <c r="K174" s="606"/>
      <c r="L174" s="606"/>
      <c r="M174" s="606"/>
      <c r="N174" s="606"/>
      <c r="O174" s="606"/>
      <c r="P174" s="609"/>
      <c r="Q174" s="609"/>
      <c r="R174" s="609"/>
      <c r="S174" s="609"/>
      <c r="T174" s="369"/>
      <c r="U174" s="369"/>
      <c r="V174" s="369"/>
      <c r="W174" s="369"/>
      <c r="X174" s="369"/>
      <c r="BI174" s="368" t="s">
        <v>292</v>
      </c>
      <c r="BJ174" s="368" t="s">
        <v>293</v>
      </c>
      <c r="BK174" s="368" t="s">
        <v>294</v>
      </c>
      <c r="BL174" s="368" t="s">
        <v>295</v>
      </c>
      <c r="BM174" s="368" t="s">
        <v>296</v>
      </c>
      <c r="BN174" s="368" t="s">
        <v>254</v>
      </c>
      <c r="BO174" s="368" t="s">
        <v>297</v>
      </c>
      <c r="BP174" s="368" t="s">
        <v>298</v>
      </c>
      <c r="BQ174" s="368" t="s">
        <v>242</v>
      </c>
      <c r="BR174" s="368" t="s">
        <v>299</v>
      </c>
      <c r="BS174" s="368" t="s">
        <v>300</v>
      </c>
      <c r="BT174" s="368" t="s">
        <v>301</v>
      </c>
      <c r="BU174" s="368" t="s">
        <v>302</v>
      </c>
      <c r="BV174" s="368" t="s">
        <v>303</v>
      </c>
      <c r="BW174" s="368" t="s">
        <v>304</v>
      </c>
      <c r="BX174" s="368" t="s">
        <v>263</v>
      </c>
      <c r="BY174" s="368" t="s">
        <v>305</v>
      </c>
      <c r="BZ174" s="368" t="s">
        <v>306</v>
      </c>
      <c r="CA174" s="368" t="s">
        <v>307</v>
      </c>
      <c r="CB174" s="368" t="s">
        <v>308</v>
      </c>
      <c r="CC174" s="368" t="s">
        <v>309</v>
      </c>
      <c r="CD174" s="368" t="s">
        <v>310</v>
      </c>
      <c r="CE174" s="368" t="s">
        <v>311</v>
      </c>
      <c r="CF174" s="368" t="s">
        <v>312</v>
      </c>
      <c r="CG174" s="368" t="s">
        <v>313</v>
      </c>
      <c r="CH174" s="368" t="s">
        <v>314</v>
      </c>
      <c r="CS174" s="368">
        <f t="shared" ref="CS174:DB174" si="2">COUNTIF($Z171:$BF171,CS171)</f>
        <v>3</v>
      </c>
      <c r="CT174" s="368">
        <f t="shared" si="2"/>
        <v>2</v>
      </c>
      <c r="CU174" s="368">
        <f t="shared" si="2"/>
        <v>1</v>
      </c>
      <c r="CV174" s="368">
        <f t="shared" si="2"/>
        <v>1</v>
      </c>
      <c r="CW174" s="368">
        <f t="shared" si="2"/>
        <v>1</v>
      </c>
      <c r="CX174" s="368">
        <f t="shared" si="2"/>
        <v>1</v>
      </c>
      <c r="CY174" s="368">
        <f t="shared" si="2"/>
        <v>1</v>
      </c>
      <c r="CZ174" s="368">
        <f t="shared" si="2"/>
        <v>1</v>
      </c>
      <c r="DA174" s="368">
        <f t="shared" si="2"/>
        <v>1</v>
      </c>
      <c r="DB174" s="368">
        <f t="shared" si="2"/>
        <v>2</v>
      </c>
      <c r="DC174" s="368" t="s">
        <v>321</v>
      </c>
    </row>
    <row r="175" spans="1:107" s="368" customFormat="1" ht="12.75" hidden="1" customHeight="1" x14ac:dyDescent="0.2">
      <c r="A175" s="604"/>
      <c r="B175" s="605">
        <v>55</v>
      </c>
      <c r="C175" s="606"/>
      <c r="D175" s="606"/>
      <c r="E175" s="606"/>
      <c r="F175" s="606"/>
      <c r="G175" s="606"/>
      <c r="H175" s="606"/>
      <c r="I175" s="606"/>
      <c r="J175" s="606"/>
      <c r="K175" s="606"/>
      <c r="L175" s="606"/>
      <c r="M175" s="606"/>
      <c r="N175" s="606"/>
      <c r="O175" s="606"/>
      <c r="P175" s="609"/>
      <c r="Q175" s="609"/>
      <c r="R175" s="609"/>
      <c r="S175" s="609"/>
      <c r="T175" s="369"/>
      <c r="U175" s="369"/>
      <c r="V175" s="369"/>
      <c r="W175" s="369"/>
      <c r="X175" s="369">
        <f>IF(X178&lt;0,X178*-1,X178)</f>
        <v>1130</v>
      </c>
      <c r="BG175" s="368">
        <f>IF(BG178&lt;0,BG178*-1,BG178)</f>
        <v>13320</v>
      </c>
      <c r="CQ175" s="368">
        <v>15</v>
      </c>
      <c r="CS175" s="368" t="str">
        <f>IF(ISERROR(HLOOKUP(SMALL($Z171:$BF171,CS171),$BI173:$CH174,2,FALSE)),HLOOKUP(SMALL($Z171:$BF171,CS171),$BI173:$CH174,2,TRUE),HLOOKUP(SMALL($Z171:$BF171,CS171),$BI173:$CH174,2,FALSE))</f>
        <v>A</v>
      </c>
      <c r="CT175" s="368" t="str">
        <f>IF(ISERROR(HLOOKUP(SMALL($Z171:$BF171,CT171+SUM($CS174:CS174)),$BI173:$CH174,2,FALSE)),HLOOKUP(SMALL($Z171:$BF171,CT171+SUM($CS174:CS174)),$BI173:$CH174,2,TRUE),HLOOKUP(SMALL($Z171:$BF171,CT171+SUM($CS174:CS174)),$BI173:$CH174,2,FALSE))</f>
        <v>B</v>
      </c>
      <c r="CU175" s="368" t="str">
        <f>IF(ISERROR(HLOOKUP(SMALL($Z171:$BF171,CU171+SUM($CS174:CT174)),$BI173:$CH174,2,FALSE)),HLOOKUP(SMALL($Z171:$BF171,CU171+SUM($CS174:CT174)),$BI173:$CH174,2,TRUE),HLOOKUP(SMALL($Z171:$BF171,CU171+SUM($CS174:CT174)),$BI173:$CH174,2,FALSE))</f>
        <v>C</v>
      </c>
      <c r="CV175" s="368" t="str">
        <f>IF(ISERROR(HLOOKUP(SMALL($Z171:$BF171,CV171+SUM($CS174:CU174)),$BI173:$CH174,2,FALSE)),HLOOKUP(SMALL($Z171:$BF171,CV171+SUM($CS174:CU174)),$BI173:$CH174,2,TRUE),HLOOKUP(SMALL($Z171:$BF171,CV171+SUM($CS174:CU174)),$BI173:$CH174,2,FALSE))</f>
        <v>G</v>
      </c>
      <c r="CW175" s="368" t="str">
        <f>IF(ISERROR(HLOOKUP(SMALL($Z171:$BF171,CW171+SUM($CS174:CV174)),$BI173:$CH174,2,FALSE)),HLOOKUP(SMALL($Z171:$BF171,CW171+SUM($CS174:CV174)),$BI173:$CH174,2,TRUE),HLOOKUP(SMALL($Z171:$BF171,CW171+SUM($CS174:CV174)),$BI173:$CH174,2,FALSE))</f>
        <v>G</v>
      </c>
      <c r="CX175" s="368" t="str">
        <f>IF(ISERROR(HLOOKUP(SMALL($Z171:$BF171,CX171+SUM($CS174:CW174)),$BI173:$CH174,2,FALSE)),HLOOKUP(SMALL($Z171:$BF171,CX171+SUM($CS174:CW174)),$BI173:$CH174,2,TRUE),HLOOKUP(SMALL($Z171:$BF171,CX171+SUM($CS174:CW174)),$BI173:$CH174,2,FALSE))</f>
        <v>O</v>
      </c>
      <c r="CY175" s="368" t="str">
        <f>IF(ISERROR(HLOOKUP(SMALL($Z171:$BF171,CY171+SUM($CS174:CX174)),$BI173:$CH174,2,FALSE)),HLOOKUP(SMALL($Z171:$BF171,CY171+SUM($CS174:CX174)),$BI173:$CH174,2,TRUE),HLOOKUP(SMALL($Z171:$BF171,CY171+SUM($CS174:CX174)),$BI173:$CH174,2,FALSE))</f>
        <v>K</v>
      </c>
      <c r="CZ175" s="368" t="str">
        <f>IF(ISERROR(HLOOKUP(SMALL($Z171:$BF171,CZ171+SUM($CS174:CY174)),$BI173:$CH174,2,FALSE)),HLOOKUP(SMALL($Z171:$BF171,CZ171+SUM($CS174:CY174)),$BI173:$CH174,2,TRUE),HLOOKUP(SMALL($Z171:$BF171,CZ171+SUM($CS174:CY174)),$BI173:$CH174,2,FALSE))</f>
        <v>P</v>
      </c>
      <c r="DA175" s="368" t="str">
        <f>IF(ISERROR(HLOOKUP(SMALL($Z171:$BF171,DA171+SUM($CS174:CZ174)),$BI173:$CH174,2,FALSE)),HLOOKUP(SMALL($Z171:$BF171,DA171+SUM($CS174:CZ174)),$BI173:$CH174,2,TRUE),HLOOKUP(SMALL($Z171:$BF171,DA171+SUM($CS174:CZ174)),$BI173:$CH174,2,FALSE))</f>
        <v>G</v>
      </c>
      <c r="DB175" s="368" t="str">
        <f>IF(ISERROR(HLOOKUP(SMALL($Z171:$BF171,CQ175),$BI173:$CH174,2,FALSE)),HLOOKUP(SMALL($Z171:$BF171,CQ175),$BI173:$CH174,2,TRUE),HLOOKUP(SMALL($Z171:$BF171,CQ175),$BI173:$CH174,2,FALSE))</f>
        <v>K</v>
      </c>
    </row>
    <row r="176" spans="1:107" s="368" customFormat="1" ht="12.75" hidden="1" customHeight="1" x14ac:dyDescent="0.2">
      <c r="A176" s="604"/>
      <c r="B176" s="605"/>
      <c r="C176" s="606"/>
      <c r="D176" s="606"/>
      <c r="E176" s="606"/>
      <c r="F176" s="606"/>
      <c r="G176" s="606"/>
      <c r="H176" s="606"/>
      <c r="I176" s="606"/>
      <c r="J176" s="606"/>
      <c r="K176" s="606"/>
      <c r="L176" s="606"/>
      <c r="M176" s="606">
        <f>M173*$B175</f>
        <v>0</v>
      </c>
      <c r="N176" s="606"/>
      <c r="O176" s="606">
        <f>O173*$B175</f>
        <v>110</v>
      </c>
      <c r="P176" s="609"/>
      <c r="Q176" s="609">
        <f>Q173*$B175</f>
        <v>220</v>
      </c>
      <c r="R176" s="609"/>
      <c r="S176" s="609">
        <f>S173*$B175</f>
        <v>330</v>
      </c>
      <c r="T176" s="369"/>
      <c r="U176" s="369">
        <f>U173*$B175</f>
        <v>440</v>
      </c>
      <c r="V176" s="369"/>
      <c r="W176" s="369">
        <f>W173*$B175</f>
        <v>55</v>
      </c>
      <c r="X176" s="369">
        <f>IF(X179&lt;0,X179*-1,X179)</f>
        <v>1355</v>
      </c>
      <c r="Z176" s="368" t="e">
        <f>Z173*$B175</f>
        <v>#VALUE!</v>
      </c>
      <c r="AB176" s="368">
        <f>AB173*$B175</f>
        <v>1815</v>
      </c>
      <c r="AD176" s="368">
        <f>AD173*$B175</f>
        <v>385</v>
      </c>
      <c r="AF176" s="368">
        <f>AF173*$B175</f>
        <v>660</v>
      </c>
      <c r="AH176" s="368">
        <f>AH173*$B175</f>
        <v>1815</v>
      </c>
      <c r="AJ176" s="368">
        <f>AJ173*$B175</f>
        <v>385</v>
      </c>
      <c r="AL176" s="368">
        <f>AL173*$B175</f>
        <v>330</v>
      </c>
      <c r="AN176" s="368">
        <f>AN173*$B175</f>
        <v>1815</v>
      </c>
      <c r="AP176" s="368">
        <f>AP173*$B175</f>
        <v>1815</v>
      </c>
      <c r="AR176" s="368">
        <f>AR173*$B175</f>
        <v>385</v>
      </c>
      <c r="AT176" s="368">
        <f>AT173*$B175</f>
        <v>715</v>
      </c>
      <c r="AV176" s="368">
        <f>AV173*$B175</f>
        <v>1815</v>
      </c>
      <c r="AX176" s="368">
        <f>AX173*$B175</f>
        <v>165</v>
      </c>
      <c r="AZ176" s="368">
        <f>AZ173*$B175</f>
        <v>385</v>
      </c>
      <c r="BB176" s="368">
        <f>BB173*$B175</f>
        <v>55</v>
      </c>
      <c r="BD176" s="368">
        <f>BD173*$B175</f>
        <v>385</v>
      </c>
      <c r="BF176" s="368">
        <f>BF173*$B175</f>
        <v>715</v>
      </c>
      <c r="BG176" s="368">
        <f>IF(BG179&lt;0,BG179*-1,BG179)</f>
        <v>17352</v>
      </c>
      <c r="CS176" s="368" t="str">
        <f t="shared" ref="CS176:DB176" si="3">IF(ISERROR(CS175),0,CS175)</f>
        <v>A</v>
      </c>
      <c r="CT176" s="368" t="str">
        <f t="shared" si="3"/>
        <v>B</v>
      </c>
      <c r="CU176" s="368" t="str">
        <f t="shared" si="3"/>
        <v>C</v>
      </c>
      <c r="CV176" s="368" t="str">
        <f t="shared" si="3"/>
        <v>G</v>
      </c>
      <c r="CW176" s="368" t="str">
        <f t="shared" si="3"/>
        <v>G</v>
      </c>
      <c r="CX176" s="368" t="str">
        <f t="shared" si="3"/>
        <v>O</v>
      </c>
      <c r="CY176" s="368" t="str">
        <f t="shared" si="3"/>
        <v>K</v>
      </c>
      <c r="CZ176" s="368" t="str">
        <f t="shared" si="3"/>
        <v>P</v>
      </c>
      <c r="DA176" s="368" t="str">
        <f t="shared" si="3"/>
        <v>G</v>
      </c>
      <c r="DB176" s="368" t="str">
        <f t="shared" si="3"/>
        <v>K</v>
      </c>
    </row>
    <row r="177" spans="1:106" s="368" customFormat="1" ht="12.75" hidden="1" customHeight="1" x14ac:dyDescent="0.2">
      <c r="A177" s="604"/>
      <c r="B177" s="619"/>
      <c r="C177" s="620"/>
      <c r="D177" s="620"/>
      <c r="E177" s="620"/>
      <c r="F177" s="621" t="s">
        <v>243</v>
      </c>
      <c r="G177" s="621">
        <f>IMPOSTAZIONI!AH53</f>
        <v>2024</v>
      </c>
      <c r="H177" s="619"/>
      <c r="I177" s="606"/>
      <c r="J177" s="606" t="str">
        <f>CONCATENATE(AE182,AF182,AG182)</f>
        <v>931</v>
      </c>
      <c r="K177" s="606"/>
      <c r="L177" s="606"/>
      <c r="M177" s="606"/>
      <c r="N177" s="606">
        <f>N173*$B175</f>
        <v>55</v>
      </c>
      <c r="O177" s="606"/>
      <c r="P177" s="609">
        <f>P173*$B175</f>
        <v>165</v>
      </c>
      <c r="Q177" s="609"/>
      <c r="R177" s="609">
        <f>R173*$B175</f>
        <v>275</v>
      </c>
      <c r="S177" s="609"/>
      <c r="T177" s="369">
        <f>T173*$B175</f>
        <v>385</v>
      </c>
      <c r="U177" s="369"/>
      <c r="V177" s="369">
        <f>V173*$B175</f>
        <v>495</v>
      </c>
      <c r="W177" s="369"/>
      <c r="X177" s="369">
        <f>IF(X180&lt;0,X180*-1,X180)</f>
        <v>5061</v>
      </c>
      <c r="AA177" s="368">
        <f>AA173*$B175</f>
        <v>935</v>
      </c>
      <c r="AC177" s="368">
        <f>AC173*$B175</f>
        <v>385</v>
      </c>
      <c r="AE177" s="368">
        <f>AE173*$B175</f>
        <v>1815</v>
      </c>
      <c r="AG177" s="368">
        <f>AG173*$B175</f>
        <v>1100</v>
      </c>
      <c r="AI177" s="368">
        <f>AI173*$B175</f>
        <v>935</v>
      </c>
      <c r="AK177" s="368">
        <f>AK173*$B175</f>
        <v>1815</v>
      </c>
      <c r="AM177" s="368">
        <f>AM173*$B175</f>
        <v>880</v>
      </c>
      <c r="AO177" s="368">
        <f>AO173*$B175</f>
        <v>1045</v>
      </c>
      <c r="AQ177" s="368">
        <f>AQ173*$B175</f>
        <v>1815</v>
      </c>
      <c r="AS177" s="368">
        <f>AS173*$B175</f>
        <v>1815</v>
      </c>
      <c r="AU177" s="368">
        <f>AU173*$B175</f>
        <v>935</v>
      </c>
      <c r="AW177" s="368">
        <f>AW173*$B175</f>
        <v>935</v>
      </c>
      <c r="AY177" s="368">
        <f>AY173*$B175</f>
        <v>1815</v>
      </c>
      <c r="BA177" s="368">
        <f>BA173*$B175</f>
        <v>385</v>
      </c>
      <c r="BC177" s="368">
        <f>BC173*$B175</f>
        <v>55</v>
      </c>
      <c r="BE177" s="368">
        <f>BE173*$B175</f>
        <v>935</v>
      </c>
      <c r="BG177" s="368">
        <f>IF(BG180&lt;0,BG180*-1,BG180)</f>
        <v>62480</v>
      </c>
    </row>
    <row r="178" spans="1:106" s="368" customFormat="1" ht="12.75" hidden="1" customHeight="1" x14ac:dyDescent="0.2">
      <c r="A178" s="604"/>
      <c r="B178" s="624"/>
      <c r="C178" s="622" t="s">
        <v>459</v>
      </c>
      <c r="D178" s="622"/>
      <c r="E178" s="621">
        <v>1</v>
      </c>
      <c r="F178" s="623">
        <f>DATE($G$177,$E178,1)</f>
        <v>45292</v>
      </c>
      <c r="G178" s="623">
        <f>F179-1</f>
        <v>45382</v>
      </c>
      <c r="H178" s="624"/>
      <c r="I178" s="606"/>
      <c r="J178" s="606" t="str">
        <f>CONCATENATE(R182,S182,T182,U182,V182)</f>
        <v>PGGKA</v>
      </c>
      <c r="K178" s="606"/>
      <c r="L178" s="606"/>
      <c r="M178" s="606">
        <f>M176-N173</f>
        <v>-1</v>
      </c>
      <c r="N178" s="606"/>
      <c r="O178" s="606">
        <f>O176-P173</f>
        <v>107</v>
      </c>
      <c r="P178" s="609"/>
      <c r="Q178" s="609">
        <f>Q176-R173</f>
        <v>215</v>
      </c>
      <c r="R178" s="609"/>
      <c r="S178" s="609">
        <f>S176-T173</f>
        <v>323</v>
      </c>
      <c r="T178" s="369"/>
      <c r="U178" s="369">
        <f>U176-V173</f>
        <v>431</v>
      </c>
      <c r="V178" s="369"/>
      <c r="W178" s="369">
        <f>W176-M173</f>
        <v>55</v>
      </c>
      <c r="X178" s="369">
        <f>SUM(M178:W178)</f>
        <v>1130</v>
      </c>
      <c r="Z178" s="368" t="e">
        <f>Z176-BF173</f>
        <v>#VALUE!</v>
      </c>
      <c r="AB178" s="368">
        <f>AB176-AA173</f>
        <v>1798</v>
      </c>
      <c r="AD178" s="368">
        <f>AD176-AC173</f>
        <v>378</v>
      </c>
      <c r="AF178" s="368">
        <f>AF176-AE173</f>
        <v>627</v>
      </c>
      <c r="AH178" s="368">
        <f>AH176-AG173</f>
        <v>1795</v>
      </c>
      <c r="AJ178" s="368">
        <f>AJ176-AI173</f>
        <v>368</v>
      </c>
      <c r="AL178" s="368">
        <f>AL176-AK173</f>
        <v>297</v>
      </c>
      <c r="AN178" s="368">
        <f>AN176-AM173</f>
        <v>1799</v>
      </c>
      <c r="AP178" s="368">
        <f>AP176-AO173</f>
        <v>1796</v>
      </c>
      <c r="AR178" s="368">
        <f>AR176-AQ173</f>
        <v>352</v>
      </c>
      <c r="AT178" s="368">
        <f>AT176-AS173</f>
        <v>682</v>
      </c>
      <c r="AV178" s="368">
        <f>AV176-AU173</f>
        <v>1798</v>
      </c>
      <c r="AX178" s="368">
        <f>AX176-AW173</f>
        <v>148</v>
      </c>
      <c r="AZ178" s="368">
        <f>AZ176-AY173</f>
        <v>352</v>
      </c>
      <c r="BB178" s="368">
        <f>BB176-BA173</f>
        <v>48</v>
      </c>
      <c r="BD178" s="368">
        <f>BD176-BC173</f>
        <v>384</v>
      </c>
      <c r="BF178" s="368">
        <f>BF176-BE173</f>
        <v>698</v>
      </c>
      <c r="BG178" s="368">
        <f>SUMIF(Z178:BF178,"&gt;0")</f>
        <v>13320</v>
      </c>
      <c r="CS178" s="368" t="s">
        <v>292</v>
      </c>
      <c r="CT178" s="368" t="s">
        <v>295</v>
      </c>
      <c r="CU178" s="368" t="s">
        <v>296</v>
      </c>
      <c r="CV178" s="368" t="s">
        <v>297</v>
      </c>
      <c r="CW178" s="368" t="s">
        <v>304</v>
      </c>
      <c r="CX178" s="368" t="s">
        <v>263</v>
      </c>
      <c r="CY178" s="368" t="s">
        <v>306</v>
      </c>
      <c r="CZ178" s="368" t="s">
        <v>306</v>
      </c>
      <c r="DA178" s="368" t="s">
        <v>307</v>
      </c>
      <c r="DB178" s="368" t="s">
        <v>309</v>
      </c>
    </row>
    <row r="179" spans="1:106" s="368" customFormat="1" ht="12.75" hidden="1" customHeight="1" x14ac:dyDescent="0.2">
      <c r="A179" s="604"/>
      <c r="B179" s="624"/>
      <c r="C179" s="622" t="s">
        <v>460</v>
      </c>
      <c r="D179" s="622"/>
      <c r="E179" s="621">
        <v>4</v>
      </c>
      <c r="F179" s="623">
        <f>DATE($G$177,$E179,1)</f>
        <v>45383</v>
      </c>
      <c r="G179" s="623">
        <f>F180-1</f>
        <v>45473</v>
      </c>
      <c r="H179" s="624"/>
      <c r="I179" s="606"/>
      <c r="J179" s="606" t="str">
        <f>CONCATENATE(AH182,AI182,AJ182)</f>
        <v>520</v>
      </c>
      <c r="K179" s="606"/>
      <c r="L179" s="606"/>
      <c r="M179" s="606"/>
      <c r="N179" s="606">
        <f>N177-M173</f>
        <v>55</v>
      </c>
      <c r="O179" s="606"/>
      <c r="P179" s="609">
        <f>P177-O173</f>
        <v>163</v>
      </c>
      <c r="Q179" s="609"/>
      <c r="R179" s="609">
        <f>R177-Q173</f>
        <v>271</v>
      </c>
      <c r="S179" s="609"/>
      <c r="T179" s="369">
        <f>T177-S173</f>
        <v>379</v>
      </c>
      <c r="U179" s="369"/>
      <c r="V179" s="369">
        <f>V177-U173</f>
        <v>487</v>
      </c>
      <c r="W179" s="369"/>
      <c r="X179" s="369">
        <f>SUM(M179:W179)</f>
        <v>1355</v>
      </c>
      <c r="AA179" s="368">
        <f>AA177-AB173</f>
        <v>902</v>
      </c>
      <c r="AC179" s="368">
        <f>AC177-AD173</f>
        <v>378</v>
      </c>
      <c r="AE179" s="368">
        <f>AE177-AF173</f>
        <v>1803</v>
      </c>
      <c r="AG179" s="368">
        <f>AG177-AH173</f>
        <v>1067</v>
      </c>
      <c r="AI179" s="368">
        <f>AI177-AJ173</f>
        <v>928</v>
      </c>
      <c r="AK179" s="368">
        <f>AK177-AL173</f>
        <v>1809</v>
      </c>
      <c r="AM179" s="368">
        <f>AM177-AN173</f>
        <v>847</v>
      </c>
      <c r="AO179" s="368">
        <f>AO177-AP173</f>
        <v>1012</v>
      </c>
      <c r="AQ179" s="368">
        <f>AQ177-AR173</f>
        <v>1808</v>
      </c>
      <c r="AS179" s="368">
        <f>AS177-AT173</f>
        <v>1802</v>
      </c>
      <c r="AU179" s="368">
        <f>AU177-AV173</f>
        <v>902</v>
      </c>
      <c r="AW179" s="368">
        <f>AW177-AX173</f>
        <v>932</v>
      </c>
      <c r="AY179" s="368">
        <f>AY177-AZ173</f>
        <v>1808</v>
      </c>
      <c r="BA179" s="368">
        <f>BA177-BB173</f>
        <v>384</v>
      </c>
      <c r="BC179" s="368">
        <f>BC177-BD173</f>
        <v>48</v>
      </c>
      <c r="BE179" s="368">
        <f>BE177-BF173</f>
        <v>922</v>
      </c>
      <c r="BG179" s="368">
        <f>SUMIF(Z179:BF179,"&gt;0")</f>
        <v>17352</v>
      </c>
      <c r="CS179" s="368" t="str">
        <f t="shared" ref="CS179:DB179" si="4">IF(CS176=0,CS178,CS175)</f>
        <v>A</v>
      </c>
      <c r="CT179" s="368" t="str">
        <f t="shared" si="4"/>
        <v>B</v>
      </c>
      <c r="CU179" s="368" t="str">
        <f t="shared" si="4"/>
        <v>C</v>
      </c>
      <c r="CV179" s="368" t="str">
        <f t="shared" si="4"/>
        <v>G</v>
      </c>
      <c r="CW179" s="368" t="str">
        <f t="shared" si="4"/>
        <v>G</v>
      </c>
      <c r="CX179" s="368" t="str">
        <f t="shared" si="4"/>
        <v>O</v>
      </c>
      <c r="CY179" s="368" t="str">
        <f t="shared" si="4"/>
        <v>K</v>
      </c>
      <c r="CZ179" s="368" t="str">
        <f t="shared" si="4"/>
        <v>P</v>
      </c>
      <c r="DA179" s="368" t="str">
        <f t="shared" si="4"/>
        <v>G</v>
      </c>
      <c r="DB179" s="368" t="str">
        <f t="shared" si="4"/>
        <v>K</v>
      </c>
    </row>
    <row r="180" spans="1:106" s="368" customFormat="1" ht="12.75" hidden="1" customHeight="1" x14ac:dyDescent="0.2">
      <c r="A180" s="604"/>
      <c r="B180" s="627"/>
      <c r="C180" s="622" t="s">
        <v>4</v>
      </c>
      <c r="D180" s="622"/>
      <c r="E180" s="621">
        <v>7</v>
      </c>
      <c r="F180" s="623">
        <f>DATE($G$177,$E180,1)</f>
        <v>45474</v>
      </c>
      <c r="G180" s="623">
        <f>F181-1</f>
        <v>45565</v>
      </c>
      <c r="H180" s="627"/>
      <c r="I180" s="606"/>
      <c r="J180" s="606"/>
      <c r="K180" s="606"/>
      <c r="L180" s="606"/>
      <c r="M180" s="606">
        <f>M173+M176+M178</f>
        <v>-1</v>
      </c>
      <c r="N180" s="606">
        <f>N173+N177+N179</f>
        <v>111</v>
      </c>
      <c r="O180" s="606">
        <f>O173+O176+O178</f>
        <v>219</v>
      </c>
      <c r="P180" s="609">
        <f>P173+P177+P179</f>
        <v>331</v>
      </c>
      <c r="Q180" s="609">
        <f>Q173+Q176+Q178</f>
        <v>439</v>
      </c>
      <c r="R180" s="609">
        <f>R173+R177+R179</f>
        <v>551</v>
      </c>
      <c r="S180" s="609">
        <f>S173+S176+S178</f>
        <v>659</v>
      </c>
      <c r="T180" s="369">
        <f>T173+T177+T179</f>
        <v>771</v>
      </c>
      <c r="U180" s="369">
        <f>U173+U176+U178</f>
        <v>879</v>
      </c>
      <c r="V180" s="369">
        <f>V173+V177+V179</f>
        <v>991</v>
      </c>
      <c r="W180" s="369">
        <f>W173+W176+W178</f>
        <v>111</v>
      </c>
      <c r="X180" s="369">
        <f>SUM(M180:W180)</f>
        <v>5061</v>
      </c>
      <c r="Z180" s="368" t="e">
        <f>Z173+Z176+Z178</f>
        <v>#VALUE!</v>
      </c>
      <c r="AA180" s="368">
        <f>AA173+AA177+AA179</f>
        <v>1854</v>
      </c>
      <c r="AB180" s="368">
        <f>AB173+AB176+AB178</f>
        <v>3646</v>
      </c>
      <c r="AC180" s="368">
        <f>AC173+AC177+AC179</f>
        <v>770</v>
      </c>
      <c r="AD180" s="368">
        <f>AD173+AD176+AD178</f>
        <v>770</v>
      </c>
      <c r="AE180" s="368">
        <f>AE173+AE177+AE179</f>
        <v>3651</v>
      </c>
      <c r="AF180" s="368">
        <f>AF173+AF176+AF178</f>
        <v>1299</v>
      </c>
      <c r="AG180" s="368">
        <f>AG173+AG177+AG179</f>
        <v>2187</v>
      </c>
      <c r="AH180" s="368">
        <f>AH173+AH176+AH178</f>
        <v>3643</v>
      </c>
      <c r="AI180" s="368">
        <f>AI173+AI177+AI179</f>
        <v>1880</v>
      </c>
      <c r="AJ180" s="368">
        <f>AJ173+AJ176+AJ178</f>
        <v>760</v>
      </c>
      <c r="AK180" s="368">
        <f>AK173+AK177+AK179</f>
        <v>3657</v>
      </c>
      <c r="AL180" s="368">
        <f>AL173+AL176+AL178</f>
        <v>633</v>
      </c>
      <c r="AM180" s="368">
        <f>AM173+AM177+AM179</f>
        <v>1743</v>
      </c>
      <c r="AN180" s="368">
        <f>AN173+AN176+AN178</f>
        <v>3647</v>
      </c>
      <c r="AO180" s="368">
        <f>AO173+AO177+AO179</f>
        <v>2076</v>
      </c>
      <c r="AP180" s="368">
        <f>AP173+AP176+AP178</f>
        <v>3644</v>
      </c>
      <c r="AQ180" s="368">
        <f>AQ173+AQ177+AQ179</f>
        <v>3656</v>
      </c>
      <c r="AR180" s="368">
        <f>AR173+AR176+AR178</f>
        <v>744</v>
      </c>
      <c r="AS180" s="368">
        <f>AS173+AS177+AS179</f>
        <v>3650</v>
      </c>
      <c r="AT180" s="368">
        <f>AT173+AT176+AT178</f>
        <v>1410</v>
      </c>
      <c r="AU180" s="368">
        <f>AU173+AU177+AU179</f>
        <v>1854</v>
      </c>
      <c r="AV180" s="368">
        <f>AV173+AV176+AV178</f>
        <v>3646</v>
      </c>
      <c r="AW180" s="368">
        <f>AW173+AW177+AW179</f>
        <v>1884</v>
      </c>
      <c r="AX180" s="368">
        <f>AX173+AX176+AX178</f>
        <v>316</v>
      </c>
      <c r="AY180" s="368">
        <f>AY173+AY177+AY179</f>
        <v>3656</v>
      </c>
      <c r="AZ180" s="368">
        <f>AZ173+AZ176+AZ178</f>
        <v>744</v>
      </c>
      <c r="BA180" s="368">
        <f>BA173+BA177+BA179</f>
        <v>776</v>
      </c>
      <c r="BB180" s="368">
        <f>BB173+BB176+BB178</f>
        <v>104</v>
      </c>
      <c r="BC180" s="368">
        <f>BC173+BC177+BC179</f>
        <v>104</v>
      </c>
      <c r="BD180" s="368">
        <f>BD173+BD176+BD178</f>
        <v>776</v>
      </c>
      <c r="BE180" s="368">
        <f>BE173+BE177+BE179</f>
        <v>1874</v>
      </c>
      <c r="BF180" s="368">
        <f>BF173+BF176+BF178</f>
        <v>1426</v>
      </c>
      <c r="BG180" s="368">
        <f>SUMIF(Z180:BF180,"&gt;0")</f>
        <v>62480</v>
      </c>
    </row>
    <row r="181" spans="1:106" s="368" customFormat="1" ht="12.75" hidden="1" customHeight="1" x14ac:dyDescent="0.2">
      <c r="A181" s="604"/>
      <c r="B181" s="627"/>
      <c r="C181" s="622" t="s">
        <v>5</v>
      </c>
      <c r="D181" s="622"/>
      <c r="E181" s="621">
        <v>10</v>
      </c>
      <c r="F181" s="623">
        <f>DATE($G$177,$E181,1)</f>
        <v>45566</v>
      </c>
      <c r="G181" s="623">
        <f>DATE($G$177,E182,31)</f>
        <v>45657</v>
      </c>
      <c r="H181" s="627"/>
      <c r="I181" s="606"/>
      <c r="J181" s="606"/>
      <c r="K181" s="606"/>
      <c r="L181" s="606"/>
      <c r="M181" s="606"/>
      <c r="N181" s="606"/>
      <c r="O181" s="606"/>
      <c r="P181" s="609"/>
      <c r="Q181" s="609"/>
      <c r="R181" s="609"/>
      <c r="S181" s="609"/>
      <c r="T181" s="369"/>
      <c r="U181" s="369"/>
      <c r="V181" s="369"/>
      <c r="W181" s="369"/>
      <c r="X181" s="369"/>
    </row>
    <row r="182" spans="1:106" s="368" customFormat="1" ht="12.75" hidden="1" customHeight="1" x14ac:dyDescent="0.2">
      <c r="A182" s="604"/>
      <c r="B182" s="627"/>
      <c r="C182" s="626"/>
      <c r="D182" s="626"/>
      <c r="E182" s="621">
        <v>12</v>
      </c>
      <c r="F182" s="623"/>
      <c r="G182" s="626"/>
      <c r="H182" s="627"/>
      <c r="I182" s="606"/>
      <c r="J182" s="606"/>
      <c r="K182" s="606"/>
      <c r="L182" s="606"/>
      <c r="M182" s="606">
        <f>SUM(X178:X180)</f>
        <v>7546</v>
      </c>
      <c r="N182" s="606"/>
      <c r="O182" s="606"/>
      <c r="P182" s="609"/>
      <c r="Q182" s="609">
        <f>LEN(TEXT(M182,"@"))</f>
        <v>4</v>
      </c>
      <c r="R182" s="609" t="str">
        <f>IF(Q182&gt;0,HLOOKUP(MID(TEXT($M182,"@"),1,1),$CS171:$DB179,9,FALSE),"")</f>
        <v>P</v>
      </c>
      <c r="S182" s="609" t="str">
        <f>IF($Q182&gt;1,HLOOKUP(MID(TEXT($M182,"@"),2,1),$CS171:$DB179,9,FALSE),HLOOKUP(MID(TEXT($X182,"@"),1,1),$CS171:$DB179,9,FALSE))</f>
        <v>G</v>
      </c>
      <c r="T182" s="369" t="str">
        <f>IF($Q182&gt;2,HLOOKUP(MID(TEXT($M182,"@"),3,1),$CS171:$DB179,9,FALSE),HLOOKUP(MID(TEXT($X182,"@"),2,1),$CS171:$DB179,9,FALSE))</f>
        <v>G</v>
      </c>
      <c r="U182" s="369" t="str">
        <f>IF($Q182&gt;3,HLOOKUP(MID(TEXT($M182,"@"),4,1),$CS171:$DB179,9,FALSE),HLOOKUP(MID(TEXT($X182,"@"),3,1),$CS171:$DB179,9,FALSE))</f>
        <v>K</v>
      </c>
      <c r="V182" s="369" t="str">
        <f>IF($Q182&gt;4,HLOOKUP(MID(TEXT($M182,"@"),5,1),$CS171:$DB179,9,FALSE),HLOOKUP(MID(TEXT($X182,"@"),4,1),$CS171:$DB179,9,FALSE))</f>
        <v>A</v>
      </c>
      <c r="W182" s="369">
        <f>LEN(TEXT(CONCATENATE(TEXT(X175,"@"),TEXT(X176,"@"),TEXT(X177,"@")),"@"))</f>
        <v>11</v>
      </c>
      <c r="X182" s="369" t="str">
        <f>IF(W182&lt;4,CONCATENATE(TEXT(CQ175,"@"),TEXT(X175,"@"),TEXT(X176,"@"),TEXT(X177,"@")),CONCATENATE(TEXT(X175,"@"),TEXT(X176,"@"),TEXT(X177,"@")))</f>
        <v>113013555061</v>
      </c>
      <c r="Z182" s="368">
        <f>SUM(BG178:BG180)</f>
        <v>93152</v>
      </c>
      <c r="AD182" s="368">
        <f>LEN(TEXT(Z182,"@"))</f>
        <v>5</v>
      </c>
      <c r="AE182" s="368" t="str">
        <f>IF(AD182&gt;0,MID(TEXT($Z182,"@"),1,1),"")</f>
        <v>9</v>
      </c>
      <c r="AF182" s="368" t="str">
        <f>IF($AD182&gt;1,MID(TEXT($Z182,"@"),2,1),MID(TEXT($BG182,"@"),1,1))</f>
        <v>3</v>
      </c>
      <c r="AG182" s="368" t="str">
        <f>IF($AD182&gt;2,MID(TEXT($Z182,"@"),3,1),MID(TEXT($BG182,"@"),2,1))</f>
        <v>1</v>
      </c>
      <c r="AH182" s="368" t="str">
        <f>IF($AD182&gt;3,MID(TEXT($Z182,"@"),4,1),MID(TEXT($BG182,"@"),3,1))</f>
        <v>5</v>
      </c>
      <c r="AI182" s="368" t="str">
        <f>IF($AD182&gt;4,MID(TEXT($Z182,"@"),5,1),MID(TEXT($BG182,"@"),4,1))</f>
        <v>2</v>
      </c>
      <c r="AJ182" s="368" t="str">
        <f>IF($AD182&gt;5,MID(TEXT($Z182,"@"),6,1),MID(TEXT($BG182,"@"),5,1))</f>
        <v>0</v>
      </c>
      <c r="AK182" s="368">
        <f>LEN(TEXT(CONCATENATE(TEXT(BG175,"@"),TEXT(BG176,"@")),"@"))</f>
        <v>10</v>
      </c>
      <c r="BG182" s="368" t="str">
        <f>IF(AK182&lt;5,CONCATENATE(TEXT(BG177,"@"),TEXT(BG175,"@"),TEXT(BG176,"@")),CONCATENATE(TEXT(BG175,"@"),TEXT(BG176,"@")))</f>
        <v>1332017352</v>
      </c>
    </row>
    <row r="183" spans="1:106" s="371" customFormat="1" ht="12.75" hidden="1" customHeight="1" x14ac:dyDescent="0.2">
      <c r="B183" s="627"/>
      <c r="C183" s="625"/>
      <c r="D183" s="625"/>
      <c r="E183" s="625"/>
      <c r="F183" s="625"/>
      <c r="G183" s="625"/>
      <c r="H183" s="625"/>
      <c r="I183" s="619"/>
      <c r="J183" s="619"/>
      <c r="K183" s="619"/>
      <c r="L183" s="619"/>
      <c r="M183" s="619"/>
      <c r="N183" s="619"/>
      <c r="O183" s="619"/>
      <c r="P183" s="619"/>
      <c r="Q183" s="619"/>
      <c r="R183" s="619"/>
      <c r="S183" s="619"/>
    </row>
    <row r="184" spans="1:106" s="371" customFormat="1" ht="12.75" hidden="1" customHeight="1" x14ac:dyDescent="0.2">
      <c r="B184" s="627"/>
      <c r="C184" s="627"/>
      <c r="D184" s="627"/>
      <c r="E184" s="627"/>
      <c r="F184" s="627"/>
      <c r="G184" s="627"/>
      <c r="H184" s="627"/>
      <c r="I184" s="619"/>
      <c r="J184" s="619"/>
      <c r="K184" s="619"/>
      <c r="L184" s="619"/>
      <c r="M184" s="619"/>
      <c r="N184" s="619"/>
      <c r="O184" s="619"/>
      <c r="P184" s="619"/>
      <c r="Q184" s="619"/>
      <c r="R184" s="619"/>
      <c r="S184" s="619"/>
    </row>
  </sheetData>
  <sheetProtection algorithmName="SHA-512" hashValue="rWAKE2+hZ27QM3mIFh5AFF3YnAEFWvyyxex5CIomqpRgRVhQSfnrsk73h7HJCq7rcvFC2lgGyxXtXMXblNvJ9A==" saltValue="qsFRa6oiC5SK+ekQcbzqFw==" spinCount="100000" sheet="1" objects="1" scenarios="1" selectLockedCells="1"/>
  <mergeCells count="116">
    <mergeCell ref="F93:M93"/>
    <mergeCell ref="C86:M86"/>
    <mergeCell ref="C87:M87"/>
    <mergeCell ref="F88:M88"/>
    <mergeCell ref="D40:M40"/>
    <mergeCell ref="G46:H46"/>
    <mergeCell ref="G48:H48"/>
    <mergeCell ref="K46:L46"/>
    <mergeCell ref="K48:L48"/>
    <mergeCell ref="J28:M28"/>
    <mergeCell ref="G29:M29"/>
    <mergeCell ref="D56:M56"/>
    <mergeCell ref="D38:M38"/>
    <mergeCell ref="D39:M39"/>
    <mergeCell ref="D54:M54"/>
    <mergeCell ref="D36:H36"/>
    <mergeCell ref="D35:M35"/>
    <mergeCell ref="C30:M30"/>
    <mergeCell ref="D34:M34"/>
    <mergeCell ref="C31:M31"/>
    <mergeCell ref="I36:M36"/>
    <mergeCell ref="C1:I1"/>
    <mergeCell ref="J1:L1"/>
    <mergeCell ref="Q25:R25"/>
    <mergeCell ref="H23:M23"/>
    <mergeCell ref="C3:M3"/>
    <mergeCell ref="C6:M6"/>
    <mergeCell ref="C7:G7"/>
    <mergeCell ref="C2:M2"/>
    <mergeCell ref="C4:L4"/>
    <mergeCell ref="C10:M10"/>
    <mergeCell ref="C11:M11"/>
    <mergeCell ref="I17:M17"/>
    <mergeCell ref="I18:M18"/>
    <mergeCell ref="C18:G18"/>
    <mergeCell ref="J12:L12"/>
    <mergeCell ref="I16:M16"/>
    <mergeCell ref="C16:G16"/>
    <mergeCell ref="C15:H15"/>
    <mergeCell ref="C9:M9"/>
    <mergeCell ref="C17:G17"/>
    <mergeCell ref="C12:I12"/>
    <mergeCell ref="C19:M19"/>
    <mergeCell ref="I14:K14"/>
    <mergeCell ref="I26:K26"/>
    <mergeCell ref="D58:M58"/>
    <mergeCell ref="D125:F125"/>
    <mergeCell ref="L111:M111"/>
    <mergeCell ref="C149:D149"/>
    <mergeCell ref="D119:G119"/>
    <mergeCell ref="D120:K120"/>
    <mergeCell ref="C145:M145"/>
    <mergeCell ref="C146:M146"/>
    <mergeCell ref="C138:M138"/>
    <mergeCell ref="C137:M137"/>
    <mergeCell ref="C85:M85"/>
    <mergeCell ref="L100:M100"/>
    <mergeCell ref="C84:F84"/>
    <mergeCell ref="K91:M91"/>
    <mergeCell ref="C109:M109"/>
    <mergeCell ref="C110:M110"/>
    <mergeCell ref="G95:J95"/>
    <mergeCell ref="D89:E89"/>
    <mergeCell ref="K95:M95"/>
    <mergeCell ref="I91:J91"/>
    <mergeCell ref="C141:M141"/>
    <mergeCell ref="I97:M97"/>
    <mergeCell ref="C29:F29"/>
    <mergeCell ref="C136:M136"/>
    <mergeCell ref="F89:M89"/>
    <mergeCell ref="C152:K152"/>
    <mergeCell ref="L152:M152"/>
    <mergeCell ref="D124:K124"/>
    <mergeCell ref="D122:K122"/>
    <mergeCell ref="D123:K123"/>
    <mergeCell ref="D126:K126"/>
    <mergeCell ref="D127:K127"/>
    <mergeCell ref="C139:M139"/>
    <mergeCell ref="C102:M102"/>
    <mergeCell ref="D121:K121"/>
    <mergeCell ref="D118:F118"/>
    <mergeCell ref="C140:M140"/>
    <mergeCell ref="D128:K128"/>
    <mergeCell ref="L117:L118"/>
    <mergeCell ref="C99:G99"/>
    <mergeCell ref="C103:M103"/>
    <mergeCell ref="C104:M104"/>
    <mergeCell ref="H99:M99"/>
    <mergeCell ref="C147:M147"/>
    <mergeCell ref="C148:G148"/>
    <mergeCell ref="D93:E93"/>
    <mergeCell ref="B98:M98"/>
    <mergeCell ref="C100:K100"/>
    <mergeCell ref="C83:M83"/>
    <mergeCell ref="K96:M96"/>
    <mergeCell ref="D32:M32"/>
    <mergeCell ref="D59:M59"/>
    <mergeCell ref="D72:M72"/>
    <mergeCell ref="D73:M73"/>
    <mergeCell ref="D76:M76"/>
    <mergeCell ref="D78:M78"/>
    <mergeCell ref="D80:M80"/>
    <mergeCell ref="D74:M74"/>
    <mergeCell ref="D75:M75"/>
    <mergeCell ref="G45:H45"/>
    <mergeCell ref="I45:J45"/>
    <mergeCell ref="I46:J46"/>
    <mergeCell ref="I48:J48"/>
    <mergeCell ref="G50:H50"/>
    <mergeCell ref="I50:J50"/>
    <mergeCell ref="G52:H52"/>
    <mergeCell ref="I52:J52"/>
    <mergeCell ref="G51:H51"/>
    <mergeCell ref="I51:J51"/>
    <mergeCell ref="K45:L45"/>
    <mergeCell ref="D55:M55"/>
  </mergeCells>
  <phoneticPr fontId="4" type="noConversion"/>
  <conditionalFormatting sqref="O101:O109">
    <cfRule type="expression" dxfId="4977" priority="18" stopIfTrue="1">
      <formula>$I$97=$B$164</formula>
    </cfRule>
  </conditionalFormatting>
  <conditionalFormatting sqref="D119 D123:D127 G123:K127 E123:F124 E126:F127">
    <cfRule type="expression" dxfId="4976" priority="20" stopIfTrue="1">
      <formula>$F$164=FALSE</formula>
    </cfRule>
  </conditionalFormatting>
  <conditionalFormatting sqref="K117:K118 D122:K122 I117 D120:D121">
    <cfRule type="expression" dxfId="4975" priority="21" stopIfTrue="1">
      <formula>$F$164=FALSE</formula>
    </cfRule>
  </conditionalFormatting>
  <conditionalFormatting sqref="I155:I158 H157:H162 J155:O162 E163:E164 F164 B153:O153 C154:G162 I154:O154">
    <cfRule type="expression" dxfId="4974" priority="24" stopIfTrue="1">
      <formula>#REF!=#REF!</formula>
    </cfRule>
  </conditionalFormatting>
  <conditionalFormatting sqref="L117:L118">
    <cfRule type="expression" dxfId="4973" priority="25" stopIfTrue="1">
      <formula>$L$117=$E$163</formula>
    </cfRule>
  </conditionalFormatting>
  <conditionalFormatting sqref="C10:M11">
    <cfRule type="expression" dxfId="4972" priority="41" stopIfTrue="1">
      <formula>$E$167=1</formula>
    </cfRule>
  </conditionalFormatting>
  <conditionalFormatting sqref="C1:I1">
    <cfRule type="expression" dxfId="4971" priority="42" stopIfTrue="1">
      <formula>#REF!=1</formula>
    </cfRule>
  </conditionalFormatting>
  <conditionalFormatting sqref="O111">
    <cfRule type="expression" dxfId="4970" priority="278" stopIfTrue="1">
      <formula>$I$97=$B$164</formula>
    </cfRule>
  </conditionalFormatting>
  <conditionalFormatting sqref="H97">
    <cfRule type="expression" dxfId="4969" priority="286" stopIfTrue="1">
      <formula>$K$95=$J$173</formula>
    </cfRule>
  </conditionalFormatting>
  <conditionalFormatting sqref="O98:O99">
    <cfRule type="expression" dxfId="4968" priority="292" stopIfTrue="1">
      <formula>$I$97=$B$164</formula>
    </cfRule>
    <cfRule type="expression" dxfId="4967" priority="293" stopIfTrue="1">
      <formula>$K$95=$J$173</formula>
    </cfRule>
  </conditionalFormatting>
  <conditionalFormatting sqref="E97">
    <cfRule type="expression" dxfId="4966" priority="296" stopIfTrue="1">
      <formula>$K$95=$J$173</formula>
    </cfRule>
  </conditionalFormatting>
  <conditionalFormatting sqref="F89:M89 K91:M91">
    <cfRule type="expression" dxfId="4965" priority="298" stopIfTrue="1">
      <formula>$K$95=$J$173</formula>
    </cfRule>
    <cfRule type="cellIs" dxfId="4964" priority="299" stopIfTrue="1" operator="equal">
      <formula>0</formula>
    </cfRule>
  </conditionalFormatting>
  <conditionalFormatting sqref="G95">
    <cfRule type="expression" dxfId="4963" priority="302" stopIfTrue="1">
      <formula>$K$95=$J$173</formula>
    </cfRule>
    <cfRule type="expression" dxfId="4962" priority="303" stopIfTrue="1">
      <formula>AND($N$95=1,$K$95&lt;&gt;$J$173)</formula>
    </cfRule>
  </conditionalFormatting>
  <conditionalFormatting sqref="N98">
    <cfRule type="expression" dxfId="4961" priority="304" stopIfTrue="1">
      <formula>$B$98=$B$160</formula>
    </cfRule>
  </conditionalFormatting>
  <conditionalFormatting sqref="D82">
    <cfRule type="expression" dxfId="4960" priority="305" stopIfTrue="1">
      <formula>$D$82&lt;&gt;$I$163</formula>
    </cfRule>
  </conditionalFormatting>
  <conditionalFormatting sqref="L24:M25 C24:C25">
    <cfRule type="expression" dxfId="4959" priority="308" stopIfTrue="1">
      <formula>$I$84=$J$153</formula>
    </cfRule>
  </conditionalFormatting>
  <conditionalFormatting sqref="K95:M95">
    <cfRule type="expression" dxfId="4958" priority="312" stopIfTrue="1">
      <formula>$K$95=$J$173</formula>
    </cfRule>
    <cfRule type="expression" dxfId="4957" priority="313" stopIfTrue="1">
      <formula>AND($N$95=1,$K$95&lt;&gt;$J$173)</formula>
    </cfRule>
  </conditionalFormatting>
  <conditionalFormatting sqref="C95">
    <cfRule type="expression" dxfId="4956" priority="17" stopIfTrue="1">
      <formula>$K$95=$J$173</formula>
    </cfRule>
  </conditionalFormatting>
  <conditionalFormatting sqref="C99:H99">
    <cfRule type="expression" dxfId="4955" priority="16" stopIfTrue="1">
      <formula>$K$95=$J$173</formula>
    </cfRule>
  </conditionalFormatting>
  <conditionalFormatting sqref="D24:D25 H26">
    <cfRule type="expression" dxfId="4954" priority="13" stopIfTrue="1">
      <formula>$K$95=$J$173</formula>
    </cfRule>
  </conditionalFormatting>
  <conditionalFormatting sqref="E24:K25">
    <cfRule type="expression" dxfId="4953" priority="14" stopIfTrue="1">
      <formula>$I$84=$J$153</formula>
    </cfRule>
  </conditionalFormatting>
  <conditionalFormatting sqref="B98:M98">
    <cfRule type="expression" dxfId="4952" priority="12" stopIfTrue="1">
      <formula>$I$97=$B$164</formula>
    </cfRule>
  </conditionalFormatting>
  <conditionalFormatting sqref="J169">
    <cfRule type="expression" dxfId="4951" priority="11" stopIfTrue="1">
      <formula>#REF!=#REF!</formula>
    </cfRule>
  </conditionalFormatting>
  <conditionalFormatting sqref="I177:O182 C171:O176">
    <cfRule type="expression" dxfId="4950" priority="10" stopIfTrue="1">
      <formula>#REF!=#REF!</formula>
    </cfRule>
  </conditionalFormatting>
  <conditionalFormatting sqref="Q25:R25">
    <cfRule type="expression" dxfId="4949" priority="9" stopIfTrue="1">
      <formula>$E$167=1</formula>
    </cfRule>
  </conditionalFormatting>
  <conditionalFormatting sqref="D128:K128">
    <cfRule type="expression" dxfId="4948" priority="6" stopIfTrue="1">
      <formula>$F$164=FALSE</formula>
    </cfRule>
  </conditionalFormatting>
  <conditionalFormatting sqref="D128">
    <cfRule type="expression" dxfId="4947" priority="5" stopIfTrue="1">
      <formula>$F$164=FALSE</formula>
    </cfRule>
  </conditionalFormatting>
  <conditionalFormatting sqref="H167">
    <cfRule type="expression" dxfId="4946" priority="4" stopIfTrue="1">
      <formula>#REF!=#REF!</formula>
    </cfRule>
  </conditionalFormatting>
  <conditionalFormatting sqref="I26:K26">
    <cfRule type="expression" dxfId="4945" priority="3" stopIfTrue="1">
      <formula>$K$95=$J$173</formula>
    </cfRule>
  </conditionalFormatting>
  <conditionalFormatting sqref="Q26:R26">
    <cfRule type="expression" dxfId="4944" priority="2" stopIfTrue="1">
      <formula>$E$167=1</formula>
    </cfRule>
  </conditionalFormatting>
  <conditionalFormatting sqref="C109:M110">
    <cfRule type="expression" dxfId="4943" priority="1" stopIfTrue="1">
      <formula>$K$95=$J$173</formula>
    </cfRule>
  </conditionalFormatting>
  <dataValidations count="2">
    <dataValidation type="list" allowBlank="1" showInputMessage="1" showErrorMessage="1" sqref="L117:L118">
      <formula1>$E$163:$E$164</formula1>
    </dataValidation>
    <dataValidation type="list" allowBlank="1" showInputMessage="1" showErrorMessage="1" sqref="I26">
      <formula1>$C$177:$C$181</formula1>
    </dataValidation>
  </dataValidations>
  <hyperlinks>
    <hyperlink ref="C149" r:id="rId1"/>
    <hyperlink ref="O149" location="Presentazione!A1" display="Torna su"/>
    <hyperlink ref="M4" r:id="rId2" display="MACRO ?"/>
    <hyperlink ref="M84" location="IMPOSTAZIONI!C74:R74" display="QUI"/>
    <hyperlink ref="L111" r:id="rId3"/>
    <hyperlink ref="K113" r:id="rId4"/>
    <hyperlink ref="J12" r:id="rId5" display="mpiccoli@marcopiccoli.it"/>
    <hyperlink ref="J12:L12" r:id="rId6" display="info@marcopiccoli.it"/>
    <hyperlink ref="D36:H36" r:id="rId7" display="Qui le versioni da 3 / 4 / 10 COLONNE."/>
    <hyperlink ref="C95" location="Presentazione!I26" display="QUI"/>
    <hyperlink ref="M81" r:id="rId8"/>
    <hyperlink ref="L127" location="IMPOSTAZIONI!C74:R74" display="QUI"/>
    <hyperlink ref="H113" r:id="rId9"/>
    <hyperlink ref="I113" r:id="rId10"/>
    <hyperlink ref="F113" r:id="rId11"/>
    <hyperlink ref="C113" r:id="rId12"/>
    <hyperlink ref="I14" r:id="rId13" display="Area Download xlsm"/>
    <hyperlink ref="I14:K14" r:id="rId14" display="Area Download .xlsx / .xlsm"/>
  </hyperlinks>
  <pageMargins left="0.19685039370078741" right="0.19685039370078741" top="0.39370078740157483" bottom="0.59055118110236227" header="0.51181102362204722" footer="0.51181102362204722"/>
  <pageSetup paperSize="9" scale="84" fitToHeight="0" orientation="portrait" r:id="rId15"/>
  <headerFooter alignWithMargins="0"/>
  <rowBreaks count="3" manualBreakCount="3">
    <brk id="29" max="16383" man="1"/>
    <brk id="82" min="1" max="13" man="1"/>
    <brk id="134" min="1" max="13" man="1"/>
  </rowBreaks>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CONCATENATE(IF(IMPOSTAZIONI!F211="","..",IMPOSTAZIONI!F211),"-",IF(IMPOSTAZIONI!F212="","..",IMPOSTAZIONI!F212),"-",IF(IMPOSTAZIONI!F213="","..",IMPOSTAZIONI!F213))</f>
        <v>..-..-..</v>
      </c>
      <c r="H1" s="167" t="str">
        <f>CONCATENATE(IF(IMPOSTAZIONI!K211="","..",IMPOSTAZIONI!K211),"-",IF(IMPOSTAZIONI!K212="","..",IMPOSTAZIONI!K212),"-",IF(IMPOSTAZIONI!K213="","..",IMPOSTAZIONI!K213))</f>
        <v>..-..-..</v>
      </c>
      <c r="I1" s="167" t="str">
        <f>CONCATENATE(IF(IMPOSTAZIONI!P211="","..",IMPOSTAZIONI!P211),"-",IF(IMPOSTAZIONI!P212="","..",IMPOSTAZIONI!P212),"-",IF(IMPOSTAZIONI!P213="","..",IMPOSTAZIONI!P213))</f>
        <v>..-..-..</v>
      </c>
      <c r="J1" s="167" t="str">
        <f>CONCATENATE(IF(IMPOSTAZIONI!U211="","..",IMPOSTAZIONI!U211),"-",IF(IMPOSTAZIONI!U212="","..",IMPOSTAZIONI!U212),"-",IF(IMPOSTAZIONI!U213="","..",IMPOSTAZIONI!U213))</f>
        <v>..-..-..</v>
      </c>
      <c r="K1" s="167" t="str">
        <f>CONCATENATE(IF(IMPOSTAZIONI!Z211="","..",IMPOSTAZIONI!Z211),"-",IF(IMPOSTAZIONI!Z212="","..",IMPOSTAZIONI!Z212),"-",IF(IMPOSTAZIONI!Z213="","..",IMPOSTAZIONI!Z213))</f>
        <v>..-..-..</v>
      </c>
      <c r="L1" s="167" t="str">
        <f>CONCATENATE(IF(IMPOSTAZIONI!AE211="","..",IMPOSTAZIONI!AE211),"-",IF(IMPOSTAZIONI!AE212="","..",IMPOSTAZIONI!AE212),"-",IF(IMPOSTAZIONI!AE213="","..",IMPOSTAZIONI!AE213))</f>
        <v>..-..-..</v>
      </c>
      <c r="M1" s="167" t="str">
        <f>CONCATENATE(IF(IMPOSTAZIONI!AJ211="","..",IMPOSTAZIONI!AJ211),"-",IF(IMPOSTAZIONI!AJ212="","..",IMPOSTAZIONI!AJ212),"-",IF(IMPOSTAZIONI!AJ213="","..",IMPOSTAZIONI!AJ213))</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336</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IF($I$199=0,"",IMPOSTAZIONI!G211)</f>
        <v/>
      </c>
      <c r="H4" s="183" t="str">
        <f>IF($I$199=0,"",IMPOSTAZIONI!L211)</f>
        <v/>
      </c>
      <c r="I4" s="183" t="str">
        <f>IF($I$199=0,"",IMPOSTAZIONI!Q211)</f>
        <v/>
      </c>
      <c r="J4" s="183" t="str">
        <f>IF($I$199=0,"",IMPOSTAZIONI!V211)</f>
        <v/>
      </c>
      <c r="K4" s="183" t="str">
        <f>IF($I$199=0,"",IMPOSTAZIONI!AA211)</f>
        <v/>
      </c>
      <c r="L4" s="183" t="str">
        <f>IF($I$199=0,"",IMPOSTAZIONI!AF211)</f>
        <v/>
      </c>
      <c r="M4" s="183" t="str">
        <f>IF($I$199=0,"",IMPOSTAZIONI!AK211)</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IF($I$199=0,"",IMPOSTAZIONI!G212)</f>
        <v/>
      </c>
      <c r="H5" s="823" t="str">
        <f>IF($I$199=0,"",IMPOSTAZIONI!L212)</f>
        <v/>
      </c>
      <c r="I5" s="823" t="str">
        <f>IF($I$199=0,"",IMPOSTAZIONI!Q212)</f>
        <v/>
      </c>
      <c r="J5" s="823" t="str">
        <f>IF($I$199=0,"",IMPOSTAZIONI!V212)</f>
        <v/>
      </c>
      <c r="K5" s="823" t="str">
        <f>IF($I$199=0,"",IMPOSTAZIONI!AA212)</f>
        <v/>
      </c>
      <c r="L5" s="823" t="str">
        <f>IF($I$199=0,"",IMPOSTAZIONI!AF212)</f>
        <v/>
      </c>
      <c r="M5" s="823" t="str">
        <f>IF($I$199=0,"",IMPOSTAZIONI!AK212)</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IF($I$199=0,"",IMPOSTAZIONI!G213)</f>
        <v/>
      </c>
      <c r="H6" s="40" t="str">
        <f>IF($I$199=0,"",IMPOSTAZIONI!L213)</f>
        <v/>
      </c>
      <c r="I6" s="40" t="str">
        <f>IF($I$199=0,"",IMPOSTAZIONI!Q213)</f>
        <v/>
      </c>
      <c r="J6" s="40" t="str">
        <f>IF($I$199=0,"",IMPOSTAZIONI!V213)</f>
        <v/>
      </c>
      <c r="K6" s="40" t="str">
        <f>IF($I$199=0,"",IMPOSTAZIONI!AA213)</f>
        <v/>
      </c>
      <c r="L6" s="40" t="str">
        <f>IF($I$199=0,"",IMPOSTAZIONI!AF213)</f>
        <v/>
      </c>
      <c r="M6" s="40" t="str">
        <f>IF($I$199=0,"",IMPOSTAZIONI!AK213)</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IMPOSTAZIONI!V273</f>
        <v>0</v>
      </c>
      <c r="F7" s="1999"/>
      <c r="G7" s="811">
        <f>IMPOSTAZIONI!$K287</f>
        <v>0</v>
      </c>
      <c r="H7" s="811">
        <f>IMPOSTAZIONI!$K288</f>
        <v>0</v>
      </c>
      <c r="I7" s="811">
        <f>IMPOSTAZIONI!$K289</f>
        <v>0</v>
      </c>
      <c r="J7" s="811">
        <f>IMPOSTAZIONI!$K290</f>
        <v>0</v>
      </c>
      <c r="K7" s="811">
        <f>IMPOSTAZIONI!$K291</f>
        <v>0</v>
      </c>
      <c r="L7" s="811">
        <f>IMPOSTAZIONI!$K292</f>
        <v>0</v>
      </c>
      <c r="M7" s="811">
        <f>IMPOSTAZIONI!$K293</f>
        <v>0</v>
      </c>
      <c r="N7" s="1288"/>
      <c r="O7" s="57"/>
      <c r="P7" s="2044" t="s">
        <v>524</v>
      </c>
      <c r="Q7" s="2044"/>
      <c r="R7" s="2044"/>
      <c r="S7" s="2044"/>
      <c r="T7" s="2044"/>
      <c r="U7" s="2044"/>
      <c r="V7" s="2044"/>
      <c r="W7" s="285">
        <f>W8-1</f>
        <v>45504</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8</v>
      </c>
      <c r="E8" s="1994" t="str">
        <f t="shared" ref="E8:E38"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45505</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8</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45506</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8</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45507</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8</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45508</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8</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45509</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8</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45510</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8</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45511</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8</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45512</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8</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45513</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8</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45514</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8</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45515</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8</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45516</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8</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45517</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8</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45518</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8</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45519</v>
      </c>
      <c r="X22" s="489">
        <f t="shared" si="37"/>
        <v>0</v>
      </c>
      <c r="Y22" s="490">
        <f t="shared" si="38"/>
        <v>0</v>
      </c>
      <c r="Z22" s="490">
        <f t="shared" si="39"/>
        <v>0</v>
      </c>
      <c r="AA22" s="490">
        <f t="shared" si="40"/>
        <v>0</v>
      </c>
      <c r="AB22" s="490">
        <f t="shared" si="41"/>
        <v>0</v>
      </c>
      <c r="AC22" s="490">
        <f t="shared" si="42"/>
        <v>0</v>
      </c>
      <c r="AD22" s="491">
        <f t="shared" si="43"/>
        <v>0</v>
      </c>
      <c r="AE22" s="414" t="str">
        <f>VLOOKUP(W22,CASSA!$B$180:$C$545,2,FALSE)</f>
        <v>F</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8</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45520</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8</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45521</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8</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45522</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8</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45523</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8</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45524</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8</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45525</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8</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45526</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8</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45527</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8</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45528</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8</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45529</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8</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45530</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8</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45531</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8</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45532</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8</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45533</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8</v>
      </c>
      <c r="E37" s="1959" t="str">
        <f t="shared" si="9"/>
        <v xml:space="preserve">disattivato  </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45534</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8</v>
      </c>
      <c r="E38" s="2039" t="str">
        <f t="shared" si="9"/>
        <v xml:space="preserve">disattivato  </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45535</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IMPOSTAZIONI!Y273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337</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8</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01/08 - 31/08</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IMPOSTAZIONI!K304</f>
        <v>0</v>
      </c>
      <c r="I90" s="784">
        <f>IMPOSTAZIONI!K305</f>
        <v>0</v>
      </c>
      <c r="J90" s="785">
        <f>IMPOSTAZIONI!K306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IMPOSTAZIONI!P304</f>
        <v>0</v>
      </c>
      <c r="I91" s="788">
        <f>IMPOSTAZIONI!P305</f>
        <v>0</v>
      </c>
      <c r="J91" s="789">
        <f>IMPOSTAZIONI!P306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IF(IMPOSTAZIONI!V181=0,1,0)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IF(IMPOSTAZIONI!V182=0,1,0)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IF(IMPOSTAZIONI!V183=0,1,0)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24</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IMPOSTAZIONI!F212</f>
        <v/>
      </c>
      <c r="H124" s="803" t="str">
        <f>IMPOSTAZIONI!K212</f>
        <v/>
      </c>
      <c r="I124" s="803" t="str">
        <f>IMPOSTAZIONI!P212</f>
        <v/>
      </c>
      <c r="J124" s="803" t="str">
        <f>IMPOSTAZIONI!U212</f>
        <v/>
      </c>
      <c r="K124" s="803" t="str">
        <f>IMPOSTAZIONI!Z212</f>
        <v/>
      </c>
      <c r="L124" s="803" t="str">
        <f>IMPOSTAZIONI!AE212</f>
        <v/>
      </c>
      <c r="M124" s="803" t="str">
        <f>IMPOSTAZIONI!AJ212</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IMPOSTAZIONI!J212</f>
        <v>0</v>
      </c>
      <c r="H130" s="803">
        <f>IMPOSTAZIONI!O212</f>
        <v>0</v>
      </c>
      <c r="I130" s="803">
        <f>IMPOSTAZIONI!T212</f>
        <v>0</v>
      </c>
      <c r="J130" s="803">
        <f>IMPOSTAZIONI!Y212</f>
        <v>0</v>
      </c>
      <c r="K130" s="803">
        <f>IMPOSTAZIONI!AD212</f>
        <v>0</v>
      </c>
      <c r="L130" s="803">
        <f>IMPOSTAZIONI!AI212</f>
        <v>0</v>
      </c>
      <c r="M130" s="803">
        <f>IMPOSTAZIONI!AN212</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01/08 - 31/08</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01/01 - 31/08</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24</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2Mr7hXUiYa5oFS+CwTlA0q0xgCGwmKygeur0h5TXyYMb6V85ZFKZScNROL3tZZpfW4326zR6KRnuCmn2/hiAAw==" saltValue="J5BlmeHroYnV1viKFeM2wA==" spinCount="100000" sheet="1" objects="1" scenarios="1" selectLockedCells="1"/>
  <mergeCells count="133">
    <mergeCell ref="AM6:AS6"/>
    <mergeCell ref="C137:D137"/>
    <mergeCell ref="C138:D139"/>
    <mergeCell ref="E138:E139"/>
    <mergeCell ref="C6:D6"/>
    <mergeCell ref="C7:D7"/>
    <mergeCell ref="E17:F17"/>
    <mergeCell ref="E21:F21"/>
    <mergeCell ref="E29:F29"/>
    <mergeCell ref="E30:F30"/>
    <mergeCell ref="E32:F32"/>
    <mergeCell ref="E28:F28"/>
    <mergeCell ref="E23:F23"/>
    <mergeCell ref="E24:F24"/>
    <mergeCell ref="E25:F25"/>
    <mergeCell ref="E26:F26"/>
    <mergeCell ref="E27:F27"/>
    <mergeCell ref="E38:F38"/>
    <mergeCell ref="E36:F36"/>
    <mergeCell ref="E47:F47"/>
    <mergeCell ref="AF7:AJ7"/>
    <mergeCell ref="E34:F34"/>
    <mergeCell ref="C55:F55"/>
    <mergeCell ref="P7:V7"/>
    <mergeCell ref="N133:O133"/>
    <mergeCell ref="E164:E165"/>
    <mergeCell ref="C162:H162"/>
    <mergeCell ref="C151:D152"/>
    <mergeCell ref="E151:E152"/>
    <mergeCell ref="C160:D160"/>
    <mergeCell ref="E160:F160"/>
    <mergeCell ref="C149:F149"/>
    <mergeCell ref="C150:D150"/>
    <mergeCell ref="N135:O135"/>
    <mergeCell ref="C147:D147"/>
    <mergeCell ref="E147:F147"/>
    <mergeCell ref="C134:D134"/>
    <mergeCell ref="E134:F134"/>
    <mergeCell ref="C136:F136"/>
    <mergeCell ref="C135:F135"/>
    <mergeCell ref="J2:N2"/>
    <mergeCell ref="H53:I53"/>
    <mergeCell ref="AU7:AY7"/>
    <mergeCell ref="G119:M119"/>
    <mergeCell ref="C46:D46"/>
    <mergeCell ref="E46:F46"/>
    <mergeCell ref="E12:F12"/>
    <mergeCell ref="E13:F13"/>
    <mergeCell ref="E19:F19"/>
    <mergeCell ref="E20:F20"/>
    <mergeCell ref="C44:F44"/>
    <mergeCell ref="C39:D39"/>
    <mergeCell ref="E37:F37"/>
    <mergeCell ref="E22:F22"/>
    <mergeCell ref="N77:O77"/>
    <mergeCell ref="N78:O78"/>
    <mergeCell ref="C73:F73"/>
    <mergeCell ref="C50:F50"/>
    <mergeCell ref="C51:F51"/>
    <mergeCell ref="C48:D48"/>
    <mergeCell ref="C45:F45"/>
    <mergeCell ref="E35:F35"/>
    <mergeCell ref="C43:D43"/>
    <mergeCell ref="C2:I2"/>
    <mergeCell ref="C53:F53"/>
    <mergeCell ref="C52:F52"/>
    <mergeCell ref="C3:D3"/>
    <mergeCell ref="E3:H3"/>
    <mergeCell ref="E43:F43"/>
    <mergeCell ref="E39:F39"/>
    <mergeCell ref="E15:F15"/>
    <mergeCell ref="E16:F16"/>
    <mergeCell ref="E18:F18"/>
    <mergeCell ref="E10:F10"/>
    <mergeCell ref="E8:F8"/>
    <mergeCell ref="C4:D5"/>
    <mergeCell ref="E7:F7"/>
    <mergeCell ref="E4:F5"/>
    <mergeCell ref="E6:F6"/>
    <mergeCell ref="E33:F33"/>
    <mergeCell ref="E31:F31"/>
    <mergeCell ref="E11:F11"/>
    <mergeCell ref="E9:F9"/>
    <mergeCell ref="E14:F14"/>
    <mergeCell ref="C70:F70"/>
    <mergeCell ref="C57:F57"/>
    <mergeCell ref="C66:F66"/>
    <mergeCell ref="C71:F71"/>
    <mergeCell ref="E173:F173"/>
    <mergeCell ref="B130:D130"/>
    <mergeCell ref="C163:D163"/>
    <mergeCell ref="C184:D184"/>
    <mergeCell ref="E184:F184"/>
    <mergeCell ref="C182:D182"/>
    <mergeCell ref="E182:F182"/>
    <mergeCell ref="C183:D183"/>
    <mergeCell ref="E183:F183"/>
    <mergeCell ref="C174:J174"/>
    <mergeCell ref="C173:D173"/>
    <mergeCell ref="C164:D165"/>
    <mergeCell ref="E56:F56"/>
    <mergeCell ref="C58:F58"/>
    <mergeCell ref="C64:F64"/>
    <mergeCell ref="C65:D65"/>
    <mergeCell ref="C62:D62"/>
    <mergeCell ref="C63:F63"/>
    <mergeCell ref="C69:F69"/>
    <mergeCell ref="C60:N60"/>
    <mergeCell ref="C67:F67"/>
    <mergeCell ref="K174:M174"/>
    <mergeCell ref="L3:N3"/>
    <mergeCell ref="M52:N52"/>
    <mergeCell ref="M53:N53"/>
    <mergeCell ref="M56:N56"/>
    <mergeCell ref="H50:K50"/>
    <mergeCell ref="J51:K52"/>
    <mergeCell ref="C72:F72"/>
    <mergeCell ref="E65:F65"/>
    <mergeCell ref="E62:F62"/>
    <mergeCell ref="J54:K54"/>
    <mergeCell ref="J55:K55"/>
    <mergeCell ref="J56:K56"/>
    <mergeCell ref="C54:F54"/>
    <mergeCell ref="J53:K53"/>
    <mergeCell ref="M50:N50"/>
    <mergeCell ref="M51:N51"/>
    <mergeCell ref="N5:N6"/>
    <mergeCell ref="E48:F48"/>
    <mergeCell ref="I3:K3"/>
    <mergeCell ref="B129:D129"/>
    <mergeCell ref="C59:E59"/>
    <mergeCell ref="C47:D47"/>
    <mergeCell ref="C56:D56"/>
  </mergeCells>
  <phoneticPr fontId="24" type="noConversion"/>
  <conditionalFormatting sqref="C57 G57">
    <cfRule type="expression" dxfId="3154" priority="235" stopIfTrue="1">
      <formula>C58=0</formula>
    </cfRule>
  </conditionalFormatting>
  <conditionalFormatting sqref="O182:O184 O147 O160 O173">
    <cfRule type="expression" dxfId="3153" priority="354" stopIfTrue="1">
      <formula>$N$44=""</formula>
    </cfRule>
    <cfRule type="expression" dxfId="3152" priority="355" stopIfTrue="1">
      <formula>$N$44=0</formula>
    </cfRule>
  </conditionalFormatting>
  <conditionalFormatting sqref="G182:M184">
    <cfRule type="expression" dxfId="3151" priority="356" stopIfTrue="1">
      <formula>ISERROR(G182)</formula>
    </cfRule>
    <cfRule type="cellIs" dxfId="3150" priority="357" stopIfTrue="1" operator="equal">
      <formula>0</formula>
    </cfRule>
  </conditionalFormatting>
  <conditionalFormatting sqref="G58 C58 AE8:AE38 G42:M42 E6:F6">
    <cfRule type="cellIs" dxfId="3149" priority="360" stopIfTrue="1" operator="equal">
      <formula>0</formula>
    </cfRule>
  </conditionalFormatting>
  <conditionalFormatting sqref="N63">
    <cfRule type="expression" dxfId="3148" priority="365" stopIfTrue="1">
      <formula>$N$44=""</formula>
    </cfRule>
  </conditionalFormatting>
  <conditionalFormatting sqref="E47:F48">
    <cfRule type="expression" dxfId="3147" priority="369" stopIfTrue="1">
      <formula>ISERROR(E47)</formula>
    </cfRule>
  </conditionalFormatting>
  <conditionalFormatting sqref="G135:M136 E164:E165 E138:E139 E147:F147 E151:E152 E160:F160">
    <cfRule type="expression" dxfId="3146" priority="370" stopIfTrue="1">
      <formula>ISERROR(E135)</formula>
    </cfRule>
  </conditionalFormatting>
  <conditionalFormatting sqref="G43:M43 G134:M134">
    <cfRule type="cellIs" dxfId="3145" priority="371" stopIfTrue="1" operator="equal">
      <formula>0</formula>
    </cfRule>
  </conditionalFormatting>
  <conditionalFormatting sqref="G123:M123">
    <cfRule type="cellIs" dxfId="3144" priority="376" stopIfTrue="1" operator="equal">
      <formula>0</formula>
    </cfRule>
  </conditionalFormatting>
  <conditionalFormatting sqref="P8:V38 X8:AD38 AF8:AJ38 AU8:AY38 AL8:AS38">
    <cfRule type="cellIs" dxfId="3143" priority="377" stopIfTrue="1" operator="equal">
      <formula>0</formula>
    </cfRule>
  </conditionalFormatting>
  <conditionalFormatting sqref="G68:M68 G74:M74 H107:H116">
    <cfRule type="cellIs" dxfId="3142" priority="380" stopIfTrue="1" operator="equal">
      <formula>"OK"</formula>
    </cfRule>
  </conditionalFormatting>
  <conditionalFormatting sqref="I107:I116">
    <cfRule type="cellIs" dxfId="3141" priority="381" stopIfTrue="1" operator="greaterThan">
      <formula>0</formula>
    </cfRule>
  </conditionalFormatting>
  <conditionalFormatting sqref="G125:M126">
    <cfRule type="cellIs" dxfId="3140" priority="384" stopIfTrue="1" operator="equal">
      <formula>$E$125</formula>
    </cfRule>
  </conditionalFormatting>
  <conditionalFormatting sqref="C162:H162">
    <cfRule type="expression" dxfId="3139" priority="389" stopIfTrue="1">
      <formula>ISERROR($C$162)</formula>
    </cfRule>
  </conditionalFormatting>
  <conditionalFormatting sqref="E46:F46">
    <cfRule type="expression" dxfId="3138" priority="393" stopIfTrue="1">
      <formula>ISERROR($E$46)</formula>
    </cfRule>
  </conditionalFormatting>
  <conditionalFormatting sqref="C60">
    <cfRule type="expression" dxfId="3137" priority="427" stopIfTrue="1">
      <formula>SUM($G$118:$M$118)=0</formula>
    </cfRule>
  </conditionalFormatting>
  <conditionalFormatting sqref="G120:M120">
    <cfRule type="cellIs" dxfId="3136" priority="233" operator="equal">
      <formula>0</formula>
    </cfRule>
  </conditionalFormatting>
  <conditionalFormatting sqref="N65:N67 C66:F67">
    <cfRule type="expression" dxfId="3135" priority="231" stopIfTrue="1">
      <formula>SUM($G$120:$M$120)=0</formula>
    </cfRule>
  </conditionalFormatting>
  <conditionalFormatting sqref="G65:M65">
    <cfRule type="expression" dxfId="3134" priority="230">
      <formula>$D$120=0</formula>
    </cfRule>
    <cfRule type="cellIs" dxfId="3133" priority="232" operator="equal">
      <formula>0</formula>
    </cfRule>
  </conditionalFormatting>
  <conditionalFormatting sqref="G62:M62">
    <cfRule type="expression" dxfId="3132" priority="2637" stopIfTrue="1">
      <formula>AND(G$123="X",G$62&lt;&gt;"")</formula>
    </cfRule>
  </conditionalFormatting>
  <conditionalFormatting sqref="G66:M66">
    <cfRule type="expression" dxfId="3131" priority="2664">
      <formula>AND(G$66&lt;&gt;0,G$68=$O$120)</formula>
    </cfRule>
    <cfRule type="expression" dxfId="3130" priority="2665">
      <formula>$D$120=0</formula>
    </cfRule>
  </conditionalFormatting>
  <conditionalFormatting sqref="G67:M67">
    <cfRule type="expression" dxfId="3129" priority="2666">
      <formula>AND(G$67&lt;&gt;0,G$68=$O$120)</formula>
    </cfRule>
    <cfRule type="expression" dxfId="3128" priority="2667">
      <formula>$D$120=0</formula>
    </cfRule>
  </conditionalFormatting>
  <conditionalFormatting sqref="G73:M73">
    <cfRule type="expression" dxfId="3127" priority="2668">
      <formula>AND(G$73&lt;&gt;0,G$74=$O$120)</formula>
    </cfRule>
    <cfRule type="expression" dxfId="3126" priority="2669">
      <formula>$D$120=0</formula>
    </cfRule>
  </conditionalFormatting>
  <conditionalFormatting sqref="G70:M70">
    <cfRule type="expression" dxfId="3125" priority="2670">
      <formula>AND(G$70&lt;&gt;0,G$74=$O$120)</formula>
    </cfRule>
    <cfRule type="expression" dxfId="3124" priority="2671">
      <formula>$D$120=0</formula>
    </cfRule>
  </conditionalFormatting>
  <conditionalFormatting sqref="G71:M71">
    <cfRule type="expression" dxfId="3123" priority="2672">
      <formula>AND(G$71&lt;&gt;0,G$74=$O$120)</formula>
    </cfRule>
    <cfRule type="expression" dxfId="3122" priority="2673">
      <formula>$D$120=0</formula>
    </cfRule>
  </conditionalFormatting>
  <conditionalFormatting sqref="G72:M72">
    <cfRule type="expression" dxfId="3121" priority="2674">
      <formula>AND(G$72&lt;&gt;0,G$74=$O$120)</formula>
    </cfRule>
    <cfRule type="expression" dxfId="3120" priority="2675">
      <formula>$D$120=0</formula>
    </cfRule>
  </conditionalFormatting>
  <conditionalFormatting sqref="N70:N73">
    <cfRule type="expression" dxfId="3119" priority="2676" stopIfTrue="1">
      <formula>$D$120=0</formula>
    </cfRule>
    <cfRule type="expression" dxfId="3118" priority="2677" stopIfTrue="1">
      <formula>$B70=""</formula>
    </cfRule>
  </conditionalFormatting>
  <conditionalFormatting sqref="C95 P95">
    <cfRule type="expression" dxfId="3117" priority="3007" stopIfTrue="1">
      <formula>ISERROR($H$199)</formula>
    </cfRule>
  </conditionalFormatting>
  <conditionalFormatting sqref="C2:J2">
    <cfRule type="expression" dxfId="3116" priority="3008" stopIfTrue="1">
      <formula>$I$199=0</formula>
    </cfRule>
  </conditionalFormatting>
  <conditionalFormatting sqref="N136:O136">
    <cfRule type="expression" dxfId="3115" priority="3284" stopIfTrue="1">
      <formula>$N$5=#REF!</formula>
    </cfRule>
    <cfRule type="expression" dxfId="3114" priority="3285" stopIfTrue="1">
      <formula>$N$44=0</formula>
    </cfRule>
  </conditionalFormatting>
  <conditionalFormatting sqref="N5">
    <cfRule type="expression" dxfId="3113" priority="3298" stopIfTrue="1">
      <formula>#REF!=""</formula>
    </cfRule>
    <cfRule type="cellIs" dxfId="3112" priority="3299" stopIfTrue="1" operator="equal">
      <formula>0</formula>
    </cfRule>
    <cfRule type="expression" dxfId="3111" priority="3300" stopIfTrue="1">
      <formula>$N$5=#REF!</formula>
    </cfRule>
  </conditionalFormatting>
  <conditionalFormatting sqref="G44:M45">
    <cfRule type="cellIs" dxfId="3110" priority="192" operator="equal">
      <formula>0</formula>
    </cfRule>
  </conditionalFormatting>
  <conditionalFormatting sqref="E39:N39">
    <cfRule type="expression" dxfId="3109" priority="191">
      <formula>ISERROR($H$199)</formula>
    </cfRule>
  </conditionalFormatting>
  <conditionalFormatting sqref="E7:N7">
    <cfRule type="expression" dxfId="3108" priority="190">
      <formula>ISERROR($H$199)</formula>
    </cfRule>
  </conditionalFormatting>
  <conditionalFormatting sqref="G47:M47">
    <cfRule type="expression" dxfId="3107" priority="181" stopIfTrue="1">
      <formula>ISERROR(G47)</formula>
    </cfRule>
    <cfRule type="expression" dxfId="3106" priority="182" stopIfTrue="1">
      <formula>G$42=$K$102</formula>
    </cfRule>
    <cfRule type="expression" dxfId="3105" priority="183" stopIfTrue="1">
      <formula>AND(G$46&gt;0,OR(G$68=$E$120,G$68=$N$120))</formula>
    </cfRule>
    <cfRule type="cellIs" dxfId="3104" priority="184" operator="equal">
      <formula>0</formula>
    </cfRule>
  </conditionalFormatting>
  <conditionalFormatting sqref="G48:M48">
    <cfRule type="expression" dxfId="3103" priority="180" stopIfTrue="1">
      <formula>ISERROR(G48)</formula>
    </cfRule>
    <cfRule type="expression" dxfId="3102" priority="185" stopIfTrue="1">
      <formula>G$42=$K$102</formula>
    </cfRule>
    <cfRule type="expression" dxfId="3101" priority="186" stopIfTrue="1">
      <formula>AND(G$46&gt;0,OR(G$68=$E$120,G$68=$N$120,COUNTIF($C$70:$F$73,"ERROR")&gt;0,G$74=$E$120,G$74=$N$120))</formula>
    </cfRule>
    <cfRule type="cellIs" dxfId="3100" priority="187" operator="equal">
      <formula>0</formula>
    </cfRule>
  </conditionalFormatting>
  <conditionalFormatting sqref="G130:M130">
    <cfRule type="cellIs" dxfId="3099" priority="179" stopIfTrue="1" operator="equal">
      <formula>0</formula>
    </cfRule>
  </conditionalFormatting>
  <conditionalFormatting sqref="G4:M4">
    <cfRule type="cellIs" dxfId="3098" priority="178" operator="equal">
      <formula>0</formula>
    </cfRule>
  </conditionalFormatting>
  <conditionalFormatting sqref="N130">
    <cfRule type="cellIs" dxfId="3097" priority="177" stopIfTrue="1" operator="equal">
      <formula>0</formula>
    </cfRule>
  </conditionalFormatting>
  <conditionalFormatting sqref="G63">
    <cfRule type="expression" dxfId="3096" priority="174">
      <formula>ISERROR(G46)</formula>
    </cfRule>
    <cfRule type="cellIs" dxfId="3095" priority="176" operator="equal">
      <formula>0</formula>
    </cfRule>
  </conditionalFormatting>
  <conditionalFormatting sqref="G64">
    <cfRule type="expression" dxfId="3094" priority="173">
      <formula>ISERROR(G46)</formula>
    </cfRule>
    <cfRule type="cellIs" dxfId="3093" priority="175" operator="equal">
      <formula>0</formula>
    </cfRule>
  </conditionalFormatting>
  <conditionalFormatting sqref="H63:M63">
    <cfRule type="expression" dxfId="3092" priority="170">
      <formula>ISERROR(H46)</formula>
    </cfRule>
    <cfRule type="cellIs" dxfId="3091" priority="172" operator="equal">
      <formula>0</formula>
    </cfRule>
  </conditionalFormatting>
  <conditionalFormatting sqref="H64:M64">
    <cfRule type="expression" dxfId="3090" priority="169">
      <formula>ISERROR(H46)</formula>
    </cfRule>
    <cfRule type="cellIs" dxfId="3089" priority="171" operator="equal">
      <formula>0</formula>
    </cfRule>
  </conditionalFormatting>
  <conditionalFormatting sqref="C70:F73">
    <cfRule type="cellIs" dxfId="3088" priority="163" stopIfTrue="1" operator="equal">
      <formula>"ERROR"</formula>
    </cfRule>
    <cfRule type="cellIs" dxfId="3087" priority="164" stopIfTrue="1" operator="equal">
      <formula>0</formula>
    </cfRule>
    <cfRule type="expression" dxfId="3086" priority="165" stopIfTrue="1">
      <formula>SUM($G$120:$M$120)=0</formula>
    </cfRule>
  </conditionalFormatting>
  <conditionalFormatting sqref="G49">
    <cfRule type="cellIs" dxfId="3085" priority="162" operator="equal">
      <formula>$E$130</formula>
    </cfRule>
  </conditionalFormatting>
  <conditionalFormatting sqref="H49:M49">
    <cfRule type="cellIs" dxfId="3084" priority="161" operator="equal">
      <formula>$E$130</formula>
    </cfRule>
  </conditionalFormatting>
  <conditionalFormatting sqref="G90:G91">
    <cfRule type="expression" dxfId="3083" priority="159" stopIfTrue="1">
      <formula>SUM($H90:$J90)=0</formula>
    </cfRule>
  </conditionalFormatting>
  <conditionalFormatting sqref="N77:N78">
    <cfRule type="expression" dxfId="3082" priority="160" stopIfTrue="1">
      <formula>$M$77=0</formula>
    </cfRule>
  </conditionalFormatting>
  <conditionalFormatting sqref="H85:J87">
    <cfRule type="expression" dxfId="3081" priority="157">
      <formula>AND($E$103=3,$J$112=3)</formula>
    </cfRule>
    <cfRule type="cellIs" dxfId="3080" priority="158" operator="equal">
      <formula>0</formula>
    </cfRule>
  </conditionalFormatting>
  <conditionalFormatting sqref="H90:J91">
    <cfRule type="expression" dxfId="3079" priority="155">
      <formula>AND($E$103=3,$J$112=3)</formula>
    </cfRule>
    <cfRule type="cellIs" dxfId="3078" priority="156" operator="equal">
      <formula>0</formula>
    </cfRule>
  </conditionalFormatting>
  <conditionalFormatting sqref="K90:K91">
    <cfRule type="expression" dxfId="3077" priority="154">
      <formula>AND($E$103=3,$J$112=3)</formula>
    </cfRule>
  </conditionalFormatting>
  <conditionalFormatting sqref="M90:M91">
    <cfRule type="expression" dxfId="3076" priority="153">
      <formula>AND($E$103=3,$J$112=3)</formula>
    </cfRule>
  </conditionalFormatting>
  <conditionalFormatting sqref="M79:M89">
    <cfRule type="expression" dxfId="3075" priority="152">
      <formula>AND($E$103=3,$J$112=3)</formula>
    </cfRule>
  </conditionalFormatting>
  <conditionalFormatting sqref="M77:M78">
    <cfRule type="expression" dxfId="3074" priority="151">
      <formula>AND($E$103=3,$J$112=3)</formula>
    </cfRule>
  </conditionalFormatting>
  <conditionalFormatting sqref="L91">
    <cfRule type="expression" dxfId="3073" priority="150">
      <formula>AND($E$103=3,$J$112=3)</formula>
    </cfRule>
  </conditionalFormatting>
  <conditionalFormatting sqref="L77:L78">
    <cfRule type="expression" dxfId="3072" priority="149">
      <formula>AND($E$103=3,$J$112=3)</formula>
    </cfRule>
  </conditionalFormatting>
  <conditionalFormatting sqref="G76:G81">
    <cfRule type="expression" dxfId="3071" priority="148">
      <formula>AND($E$103=3,$J$112=3)</formula>
    </cfRule>
  </conditionalFormatting>
  <conditionalFormatting sqref="G46:M46">
    <cfRule type="expression" dxfId="3070" priority="5952" stopIfTrue="1">
      <formula>G$42=$K$102</formula>
    </cfRule>
    <cfRule type="expression" dxfId="3069" priority="5953" stopIfTrue="1">
      <formula>$I$199=0</formula>
    </cfRule>
  </conditionalFormatting>
  <conditionalFormatting sqref="H53:H54">
    <cfRule type="expression" dxfId="3068" priority="145" stopIfTrue="1">
      <formula>ISERROR($G$123)</formula>
    </cfRule>
    <cfRule type="expression" dxfId="3067" priority="146" stopIfTrue="1">
      <formula>ISERROR(H53)</formula>
    </cfRule>
  </conditionalFormatting>
  <conditionalFormatting sqref="H51:I52">
    <cfRule type="expression" dxfId="3066" priority="147" stopIfTrue="1">
      <formula>ISERROR(H51)</formula>
    </cfRule>
  </conditionalFormatting>
  <conditionalFormatting sqref="I54">
    <cfRule type="expression" dxfId="3065" priority="143" stopIfTrue="1">
      <formula>ISERROR($G$123)</formula>
    </cfRule>
    <cfRule type="expression" dxfId="3064" priority="144" stopIfTrue="1">
      <formula>ISERROR(I54)</formula>
    </cfRule>
  </conditionalFormatting>
  <conditionalFormatting sqref="H56:I56">
    <cfRule type="expression" dxfId="3063" priority="142" stopIfTrue="1">
      <formula>ISERROR(H56)</formula>
    </cfRule>
  </conditionalFormatting>
  <conditionalFormatting sqref="H55">
    <cfRule type="expression" dxfId="3062" priority="140" stopIfTrue="1">
      <formula>ISERROR($G$123)</formula>
    </cfRule>
    <cfRule type="expression" dxfId="3061" priority="141" stopIfTrue="1">
      <formula>ISERROR(H55)</formula>
    </cfRule>
  </conditionalFormatting>
  <conditionalFormatting sqref="I55">
    <cfRule type="expression" dxfId="3060" priority="138" stopIfTrue="1">
      <formula>ISERROR($G$123)</formula>
    </cfRule>
    <cfRule type="expression" dxfId="3059" priority="139" stopIfTrue="1">
      <formula>ISERROR(I55)</formula>
    </cfRule>
  </conditionalFormatting>
  <conditionalFormatting sqref="G147">
    <cfRule type="expression" dxfId="3058" priority="135" stopIfTrue="1">
      <formula>$E147=0</formula>
    </cfRule>
    <cfRule type="expression" dxfId="3057" priority="136" stopIfTrue="1">
      <formula>ISERROR(G147)</formula>
    </cfRule>
    <cfRule type="expression" dxfId="3056" priority="137" stopIfTrue="1">
      <formula>$E147&lt;&gt;0</formula>
    </cfRule>
  </conditionalFormatting>
  <conditionalFormatting sqref="G145">
    <cfRule type="expression" dxfId="3055" priority="132" stopIfTrue="1">
      <formula>AND(G144=0,G145=1,G146=1)</formula>
    </cfRule>
    <cfRule type="expression" dxfId="3054" priority="133" stopIfTrue="1">
      <formula>AND(G144=1,G146=1)</formula>
    </cfRule>
    <cfRule type="expression" dxfId="3053" priority="134" stopIfTrue="1">
      <formula>AND(G145=1,G144=0)</formula>
    </cfRule>
  </conditionalFormatting>
  <conditionalFormatting sqref="G146">
    <cfRule type="expression" dxfId="3052" priority="130" stopIfTrue="1">
      <formula>AND(G146=1,G145=1)</formula>
    </cfRule>
    <cfRule type="expression" dxfId="3051" priority="131" stopIfTrue="1">
      <formula>AND(G146=1,G145=0)</formula>
    </cfRule>
  </conditionalFormatting>
  <conditionalFormatting sqref="G144">
    <cfRule type="expression" dxfId="3050" priority="127" stopIfTrue="1">
      <formula>AND(G143=0,G144=1,G145=1)</formula>
    </cfRule>
    <cfRule type="expression" dxfId="3049" priority="128" stopIfTrue="1">
      <formula>AND(G143=1,G145=1)</formula>
    </cfRule>
    <cfRule type="expression" dxfId="3048" priority="129" stopIfTrue="1">
      <formula>AND(G144=1,G143=0)</formula>
    </cfRule>
  </conditionalFormatting>
  <conditionalFormatting sqref="G138:G143">
    <cfRule type="expression" dxfId="3047" priority="124" stopIfTrue="1">
      <formula>AND(G137=0,G138=1,G139=1)</formula>
    </cfRule>
    <cfRule type="expression" dxfId="3046" priority="125" stopIfTrue="1">
      <formula>AND(G137=1,G139=1)</formula>
    </cfRule>
    <cfRule type="expression" dxfId="3045" priority="126" stopIfTrue="1">
      <formula>AND(G138=1,G137=0)</formula>
    </cfRule>
  </conditionalFormatting>
  <conditionalFormatting sqref="G137">
    <cfRule type="expression" dxfId="3044" priority="122" stopIfTrue="1">
      <formula>AND(G137=1,G138=1)</formula>
    </cfRule>
    <cfRule type="expression" dxfId="3043" priority="123" stopIfTrue="1">
      <formula>AND(G137=1,G136=0)</formula>
    </cfRule>
  </conditionalFormatting>
  <conditionalFormatting sqref="G160">
    <cfRule type="expression" dxfId="3042" priority="119" stopIfTrue="1">
      <formula>$E160=0</formula>
    </cfRule>
    <cfRule type="expression" dxfId="3041" priority="120" stopIfTrue="1">
      <formula>ISERROR(G160)</formula>
    </cfRule>
    <cfRule type="expression" dxfId="3040" priority="121" stopIfTrue="1">
      <formula>$E160&lt;&gt;0</formula>
    </cfRule>
  </conditionalFormatting>
  <conditionalFormatting sqref="G158">
    <cfRule type="expression" dxfId="3039" priority="116" stopIfTrue="1">
      <formula>AND(G157=0,G158=1,G159=1)</formula>
    </cfRule>
    <cfRule type="expression" dxfId="3038" priority="117" stopIfTrue="1">
      <formula>AND(G157=1,G159=1)</formula>
    </cfRule>
    <cfRule type="expression" dxfId="3037" priority="118" stopIfTrue="1">
      <formula>AND(G158=1,G157=0)</formula>
    </cfRule>
  </conditionalFormatting>
  <conditionalFormatting sqref="G159">
    <cfRule type="expression" dxfId="3036" priority="114" stopIfTrue="1">
      <formula>AND(G159=1,G158=1)</formula>
    </cfRule>
    <cfRule type="expression" dxfId="3035" priority="115" stopIfTrue="1">
      <formula>AND(G159=1,G158=0)</formula>
    </cfRule>
  </conditionalFormatting>
  <conditionalFormatting sqref="G157">
    <cfRule type="expression" dxfId="3034" priority="111" stopIfTrue="1">
      <formula>AND(G156=0,G157=1,G158=1)</formula>
    </cfRule>
    <cfRule type="expression" dxfId="3033" priority="112" stopIfTrue="1">
      <formula>AND(G156=1,G158=1)</formula>
    </cfRule>
    <cfRule type="expression" dxfId="3032" priority="113" stopIfTrue="1">
      <formula>AND(G157=1,G156=0)</formula>
    </cfRule>
  </conditionalFormatting>
  <conditionalFormatting sqref="G151:G156">
    <cfRule type="expression" dxfId="3031" priority="108" stopIfTrue="1">
      <formula>AND(G150=0,G151=1,G152=1)</formula>
    </cfRule>
    <cfRule type="expression" dxfId="3030" priority="109" stopIfTrue="1">
      <formula>AND(G150=1,G152=1)</formula>
    </cfRule>
    <cfRule type="expression" dxfId="3029" priority="110" stopIfTrue="1">
      <formula>AND(G151=1,G150=0)</formula>
    </cfRule>
  </conditionalFormatting>
  <conditionalFormatting sqref="G150">
    <cfRule type="expression" dxfId="3028" priority="106" stopIfTrue="1">
      <formula>AND(G150=1,G151=1)</formula>
    </cfRule>
    <cfRule type="expression" dxfId="3027" priority="107" stopIfTrue="1">
      <formula>AND(G150=1,G149=0)</formula>
    </cfRule>
  </conditionalFormatting>
  <conditionalFormatting sqref="H147:M147">
    <cfRule type="expression" dxfId="3026" priority="103" stopIfTrue="1">
      <formula>$E147=0</formula>
    </cfRule>
    <cfRule type="expression" dxfId="3025" priority="104" stopIfTrue="1">
      <formula>ISERROR(H147)</formula>
    </cfRule>
    <cfRule type="expression" dxfId="3024" priority="105" stopIfTrue="1">
      <formula>$E147&lt;&gt;0</formula>
    </cfRule>
  </conditionalFormatting>
  <conditionalFormatting sqref="H145:M145">
    <cfRule type="expression" dxfId="3023" priority="100" stopIfTrue="1">
      <formula>AND(H144=0,H145=1,H146=1)</formula>
    </cfRule>
    <cfRule type="expression" dxfId="3022" priority="101" stopIfTrue="1">
      <formula>AND(H144=1,H146=1)</formula>
    </cfRule>
    <cfRule type="expression" dxfId="3021" priority="102" stopIfTrue="1">
      <formula>AND(H145=1,H144=0)</formula>
    </cfRule>
  </conditionalFormatting>
  <conditionalFormatting sqref="H146:M146">
    <cfRule type="expression" dxfId="3020" priority="98" stopIfTrue="1">
      <formula>AND(H146=1,H145=1)</formula>
    </cfRule>
    <cfRule type="expression" dxfId="3019" priority="99" stopIfTrue="1">
      <formula>AND(H146=1,H145=0)</formula>
    </cfRule>
  </conditionalFormatting>
  <conditionalFormatting sqref="H144:M144">
    <cfRule type="expression" dxfId="3018" priority="95" stopIfTrue="1">
      <formula>AND(H143=0,H144=1,H145=1)</formula>
    </cfRule>
    <cfRule type="expression" dxfId="3017" priority="96" stopIfTrue="1">
      <formula>AND(H143=1,H145=1)</formula>
    </cfRule>
    <cfRule type="expression" dxfId="3016" priority="97" stopIfTrue="1">
      <formula>AND(H144=1,H143=0)</formula>
    </cfRule>
  </conditionalFormatting>
  <conditionalFormatting sqref="H138:M143">
    <cfRule type="expression" dxfId="3015" priority="92" stopIfTrue="1">
      <formula>AND(H137=0,H138=1,H139=1)</formula>
    </cfRule>
    <cfRule type="expression" dxfId="3014" priority="93" stopIfTrue="1">
      <formula>AND(H137=1,H139=1)</formula>
    </cfRule>
    <cfRule type="expression" dxfId="3013" priority="94" stopIfTrue="1">
      <formula>AND(H138=1,H137=0)</formula>
    </cfRule>
  </conditionalFormatting>
  <conditionalFormatting sqref="H137:M137">
    <cfRule type="expression" dxfId="3012" priority="90" stopIfTrue="1">
      <formula>AND(H137=1,H138=1)</formula>
    </cfRule>
    <cfRule type="expression" dxfId="3011" priority="91" stopIfTrue="1">
      <formula>AND(H137=1,H136=0)</formula>
    </cfRule>
  </conditionalFormatting>
  <conditionalFormatting sqref="H160:M160">
    <cfRule type="expression" dxfId="3010" priority="87" stopIfTrue="1">
      <formula>$E160=0</formula>
    </cfRule>
    <cfRule type="expression" dxfId="3009" priority="88" stopIfTrue="1">
      <formula>ISERROR(H160)</formula>
    </cfRule>
    <cfRule type="expression" dxfId="3008" priority="89" stopIfTrue="1">
      <formula>$E160&lt;&gt;0</formula>
    </cfRule>
  </conditionalFormatting>
  <conditionalFormatting sqref="H158:M158">
    <cfRule type="expression" dxfId="3007" priority="84" stopIfTrue="1">
      <formula>AND(H157=0,H158=1,H159=1)</formula>
    </cfRule>
    <cfRule type="expression" dxfId="3006" priority="85" stopIfTrue="1">
      <formula>AND(H157=1,H159=1)</formula>
    </cfRule>
    <cfRule type="expression" dxfId="3005" priority="86" stopIfTrue="1">
      <formula>AND(H158=1,H157=0)</formula>
    </cfRule>
  </conditionalFormatting>
  <conditionalFormatting sqref="H159:M159">
    <cfRule type="expression" dxfId="3004" priority="82" stopIfTrue="1">
      <formula>AND(H159=1,H158=1)</formula>
    </cfRule>
    <cfRule type="expression" dxfId="3003" priority="83" stopIfTrue="1">
      <formula>AND(H159=1,H158=0)</formula>
    </cfRule>
  </conditionalFormatting>
  <conditionalFormatting sqref="H157:M157">
    <cfRule type="expression" dxfId="3002" priority="79" stopIfTrue="1">
      <formula>AND(H156=0,H157=1,H158=1)</formula>
    </cfRule>
    <cfRule type="expression" dxfId="3001" priority="80" stopIfTrue="1">
      <formula>AND(H156=1,H158=1)</formula>
    </cfRule>
    <cfRule type="expression" dxfId="3000" priority="81" stopIfTrue="1">
      <formula>AND(H157=1,H156=0)</formula>
    </cfRule>
  </conditionalFormatting>
  <conditionalFormatting sqref="H151:M156">
    <cfRule type="expression" dxfId="2999" priority="76" stopIfTrue="1">
      <formula>AND(H150=0,H151=1,H152=1)</formula>
    </cfRule>
    <cfRule type="expression" dxfId="2998" priority="77" stopIfTrue="1">
      <formula>AND(H150=1,H152=1)</formula>
    </cfRule>
    <cfRule type="expression" dxfId="2997" priority="78" stopIfTrue="1">
      <formula>AND(H151=1,H150=0)</formula>
    </cfRule>
  </conditionalFormatting>
  <conditionalFormatting sqref="H150:M150">
    <cfRule type="expression" dxfId="2996" priority="74" stopIfTrue="1">
      <formula>AND(H150=1,H151=1)</formula>
    </cfRule>
    <cfRule type="expression" dxfId="2995" priority="75" stopIfTrue="1">
      <formula>AND(H150=1,H149=0)</formula>
    </cfRule>
  </conditionalFormatting>
  <conditionalFormatting sqref="N133:O133 N135:O135">
    <cfRule type="containsBlanks" dxfId="2994" priority="73">
      <formula>LEN(TRIM(N133))=0</formula>
    </cfRule>
  </conditionalFormatting>
  <conditionalFormatting sqref="N132">
    <cfRule type="expression" dxfId="2993" priority="72">
      <formula>N133=""</formula>
    </cfRule>
  </conditionalFormatting>
  <conditionalFormatting sqref="N134">
    <cfRule type="expression" dxfId="2992" priority="71">
      <formula>N135=""</formula>
    </cfRule>
  </conditionalFormatting>
  <conditionalFormatting sqref="G173">
    <cfRule type="expression" dxfId="2991" priority="68" stopIfTrue="1">
      <formula>$E173=0</formula>
    </cfRule>
    <cfRule type="expression" dxfId="2990" priority="69" stopIfTrue="1">
      <formula>ISERROR(G173)</formula>
    </cfRule>
    <cfRule type="expression" dxfId="2989" priority="70" stopIfTrue="1">
      <formula>$E173&lt;&gt;0</formula>
    </cfRule>
  </conditionalFormatting>
  <conditionalFormatting sqref="G171">
    <cfRule type="expression" dxfId="2988" priority="62" stopIfTrue="1">
      <formula>AND(G170=0,G171=1,G172=1)</formula>
    </cfRule>
    <cfRule type="expression" dxfId="2987" priority="63" stopIfTrue="1">
      <formula>AND(G170=1,G172=1)</formula>
    </cfRule>
    <cfRule type="expression" dxfId="2986" priority="64" stopIfTrue="1">
      <formula>AND(G171=1,G170=0)</formula>
    </cfRule>
  </conditionalFormatting>
  <conditionalFormatting sqref="G170">
    <cfRule type="expression" dxfId="2985" priority="65" stopIfTrue="1">
      <formula>AND(G169=0,G170=1,G171=1)</formula>
    </cfRule>
    <cfRule type="expression" dxfId="2984" priority="66" stopIfTrue="1">
      <formula>AND(G169=1,G171=1)</formula>
    </cfRule>
    <cfRule type="expression" dxfId="2983" priority="67" stopIfTrue="1">
      <formula>AND(G170=1,G169=0)</formula>
    </cfRule>
  </conditionalFormatting>
  <conditionalFormatting sqref="G164:G169">
    <cfRule type="expression" dxfId="2982" priority="59" stopIfTrue="1">
      <formula>AND(G163=0,G164=1,G165=1)</formula>
    </cfRule>
    <cfRule type="expression" dxfId="2981" priority="60" stopIfTrue="1">
      <formula>AND(G163=1,G165=1)</formula>
    </cfRule>
    <cfRule type="expression" dxfId="2980" priority="61" stopIfTrue="1">
      <formula>AND(G164=1,G163=0)</formula>
    </cfRule>
  </conditionalFormatting>
  <conditionalFormatting sqref="G163">
    <cfRule type="expression" dxfId="2979" priority="57" stopIfTrue="1">
      <formula>AND(G163=1,G164=1)</formula>
    </cfRule>
    <cfRule type="expression" dxfId="2978" priority="58" stopIfTrue="1">
      <formula>AND(G163=1,G162=0)</formula>
    </cfRule>
  </conditionalFormatting>
  <conditionalFormatting sqref="G172">
    <cfRule type="expression" dxfId="2977" priority="55" stopIfTrue="1">
      <formula>AND(G172=1,G171=1)</formula>
    </cfRule>
    <cfRule type="expression" dxfId="2976" priority="56" stopIfTrue="1">
      <formula>AND(G172=1,G171=0)</formula>
    </cfRule>
  </conditionalFormatting>
  <conditionalFormatting sqref="H173:M173">
    <cfRule type="expression" dxfId="2975" priority="52" stopIfTrue="1">
      <formula>$E173=0</formula>
    </cfRule>
    <cfRule type="expression" dxfId="2974" priority="53" stopIfTrue="1">
      <formula>ISERROR(H173)</formula>
    </cfRule>
    <cfRule type="expression" dxfId="2973" priority="54" stopIfTrue="1">
      <formula>$E173&lt;&gt;0</formula>
    </cfRule>
  </conditionalFormatting>
  <conditionalFormatting sqref="H171:M171">
    <cfRule type="expression" dxfId="2972" priority="46" stopIfTrue="1">
      <formula>AND(H170=0,H171=1,H172=1)</formula>
    </cfRule>
    <cfRule type="expression" dxfId="2971" priority="47" stopIfTrue="1">
      <formula>AND(H170=1,H172=1)</formula>
    </cfRule>
    <cfRule type="expression" dxfId="2970" priority="48" stopIfTrue="1">
      <formula>AND(H171=1,H170=0)</formula>
    </cfRule>
  </conditionalFormatting>
  <conditionalFormatting sqref="H170:M170">
    <cfRule type="expression" dxfId="2969" priority="49" stopIfTrue="1">
      <formula>AND(H169=0,H170=1,H171=1)</formula>
    </cfRule>
    <cfRule type="expression" dxfId="2968" priority="50" stopIfTrue="1">
      <formula>AND(H169=1,H171=1)</formula>
    </cfRule>
    <cfRule type="expression" dxfId="2967" priority="51" stopIfTrue="1">
      <formula>AND(H170=1,H169=0)</formula>
    </cfRule>
  </conditionalFormatting>
  <conditionalFormatting sqref="H164:M169">
    <cfRule type="expression" dxfId="2966" priority="43" stopIfTrue="1">
      <formula>AND(H163=0,H164=1,H165=1)</formula>
    </cfRule>
    <cfRule type="expression" dxfId="2965" priority="44" stopIfTrue="1">
      <formula>AND(H163=1,H165=1)</formula>
    </cfRule>
    <cfRule type="expression" dxfId="2964" priority="45" stopIfTrue="1">
      <formula>AND(H164=1,H163=0)</formula>
    </cfRule>
  </conditionalFormatting>
  <conditionalFormatting sqref="H163:M163">
    <cfRule type="expression" dxfId="2963" priority="41" stopIfTrue="1">
      <formula>AND(H163=1,H164=1)</formula>
    </cfRule>
    <cfRule type="expression" dxfId="2962" priority="42" stopIfTrue="1">
      <formula>AND(H163=1,H162=0)</formula>
    </cfRule>
  </conditionalFormatting>
  <conditionalFormatting sqref="H172:M172">
    <cfRule type="expression" dxfId="2961" priority="39" stopIfTrue="1">
      <formula>AND(H172=1,H171=1)</formula>
    </cfRule>
    <cfRule type="expression" dxfId="2960" priority="40" stopIfTrue="1">
      <formula>AND(H172=1,H171=0)</formula>
    </cfRule>
  </conditionalFormatting>
  <conditionalFormatting sqref="E173:F173">
    <cfRule type="containsErrors" dxfId="2959" priority="38" stopIfTrue="1">
      <formula>ISERROR(E173)</formula>
    </cfRule>
  </conditionalFormatting>
  <conditionalFormatting sqref="AK8:AK38">
    <cfRule type="cellIs" dxfId="2958" priority="37" stopIfTrue="1" operator="equal">
      <formula>0</formula>
    </cfRule>
  </conditionalFormatting>
  <conditionalFormatting sqref="BA6:BG6">
    <cfRule type="cellIs" dxfId="2957" priority="35" stopIfTrue="1" operator="equal">
      <formula>$E$125</formula>
    </cfRule>
  </conditionalFormatting>
  <conditionalFormatting sqref="BA9:BG38 BB8:BG8">
    <cfRule type="cellIs" dxfId="2956" priority="34" stopIfTrue="1" operator="equal">
      <formula>0</formula>
    </cfRule>
  </conditionalFormatting>
  <conditionalFormatting sqref="BA8">
    <cfRule type="cellIs" dxfId="2955" priority="33" stopIfTrue="1" operator="equal">
      <formula>0</formula>
    </cfRule>
  </conditionalFormatting>
  <conditionalFormatting sqref="BA5:BG5">
    <cfRule type="cellIs" dxfId="2954" priority="32" stopIfTrue="1" operator="equal">
      <formula>$E$125</formula>
    </cfRule>
  </conditionalFormatting>
  <conditionalFormatting sqref="L3:N3">
    <cfRule type="cellIs" dxfId="2953" priority="31" stopIfTrue="1" operator="equal">
      <formula>0</formula>
    </cfRule>
  </conditionalFormatting>
  <conditionalFormatting sqref="BC3">
    <cfRule type="cellIs" dxfId="2952" priority="30" stopIfTrue="1" operator="equal">
      <formula>$E$125</formula>
    </cfRule>
  </conditionalFormatting>
  <conditionalFormatting sqref="BB66:BF66">
    <cfRule type="cellIs" dxfId="2951" priority="27" stopIfTrue="1" operator="equal">
      <formula>0</formula>
    </cfRule>
  </conditionalFormatting>
  <conditionalFormatting sqref="BB67:BF67">
    <cfRule type="cellIs" dxfId="2950" priority="26" stopIfTrue="1" operator="equal">
      <formula>0</formula>
    </cfRule>
  </conditionalFormatting>
  <conditionalFormatting sqref="BB64:BF64">
    <cfRule type="cellIs" dxfId="2949" priority="25" stopIfTrue="1" operator="equal">
      <formula>0</formula>
    </cfRule>
  </conditionalFormatting>
  <conditionalFormatting sqref="BB65:BF65">
    <cfRule type="cellIs" dxfId="2948" priority="24" stopIfTrue="1" operator="equal">
      <formula>0</formula>
    </cfRule>
  </conditionalFormatting>
  <conditionalFormatting sqref="BB63:BF63">
    <cfRule type="cellIs" dxfId="2947" priority="23" stopIfTrue="1" operator="equal">
      <formula>0</formula>
    </cfRule>
  </conditionalFormatting>
  <conditionalFormatting sqref="BA66">
    <cfRule type="cellIs" dxfId="2946" priority="22" stopIfTrue="1" operator="equal">
      <formula>0</formula>
    </cfRule>
  </conditionalFormatting>
  <conditionalFormatting sqref="BA67">
    <cfRule type="cellIs" dxfId="2945" priority="21" stopIfTrue="1" operator="equal">
      <formula>0</formula>
    </cfRule>
  </conditionalFormatting>
  <conditionalFormatting sqref="BA64">
    <cfRule type="cellIs" dxfId="2944" priority="20" stopIfTrue="1" operator="equal">
      <formula>0</formula>
    </cfRule>
  </conditionalFormatting>
  <conditionalFormatting sqref="BA65">
    <cfRule type="cellIs" dxfId="2943" priority="19" stopIfTrue="1" operator="equal">
      <formula>0</formula>
    </cfRule>
  </conditionalFormatting>
  <conditionalFormatting sqref="BA63">
    <cfRule type="cellIs" dxfId="2942" priority="18" stopIfTrue="1" operator="equal">
      <formula>0</formula>
    </cfRule>
  </conditionalFormatting>
  <conditionalFormatting sqref="BG66">
    <cfRule type="cellIs" dxfId="2941" priority="17" stopIfTrue="1" operator="equal">
      <formula>0</formula>
    </cfRule>
  </conditionalFormatting>
  <conditionalFormatting sqref="BG67">
    <cfRule type="cellIs" dxfId="2940" priority="16" stopIfTrue="1" operator="equal">
      <formula>0</formula>
    </cfRule>
  </conditionalFormatting>
  <conditionalFormatting sqref="BG64">
    <cfRule type="cellIs" dxfId="2939" priority="15" stopIfTrue="1" operator="equal">
      <formula>0</formula>
    </cfRule>
  </conditionalFormatting>
  <conditionalFormatting sqref="BG65">
    <cfRule type="cellIs" dxfId="2938" priority="14" stopIfTrue="1" operator="equal">
      <formula>0</formula>
    </cfRule>
  </conditionalFormatting>
  <conditionalFormatting sqref="BG63">
    <cfRule type="cellIs" dxfId="2937" priority="13" stopIfTrue="1" operator="equal">
      <formula>0</formula>
    </cfRule>
  </conditionalFormatting>
  <conditionalFormatting sqref="BB4:BG4">
    <cfRule type="cellIs" dxfId="2936" priority="12" stopIfTrue="1" operator="equal">
      <formula>0</formula>
    </cfRule>
  </conditionalFormatting>
  <conditionalFormatting sqref="BA4">
    <cfRule type="cellIs" dxfId="2935" priority="11" stopIfTrue="1" operator="equal">
      <formula>0</formula>
    </cfRule>
  </conditionalFormatting>
  <conditionalFormatting sqref="E8:F38">
    <cfRule type="expression" dxfId="2934" priority="3" stopIfTrue="1">
      <formula>$AE8=$AC$6</formula>
    </cfRule>
    <cfRule type="expression" dxfId="2933" priority="4" stopIfTrue="1">
      <formula>AND($AE8=0,$E8=0)</formula>
    </cfRule>
    <cfRule type="expression" dxfId="2932" priority="5" stopIfTrue="1">
      <formula>$AE8=0</formula>
    </cfRule>
  </conditionalFormatting>
  <conditionalFormatting sqref="G8:M38">
    <cfRule type="expression" dxfId="2931" priority="6" stopIfTrue="1">
      <formula>$AE8=$AC$6</formula>
    </cfRule>
    <cfRule type="expression" dxfId="2930" priority="7" stopIfTrue="1">
      <formula>OR($AE8=0,$E8=$E$129)</formula>
    </cfRule>
  </conditionalFormatting>
  <conditionalFormatting sqref="C8:D38">
    <cfRule type="expression" dxfId="2929" priority="2" stopIfTrue="1">
      <formula>$AE8=$AC$6</formula>
    </cfRule>
    <cfRule type="expression" dxfId="2928" priority="8" stopIfTrue="1">
      <formula>AND($L$199=0,OR($W8&lt;$B$129,$W8&gt;$B$130))</formula>
    </cfRule>
    <cfRule type="expression" dxfId="2927" priority="9" stopIfTrue="1">
      <formula>AND($AE8=0,$E8=0)</formula>
    </cfRule>
    <cfRule type="expression" dxfId="2926" priority="10" stopIfTrue="1">
      <formula>$AE8=0</formula>
    </cfRule>
  </conditionalFormatting>
  <conditionalFormatting sqref="N64">
    <cfRule type="expression" dxfId="2925"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CONCATENATE(IF(IMPOSTAZIONI!F214="","..",IMPOSTAZIONI!F214),"-",IF(IMPOSTAZIONI!F215="","..",IMPOSTAZIONI!F215),"-",IF(IMPOSTAZIONI!F216="","..",IMPOSTAZIONI!F216))</f>
        <v>..-..-..</v>
      </c>
      <c r="H1" s="167" t="str">
        <f>CONCATENATE(IF(IMPOSTAZIONI!K214="","..",IMPOSTAZIONI!K214),"-",IF(IMPOSTAZIONI!K215="","..",IMPOSTAZIONI!K215),"-",IF(IMPOSTAZIONI!K216="","..",IMPOSTAZIONI!K216))</f>
        <v>..-..-..</v>
      </c>
      <c r="I1" s="167" t="str">
        <f>CONCATENATE(IF(IMPOSTAZIONI!P214="","..",IMPOSTAZIONI!P214),"-",IF(IMPOSTAZIONI!P215="","..",IMPOSTAZIONI!P215),"-",IF(IMPOSTAZIONI!P216="","..",IMPOSTAZIONI!P216))</f>
        <v>..-..-..</v>
      </c>
      <c r="J1" s="167" t="str">
        <f>CONCATENATE(IF(IMPOSTAZIONI!U214="","..",IMPOSTAZIONI!U214),"-",IF(IMPOSTAZIONI!U215="","..",IMPOSTAZIONI!U215),"-",IF(IMPOSTAZIONI!U216="","..",IMPOSTAZIONI!U216))</f>
        <v>..-..-..</v>
      </c>
      <c r="K1" s="167" t="str">
        <f>CONCATENATE(IF(IMPOSTAZIONI!Z214="","..",IMPOSTAZIONI!Z214),"-",IF(IMPOSTAZIONI!Z215="","..",IMPOSTAZIONI!Z215),"-",IF(IMPOSTAZIONI!Z216="","..",IMPOSTAZIONI!Z216))</f>
        <v>..-..-..</v>
      </c>
      <c r="L1" s="167" t="str">
        <f>CONCATENATE(IF(IMPOSTAZIONI!AE214="","..",IMPOSTAZIONI!AE214),"-",IF(IMPOSTAZIONI!AE215="","..",IMPOSTAZIONI!AE215),"-",IF(IMPOSTAZIONI!AE216="","..",IMPOSTAZIONI!AE216))</f>
        <v>..-..-..</v>
      </c>
      <c r="M1" s="167" t="str">
        <f>CONCATENATE(IF(IMPOSTAZIONI!AJ214="","..",IMPOSTAZIONI!AJ214),"-",IF(IMPOSTAZIONI!AJ215="","..",IMPOSTAZIONI!AJ215),"-",IF(IMPOSTAZIONI!AJ216="","..",IMPOSTAZIONI!AJ216))</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338</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IF($I$199=0,"",IMPOSTAZIONI!G214)</f>
        <v/>
      </c>
      <c r="H4" s="183" t="str">
        <f>IF($I$199=0,"",IMPOSTAZIONI!L214)</f>
        <v/>
      </c>
      <c r="I4" s="183" t="str">
        <f>IF($I$199=0,"",IMPOSTAZIONI!Q214)</f>
        <v/>
      </c>
      <c r="J4" s="183" t="str">
        <f>IF($I$199=0,"",IMPOSTAZIONI!V214)</f>
        <v/>
      </c>
      <c r="K4" s="183" t="str">
        <f>IF($I$199=0,"",IMPOSTAZIONI!AA214)</f>
        <v/>
      </c>
      <c r="L4" s="183" t="str">
        <f>IF($I$199=0,"",IMPOSTAZIONI!AF214)</f>
        <v/>
      </c>
      <c r="M4" s="183" t="str">
        <f>IF($I$199=0,"",IMPOSTAZIONI!AK214)</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IF($I$199=0,"",IMPOSTAZIONI!G215)</f>
        <v/>
      </c>
      <c r="H5" s="823" t="str">
        <f>IF($I$199=0,"",IMPOSTAZIONI!L215)</f>
        <v/>
      </c>
      <c r="I5" s="823" t="str">
        <f>IF($I$199=0,"",IMPOSTAZIONI!Q215)</f>
        <v/>
      </c>
      <c r="J5" s="823" t="str">
        <f>IF($I$199=0,"",IMPOSTAZIONI!V215)</f>
        <v/>
      </c>
      <c r="K5" s="823" t="str">
        <f>IF($I$199=0,"",IMPOSTAZIONI!AA215)</f>
        <v/>
      </c>
      <c r="L5" s="823" t="str">
        <f>IF($I$199=0,"",IMPOSTAZIONI!AF215)</f>
        <v/>
      </c>
      <c r="M5" s="823" t="str">
        <f>IF($I$199=0,"",IMPOSTAZIONI!AK215)</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IF($I$199=0,"",IMPOSTAZIONI!G216)</f>
        <v/>
      </c>
      <c r="H6" s="40" t="str">
        <f>IF($I$199=0,"",IMPOSTAZIONI!L216)</f>
        <v/>
      </c>
      <c r="I6" s="40" t="str">
        <f>IF($I$199=0,"",IMPOSTAZIONI!Q216)</f>
        <v/>
      </c>
      <c r="J6" s="40" t="str">
        <f>IF($I$199=0,"",IMPOSTAZIONI!V216)</f>
        <v/>
      </c>
      <c r="K6" s="40" t="str">
        <f>IF($I$199=0,"",IMPOSTAZIONI!AA216)</f>
        <v/>
      </c>
      <c r="L6" s="40" t="str">
        <f>IF($I$199=0,"",IMPOSTAZIONI!AF216)</f>
        <v/>
      </c>
      <c r="M6" s="40" t="str">
        <f>IF($I$199=0,"",IMPOSTAZIONI!AK216)</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IMPOSTAZIONI!Y273</f>
        <v>0</v>
      </c>
      <c r="F7" s="1999"/>
      <c r="G7" s="811">
        <f>IMPOSTAZIONI!$T287</f>
        <v>0</v>
      </c>
      <c r="H7" s="811">
        <f>IMPOSTAZIONI!$T288</f>
        <v>0</v>
      </c>
      <c r="I7" s="811">
        <f>IMPOSTAZIONI!$T289</f>
        <v>0</v>
      </c>
      <c r="J7" s="811">
        <f>IMPOSTAZIONI!$T290</f>
        <v>0</v>
      </c>
      <c r="K7" s="811">
        <f>IMPOSTAZIONI!$T291</f>
        <v>0</v>
      </c>
      <c r="L7" s="811">
        <f>IMPOSTAZIONI!$T292</f>
        <v>0</v>
      </c>
      <c r="M7" s="811">
        <f>IMPOSTAZIONI!$T293</f>
        <v>0</v>
      </c>
      <c r="N7" s="1288"/>
      <c r="O7" s="57"/>
      <c r="P7" s="2044" t="s">
        <v>524</v>
      </c>
      <c r="Q7" s="2044"/>
      <c r="R7" s="2044"/>
      <c r="S7" s="2044"/>
      <c r="T7" s="2044"/>
      <c r="U7" s="2044"/>
      <c r="V7" s="2044"/>
      <c r="W7" s="285">
        <f>W8-1</f>
        <v>45535</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9</v>
      </c>
      <c r="E8" s="1994" t="str">
        <f t="shared" ref="E8:E37"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7" si="10">IF(AND($L$199=0,$W8&gt;$B$130),0,IF(G$123="X",0,ROUND(G8*P$6,2)))</f>
        <v>0</v>
      </c>
      <c r="Q8" s="487">
        <f t="shared" ref="Q8:Q37" si="11">IF(AND($L$199=0,$W8&gt;$B$130),0,IF(H$123="X",0,ROUND(H8*Q$6,2)))</f>
        <v>0</v>
      </c>
      <c r="R8" s="487">
        <f t="shared" ref="R8:R37" si="12">IF(AND($L$199=0,$W8&gt;$B$130),0,IF(I$123="X",0,ROUND(I8*R$6,2)))</f>
        <v>0</v>
      </c>
      <c r="S8" s="487">
        <f t="shared" ref="S8:S37" si="13">IF(AND($L$199=0,$W8&gt;$B$130),0,IF(J$123="X",0,ROUND(J8*S$6,2)))</f>
        <v>0</v>
      </c>
      <c r="T8" s="487">
        <f t="shared" ref="T8:T37" si="14">IF(AND($L$199=0,$W8&gt;$B$130),0,IF(K$123="X",0,ROUND(K8*T$6,2)))</f>
        <v>0</v>
      </c>
      <c r="U8" s="487">
        <f t="shared" ref="U8:U37" si="15">IF(AND($L$199=0,$W8&gt;$B$130),0,IF(L$123="X",0,ROUND(L8*U$6,2)))</f>
        <v>0</v>
      </c>
      <c r="V8" s="488">
        <f t="shared" ref="V8:V37" si="16">IF(AND($L$199=0,$W8&gt;$B$130),0,IF(M$123="X",0,ROUND(M8*V$6,2)))</f>
        <v>0</v>
      </c>
      <c r="W8" s="154">
        <f>DATE(C$6,D8,C8)</f>
        <v>45536</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7" si="18">SUMIF($G$120:$M$120,1,$X8:$AD8)-SUM(AG8:AJ8)</f>
        <v>0</v>
      </c>
      <c r="AG8" s="510">
        <f t="shared" ref="AG8:AG37" si="19">IF(AND($AF$6=1,$P$70&lt;&gt;0),$P$70/$P$65*SUMIF($G$120:$M$120,1,$X8:$AD8),0)</f>
        <v>0</v>
      </c>
      <c r="AH8" s="487">
        <f t="shared" ref="AH8:AH37" si="20">IF(AND($AF$6=1,$P$71&lt;&gt;0),$P$71/$P$65*SUMIF($G$120:$M$120,1,$X8:$AD8),0)</f>
        <v>0</v>
      </c>
      <c r="AI8" s="487">
        <f t="shared" ref="AI8:AI37" si="21">IF(AND($AF$6=1,$P$72&lt;&gt;0),$P$72/$P$65*SUMIF($G$120:$M$120,1,$X8:$AD8),0)</f>
        <v>0</v>
      </c>
      <c r="AJ8" s="511">
        <f t="shared" ref="AJ8:AJ37" si="22">IF(AND($AF$6=1,$P$73&lt;&gt;0),$P$73/$P$65*SUMIF($G$120:$M$120,1,$X8:$AD8),0)</f>
        <v>0</v>
      </c>
      <c r="AK8" s="1003">
        <f>IF(AND($L$199=0,OR($W8&lt;$B$129,$W8&gt;$B$130)),0,SUMIF($G$42:$M$42,$K$102,$G8:$M8))</f>
        <v>0</v>
      </c>
      <c r="AL8" s="509">
        <f>SUMIF($G$42:$M$42,$K$102,$X8:$AD8)</f>
        <v>0</v>
      </c>
      <c r="AM8" s="525">
        <f t="shared" ref="AM8:AM37" si="23">IF(G$42=$K$102,P8,0)</f>
        <v>0</v>
      </c>
      <c r="AN8" s="487">
        <f t="shared" ref="AN8:AN37" si="24">IF(H$42=$K$102,Q8,0)</f>
        <v>0</v>
      </c>
      <c r="AO8" s="487">
        <f t="shared" ref="AO8:AO37" si="25">IF(I$42=$K$102,R8,0)</f>
        <v>0</v>
      </c>
      <c r="AP8" s="487">
        <f t="shared" ref="AP8:AP37" si="26">IF(J$42=$K$102,S8,0)</f>
        <v>0</v>
      </c>
      <c r="AQ8" s="487">
        <f t="shared" ref="AQ8:AQ37" si="27">IF(K$42=$K$102,T8,0)</f>
        <v>0</v>
      </c>
      <c r="AR8" s="487">
        <f t="shared" ref="AR8:AR37" si="28">IF(L$42=$K$102,U8,0)</f>
        <v>0</v>
      </c>
      <c r="AS8" s="511">
        <f t="shared" ref="AS8:AS37" si="29">IF(M$42=$K$102,V8,0)</f>
        <v>0</v>
      </c>
      <c r="AT8" s="2"/>
      <c r="AU8" s="509">
        <f t="shared" ref="AU8:AU37" si="30">IF(AF8&lt;&gt;0,AF8*$R$66/100,0)</f>
        <v>0</v>
      </c>
      <c r="AV8" s="510">
        <f t="shared" ref="AV8:AV37" si="31">IF(AG8&lt;&gt;0,AG8*$R$70/100,0)</f>
        <v>0</v>
      </c>
      <c r="AW8" s="487">
        <f t="shared" ref="AW8:AW37" si="32">IF(AH8&lt;&gt;0,AH8*$R$71/100,0)</f>
        <v>0</v>
      </c>
      <c r="AX8" s="487">
        <f t="shared" ref="AX8:AX37" si="33">IF(AI8&lt;&gt;0,AI8*$R$72/100,0)</f>
        <v>0</v>
      </c>
      <c r="AY8" s="511">
        <f t="shared" ref="AY8:AY37" si="34">IF(AJ8&lt;&gt;0,AJ8*$R$73/100,0)</f>
        <v>0</v>
      </c>
      <c r="AZ8" s="1123" t="str">
        <f>IF(AND(W8&gt;=BA$3,W8&lt;=BB$3),"X","")</f>
        <v/>
      </c>
      <c r="BA8" s="1045">
        <f>IF(G$123=$E$124,$P$66/$P$65*X8,X8)</f>
        <v>0</v>
      </c>
      <c r="BB8" s="1046">
        <f t="shared" ref="BB8:BG37"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9</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45537</v>
      </c>
      <c r="X9" s="489">
        <f t="shared" ref="X9:X37" si="37">IF(AND($L$199=0,OR($W9&lt;$B$129,$W9&gt;$B$130)),0,IF(G$130=$N$130,G9+P9,G9-P9))</f>
        <v>0</v>
      </c>
      <c r="Y9" s="490">
        <f t="shared" ref="Y9:Y37" si="38">IF(AND($L$199=0,OR($W9&lt;$B$129,$W9&gt;$B$130)),0,IF(H$130=$N$130,H9+Q9,H9-Q9))</f>
        <v>0</v>
      </c>
      <c r="Z9" s="490">
        <f t="shared" ref="Z9:Z37" si="39">IF(AND($L$199=0,OR($W9&lt;$B$129,$W9&gt;$B$130)),0,IF(I$130=$N$130,I9+R9,I9-R9))</f>
        <v>0</v>
      </c>
      <c r="AA9" s="490">
        <f t="shared" ref="AA9:AA37" si="40">IF(AND($L$199=0,OR($W9&lt;$B$129,$W9&gt;$B$130)),0,IF(J$130=$N$130,J9+S9,J9-S9))</f>
        <v>0</v>
      </c>
      <c r="AB9" s="490">
        <f t="shared" ref="AB9:AB37" si="41">IF(AND($L$199=0,OR($W9&lt;$B$129,$W9&gt;$B$130)),0,IF(K$130=$N$130,K9+T9,K9-T9))</f>
        <v>0</v>
      </c>
      <c r="AC9" s="490">
        <f t="shared" ref="AC9:AC37" si="42">IF(AND($L$199=0,OR($W9&lt;$B$129,$W9&gt;$B$130)),0,IF(L$130=$N$130,L9+U9,L9-U9))</f>
        <v>0</v>
      </c>
      <c r="AD9" s="491">
        <f t="shared" ref="AD9:AD37"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7" si="44">IF(AND($L$199=0,OR($W9&lt;$B$129,$W9&gt;$B$130)),0,SUMIF($G$42:$M$42,$K$102,$G9:$M9))</f>
        <v>0</v>
      </c>
      <c r="AL9" s="512">
        <f t="shared" ref="AL9:AL37"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7" si="46">IF(AND(W9&gt;=BA$3,W9&lt;=BB$3),"X","")</f>
        <v/>
      </c>
      <c r="BA9" s="1048">
        <f t="shared" ref="BA9:BA37"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9</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7" si="49">W9+1</f>
        <v>45538</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9</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45539</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9</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45540</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9</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45541</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9</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45542</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9</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45543</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9</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45544</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9</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45545</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9</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45546</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9</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45547</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9</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45548</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9</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45549</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9</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45550</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9</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45551</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9</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45552</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9</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45553</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9</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45554</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9</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45555</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9</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45556</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9</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45557</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9</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45558</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9</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45559</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9</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45560</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9</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45561</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9</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45562</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9</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45563</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9</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45564</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9</v>
      </c>
      <c r="E37" s="1959" t="str">
        <f t="shared" si="9"/>
        <v xml:space="preserve">disattivato  </v>
      </c>
      <c r="F37" s="1960"/>
      <c r="G37" s="1309"/>
      <c r="H37" s="1309"/>
      <c r="I37" s="1309"/>
      <c r="J37" s="1309"/>
      <c r="K37" s="1309"/>
      <c r="L37" s="1309"/>
      <c r="M37" s="1309"/>
      <c r="N37" s="1310"/>
      <c r="O37" s="6"/>
      <c r="P37" s="492">
        <f t="shared" si="10"/>
        <v>0</v>
      </c>
      <c r="Q37" s="493">
        <f t="shared" si="11"/>
        <v>0</v>
      </c>
      <c r="R37" s="493">
        <f t="shared" si="12"/>
        <v>0</v>
      </c>
      <c r="S37" s="493">
        <f t="shared" si="13"/>
        <v>0</v>
      </c>
      <c r="T37" s="493">
        <f t="shared" si="14"/>
        <v>0</v>
      </c>
      <c r="U37" s="493">
        <f t="shared" si="15"/>
        <v>0</v>
      </c>
      <c r="V37" s="494">
        <f t="shared" si="16"/>
        <v>0</v>
      </c>
      <c r="W37" s="154">
        <f t="shared" si="49"/>
        <v>45565</v>
      </c>
      <c r="X37" s="492">
        <f t="shared" si="37"/>
        <v>0</v>
      </c>
      <c r="Y37" s="493">
        <f t="shared" si="38"/>
        <v>0</v>
      </c>
      <c r="Z37" s="493">
        <f t="shared" si="39"/>
        <v>0</v>
      </c>
      <c r="AA37" s="493">
        <f t="shared" si="40"/>
        <v>0</v>
      </c>
      <c r="AB37" s="493">
        <f t="shared" si="41"/>
        <v>0</v>
      </c>
      <c r="AC37" s="493">
        <f t="shared" si="42"/>
        <v>0</v>
      </c>
      <c r="AD37" s="494">
        <f t="shared" si="43"/>
        <v>0</v>
      </c>
      <c r="AE37" s="414">
        <f>VLOOKUP(W37,CASSA!$B$180:$C$545,2,FALSE)</f>
        <v>0</v>
      </c>
      <c r="AF37" s="515">
        <f t="shared" si="18"/>
        <v>0</v>
      </c>
      <c r="AG37" s="516">
        <f t="shared" si="19"/>
        <v>0</v>
      </c>
      <c r="AH37" s="493">
        <f t="shared" si="20"/>
        <v>0</v>
      </c>
      <c r="AI37" s="493">
        <f t="shared" si="21"/>
        <v>0</v>
      </c>
      <c r="AJ37" s="517">
        <f t="shared" si="22"/>
        <v>0</v>
      </c>
      <c r="AK37" s="1003">
        <f t="shared" si="44"/>
        <v>0</v>
      </c>
      <c r="AL37" s="515">
        <f t="shared" si="45"/>
        <v>0</v>
      </c>
      <c r="AM37" s="527">
        <f t="shared" si="23"/>
        <v>0</v>
      </c>
      <c r="AN37" s="493">
        <f t="shared" si="24"/>
        <v>0</v>
      </c>
      <c r="AO37" s="493">
        <f t="shared" si="25"/>
        <v>0</v>
      </c>
      <c r="AP37" s="493">
        <f t="shared" si="26"/>
        <v>0</v>
      </c>
      <c r="AQ37" s="493">
        <f t="shared" si="27"/>
        <v>0</v>
      </c>
      <c r="AR37" s="493">
        <f t="shared" si="28"/>
        <v>0</v>
      </c>
      <c r="AS37" s="517">
        <f t="shared" si="29"/>
        <v>0</v>
      </c>
      <c r="AT37" s="2"/>
      <c r="AU37" s="515">
        <f t="shared" si="30"/>
        <v>0</v>
      </c>
      <c r="AV37" s="516">
        <f t="shared" si="31"/>
        <v>0</v>
      </c>
      <c r="AW37" s="493">
        <f t="shared" si="32"/>
        <v>0</v>
      </c>
      <c r="AX37" s="493">
        <f t="shared" si="33"/>
        <v>0</v>
      </c>
      <c r="AY37" s="517">
        <f t="shared" si="34"/>
        <v>0</v>
      </c>
      <c r="AZ37" s="1123" t="str">
        <f t="shared" si="46"/>
        <v/>
      </c>
      <c r="BA37" s="1050">
        <f t="shared" si="47"/>
        <v>0</v>
      </c>
      <c r="BB37" s="1051">
        <f t="shared" si="35"/>
        <v>0</v>
      </c>
      <c r="BC37" s="1051">
        <f t="shared" si="35"/>
        <v>0</v>
      </c>
      <c r="BD37" s="1051">
        <f t="shared" si="35"/>
        <v>0</v>
      </c>
      <c r="BE37" s="1051">
        <f t="shared" si="35"/>
        <v>0</v>
      </c>
      <c r="BF37" s="1051">
        <f t="shared" si="35"/>
        <v>0</v>
      </c>
      <c r="BG37" s="1052">
        <f t="shared" si="35"/>
        <v>0</v>
      </c>
      <c r="BH37" s="2"/>
      <c r="BI37" s="1314"/>
      <c r="BJ37" s="2"/>
    </row>
    <row r="38" spans="1:62" ht="20.25" customHeight="1" x14ac:dyDescent="0.2">
      <c r="A38" s="2"/>
      <c r="B38" s="18">
        <v>31</v>
      </c>
      <c r="C38" s="801" t="str">
        <f t="shared" si="48"/>
        <v>--</v>
      </c>
      <c r="D38" s="802" t="str">
        <f t="shared" si="36"/>
        <v>--</v>
      </c>
      <c r="E38" s="2097"/>
      <c r="F38" s="2098"/>
      <c r="G38" s="1289"/>
      <c r="H38" s="1289"/>
      <c r="I38" s="1289"/>
      <c r="J38" s="1289"/>
      <c r="K38" s="1289"/>
      <c r="L38" s="1289"/>
      <c r="M38" s="1289"/>
      <c r="N38" s="1290"/>
      <c r="O38" s="6"/>
      <c r="P38" s="495"/>
      <c r="Q38" s="495"/>
      <c r="R38" s="495"/>
      <c r="S38" s="495"/>
      <c r="T38" s="495"/>
      <c r="U38" s="495"/>
      <c r="V38" s="495"/>
      <c r="W38" s="496"/>
      <c r="X38" s="495"/>
      <c r="Y38" s="495"/>
      <c r="Z38" s="495"/>
      <c r="AA38" s="495"/>
      <c r="AB38" s="495"/>
      <c r="AC38" s="495"/>
      <c r="AD38" s="495"/>
      <c r="AE38" s="414"/>
      <c r="AF38" s="2"/>
      <c r="AG38" s="2"/>
      <c r="AH38" s="2"/>
      <c r="AI38" s="2"/>
      <c r="AJ38" s="2"/>
      <c r="AK38" s="2"/>
      <c r="AL38" s="2"/>
      <c r="AM38" s="2"/>
      <c r="AN38" s="2"/>
      <c r="AO38" s="2"/>
      <c r="AP38" s="2"/>
      <c r="AQ38" s="2"/>
      <c r="AR38" s="2"/>
      <c r="AS38" s="2"/>
      <c r="AT38" s="2"/>
      <c r="AU38" s="2"/>
      <c r="AV38" s="2"/>
      <c r="AW38" s="2"/>
      <c r="AX38" s="2"/>
      <c r="AY38" s="2"/>
      <c r="AZ38" s="1123"/>
      <c r="BA38" s="2"/>
      <c r="BB38" s="2"/>
      <c r="BC38" s="2"/>
      <c r="BD38" s="2"/>
      <c r="BE38" s="2"/>
      <c r="BF38" s="2"/>
      <c r="BG38" s="2"/>
      <c r="BH38" s="2"/>
      <c r="BI38" s="1287"/>
      <c r="BJ38" s="2"/>
    </row>
    <row r="39" spans="1:62" ht="20.25" customHeight="1" x14ac:dyDescent="0.2">
      <c r="A39" s="2"/>
      <c r="B39" s="7"/>
      <c r="C39" s="1992" t="s">
        <v>244</v>
      </c>
      <c r="D39" s="1993"/>
      <c r="E39" s="1996">
        <f>IMPOSTAZIONI!AB273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339</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9</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01/09 - 30/09</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IMPOSTAZIONI!T304</f>
        <v>0</v>
      </c>
      <c r="I90" s="784">
        <f>IMPOSTAZIONI!T305</f>
        <v>0</v>
      </c>
      <c r="J90" s="785">
        <f>IMPOSTAZIONI!T306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IMPOSTAZIONI!Y304</f>
        <v>0</v>
      </c>
      <c r="I91" s="788">
        <f>IMPOSTAZIONI!Y305</f>
        <v>0</v>
      </c>
      <c r="J91" s="789">
        <f>IMPOSTAZIONI!Y306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IF(IMPOSTAZIONI!W181=0,1,0)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IF(IMPOSTAZIONI!W182=0,1,0)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IF(IMPOSTAZIONI!W183=0,1,0)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27</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IMPOSTAZIONI!F215</f>
        <v/>
      </c>
      <c r="H124" s="803" t="str">
        <f>IMPOSTAZIONI!K215</f>
        <v/>
      </c>
      <c r="I124" s="803" t="str">
        <f>IMPOSTAZIONI!P215</f>
        <v/>
      </c>
      <c r="J124" s="803" t="str">
        <f>IMPOSTAZIONI!U215</f>
        <v/>
      </c>
      <c r="K124" s="803" t="str">
        <f>IMPOSTAZIONI!Z215</f>
        <v/>
      </c>
      <c r="L124" s="803" t="str">
        <f>IMPOSTAZIONI!AE215</f>
        <v/>
      </c>
      <c r="M124" s="803" t="str">
        <f>IMPOSTAZIONI!AJ215</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IMPOSTAZIONI!J215</f>
        <v>0</v>
      </c>
      <c r="H130" s="803">
        <f>IMPOSTAZIONI!O215</f>
        <v>0</v>
      </c>
      <c r="I130" s="803">
        <f>IMPOSTAZIONI!T215</f>
        <v>0</v>
      </c>
      <c r="J130" s="803">
        <f>IMPOSTAZIONI!Y215</f>
        <v>0</v>
      </c>
      <c r="K130" s="803">
        <f>IMPOSTAZIONI!AD215</f>
        <v>0</v>
      </c>
      <c r="L130" s="803">
        <f>IMPOSTAZIONI!AI215</f>
        <v>0</v>
      </c>
      <c r="M130" s="803">
        <f>IMPOSTAZIONI!AN215</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01/09 - 30/09</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01/01 - 30/09</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27</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QDfCVkmNWUJgJiMKeLFoxW2dPICGEfiDwQCGYxRGCIynE4D2828QuT+PmIRPFcuzj6JbTnIzW2px7k/NTQyj/A==" saltValue="YSQu7+mbCQB0md/pEGfNsA==" spinCount="100000" sheet="1" objects="1" scenarios="1" selectLockedCells="1"/>
  <mergeCells count="133">
    <mergeCell ref="AM6:AS6"/>
    <mergeCell ref="C137:D137"/>
    <mergeCell ref="C138:D139"/>
    <mergeCell ref="E138:E139"/>
    <mergeCell ref="C6:D6"/>
    <mergeCell ref="C7:D7"/>
    <mergeCell ref="E17:F17"/>
    <mergeCell ref="E21:F21"/>
    <mergeCell ref="E29:F29"/>
    <mergeCell ref="E30:F30"/>
    <mergeCell ref="E32:F32"/>
    <mergeCell ref="E28:F28"/>
    <mergeCell ref="E23:F23"/>
    <mergeCell ref="E24:F24"/>
    <mergeCell ref="E25:F25"/>
    <mergeCell ref="E26:F26"/>
    <mergeCell ref="E27:F27"/>
    <mergeCell ref="E38:F38"/>
    <mergeCell ref="E36:F36"/>
    <mergeCell ref="E47:F47"/>
    <mergeCell ref="AF7:AJ7"/>
    <mergeCell ref="E34:F34"/>
    <mergeCell ref="C55:F55"/>
    <mergeCell ref="P7:V7"/>
    <mergeCell ref="N133:O133"/>
    <mergeCell ref="E164:E165"/>
    <mergeCell ref="C162:H162"/>
    <mergeCell ref="C151:D152"/>
    <mergeCell ref="E151:E152"/>
    <mergeCell ref="C160:D160"/>
    <mergeCell ref="E160:F160"/>
    <mergeCell ref="C149:F149"/>
    <mergeCell ref="C150:D150"/>
    <mergeCell ref="N135:O135"/>
    <mergeCell ref="C147:D147"/>
    <mergeCell ref="E147:F147"/>
    <mergeCell ref="C134:D134"/>
    <mergeCell ref="E134:F134"/>
    <mergeCell ref="C136:F136"/>
    <mergeCell ref="C135:F135"/>
    <mergeCell ref="J2:N2"/>
    <mergeCell ref="H53:I53"/>
    <mergeCell ref="AU7:AY7"/>
    <mergeCell ref="G119:M119"/>
    <mergeCell ref="C46:D46"/>
    <mergeCell ref="E46:F46"/>
    <mergeCell ref="E12:F12"/>
    <mergeCell ref="E13:F13"/>
    <mergeCell ref="E19:F19"/>
    <mergeCell ref="E20:F20"/>
    <mergeCell ref="C44:F44"/>
    <mergeCell ref="C39:D39"/>
    <mergeCell ref="E37:F37"/>
    <mergeCell ref="E22:F22"/>
    <mergeCell ref="N77:O77"/>
    <mergeCell ref="N78:O78"/>
    <mergeCell ref="C73:F73"/>
    <mergeCell ref="C50:F50"/>
    <mergeCell ref="C51:F51"/>
    <mergeCell ref="C48:D48"/>
    <mergeCell ref="C45:F45"/>
    <mergeCell ref="E35:F35"/>
    <mergeCell ref="C43:D43"/>
    <mergeCell ref="C2:I2"/>
    <mergeCell ref="C53:F53"/>
    <mergeCell ref="C52:F52"/>
    <mergeCell ref="C3:D3"/>
    <mergeCell ref="E3:H3"/>
    <mergeCell ref="E43:F43"/>
    <mergeCell ref="E39:F39"/>
    <mergeCell ref="E15:F15"/>
    <mergeCell ref="E16:F16"/>
    <mergeCell ref="E18:F18"/>
    <mergeCell ref="E10:F10"/>
    <mergeCell ref="E8:F8"/>
    <mergeCell ref="C4:D5"/>
    <mergeCell ref="E7:F7"/>
    <mergeCell ref="E4:F5"/>
    <mergeCell ref="E6:F6"/>
    <mergeCell ref="E33:F33"/>
    <mergeCell ref="E31:F31"/>
    <mergeCell ref="E11:F11"/>
    <mergeCell ref="E9:F9"/>
    <mergeCell ref="E14:F14"/>
    <mergeCell ref="C70:F70"/>
    <mergeCell ref="C57:F57"/>
    <mergeCell ref="C66:F66"/>
    <mergeCell ref="C71:F71"/>
    <mergeCell ref="E173:F173"/>
    <mergeCell ref="B130:D130"/>
    <mergeCell ref="C163:D163"/>
    <mergeCell ref="C184:D184"/>
    <mergeCell ref="E184:F184"/>
    <mergeCell ref="C182:D182"/>
    <mergeCell ref="E182:F182"/>
    <mergeCell ref="C183:D183"/>
    <mergeCell ref="E183:F183"/>
    <mergeCell ref="C174:J174"/>
    <mergeCell ref="C173:D173"/>
    <mergeCell ref="C164:D165"/>
    <mergeCell ref="E56:F56"/>
    <mergeCell ref="C58:F58"/>
    <mergeCell ref="C64:F64"/>
    <mergeCell ref="C65:D65"/>
    <mergeCell ref="C62:D62"/>
    <mergeCell ref="C63:F63"/>
    <mergeCell ref="C69:F69"/>
    <mergeCell ref="C60:N60"/>
    <mergeCell ref="C67:F67"/>
    <mergeCell ref="K174:M174"/>
    <mergeCell ref="L3:N3"/>
    <mergeCell ref="M52:N52"/>
    <mergeCell ref="M53:N53"/>
    <mergeCell ref="M56:N56"/>
    <mergeCell ref="H50:K50"/>
    <mergeCell ref="J51:K52"/>
    <mergeCell ref="C72:F72"/>
    <mergeCell ref="E65:F65"/>
    <mergeCell ref="E62:F62"/>
    <mergeCell ref="J54:K54"/>
    <mergeCell ref="J55:K55"/>
    <mergeCell ref="J56:K56"/>
    <mergeCell ref="C54:F54"/>
    <mergeCell ref="J53:K53"/>
    <mergeCell ref="M50:N50"/>
    <mergeCell ref="M51:N51"/>
    <mergeCell ref="N5:N6"/>
    <mergeCell ref="E48:F48"/>
    <mergeCell ref="I3:K3"/>
    <mergeCell ref="B129:D129"/>
    <mergeCell ref="C59:E59"/>
    <mergeCell ref="C47:D47"/>
    <mergeCell ref="C56:D56"/>
  </mergeCells>
  <phoneticPr fontId="24" type="noConversion"/>
  <conditionalFormatting sqref="C57 G57">
    <cfRule type="expression" dxfId="2924" priority="235" stopIfTrue="1">
      <formula>C58=0</formula>
    </cfRule>
  </conditionalFormatting>
  <conditionalFormatting sqref="O182:O184 O147 O160 O173">
    <cfRule type="expression" dxfId="2923" priority="354" stopIfTrue="1">
      <formula>$N$44=""</formula>
    </cfRule>
    <cfRule type="expression" dxfId="2922" priority="355" stopIfTrue="1">
      <formula>$N$44=0</formula>
    </cfRule>
  </conditionalFormatting>
  <conditionalFormatting sqref="G182:M184">
    <cfRule type="expression" dxfId="2921" priority="356" stopIfTrue="1">
      <formula>ISERROR(G182)</formula>
    </cfRule>
    <cfRule type="cellIs" dxfId="2920" priority="357" stopIfTrue="1" operator="equal">
      <formula>0</formula>
    </cfRule>
  </conditionalFormatting>
  <conditionalFormatting sqref="G58 C58 AE8:AE38 G42:M42 E6:F6">
    <cfRule type="cellIs" dxfId="2919" priority="360" stopIfTrue="1" operator="equal">
      <formula>0</formula>
    </cfRule>
  </conditionalFormatting>
  <conditionalFormatting sqref="N63">
    <cfRule type="expression" dxfId="2918" priority="365" stopIfTrue="1">
      <formula>$N$44=""</formula>
    </cfRule>
  </conditionalFormatting>
  <conditionalFormatting sqref="E47:F48">
    <cfRule type="expression" dxfId="2917" priority="369" stopIfTrue="1">
      <formula>ISERROR(E47)</formula>
    </cfRule>
  </conditionalFormatting>
  <conditionalFormatting sqref="G135:M136 E164:E165 E138:E139 E147:F147 E151:E152 E160:F160">
    <cfRule type="expression" dxfId="2916" priority="370" stopIfTrue="1">
      <formula>ISERROR(E135)</formula>
    </cfRule>
  </conditionalFormatting>
  <conditionalFormatting sqref="G43:M43 G134:M134">
    <cfRule type="cellIs" dxfId="2915" priority="371" stopIfTrue="1" operator="equal">
      <formula>0</formula>
    </cfRule>
  </conditionalFormatting>
  <conditionalFormatting sqref="G123:M123">
    <cfRule type="cellIs" dxfId="2914" priority="376" stopIfTrue="1" operator="equal">
      <formula>0</formula>
    </cfRule>
  </conditionalFormatting>
  <conditionalFormatting sqref="X8:AD38 P8:V37 AF8:AJ37 AU8:AY37 AL8:AS37">
    <cfRule type="cellIs" dxfId="2913" priority="377" stopIfTrue="1" operator="equal">
      <formula>0</formula>
    </cfRule>
  </conditionalFormatting>
  <conditionalFormatting sqref="G68:M68 G74:M74 H107:H116">
    <cfRule type="cellIs" dxfId="2912" priority="380" stopIfTrue="1" operator="equal">
      <formula>"OK"</formula>
    </cfRule>
  </conditionalFormatting>
  <conditionalFormatting sqref="I107:I116">
    <cfRule type="cellIs" dxfId="2911" priority="381" stopIfTrue="1" operator="greaterThan">
      <formula>0</formula>
    </cfRule>
  </conditionalFormatting>
  <conditionalFormatting sqref="G125:M126">
    <cfRule type="cellIs" dxfId="2910" priority="384" stopIfTrue="1" operator="equal">
      <formula>$E$125</formula>
    </cfRule>
  </conditionalFormatting>
  <conditionalFormatting sqref="C162:H162">
    <cfRule type="expression" dxfId="2909" priority="389" stopIfTrue="1">
      <formula>ISERROR($C$162)</formula>
    </cfRule>
  </conditionalFormatting>
  <conditionalFormatting sqref="E46:F46">
    <cfRule type="expression" dxfId="2908" priority="393" stopIfTrue="1">
      <formula>ISERROR($E$46)</formula>
    </cfRule>
  </conditionalFormatting>
  <conditionalFormatting sqref="C60">
    <cfRule type="expression" dxfId="2907" priority="427" stopIfTrue="1">
      <formula>SUM($G$118:$M$118)=0</formula>
    </cfRule>
  </conditionalFormatting>
  <conditionalFormatting sqref="G120:M120">
    <cfRule type="cellIs" dxfId="2906" priority="233" operator="equal">
      <formula>0</formula>
    </cfRule>
  </conditionalFormatting>
  <conditionalFormatting sqref="N65:N67 C66:F67">
    <cfRule type="expression" dxfId="2905" priority="231" stopIfTrue="1">
      <formula>SUM($G$120:$M$120)=0</formula>
    </cfRule>
  </conditionalFormatting>
  <conditionalFormatting sqref="G65:M65">
    <cfRule type="expression" dxfId="2904" priority="230">
      <formula>$D$120=0</formula>
    </cfRule>
    <cfRule type="cellIs" dxfId="2903" priority="232" operator="equal">
      <formula>0</formula>
    </cfRule>
  </conditionalFormatting>
  <conditionalFormatting sqref="G62:M62">
    <cfRule type="expression" dxfId="2902" priority="2593" stopIfTrue="1">
      <formula>AND(G$123="X",G$62&lt;&gt;"")</formula>
    </cfRule>
  </conditionalFormatting>
  <conditionalFormatting sqref="G66:M66">
    <cfRule type="expression" dxfId="2901" priority="2620">
      <formula>AND(G$66&lt;&gt;0,G$68=$O$120)</formula>
    </cfRule>
    <cfRule type="expression" dxfId="2900" priority="2621">
      <formula>$D$120=0</formula>
    </cfRule>
  </conditionalFormatting>
  <conditionalFormatting sqref="G67:M67">
    <cfRule type="expression" dxfId="2899" priority="2622">
      <formula>AND(G$67&lt;&gt;0,G$68=$O$120)</formula>
    </cfRule>
    <cfRule type="expression" dxfId="2898" priority="2623">
      <formula>$D$120=0</formula>
    </cfRule>
  </conditionalFormatting>
  <conditionalFormatting sqref="G73:M73">
    <cfRule type="expression" dxfId="2897" priority="2624">
      <formula>AND(G$73&lt;&gt;0,G$74=$O$120)</formula>
    </cfRule>
    <cfRule type="expression" dxfId="2896" priority="2625">
      <formula>$D$120=0</formula>
    </cfRule>
  </conditionalFormatting>
  <conditionalFormatting sqref="G70:M70">
    <cfRule type="expression" dxfId="2895" priority="2626">
      <formula>AND(G$70&lt;&gt;0,G$74=$O$120)</formula>
    </cfRule>
    <cfRule type="expression" dxfId="2894" priority="2627">
      <formula>$D$120=0</formula>
    </cfRule>
  </conditionalFormatting>
  <conditionalFormatting sqref="G71:M71">
    <cfRule type="expression" dxfId="2893" priority="2628">
      <formula>AND(G$71&lt;&gt;0,G$74=$O$120)</formula>
    </cfRule>
    <cfRule type="expression" dxfId="2892" priority="2629">
      <formula>$D$120=0</formula>
    </cfRule>
  </conditionalFormatting>
  <conditionalFormatting sqref="G72:M72">
    <cfRule type="expression" dxfId="2891" priority="2630">
      <formula>AND(G$72&lt;&gt;0,G$74=$O$120)</formula>
    </cfRule>
    <cfRule type="expression" dxfId="2890" priority="2631">
      <formula>$D$120=0</formula>
    </cfRule>
  </conditionalFormatting>
  <conditionalFormatting sqref="N70:N73">
    <cfRule type="expression" dxfId="2889" priority="2632" stopIfTrue="1">
      <formula>$D$120=0</formula>
    </cfRule>
    <cfRule type="expression" dxfId="2888" priority="2633" stopIfTrue="1">
      <formula>$B70=""</formula>
    </cfRule>
  </conditionalFormatting>
  <conditionalFormatting sqref="C95 P95">
    <cfRule type="expression" dxfId="2887" priority="2995" stopIfTrue="1">
      <formula>ISERROR($H$199)</formula>
    </cfRule>
  </conditionalFormatting>
  <conditionalFormatting sqref="C2:J2">
    <cfRule type="expression" dxfId="2886" priority="2996" stopIfTrue="1">
      <formula>$I$199=0</formula>
    </cfRule>
  </conditionalFormatting>
  <conditionalFormatting sqref="N136:O136">
    <cfRule type="expression" dxfId="2885" priority="3267" stopIfTrue="1">
      <formula>$N$5=#REF!</formula>
    </cfRule>
    <cfRule type="expression" dxfId="2884" priority="3268" stopIfTrue="1">
      <formula>$N$44=0</formula>
    </cfRule>
  </conditionalFormatting>
  <conditionalFormatting sqref="N5">
    <cfRule type="expression" dxfId="2883" priority="3281" stopIfTrue="1">
      <formula>#REF!=""</formula>
    </cfRule>
    <cfRule type="cellIs" dxfId="2882" priority="3282" stopIfTrue="1" operator="equal">
      <formula>0</formula>
    </cfRule>
    <cfRule type="expression" dxfId="2881" priority="3283" stopIfTrue="1">
      <formula>$N$5=#REF!</formula>
    </cfRule>
  </conditionalFormatting>
  <conditionalFormatting sqref="G44:M45">
    <cfRule type="cellIs" dxfId="2880" priority="192" operator="equal">
      <formula>0</formula>
    </cfRule>
  </conditionalFormatting>
  <conditionalFormatting sqref="E39:N39">
    <cfRule type="expression" dxfId="2879" priority="191">
      <formula>ISERROR($H$199)</formula>
    </cfRule>
  </conditionalFormatting>
  <conditionalFormatting sqref="E7:N7">
    <cfRule type="expression" dxfId="2878" priority="190">
      <formula>ISERROR($H$199)</formula>
    </cfRule>
  </conditionalFormatting>
  <conditionalFormatting sqref="G47:M47">
    <cfRule type="expression" dxfId="2877" priority="181" stopIfTrue="1">
      <formula>ISERROR(G47)</formula>
    </cfRule>
    <cfRule type="expression" dxfId="2876" priority="182" stopIfTrue="1">
      <formula>G$42=$K$102</formula>
    </cfRule>
    <cfRule type="expression" dxfId="2875" priority="183" stopIfTrue="1">
      <formula>AND(G$46&gt;0,OR(G$68=$E$120,G$68=$N$120))</formula>
    </cfRule>
    <cfRule type="cellIs" dxfId="2874" priority="184" operator="equal">
      <formula>0</formula>
    </cfRule>
  </conditionalFormatting>
  <conditionalFormatting sqref="G48:M48">
    <cfRule type="expression" dxfId="2873" priority="180" stopIfTrue="1">
      <formula>ISERROR(G48)</formula>
    </cfRule>
    <cfRule type="expression" dxfId="2872" priority="185" stopIfTrue="1">
      <formula>G$42=$K$102</formula>
    </cfRule>
    <cfRule type="expression" dxfId="2871" priority="186" stopIfTrue="1">
      <formula>AND(G$46&gt;0,OR(G$68=$E$120,G$68=$N$120,COUNTIF($C$70:$F$73,"ERROR")&gt;0,G$74=$E$120,G$74=$N$120))</formula>
    </cfRule>
    <cfRule type="cellIs" dxfId="2870" priority="187" operator="equal">
      <formula>0</formula>
    </cfRule>
  </conditionalFormatting>
  <conditionalFormatting sqref="G130:M130">
    <cfRule type="cellIs" dxfId="2869" priority="179" stopIfTrue="1" operator="equal">
      <formula>0</formula>
    </cfRule>
  </conditionalFormatting>
  <conditionalFormatting sqref="G4:M4">
    <cfRule type="cellIs" dxfId="2868" priority="178" operator="equal">
      <formula>0</formula>
    </cfRule>
  </conditionalFormatting>
  <conditionalFormatting sqref="N130">
    <cfRule type="cellIs" dxfId="2867" priority="177" stopIfTrue="1" operator="equal">
      <formula>0</formula>
    </cfRule>
  </conditionalFormatting>
  <conditionalFormatting sqref="G63">
    <cfRule type="expression" dxfId="2866" priority="174">
      <formula>ISERROR(G46)</formula>
    </cfRule>
    <cfRule type="cellIs" dxfId="2865" priority="176" operator="equal">
      <formula>0</formula>
    </cfRule>
  </conditionalFormatting>
  <conditionalFormatting sqref="G64">
    <cfRule type="expression" dxfId="2864" priority="173">
      <formula>ISERROR(G46)</formula>
    </cfRule>
    <cfRule type="cellIs" dxfId="2863" priority="175" operator="equal">
      <formula>0</formula>
    </cfRule>
  </conditionalFormatting>
  <conditionalFormatting sqref="H63:M63">
    <cfRule type="expression" dxfId="2862" priority="170">
      <formula>ISERROR(H46)</formula>
    </cfRule>
    <cfRule type="cellIs" dxfId="2861" priority="172" operator="equal">
      <formula>0</formula>
    </cfRule>
  </conditionalFormatting>
  <conditionalFormatting sqref="H64:M64">
    <cfRule type="expression" dxfId="2860" priority="169">
      <formula>ISERROR(H46)</formula>
    </cfRule>
    <cfRule type="cellIs" dxfId="2859" priority="171" operator="equal">
      <formula>0</formula>
    </cfRule>
  </conditionalFormatting>
  <conditionalFormatting sqref="C70:F73">
    <cfRule type="cellIs" dxfId="2858" priority="163" stopIfTrue="1" operator="equal">
      <formula>"ERROR"</formula>
    </cfRule>
    <cfRule type="cellIs" dxfId="2857" priority="164" stopIfTrue="1" operator="equal">
      <formula>0</formula>
    </cfRule>
    <cfRule type="expression" dxfId="2856" priority="165" stopIfTrue="1">
      <formula>SUM($G$120:$M$120)=0</formula>
    </cfRule>
  </conditionalFormatting>
  <conditionalFormatting sqref="G49">
    <cfRule type="cellIs" dxfId="2855" priority="162" operator="equal">
      <formula>$E$130</formula>
    </cfRule>
  </conditionalFormatting>
  <conditionalFormatting sqref="H49:M49">
    <cfRule type="cellIs" dxfId="2854" priority="161" operator="equal">
      <formula>$E$130</formula>
    </cfRule>
  </conditionalFormatting>
  <conditionalFormatting sqref="G90:G91">
    <cfRule type="expression" dxfId="2853" priority="159" stopIfTrue="1">
      <formula>SUM($H90:$J90)=0</formula>
    </cfRule>
  </conditionalFormatting>
  <conditionalFormatting sqref="N77:N78">
    <cfRule type="expression" dxfId="2852" priority="160" stopIfTrue="1">
      <formula>$M$77=0</formula>
    </cfRule>
  </conditionalFormatting>
  <conditionalFormatting sqref="H85:J87">
    <cfRule type="expression" dxfId="2851" priority="157">
      <formula>AND($E$103=3,$J$112=3)</formula>
    </cfRule>
    <cfRule type="cellIs" dxfId="2850" priority="158" operator="equal">
      <formula>0</formula>
    </cfRule>
  </conditionalFormatting>
  <conditionalFormatting sqref="H90:J91">
    <cfRule type="expression" dxfId="2849" priority="155">
      <formula>AND($E$103=3,$J$112=3)</formula>
    </cfRule>
    <cfRule type="cellIs" dxfId="2848" priority="156" operator="equal">
      <formula>0</formula>
    </cfRule>
  </conditionalFormatting>
  <conditionalFormatting sqref="K90:K91">
    <cfRule type="expression" dxfId="2847" priority="154">
      <formula>AND($E$103=3,$J$112=3)</formula>
    </cfRule>
  </conditionalFormatting>
  <conditionalFormatting sqref="M90:M91">
    <cfRule type="expression" dxfId="2846" priority="153">
      <formula>AND($E$103=3,$J$112=3)</formula>
    </cfRule>
  </conditionalFormatting>
  <conditionalFormatting sqref="M79:M89">
    <cfRule type="expression" dxfId="2845" priority="152">
      <formula>AND($E$103=3,$J$112=3)</formula>
    </cfRule>
  </conditionalFormatting>
  <conditionalFormatting sqref="M77:M78">
    <cfRule type="expression" dxfId="2844" priority="151">
      <formula>AND($E$103=3,$J$112=3)</formula>
    </cfRule>
  </conditionalFormatting>
  <conditionalFormatting sqref="L91">
    <cfRule type="expression" dxfId="2843" priority="150">
      <formula>AND($E$103=3,$J$112=3)</formula>
    </cfRule>
  </conditionalFormatting>
  <conditionalFormatting sqref="L77:L78">
    <cfRule type="expression" dxfId="2842" priority="149">
      <formula>AND($E$103=3,$J$112=3)</formula>
    </cfRule>
  </conditionalFormatting>
  <conditionalFormatting sqref="G76:G81">
    <cfRule type="expression" dxfId="2841" priority="148">
      <formula>AND($E$103=3,$J$112=3)</formula>
    </cfRule>
  </conditionalFormatting>
  <conditionalFormatting sqref="C38:D38">
    <cfRule type="expression" dxfId="2840" priority="5940" stopIfTrue="1">
      <formula>$AE38=$AC$6</formula>
    </cfRule>
    <cfRule type="expression" dxfId="2839" priority="5941" stopIfTrue="1">
      <formula>AND($L$199=0,OR($W38&lt;$B$129,$W38&gt;$B$130))</formula>
    </cfRule>
    <cfRule type="expression" dxfId="2838" priority="5942" stopIfTrue="1">
      <formula>AND($AE38=0,$E38=0)</formula>
    </cfRule>
  </conditionalFormatting>
  <conditionalFormatting sqref="G46:M46">
    <cfRule type="expression" dxfId="2837" priority="5943" stopIfTrue="1">
      <formula>G$42=$K$102</formula>
    </cfRule>
    <cfRule type="expression" dxfId="2836" priority="5944" stopIfTrue="1">
      <formula>$I$199=0</formula>
    </cfRule>
  </conditionalFormatting>
  <conditionalFormatting sqref="H53:H54">
    <cfRule type="expression" dxfId="2835" priority="145" stopIfTrue="1">
      <formula>ISERROR($G$123)</formula>
    </cfRule>
    <cfRule type="expression" dxfId="2834" priority="146" stopIfTrue="1">
      <formula>ISERROR(H53)</formula>
    </cfRule>
  </conditionalFormatting>
  <conditionalFormatting sqref="H51:I52">
    <cfRule type="expression" dxfId="2833" priority="147" stopIfTrue="1">
      <formula>ISERROR(H51)</formula>
    </cfRule>
  </conditionalFormatting>
  <conditionalFormatting sqref="I54">
    <cfRule type="expression" dxfId="2832" priority="143" stopIfTrue="1">
      <formula>ISERROR($G$123)</formula>
    </cfRule>
    <cfRule type="expression" dxfId="2831" priority="144" stopIfTrue="1">
      <formula>ISERROR(I54)</formula>
    </cfRule>
  </conditionalFormatting>
  <conditionalFormatting sqref="H56:I56">
    <cfRule type="expression" dxfId="2830" priority="142" stopIfTrue="1">
      <formula>ISERROR(H56)</formula>
    </cfRule>
  </conditionalFormatting>
  <conditionalFormatting sqref="H55">
    <cfRule type="expression" dxfId="2829" priority="140" stopIfTrue="1">
      <formula>ISERROR($G$123)</formula>
    </cfRule>
    <cfRule type="expression" dxfId="2828" priority="141" stopIfTrue="1">
      <formula>ISERROR(H55)</formula>
    </cfRule>
  </conditionalFormatting>
  <conditionalFormatting sqref="I55">
    <cfRule type="expression" dxfId="2827" priority="138" stopIfTrue="1">
      <formula>ISERROR($G$123)</formula>
    </cfRule>
    <cfRule type="expression" dxfId="2826" priority="139" stopIfTrue="1">
      <formula>ISERROR(I55)</formula>
    </cfRule>
  </conditionalFormatting>
  <conditionalFormatting sqref="G147">
    <cfRule type="expression" dxfId="2825" priority="135" stopIfTrue="1">
      <formula>$E147=0</formula>
    </cfRule>
    <cfRule type="expression" dxfId="2824" priority="136" stopIfTrue="1">
      <formula>ISERROR(G147)</formula>
    </cfRule>
    <cfRule type="expression" dxfId="2823" priority="137" stopIfTrue="1">
      <formula>$E147&lt;&gt;0</formula>
    </cfRule>
  </conditionalFormatting>
  <conditionalFormatting sqref="G145">
    <cfRule type="expression" dxfId="2822" priority="132" stopIfTrue="1">
      <formula>AND(G144=0,G145=1,G146=1)</formula>
    </cfRule>
    <cfRule type="expression" dxfId="2821" priority="133" stopIfTrue="1">
      <formula>AND(G144=1,G146=1)</formula>
    </cfRule>
    <cfRule type="expression" dxfId="2820" priority="134" stopIfTrue="1">
      <formula>AND(G145=1,G144=0)</formula>
    </cfRule>
  </conditionalFormatting>
  <conditionalFormatting sqref="G146">
    <cfRule type="expression" dxfId="2819" priority="130" stopIfTrue="1">
      <formula>AND(G146=1,G145=1)</formula>
    </cfRule>
    <cfRule type="expression" dxfId="2818" priority="131" stopIfTrue="1">
      <formula>AND(G146=1,G145=0)</formula>
    </cfRule>
  </conditionalFormatting>
  <conditionalFormatting sqref="G144">
    <cfRule type="expression" dxfId="2817" priority="127" stopIfTrue="1">
      <formula>AND(G143=0,G144=1,G145=1)</formula>
    </cfRule>
    <cfRule type="expression" dxfId="2816" priority="128" stopIfTrue="1">
      <formula>AND(G143=1,G145=1)</formula>
    </cfRule>
    <cfRule type="expression" dxfId="2815" priority="129" stopIfTrue="1">
      <formula>AND(G144=1,G143=0)</formula>
    </cfRule>
  </conditionalFormatting>
  <conditionalFormatting sqref="G138:G143">
    <cfRule type="expression" dxfId="2814" priority="124" stopIfTrue="1">
      <formula>AND(G137=0,G138=1,G139=1)</formula>
    </cfRule>
    <cfRule type="expression" dxfId="2813" priority="125" stopIfTrue="1">
      <formula>AND(G137=1,G139=1)</formula>
    </cfRule>
    <cfRule type="expression" dxfId="2812" priority="126" stopIfTrue="1">
      <formula>AND(G138=1,G137=0)</formula>
    </cfRule>
  </conditionalFormatting>
  <conditionalFormatting sqref="G137">
    <cfRule type="expression" dxfId="2811" priority="122" stopIfTrue="1">
      <formula>AND(G137=1,G138=1)</formula>
    </cfRule>
    <cfRule type="expression" dxfId="2810" priority="123" stopIfTrue="1">
      <formula>AND(G137=1,G136=0)</formula>
    </cfRule>
  </conditionalFormatting>
  <conditionalFormatting sqref="G160">
    <cfRule type="expression" dxfId="2809" priority="119" stopIfTrue="1">
      <formula>$E160=0</formula>
    </cfRule>
    <cfRule type="expression" dxfId="2808" priority="120" stopIfTrue="1">
      <formula>ISERROR(G160)</formula>
    </cfRule>
    <cfRule type="expression" dxfId="2807" priority="121" stopIfTrue="1">
      <formula>$E160&lt;&gt;0</formula>
    </cfRule>
  </conditionalFormatting>
  <conditionalFormatting sqref="G158">
    <cfRule type="expression" dxfId="2806" priority="116" stopIfTrue="1">
      <formula>AND(G157=0,G158=1,G159=1)</formula>
    </cfRule>
    <cfRule type="expression" dxfId="2805" priority="117" stopIfTrue="1">
      <formula>AND(G157=1,G159=1)</formula>
    </cfRule>
    <cfRule type="expression" dxfId="2804" priority="118" stopIfTrue="1">
      <formula>AND(G158=1,G157=0)</formula>
    </cfRule>
  </conditionalFormatting>
  <conditionalFormatting sqref="G159">
    <cfRule type="expression" dxfId="2803" priority="114" stopIfTrue="1">
      <formula>AND(G159=1,G158=1)</formula>
    </cfRule>
    <cfRule type="expression" dxfId="2802" priority="115" stopIfTrue="1">
      <formula>AND(G159=1,G158=0)</formula>
    </cfRule>
  </conditionalFormatting>
  <conditionalFormatting sqref="G157">
    <cfRule type="expression" dxfId="2801" priority="111" stopIfTrue="1">
      <formula>AND(G156=0,G157=1,G158=1)</formula>
    </cfRule>
    <cfRule type="expression" dxfId="2800" priority="112" stopIfTrue="1">
      <formula>AND(G156=1,G158=1)</formula>
    </cfRule>
    <cfRule type="expression" dxfId="2799" priority="113" stopIfTrue="1">
      <formula>AND(G157=1,G156=0)</formula>
    </cfRule>
  </conditionalFormatting>
  <conditionalFormatting sqref="G151:G156">
    <cfRule type="expression" dxfId="2798" priority="108" stopIfTrue="1">
      <formula>AND(G150=0,G151=1,G152=1)</formula>
    </cfRule>
    <cfRule type="expression" dxfId="2797" priority="109" stopIfTrue="1">
      <formula>AND(G150=1,G152=1)</formula>
    </cfRule>
    <cfRule type="expression" dxfId="2796" priority="110" stopIfTrue="1">
      <formula>AND(G151=1,G150=0)</formula>
    </cfRule>
  </conditionalFormatting>
  <conditionalFormatting sqref="G150">
    <cfRule type="expression" dxfId="2795" priority="106" stopIfTrue="1">
      <formula>AND(G150=1,G151=1)</formula>
    </cfRule>
    <cfRule type="expression" dxfId="2794" priority="107" stopIfTrue="1">
      <formula>AND(G150=1,G149=0)</formula>
    </cfRule>
  </conditionalFormatting>
  <conditionalFormatting sqref="H147:M147">
    <cfRule type="expression" dxfId="2793" priority="103" stopIfTrue="1">
      <formula>$E147=0</formula>
    </cfRule>
    <cfRule type="expression" dxfId="2792" priority="104" stopIfTrue="1">
      <formula>ISERROR(H147)</formula>
    </cfRule>
    <cfRule type="expression" dxfId="2791" priority="105" stopIfTrue="1">
      <formula>$E147&lt;&gt;0</formula>
    </cfRule>
  </conditionalFormatting>
  <conditionalFormatting sqref="H145:M145">
    <cfRule type="expression" dxfId="2790" priority="100" stopIfTrue="1">
      <formula>AND(H144=0,H145=1,H146=1)</formula>
    </cfRule>
    <cfRule type="expression" dxfId="2789" priority="101" stopIfTrue="1">
      <formula>AND(H144=1,H146=1)</formula>
    </cfRule>
    <cfRule type="expression" dxfId="2788" priority="102" stopIfTrue="1">
      <formula>AND(H145=1,H144=0)</formula>
    </cfRule>
  </conditionalFormatting>
  <conditionalFormatting sqref="H146:M146">
    <cfRule type="expression" dxfId="2787" priority="98" stopIfTrue="1">
      <formula>AND(H146=1,H145=1)</formula>
    </cfRule>
    <cfRule type="expression" dxfId="2786" priority="99" stopIfTrue="1">
      <formula>AND(H146=1,H145=0)</formula>
    </cfRule>
  </conditionalFormatting>
  <conditionalFormatting sqref="H144:M144">
    <cfRule type="expression" dxfId="2785" priority="95" stopIfTrue="1">
      <formula>AND(H143=0,H144=1,H145=1)</formula>
    </cfRule>
    <cfRule type="expression" dxfId="2784" priority="96" stopIfTrue="1">
      <formula>AND(H143=1,H145=1)</formula>
    </cfRule>
    <cfRule type="expression" dxfId="2783" priority="97" stopIfTrue="1">
      <formula>AND(H144=1,H143=0)</formula>
    </cfRule>
  </conditionalFormatting>
  <conditionalFormatting sqref="H138:M143">
    <cfRule type="expression" dxfId="2782" priority="92" stopIfTrue="1">
      <formula>AND(H137=0,H138=1,H139=1)</formula>
    </cfRule>
    <cfRule type="expression" dxfId="2781" priority="93" stopIfTrue="1">
      <formula>AND(H137=1,H139=1)</formula>
    </cfRule>
    <cfRule type="expression" dxfId="2780" priority="94" stopIfTrue="1">
      <formula>AND(H138=1,H137=0)</formula>
    </cfRule>
  </conditionalFormatting>
  <conditionalFormatting sqref="H137:M137">
    <cfRule type="expression" dxfId="2779" priority="90" stopIfTrue="1">
      <formula>AND(H137=1,H138=1)</formula>
    </cfRule>
    <cfRule type="expression" dxfId="2778" priority="91" stopIfTrue="1">
      <formula>AND(H137=1,H136=0)</formula>
    </cfRule>
  </conditionalFormatting>
  <conditionalFormatting sqref="H160:M160">
    <cfRule type="expression" dxfId="2777" priority="87" stopIfTrue="1">
      <formula>$E160=0</formula>
    </cfRule>
    <cfRule type="expression" dxfId="2776" priority="88" stopIfTrue="1">
      <formula>ISERROR(H160)</formula>
    </cfRule>
    <cfRule type="expression" dxfId="2775" priority="89" stopIfTrue="1">
      <formula>$E160&lt;&gt;0</formula>
    </cfRule>
  </conditionalFormatting>
  <conditionalFormatting sqref="H158:M158">
    <cfRule type="expression" dxfId="2774" priority="84" stopIfTrue="1">
      <formula>AND(H157=0,H158=1,H159=1)</formula>
    </cfRule>
    <cfRule type="expression" dxfId="2773" priority="85" stopIfTrue="1">
      <formula>AND(H157=1,H159=1)</formula>
    </cfRule>
    <cfRule type="expression" dxfId="2772" priority="86" stopIfTrue="1">
      <formula>AND(H158=1,H157=0)</formula>
    </cfRule>
  </conditionalFormatting>
  <conditionalFormatting sqref="H159:M159">
    <cfRule type="expression" dxfId="2771" priority="82" stopIfTrue="1">
      <formula>AND(H159=1,H158=1)</formula>
    </cfRule>
    <cfRule type="expression" dxfId="2770" priority="83" stopIfTrue="1">
      <formula>AND(H159=1,H158=0)</formula>
    </cfRule>
  </conditionalFormatting>
  <conditionalFormatting sqref="H157:M157">
    <cfRule type="expression" dxfId="2769" priority="79" stopIfTrue="1">
      <formula>AND(H156=0,H157=1,H158=1)</formula>
    </cfRule>
    <cfRule type="expression" dxfId="2768" priority="80" stopIfTrue="1">
      <formula>AND(H156=1,H158=1)</formula>
    </cfRule>
    <cfRule type="expression" dxfId="2767" priority="81" stopIfTrue="1">
      <formula>AND(H157=1,H156=0)</formula>
    </cfRule>
  </conditionalFormatting>
  <conditionalFormatting sqref="H151:M156">
    <cfRule type="expression" dxfId="2766" priority="76" stopIfTrue="1">
      <formula>AND(H150=0,H151=1,H152=1)</formula>
    </cfRule>
    <cfRule type="expression" dxfId="2765" priority="77" stopIfTrue="1">
      <formula>AND(H150=1,H152=1)</formula>
    </cfRule>
    <cfRule type="expression" dxfId="2764" priority="78" stopIfTrue="1">
      <formula>AND(H151=1,H150=0)</formula>
    </cfRule>
  </conditionalFormatting>
  <conditionalFormatting sqref="H150:M150">
    <cfRule type="expression" dxfId="2763" priority="74" stopIfTrue="1">
      <formula>AND(H150=1,H151=1)</formula>
    </cfRule>
    <cfRule type="expression" dxfId="2762" priority="75" stopIfTrue="1">
      <formula>AND(H150=1,H149=0)</formula>
    </cfRule>
  </conditionalFormatting>
  <conditionalFormatting sqref="N133:O133 N135:O135">
    <cfRule type="containsBlanks" dxfId="2761" priority="73">
      <formula>LEN(TRIM(N133))=0</formula>
    </cfRule>
  </conditionalFormatting>
  <conditionalFormatting sqref="N132">
    <cfRule type="expression" dxfId="2760" priority="72">
      <formula>N133=""</formula>
    </cfRule>
  </conditionalFormatting>
  <conditionalFormatting sqref="N134">
    <cfRule type="expression" dxfId="2759" priority="71">
      <formula>N135=""</formula>
    </cfRule>
  </conditionalFormatting>
  <conditionalFormatting sqref="G173">
    <cfRule type="expression" dxfId="2758" priority="68" stopIfTrue="1">
      <formula>$E173=0</formula>
    </cfRule>
    <cfRule type="expression" dxfId="2757" priority="69" stopIfTrue="1">
      <formula>ISERROR(G173)</formula>
    </cfRule>
    <cfRule type="expression" dxfId="2756" priority="70" stopIfTrue="1">
      <formula>$E173&lt;&gt;0</formula>
    </cfRule>
  </conditionalFormatting>
  <conditionalFormatting sqref="G171">
    <cfRule type="expression" dxfId="2755" priority="62" stopIfTrue="1">
      <formula>AND(G170=0,G171=1,G172=1)</formula>
    </cfRule>
    <cfRule type="expression" dxfId="2754" priority="63" stopIfTrue="1">
      <formula>AND(G170=1,G172=1)</formula>
    </cfRule>
    <cfRule type="expression" dxfId="2753" priority="64" stopIfTrue="1">
      <formula>AND(G171=1,G170=0)</formula>
    </cfRule>
  </conditionalFormatting>
  <conditionalFormatting sqref="G170">
    <cfRule type="expression" dxfId="2752" priority="65" stopIfTrue="1">
      <formula>AND(G169=0,G170=1,G171=1)</formula>
    </cfRule>
    <cfRule type="expression" dxfId="2751" priority="66" stopIfTrue="1">
      <formula>AND(G169=1,G171=1)</formula>
    </cfRule>
    <cfRule type="expression" dxfId="2750" priority="67" stopIfTrue="1">
      <formula>AND(G170=1,G169=0)</formula>
    </cfRule>
  </conditionalFormatting>
  <conditionalFormatting sqref="G164:G169">
    <cfRule type="expression" dxfId="2749" priority="59" stopIfTrue="1">
      <formula>AND(G163=0,G164=1,G165=1)</formula>
    </cfRule>
    <cfRule type="expression" dxfId="2748" priority="60" stopIfTrue="1">
      <formula>AND(G163=1,G165=1)</formula>
    </cfRule>
    <cfRule type="expression" dxfId="2747" priority="61" stopIfTrue="1">
      <formula>AND(G164=1,G163=0)</formula>
    </cfRule>
  </conditionalFormatting>
  <conditionalFormatting sqref="G163">
    <cfRule type="expression" dxfId="2746" priority="57" stopIfTrue="1">
      <formula>AND(G163=1,G164=1)</formula>
    </cfRule>
    <cfRule type="expression" dxfId="2745" priority="58" stopIfTrue="1">
      <formula>AND(G163=1,G162=0)</formula>
    </cfRule>
  </conditionalFormatting>
  <conditionalFormatting sqref="G172">
    <cfRule type="expression" dxfId="2744" priority="55" stopIfTrue="1">
      <formula>AND(G172=1,G171=1)</formula>
    </cfRule>
    <cfRule type="expression" dxfId="2743" priority="56" stopIfTrue="1">
      <formula>AND(G172=1,G171=0)</formula>
    </cfRule>
  </conditionalFormatting>
  <conditionalFormatting sqref="H173:M173">
    <cfRule type="expression" dxfId="2742" priority="52" stopIfTrue="1">
      <formula>$E173=0</formula>
    </cfRule>
    <cfRule type="expression" dxfId="2741" priority="53" stopIfTrue="1">
      <formula>ISERROR(H173)</formula>
    </cfRule>
    <cfRule type="expression" dxfId="2740" priority="54" stopIfTrue="1">
      <formula>$E173&lt;&gt;0</formula>
    </cfRule>
  </conditionalFormatting>
  <conditionalFormatting sqref="H171:M171">
    <cfRule type="expression" dxfId="2739" priority="46" stopIfTrue="1">
      <formula>AND(H170=0,H171=1,H172=1)</formula>
    </cfRule>
    <cfRule type="expression" dxfId="2738" priority="47" stopIfTrue="1">
      <formula>AND(H170=1,H172=1)</formula>
    </cfRule>
    <cfRule type="expression" dxfId="2737" priority="48" stopIfTrue="1">
      <formula>AND(H171=1,H170=0)</formula>
    </cfRule>
  </conditionalFormatting>
  <conditionalFormatting sqref="H170:M170">
    <cfRule type="expression" dxfId="2736" priority="49" stopIfTrue="1">
      <formula>AND(H169=0,H170=1,H171=1)</formula>
    </cfRule>
    <cfRule type="expression" dxfId="2735" priority="50" stopIfTrue="1">
      <formula>AND(H169=1,H171=1)</formula>
    </cfRule>
    <cfRule type="expression" dxfId="2734" priority="51" stopIfTrue="1">
      <formula>AND(H170=1,H169=0)</formula>
    </cfRule>
  </conditionalFormatting>
  <conditionalFormatting sqref="H164:M169">
    <cfRule type="expression" dxfId="2733" priority="43" stopIfTrue="1">
      <formula>AND(H163=0,H164=1,H165=1)</formula>
    </cfRule>
    <cfRule type="expression" dxfId="2732" priority="44" stopIfTrue="1">
      <formula>AND(H163=1,H165=1)</formula>
    </cfRule>
    <cfRule type="expression" dxfId="2731" priority="45" stopIfTrue="1">
      <formula>AND(H164=1,H163=0)</formula>
    </cfRule>
  </conditionalFormatting>
  <conditionalFormatting sqref="H163:M163">
    <cfRule type="expression" dxfId="2730" priority="41" stopIfTrue="1">
      <formula>AND(H163=1,H164=1)</formula>
    </cfRule>
    <cfRule type="expression" dxfId="2729" priority="42" stopIfTrue="1">
      <formula>AND(H163=1,H162=0)</formula>
    </cfRule>
  </conditionalFormatting>
  <conditionalFormatting sqref="H172:M172">
    <cfRule type="expression" dxfId="2728" priority="39" stopIfTrue="1">
      <formula>AND(H172=1,H171=1)</formula>
    </cfRule>
    <cfRule type="expression" dxfId="2727" priority="40" stopIfTrue="1">
      <formula>AND(H172=1,H171=0)</formula>
    </cfRule>
  </conditionalFormatting>
  <conditionalFormatting sqref="E173:F173">
    <cfRule type="containsErrors" dxfId="2726" priority="38" stopIfTrue="1">
      <formula>ISERROR(E173)</formula>
    </cfRule>
  </conditionalFormatting>
  <conditionalFormatting sqref="AK8:AK37">
    <cfRule type="cellIs" dxfId="2725" priority="37" stopIfTrue="1" operator="equal">
      <formula>0</formula>
    </cfRule>
  </conditionalFormatting>
  <conditionalFormatting sqref="BA6:BG6">
    <cfRule type="cellIs" dxfId="2724" priority="35" stopIfTrue="1" operator="equal">
      <formula>$E$125</formula>
    </cfRule>
  </conditionalFormatting>
  <conditionalFormatting sqref="BB8:BG8 BA9:BG37">
    <cfRule type="cellIs" dxfId="2723" priority="34" stopIfTrue="1" operator="equal">
      <formula>0</formula>
    </cfRule>
  </conditionalFormatting>
  <conditionalFormatting sqref="BA8">
    <cfRule type="cellIs" dxfId="2722" priority="33" stopIfTrue="1" operator="equal">
      <formula>0</formula>
    </cfRule>
  </conditionalFormatting>
  <conditionalFormatting sqref="BA5:BG5">
    <cfRule type="cellIs" dxfId="2721" priority="32" stopIfTrue="1" operator="equal">
      <formula>$E$125</formula>
    </cfRule>
  </conditionalFormatting>
  <conditionalFormatting sqref="L3:N3">
    <cfRule type="cellIs" dxfId="2720" priority="31" stopIfTrue="1" operator="equal">
      <formula>0</formula>
    </cfRule>
  </conditionalFormatting>
  <conditionalFormatting sqref="BC3">
    <cfRule type="cellIs" dxfId="2719" priority="30" stopIfTrue="1" operator="equal">
      <formula>$E$125</formula>
    </cfRule>
  </conditionalFormatting>
  <conditionalFormatting sqref="BB66:BF66">
    <cfRule type="cellIs" dxfId="2718" priority="27" stopIfTrue="1" operator="equal">
      <formula>0</formula>
    </cfRule>
  </conditionalFormatting>
  <conditionalFormatting sqref="BB67:BF67">
    <cfRule type="cellIs" dxfId="2717" priority="26" stopIfTrue="1" operator="equal">
      <formula>0</formula>
    </cfRule>
  </conditionalFormatting>
  <conditionalFormatting sqref="BB64:BF64">
    <cfRule type="cellIs" dxfId="2716" priority="25" stopIfTrue="1" operator="equal">
      <formula>0</formula>
    </cfRule>
  </conditionalFormatting>
  <conditionalFormatting sqref="BB65:BF65">
    <cfRule type="cellIs" dxfId="2715" priority="24" stopIfTrue="1" operator="equal">
      <formula>0</formula>
    </cfRule>
  </conditionalFormatting>
  <conditionalFormatting sqref="BB63:BF63">
    <cfRule type="cellIs" dxfId="2714" priority="23" stopIfTrue="1" operator="equal">
      <formula>0</formula>
    </cfRule>
  </conditionalFormatting>
  <conditionalFormatting sqref="BA66">
    <cfRule type="cellIs" dxfId="2713" priority="22" stopIfTrue="1" operator="equal">
      <formula>0</formula>
    </cfRule>
  </conditionalFormatting>
  <conditionalFormatting sqref="BA67">
    <cfRule type="cellIs" dxfId="2712" priority="21" stopIfTrue="1" operator="equal">
      <formula>0</formula>
    </cfRule>
  </conditionalFormatting>
  <conditionalFormatting sqref="BA64">
    <cfRule type="cellIs" dxfId="2711" priority="20" stopIfTrue="1" operator="equal">
      <formula>0</formula>
    </cfRule>
  </conditionalFormatting>
  <conditionalFormatting sqref="BA65">
    <cfRule type="cellIs" dxfId="2710" priority="19" stopIfTrue="1" operator="equal">
      <formula>0</formula>
    </cfRule>
  </conditionalFormatting>
  <conditionalFormatting sqref="BA63">
    <cfRule type="cellIs" dxfId="2709" priority="18" stopIfTrue="1" operator="equal">
      <formula>0</formula>
    </cfRule>
  </conditionalFormatting>
  <conditionalFormatting sqref="BG66">
    <cfRule type="cellIs" dxfId="2708" priority="17" stopIfTrue="1" operator="equal">
      <formula>0</formula>
    </cfRule>
  </conditionalFormatting>
  <conditionalFormatting sqref="BG67">
    <cfRule type="cellIs" dxfId="2707" priority="16" stopIfTrue="1" operator="equal">
      <formula>0</formula>
    </cfRule>
  </conditionalFormatting>
  <conditionalFormatting sqref="BG64">
    <cfRule type="cellIs" dxfId="2706" priority="15" stopIfTrue="1" operator="equal">
      <formula>0</formula>
    </cfRule>
  </conditionalFormatting>
  <conditionalFormatting sqref="BG65">
    <cfRule type="cellIs" dxfId="2705" priority="14" stopIfTrue="1" operator="equal">
      <formula>0</formula>
    </cfRule>
  </conditionalFormatting>
  <conditionalFormatting sqref="BG63">
    <cfRule type="cellIs" dxfId="2704" priority="13" stopIfTrue="1" operator="equal">
      <formula>0</formula>
    </cfRule>
  </conditionalFormatting>
  <conditionalFormatting sqref="BB4:BG4">
    <cfRule type="cellIs" dxfId="2703" priority="12" stopIfTrue="1" operator="equal">
      <formula>0</formula>
    </cfRule>
  </conditionalFormatting>
  <conditionalFormatting sqref="BA4">
    <cfRule type="cellIs" dxfId="2702" priority="11" stopIfTrue="1" operator="equal">
      <formula>0</formula>
    </cfRule>
  </conditionalFormatting>
  <conditionalFormatting sqref="E8:F37">
    <cfRule type="expression" dxfId="2701" priority="3" stopIfTrue="1">
      <formula>$AE8=$AC$6</formula>
    </cfRule>
    <cfRule type="expression" dxfId="2700" priority="4" stopIfTrue="1">
      <formula>AND($AE8=0,$E8=0)</formula>
    </cfRule>
    <cfRule type="expression" dxfId="2699" priority="5" stopIfTrue="1">
      <formula>$AE8=0</formula>
    </cfRule>
  </conditionalFormatting>
  <conditionalFormatting sqref="G8:M37">
    <cfRule type="expression" dxfId="2698" priority="6" stopIfTrue="1">
      <formula>$AE8=$AC$6</formula>
    </cfRule>
    <cfRule type="expression" dxfId="2697" priority="7" stopIfTrue="1">
      <formula>OR($AE8=0,$E8=$E$129)</formula>
    </cfRule>
  </conditionalFormatting>
  <conditionalFormatting sqref="C8:D37">
    <cfRule type="expression" dxfId="2696" priority="2" stopIfTrue="1">
      <formula>$AE8=$AC$6</formula>
    </cfRule>
    <cfRule type="expression" dxfId="2695" priority="8" stopIfTrue="1">
      <formula>AND($L$199=0,OR($W8&lt;$B$129,$W8&gt;$B$130))</formula>
    </cfRule>
    <cfRule type="expression" dxfId="2694" priority="9" stopIfTrue="1">
      <formula>AND($AE8=0,$E8=0)</formula>
    </cfRule>
    <cfRule type="expression" dxfId="2693" priority="10" stopIfTrue="1">
      <formula>$AE8=0</formula>
    </cfRule>
  </conditionalFormatting>
  <conditionalFormatting sqref="N64">
    <cfRule type="expression" dxfId="2692"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CONCATENATE(IF(IMPOSTAZIONI!F217="","..",IMPOSTAZIONI!F217),"-",IF(IMPOSTAZIONI!F218="","..",IMPOSTAZIONI!F218),"-",IF(IMPOSTAZIONI!F219="","..",IMPOSTAZIONI!F219))</f>
        <v>..-..-..</v>
      </c>
      <c r="H1" s="167" t="str">
        <f>CONCATENATE(IF(IMPOSTAZIONI!K217="","..",IMPOSTAZIONI!K217),"-",IF(IMPOSTAZIONI!K218="","..",IMPOSTAZIONI!K218),"-",IF(IMPOSTAZIONI!K219="","..",IMPOSTAZIONI!K219))</f>
        <v>..-..-..</v>
      </c>
      <c r="I1" s="167" t="str">
        <f>CONCATENATE(IF(IMPOSTAZIONI!P217="","..",IMPOSTAZIONI!P217),"-",IF(IMPOSTAZIONI!P218="","..",IMPOSTAZIONI!P218),"-",IF(IMPOSTAZIONI!P219="","..",IMPOSTAZIONI!P219))</f>
        <v>..-..-..</v>
      </c>
      <c r="J1" s="167" t="str">
        <f>CONCATENATE(IF(IMPOSTAZIONI!U217="","..",IMPOSTAZIONI!U217),"-",IF(IMPOSTAZIONI!U218="","..",IMPOSTAZIONI!U218),"-",IF(IMPOSTAZIONI!U219="","..",IMPOSTAZIONI!U219))</f>
        <v>..-..-..</v>
      </c>
      <c r="K1" s="167" t="str">
        <f>CONCATENATE(IF(IMPOSTAZIONI!Z217="","..",IMPOSTAZIONI!Z217),"-",IF(IMPOSTAZIONI!Z218="","..",IMPOSTAZIONI!Z218),"-",IF(IMPOSTAZIONI!Z219="","..",IMPOSTAZIONI!Z219))</f>
        <v>..-..-..</v>
      </c>
      <c r="L1" s="167" t="str">
        <f>CONCATENATE(IF(IMPOSTAZIONI!AE217="","..",IMPOSTAZIONI!AE217),"-",IF(IMPOSTAZIONI!AE218="","..",IMPOSTAZIONI!AE218),"-",IF(IMPOSTAZIONI!AE219="","..",IMPOSTAZIONI!AE219))</f>
        <v>..-..-..</v>
      </c>
      <c r="M1" s="167" t="str">
        <f>CONCATENATE(IF(IMPOSTAZIONI!AJ217="","..",IMPOSTAZIONI!AJ217),"-",IF(IMPOSTAZIONI!AJ218="","..",IMPOSTAZIONI!AJ218),"-",IF(IMPOSTAZIONI!AJ219="","..",IMPOSTAZIONI!AJ219))</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340</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IF($I$199=0,"",IMPOSTAZIONI!G217)</f>
        <v/>
      </c>
      <c r="H4" s="183" t="str">
        <f>IF($I$199=0,"",IMPOSTAZIONI!L217)</f>
        <v/>
      </c>
      <c r="I4" s="183" t="str">
        <f>IF($I$199=0,"",IMPOSTAZIONI!Q217)</f>
        <v/>
      </c>
      <c r="J4" s="183" t="str">
        <f>IF($I$199=0,"",IMPOSTAZIONI!V217)</f>
        <v/>
      </c>
      <c r="K4" s="183" t="str">
        <f>IF($I$199=0,"",IMPOSTAZIONI!AA217)</f>
        <v/>
      </c>
      <c r="L4" s="183" t="str">
        <f>IF($I$199=0,"",IMPOSTAZIONI!AF217)</f>
        <v/>
      </c>
      <c r="M4" s="183" t="str">
        <f>IF($I$199=0,"",IMPOSTAZIONI!AK217)</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IF($I$199=0,"",IMPOSTAZIONI!G218)</f>
        <v/>
      </c>
      <c r="H5" s="823" t="str">
        <f>IF($I$199=0,"",IMPOSTAZIONI!L218)</f>
        <v/>
      </c>
      <c r="I5" s="823" t="str">
        <f>IF($I$199=0,"",IMPOSTAZIONI!Q218)</f>
        <v/>
      </c>
      <c r="J5" s="823" t="str">
        <f>IF($I$199=0,"",IMPOSTAZIONI!V218)</f>
        <v/>
      </c>
      <c r="K5" s="823" t="str">
        <f>IF($I$199=0,"",IMPOSTAZIONI!AA218)</f>
        <v/>
      </c>
      <c r="L5" s="823" t="str">
        <f>IF($I$199=0,"",IMPOSTAZIONI!AF218)</f>
        <v/>
      </c>
      <c r="M5" s="823" t="str">
        <f>IF($I$199=0,"",IMPOSTAZIONI!AK218)</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IF($I$199=0,"",IMPOSTAZIONI!G219)</f>
        <v/>
      </c>
      <c r="H6" s="40" t="str">
        <f>IF($I$199=0,"",IMPOSTAZIONI!L219)</f>
        <v/>
      </c>
      <c r="I6" s="40" t="str">
        <f>IF($I$199=0,"",IMPOSTAZIONI!Q219)</f>
        <v/>
      </c>
      <c r="J6" s="40" t="str">
        <f>IF($I$199=0,"",IMPOSTAZIONI!V219)</f>
        <v/>
      </c>
      <c r="K6" s="40" t="str">
        <f>IF($I$199=0,"",IMPOSTAZIONI!AA219)</f>
        <v/>
      </c>
      <c r="L6" s="40" t="str">
        <f>IF($I$199=0,"",IMPOSTAZIONI!AF219)</f>
        <v/>
      </c>
      <c r="M6" s="40" t="str">
        <f>IF($I$199=0,"",IMPOSTAZIONI!AK219)</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IMPOSTAZIONI!AB273</f>
        <v>0</v>
      </c>
      <c r="F7" s="1999"/>
      <c r="G7" s="811">
        <f>IMPOSTAZIONI!$AC287</f>
        <v>0</v>
      </c>
      <c r="H7" s="811">
        <f>IMPOSTAZIONI!$AC288</f>
        <v>0</v>
      </c>
      <c r="I7" s="811">
        <f>IMPOSTAZIONI!$AC289</f>
        <v>0</v>
      </c>
      <c r="J7" s="811">
        <f>IMPOSTAZIONI!$AC290</f>
        <v>0</v>
      </c>
      <c r="K7" s="811">
        <f>IMPOSTAZIONI!$AC291</f>
        <v>0</v>
      </c>
      <c r="L7" s="811">
        <f>IMPOSTAZIONI!$AC292</f>
        <v>0</v>
      </c>
      <c r="M7" s="811">
        <f>IMPOSTAZIONI!$AC293</f>
        <v>0</v>
      </c>
      <c r="N7" s="1288"/>
      <c r="O7" s="57"/>
      <c r="P7" s="2044" t="s">
        <v>524</v>
      </c>
      <c r="Q7" s="2044"/>
      <c r="R7" s="2044"/>
      <c r="S7" s="2044"/>
      <c r="T7" s="2044"/>
      <c r="U7" s="2044"/>
      <c r="V7" s="2044"/>
      <c r="W7" s="285">
        <f>W8-1</f>
        <v>45565</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10</v>
      </c>
      <c r="E8" s="1994" t="str">
        <f t="shared" ref="E8:E38"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45566</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10</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45567</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10</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45568</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10</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45569</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10</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45570</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10</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45571</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10</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45572</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10</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45573</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10</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45574</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10</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45575</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10</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45576</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10</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45577</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10</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45578</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10</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45579</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10</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45580</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10</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45581</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10</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45582</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10</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45583</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10</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45584</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10</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45585</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10</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45586</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10</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45587</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10</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45588</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10</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45589</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10</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45590</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10</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45591</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10</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45592</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10</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45593</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10</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45594</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10</v>
      </c>
      <c r="E37" s="1959" t="str">
        <f t="shared" si="9"/>
        <v xml:space="preserve">disattivato  </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45595</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10</v>
      </c>
      <c r="E38" s="2039" t="str">
        <f t="shared" si="9"/>
        <v xml:space="preserve">disattivato  </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45596</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IMPOSTAZIONI!AE273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341</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10</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01/10 - 31/10</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IMPOSTAZIONI!AC304</f>
        <v>0</v>
      </c>
      <c r="I90" s="784">
        <f>IMPOSTAZIONI!AC305</f>
        <v>0</v>
      </c>
      <c r="J90" s="785">
        <f>IMPOSTAZIONI!AC306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IMPOSTAZIONI!AH304</f>
        <v>0</v>
      </c>
      <c r="I91" s="788">
        <f>IMPOSTAZIONI!AH305</f>
        <v>0</v>
      </c>
      <c r="J91" s="789">
        <f>IMPOSTAZIONI!AH306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IF(IMPOSTAZIONI!X181=0,1,0)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IF(IMPOSTAZIONI!X182=0,1,0)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IF(IMPOSTAZIONI!X183=0,1,0)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30</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IMPOSTAZIONI!F218</f>
        <v/>
      </c>
      <c r="H124" s="803" t="str">
        <f>IMPOSTAZIONI!K218</f>
        <v/>
      </c>
      <c r="I124" s="803" t="str">
        <f>IMPOSTAZIONI!P218</f>
        <v/>
      </c>
      <c r="J124" s="803" t="str">
        <f>IMPOSTAZIONI!U218</f>
        <v/>
      </c>
      <c r="K124" s="803" t="str">
        <f>IMPOSTAZIONI!Z218</f>
        <v/>
      </c>
      <c r="L124" s="803" t="str">
        <f>IMPOSTAZIONI!AE218</f>
        <v/>
      </c>
      <c r="M124" s="803" t="str">
        <f>IMPOSTAZIONI!AJ218</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IMPOSTAZIONI!J218</f>
        <v>0</v>
      </c>
      <c r="H130" s="803">
        <f>IMPOSTAZIONI!O218</f>
        <v>0</v>
      </c>
      <c r="I130" s="803">
        <f>IMPOSTAZIONI!T218</f>
        <v>0</v>
      </c>
      <c r="J130" s="803">
        <f>IMPOSTAZIONI!Y218</f>
        <v>0</v>
      </c>
      <c r="K130" s="803">
        <f>IMPOSTAZIONI!AD218</f>
        <v>0</v>
      </c>
      <c r="L130" s="803">
        <f>IMPOSTAZIONI!AI218</f>
        <v>0</v>
      </c>
      <c r="M130" s="803">
        <f>IMPOSTAZIONI!AN218</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01/10 - 31/10</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01/01 - 31/10</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30</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rvU5fv85Euily/KK0ApbwVRb9aSxxs2M9bLyrp+mAy73xy27UgdJu8IsSmcolv2UOHoM57GiVGD9JkWveHzHHA==" saltValue="KbacKbmocTD2+UHlfrcNmw==" spinCount="100000" sheet="1" objects="1" scenarios="1" selectLockedCells="1"/>
  <mergeCells count="133">
    <mergeCell ref="E15:F15"/>
    <mergeCell ref="E16:F16"/>
    <mergeCell ref="E17:F17"/>
    <mergeCell ref="E22:F22"/>
    <mergeCell ref="C43:D43"/>
    <mergeCell ref="H53:I53"/>
    <mergeCell ref="M50:N50"/>
    <mergeCell ref="M51:N51"/>
    <mergeCell ref="M52:N52"/>
    <mergeCell ref="M53:N53"/>
    <mergeCell ref="H50:K50"/>
    <mergeCell ref="J51:K52"/>
    <mergeCell ref="C46:D46"/>
    <mergeCell ref="C47:D47"/>
    <mergeCell ref="C48:D48"/>
    <mergeCell ref="C45:F45"/>
    <mergeCell ref="C44:F44"/>
    <mergeCell ref="E48:F48"/>
    <mergeCell ref="E46:F46"/>
    <mergeCell ref="E47:F47"/>
    <mergeCell ref="E43:F43"/>
    <mergeCell ref="AU7:AY7"/>
    <mergeCell ref="AM6:AS6"/>
    <mergeCell ref="C7:D7"/>
    <mergeCell ref="E7:F7"/>
    <mergeCell ref="C6:D6"/>
    <mergeCell ref="C4:D5"/>
    <mergeCell ref="AF7:AJ7"/>
    <mergeCell ref="E10:F10"/>
    <mergeCell ref="P7:V7"/>
    <mergeCell ref="E8:F8"/>
    <mergeCell ref="E4:F5"/>
    <mergeCell ref="J2:N2"/>
    <mergeCell ref="C62:D62"/>
    <mergeCell ref="C59:E59"/>
    <mergeCell ref="C56:D56"/>
    <mergeCell ref="C53:F53"/>
    <mergeCell ref="E29:F29"/>
    <mergeCell ref="E26:F26"/>
    <mergeCell ref="E24:F24"/>
    <mergeCell ref="E30:F30"/>
    <mergeCell ref="E31:F31"/>
    <mergeCell ref="E36:F36"/>
    <mergeCell ref="E27:F27"/>
    <mergeCell ref="E25:F25"/>
    <mergeCell ref="N5:N6"/>
    <mergeCell ref="C2:I2"/>
    <mergeCell ref="E19:F19"/>
    <mergeCell ref="E28:F28"/>
    <mergeCell ref="E20:F20"/>
    <mergeCell ref="E6:F6"/>
    <mergeCell ref="E18:F18"/>
    <mergeCell ref="E9:F9"/>
    <mergeCell ref="E11:F11"/>
    <mergeCell ref="C3:D3"/>
    <mergeCell ref="E3:H3"/>
    <mergeCell ref="C184:D184"/>
    <mergeCell ref="E184:F184"/>
    <mergeCell ref="C182:D182"/>
    <mergeCell ref="E182:F182"/>
    <mergeCell ref="C183:D183"/>
    <mergeCell ref="E183:F183"/>
    <mergeCell ref="N133:O133"/>
    <mergeCell ref="C174:J174"/>
    <mergeCell ref="C164:D165"/>
    <mergeCell ref="E164:E165"/>
    <mergeCell ref="C173:D173"/>
    <mergeCell ref="C163:D163"/>
    <mergeCell ref="C137:D137"/>
    <mergeCell ref="C151:D152"/>
    <mergeCell ref="E151:E152"/>
    <mergeCell ref="C138:D139"/>
    <mergeCell ref="E138:E139"/>
    <mergeCell ref="C149:F149"/>
    <mergeCell ref="C150:D150"/>
    <mergeCell ref="C162:H162"/>
    <mergeCell ref="N135:O135"/>
    <mergeCell ref="B129:D129"/>
    <mergeCell ref="K174:M174"/>
    <mergeCell ref="C160:D160"/>
    <mergeCell ref="E160:F160"/>
    <mergeCell ref="B130:D130"/>
    <mergeCell ref="E147:F147"/>
    <mergeCell ref="C134:D134"/>
    <mergeCell ref="E134:F134"/>
    <mergeCell ref="C136:F136"/>
    <mergeCell ref="C135:F135"/>
    <mergeCell ref="C147:D147"/>
    <mergeCell ref="E173:F173"/>
    <mergeCell ref="G119:M119"/>
    <mergeCell ref="C71:F71"/>
    <mergeCell ref="C70:F70"/>
    <mergeCell ref="N77:O77"/>
    <mergeCell ref="N78:O78"/>
    <mergeCell ref="C73:F73"/>
    <mergeCell ref="C72:F72"/>
    <mergeCell ref="C69:F69"/>
    <mergeCell ref="J53:K53"/>
    <mergeCell ref="J54:K54"/>
    <mergeCell ref="J55:K55"/>
    <mergeCell ref="J56:K56"/>
    <mergeCell ref="C65:D65"/>
    <mergeCell ref="C64:F64"/>
    <mergeCell ref="E62:F62"/>
    <mergeCell ref="C63:F63"/>
    <mergeCell ref="C54:F54"/>
    <mergeCell ref="C60:N60"/>
    <mergeCell ref="M56:N56"/>
    <mergeCell ref="E65:F65"/>
    <mergeCell ref="L3:N3"/>
    <mergeCell ref="C67:F67"/>
    <mergeCell ref="E38:F38"/>
    <mergeCell ref="E32:F32"/>
    <mergeCell ref="E35:F35"/>
    <mergeCell ref="E34:F34"/>
    <mergeCell ref="E33:F33"/>
    <mergeCell ref="C50:F50"/>
    <mergeCell ref="C51:F51"/>
    <mergeCell ref="C52:F52"/>
    <mergeCell ref="E56:F56"/>
    <mergeCell ref="C55:F55"/>
    <mergeCell ref="C57:F57"/>
    <mergeCell ref="C58:F58"/>
    <mergeCell ref="C39:D39"/>
    <mergeCell ref="C66:F66"/>
    <mergeCell ref="E37:F37"/>
    <mergeCell ref="I3:K3"/>
    <mergeCell ref="E21:F21"/>
    <mergeCell ref="E14:F14"/>
    <mergeCell ref="E12:F12"/>
    <mergeCell ref="E13:F13"/>
    <mergeCell ref="E23:F23"/>
    <mergeCell ref="E39:F39"/>
  </mergeCells>
  <phoneticPr fontId="24" type="noConversion"/>
  <conditionalFormatting sqref="C57 G57">
    <cfRule type="expression" dxfId="2691" priority="235" stopIfTrue="1">
      <formula>C58=0</formula>
    </cfRule>
  </conditionalFormatting>
  <conditionalFormatting sqref="O182:O184 O147 O160 O173">
    <cfRule type="expression" dxfId="2690" priority="354" stopIfTrue="1">
      <formula>$N$44=""</formula>
    </cfRule>
    <cfRule type="expression" dxfId="2689" priority="355" stopIfTrue="1">
      <formula>$N$44=0</formula>
    </cfRule>
  </conditionalFormatting>
  <conditionalFormatting sqref="G182:M184">
    <cfRule type="expression" dxfId="2688" priority="356" stopIfTrue="1">
      <formula>ISERROR(G182)</formula>
    </cfRule>
    <cfRule type="cellIs" dxfId="2687" priority="357" stopIfTrue="1" operator="equal">
      <formula>0</formula>
    </cfRule>
  </conditionalFormatting>
  <conditionalFormatting sqref="G58 C58 AE8:AE38 G42:M42 E6:F6">
    <cfRule type="cellIs" dxfId="2686" priority="360" stopIfTrue="1" operator="equal">
      <formula>0</formula>
    </cfRule>
  </conditionalFormatting>
  <conditionalFormatting sqref="N63">
    <cfRule type="expression" dxfId="2685" priority="365" stopIfTrue="1">
      <formula>$N$44=""</formula>
    </cfRule>
  </conditionalFormatting>
  <conditionalFormatting sqref="E47:F48">
    <cfRule type="expression" dxfId="2684" priority="369" stopIfTrue="1">
      <formula>ISERROR(E47)</formula>
    </cfRule>
  </conditionalFormatting>
  <conditionalFormatting sqref="G135:M136 E164:E165 E138:E139 E147:F147 E151:E152 E160:F160">
    <cfRule type="expression" dxfId="2683" priority="370" stopIfTrue="1">
      <formula>ISERROR(E135)</formula>
    </cfRule>
  </conditionalFormatting>
  <conditionalFormatting sqref="G43:M43 G134:M134">
    <cfRule type="cellIs" dxfId="2682" priority="371" stopIfTrue="1" operator="equal">
      <formula>0</formula>
    </cfRule>
  </conditionalFormatting>
  <conditionalFormatting sqref="G123:M123">
    <cfRule type="cellIs" dxfId="2681" priority="376" stopIfTrue="1" operator="equal">
      <formula>0</formula>
    </cfRule>
  </conditionalFormatting>
  <conditionalFormatting sqref="P8:V38 X8:AD38 AF8:AJ38 AU8:AY38 AL8:AS38">
    <cfRule type="cellIs" dxfId="2680" priority="377" stopIfTrue="1" operator="equal">
      <formula>0</formula>
    </cfRule>
  </conditionalFormatting>
  <conditionalFormatting sqref="G68:M68 G74:M74 H107:H116">
    <cfRule type="cellIs" dxfId="2679" priority="380" stopIfTrue="1" operator="equal">
      <formula>"OK"</formula>
    </cfRule>
  </conditionalFormatting>
  <conditionalFormatting sqref="I107:I116">
    <cfRule type="cellIs" dxfId="2678" priority="381" stopIfTrue="1" operator="greaterThan">
      <formula>0</formula>
    </cfRule>
  </conditionalFormatting>
  <conditionalFormatting sqref="G125:M126">
    <cfRule type="cellIs" dxfId="2677" priority="384" stopIfTrue="1" operator="equal">
      <formula>$E$125</formula>
    </cfRule>
  </conditionalFormatting>
  <conditionalFormatting sqref="C162:H162">
    <cfRule type="expression" dxfId="2676" priority="389" stopIfTrue="1">
      <formula>ISERROR($C$162)</formula>
    </cfRule>
  </conditionalFormatting>
  <conditionalFormatting sqref="E46:F46">
    <cfRule type="expression" dxfId="2675" priority="393" stopIfTrue="1">
      <formula>ISERROR($E$46)</formula>
    </cfRule>
  </conditionalFormatting>
  <conditionalFormatting sqref="C60">
    <cfRule type="expression" dxfId="2674" priority="427" stopIfTrue="1">
      <formula>SUM($G$118:$M$118)=0</formula>
    </cfRule>
  </conditionalFormatting>
  <conditionalFormatting sqref="G120:M120">
    <cfRule type="cellIs" dxfId="2673" priority="233" operator="equal">
      <formula>0</formula>
    </cfRule>
  </conditionalFormatting>
  <conditionalFormatting sqref="N65:N67 C66:F67">
    <cfRule type="expression" dxfId="2672" priority="231" stopIfTrue="1">
      <formula>SUM($G$120:$M$120)=0</formula>
    </cfRule>
  </conditionalFormatting>
  <conditionalFormatting sqref="G65:M65">
    <cfRule type="expression" dxfId="2671" priority="230">
      <formula>$D$120=0</formula>
    </cfRule>
    <cfRule type="cellIs" dxfId="2670" priority="232" operator="equal">
      <formula>0</formula>
    </cfRule>
  </conditionalFormatting>
  <conditionalFormatting sqref="G62:M62">
    <cfRule type="expression" dxfId="2669" priority="2549" stopIfTrue="1">
      <formula>AND(G$123="X",G$62&lt;&gt;"")</formula>
    </cfRule>
  </conditionalFormatting>
  <conditionalFormatting sqref="G66:M66">
    <cfRule type="expression" dxfId="2668" priority="2576">
      <formula>AND(G$66&lt;&gt;0,G$68=$O$120)</formula>
    </cfRule>
    <cfRule type="expression" dxfId="2667" priority="2577">
      <formula>$D$120=0</formula>
    </cfRule>
  </conditionalFormatting>
  <conditionalFormatting sqref="G67:M67">
    <cfRule type="expression" dxfId="2666" priority="2578">
      <formula>AND(G$67&lt;&gt;0,G$68=$O$120)</formula>
    </cfRule>
    <cfRule type="expression" dxfId="2665" priority="2579">
      <formula>$D$120=0</formula>
    </cfRule>
  </conditionalFormatting>
  <conditionalFormatting sqref="G73:M73">
    <cfRule type="expression" dxfId="2664" priority="2580">
      <formula>AND(G$73&lt;&gt;0,G$74=$O$120)</formula>
    </cfRule>
    <cfRule type="expression" dxfId="2663" priority="2581">
      <formula>$D$120=0</formula>
    </cfRule>
  </conditionalFormatting>
  <conditionalFormatting sqref="G70:M70">
    <cfRule type="expression" dxfId="2662" priority="2582">
      <formula>AND(G$70&lt;&gt;0,G$74=$O$120)</formula>
    </cfRule>
    <cfRule type="expression" dxfId="2661" priority="2583">
      <formula>$D$120=0</formula>
    </cfRule>
  </conditionalFormatting>
  <conditionalFormatting sqref="G71:M71">
    <cfRule type="expression" dxfId="2660" priority="2584">
      <formula>AND(G$71&lt;&gt;0,G$74=$O$120)</formula>
    </cfRule>
    <cfRule type="expression" dxfId="2659" priority="2585">
      <formula>$D$120=0</formula>
    </cfRule>
  </conditionalFormatting>
  <conditionalFormatting sqref="G72:M72">
    <cfRule type="expression" dxfId="2658" priority="2586">
      <formula>AND(G$72&lt;&gt;0,G$74=$O$120)</formula>
    </cfRule>
    <cfRule type="expression" dxfId="2657" priority="2587">
      <formula>$D$120=0</formula>
    </cfRule>
  </conditionalFormatting>
  <conditionalFormatting sqref="N70:N73">
    <cfRule type="expression" dxfId="2656" priority="2588" stopIfTrue="1">
      <formula>$D$120=0</formula>
    </cfRule>
    <cfRule type="expression" dxfId="2655" priority="2589" stopIfTrue="1">
      <formula>$B70=""</formula>
    </cfRule>
  </conditionalFormatting>
  <conditionalFormatting sqref="C95 P95">
    <cfRule type="expression" dxfId="2654" priority="2983" stopIfTrue="1">
      <formula>ISERROR($H$199)</formula>
    </cfRule>
  </conditionalFormatting>
  <conditionalFormatting sqref="C2:J2">
    <cfRule type="expression" dxfId="2653" priority="2984" stopIfTrue="1">
      <formula>$I$199=0</formula>
    </cfRule>
  </conditionalFormatting>
  <conditionalFormatting sqref="N136:O136">
    <cfRule type="expression" dxfId="2652" priority="3250" stopIfTrue="1">
      <formula>$N$5=#REF!</formula>
    </cfRule>
    <cfRule type="expression" dxfId="2651" priority="3251" stopIfTrue="1">
      <formula>$N$44=0</formula>
    </cfRule>
  </conditionalFormatting>
  <conditionalFormatting sqref="N5">
    <cfRule type="expression" dxfId="2650" priority="3264" stopIfTrue="1">
      <formula>#REF!=""</formula>
    </cfRule>
    <cfRule type="cellIs" dxfId="2649" priority="3265" stopIfTrue="1" operator="equal">
      <formula>0</formula>
    </cfRule>
    <cfRule type="expression" dxfId="2648" priority="3266" stopIfTrue="1">
      <formula>$N$5=#REF!</formula>
    </cfRule>
  </conditionalFormatting>
  <conditionalFormatting sqref="G44:M45">
    <cfRule type="cellIs" dxfId="2647" priority="192" operator="equal">
      <formula>0</formula>
    </cfRule>
  </conditionalFormatting>
  <conditionalFormatting sqref="E39:N39">
    <cfRule type="expression" dxfId="2646" priority="191">
      <formula>ISERROR($H$199)</formula>
    </cfRule>
  </conditionalFormatting>
  <conditionalFormatting sqref="E7:N7">
    <cfRule type="expression" dxfId="2645" priority="190">
      <formula>ISERROR($H$199)</formula>
    </cfRule>
  </conditionalFormatting>
  <conditionalFormatting sqref="G47:M47">
    <cfRule type="expression" dxfId="2644" priority="181" stopIfTrue="1">
      <formula>ISERROR(G47)</formula>
    </cfRule>
    <cfRule type="expression" dxfId="2643" priority="182" stopIfTrue="1">
      <formula>G$42=$K$102</formula>
    </cfRule>
    <cfRule type="expression" dxfId="2642" priority="183" stopIfTrue="1">
      <formula>AND(G$46&gt;0,OR(G$68=$E$120,G$68=$N$120))</formula>
    </cfRule>
    <cfRule type="cellIs" dxfId="2641" priority="184" operator="equal">
      <formula>0</formula>
    </cfRule>
  </conditionalFormatting>
  <conditionalFormatting sqref="G48:M48">
    <cfRule type="expression" dxfId="2640" priority="180" stopIfTrue="1">
      <formula>ISERROR(G48)</formula>
    </cfRule>
    <cfRule type="expression" dxfId="2639" priority="185" stopIfTrue="1">
      <formula>G$42=$K$102</formula>
    </cfRule>
    <cfRule type="expression" dxfId="2638" priority="186" stopIfTrue="1">
      <formula>AND(G$46&gt;0,OR(G$68=$E$120,G$68=$N$120,COUNTIF($C$70:$F$73,"ERROR")&gt;0,G$74=$E$120,G$74=$N$120))</formula>
    </cfRule>
    <cfRule type="cellIs" dxfId="2637" priority="187" operator="equal">
      <formula>0</formula>
    </cfRule>
  </conditionalFormatting>
  <conditionalFormatting sqref="G130:M130">
    <cfRule type="cellIs" dxfId="2636" priority="179" stopIfTrue="1" operator="equal">
      <formula>0</formula>
    </cfRule>
  </conditionalFormatting>
  <conditionalFormatting sqref="G4:M4">
    <cfRule type="cellIs" dxfId="2635" priority="178" operator="equal">
      <formula>0</formula>
    </cfRule>
  </conditionalFormatting>
  <conditionalFormatting sqref="N130">
    <cfRule type="cellIs" dxfId="2634" priority="177" stopIfTrue="1" operator="equal">
      <formula>0</formula>
    </cfRule>
  </conditionalFormatting>
  <conditionalFormatting sqref="G63">
    <cfRule type="expression" dxfId="2633" priority="174">
      <formula>ISERROR(G46)</formula>
    </cfRule>
    <cfRule type="cellIs" dxfId="2632" priority="176" operator="equal">
      <formula>0</formula>
    </cfRule>
  </conditionalFormatting>
  <conditionalFormatting sqref="G64">
    <cfRule type="expression" dxfId="2631" priority="173">
      <formula>ISERROR(G46)</formula>
    </cfRule>
    <cfRule type="cellIs" dxfId="2630" priority="175" operator="equal">
      <formula>0</formula>
    </cfRule>
  </conditionalFormatting>
  <conditionalFormatting sqref="H63:M63">
    <cfRule type="expression" dxfId="2629" priority="170">
      <formula>ISERROR(H46)</formula>
    </cfRule>
    <cfRule type="cellIs" dxfId="2628" priority="172" operator="equal">
      <formula>0</formula>
    </cfRule>
  </conditionalFormatting>
  <conditionalFormatting sqref="H64:M64">
    <cfRule type="expression" dxfId="2627" priority="169">
      <formula>ISERROR(H46)</formula>
    </cfRule>
    <cfRule type="cellIs" dxfId="2626" priority="171" operator="equal">
      <formula>0</formula>
    </cfRule>
  </conditionalFormatting>
  <conditionalFormatting sqref="C70:F73">
    <cfRule type="cellIs" dxfId="2625" priority="163" stopIfTrue="1" operator="equal">
      <formula>"ERROR"</formula>
    </cfRule>
    <cfRule type="cellIs" dxfId="2624" priority="164" stopIfTrue="1" operator="equal">
      <formula>0</formula>
    </cfRule>
    <cfRule type="expression" dxfId="2623" priority="165" stopIfTrue="1">
      <formula>SUM($G$120:$M$120)=0</formula>
    </cfRule>
  </conditionalFormatting>
  <conditionalFormatting sqref="G49">
    <cfRule type="cellIs" dxfId="2622" priority="162" operator="equal">
      <formula>$E$130</formula>
    </cfRule>
  </conditionalFormatting>
  <conditionalFormatting sqref="H49:M49">
    <cfRule type="cellIs" dxfId="2621" priority="161" operator="equal">
      <formula>$E$130</formula>
    </cfRule>
  </conditionalFormatting>
  <conditionalFormatting sqref="G90:G91">
    <cfRule type="expression" dxfId="2620" priority="159" stopIfTrue="1">
      <formula>SUM($H90:$J90)=0</formula>
    </cfRule>
  </conditionalFormatting>
  <conditionalFormatting sqref="N77:N78">
    <cfRule type="expression" dxfId="2619" priority="160" stopIfTrue="1">
      <formula>$M$77=0</formula>
    </cfRule>
  </conditionalFormatting>
  <conditionalFormatting sqref="H85:J87">
    <cfRule type="expression" dxfId="2618" priority="157">
      <formula>AND($E$103=3,$J$112=3)</formula>
    </cfRule>
    <cfRule type="cellIs" dxfId="2617" priority="158" operator="equal">
      <formula>0</formula>
    </cfRule>
  </conditionalFormatting>
  <conditionalFormatting sqref="H90:J91">
    <cfRule type="expression" dxfId="2616" priority="155">
      <formula>AND($E$103=3,$J$112=3)</formula>
    </cfRule>
    <cfRule type="cellIs" dxfId="2615" priority="156" operator="equal">
      <formula>0</formula>
    </cfRule>
  </conditionalFormatting>
  <conditionalFormatting sqref="K90:K91">
    <cfRule type="expression" dxfId="2614" priority="154">
      <formula>AND($E$103=3,$J$112=3)</formula>
    </cfRule>
  </conditionalFormatting>
  <conditionalFormatting sqref="M90:M91">
    <cfRule type="expression" dxfId="2613" priority="153">
      <formula>AND($E$103=3,$J$112=3)</formula>
    </cfRule>
  </conditionalFormatting>
  <conditionalFormatting sqref="M79:M89">
    <cfRule type="expression" dxfId="2612" priority="152">
      <formula>AND($E$103=3,$J$112=3)</formula>
    </cfRule>
  </conditionalFormatting>
  <conditionalFormatting sqref="M77:M78">
    <cfRule type="expression" dxfId="2611" priority="151">
      <formula>AND($E$103=3,$J$112=3)</formula>
    </cfRule>
  </conditionalFormatting>
  <conditionalFormatting sqref="L91">
    <cfRule type="expression" dxfId="2610" priority="150">
      <formula>AND($E$103=3,$J$112=3)</formula>
    </cfRule>
  </conditionalFormatting>
  <conditionalFormatting sqref="L77:L78">
    <cfRule type="expression" dxfId="2609" priority="149">
      <formula>AND($E$103=3,$J$112=3)</formula>
    </cfRule>
  </conditionalFormatting>
  <conditionalFormatting sqref="G76:G81">
    <cfRule type="expression" dxfId="2608" priority="148">
      <formula>AND($E$103=3,$J$112=3)</formula>
    </cfRule>
  </conditionalFormatting>
  <conditionalFormatting sqref="G46:M46">
    <cfRule type="expression" dxfId="2607" priority="5934" stopIfTrue="1">
      <formula>G$42=$K$102</formula>
    </cfRule>
    <cfRule type="expression" dxfId="2606" priority="5935" stopIfTrue="1">
      <formula>$I$199=0</formula>
    </cfRule>
  </conditionalFormatting>
  <conditionalFormatting sqref="H53:H54">
    <cfRule type="expression" dxfId="2605" priority="145" stopIfTrue="1">
      <formula>ISERROR($G$123)</formula>
    </cfRule>
    <cfRule type="expression" dxfId="2604" priority="146" stopIfTrue="1">
      <formula>ISERROR(H53)</formula>
    </cfRule>
  </conditionalFormatting>
  <conditionalFormatting sqref="H51:I52">
    <cfRule type="expression" dxfId="2603" priority="147" stopIfTrue="1">
      <formula>ISERROR(H51)</formula>
    </cfRule>
  </conditionalFormatting>
  <conditionalFormatting sqref="I54">
    <cfRule type="expression" dxfId="2602" priority="143" stopIfTrue="1">
      <formula>ISERROR($G$123)</formula>
    </cfRule>
    <cfRule type="expression" dxfId="2601" priority="144" stopIfTrue="1">
      <formula>ISERROR(I54)</formula>
    </cfRule>
  </conditionalFormatting>
  <conditionalFormatting sqref="H56:I56">
    <cfRule type="expression" dxfId="2600" priority="142" stopIfTrue="1">
      <formula>ISERROR(H56)</formula>
    </cfRule>
  </conditionalFormatting>
  <conditionalFormatting sqref="H55">
    <cfRule type="expression" dxfId="2599" priority="140" stopIfTrue="1">
      <formula>ISERROR($G$123)</formula>
    </cfRule>
    <cfRule type="expression" dxfId="2598" priority="141" stopIfTrue="1">
      <formula>ISERROR(H55)</formula>
    </cfRule>
  </conditionalFormatting>
  <conditionalFormatting sqref="I55">
    <cfRule type="expression" dxfId="2597" priority="138" stopIfTrue="1">
      <formula>ISERROR($G$123)</formula>
    </cfRule>
    <cfRule type="expression" dxfId="2596" priority="139" stopIfTrue="1">
      <formula>ISERROR(I55)</formula>
    </cfRule>
  </conditionalFormatting>
  <conditionalFormatting sqref="G147">
    <cfRule type="expression" dxfId="2595" priority="135" stopIfTrue="1">
      <formula>$E147=0</formula>
    </cfRule>
    <cfRule type="expression" dxfId="2594" priority="136" stopIfTrue="1">
      <formula>ISERROR(G147)</formula>
    </cfRule>
    <cfRule type="expression" dxfId="2593" priority="137" stopIfTrue="1">
      <formula>$E147&lt;&gt;0</formula>
    </cfRule>
  </conditionalFormatting>
  <conditionalFormatting sqref="G145">
    <cfRule type="expression" dxfId="2592" priority="132" stopIfTrue="1">
      <formula>AND(G144=0,G145=1,G146=1)</formula>
    </cfRule>
    <cfRule type="expression" dxfId="2591" priority="133" stopIfTrue="1">
      <formula>AND(G144=1,G146=1)</formula>
    </cfRule>
    <cfRule type="expression" dxfId="2590" priority="134" stopIfTrue="1">
      <formula>AND(G145=1,G144=0)</formula>
    </cfRule>
  </conditionalFormatting>
  <conditionalFormatting sqref="G146">
    <cfRule type="expression" dxfId="2589" priority="130" stopIfTrue="1">
      <formula>AND(G146=1,G145=1)</formula>
    </cfRule>
    <cfRule type="expression" dxfId="2588" priority="131" stopIfTrue="1">
      <formula>AND(G146=1,G145=0)</formula>
    </cfRule>
  </conditionalFormatting>
  <conditionalFormatting sqref="G144">
    <cfRule type="expression" dxfId="2587" priority="127" stopIfTrue="1">
      <formula>AND(G143=0,G144=1,G145=1)</formula>
    </cfRule>
    <cfRule type="expression" dxfId="2586" priority="128" stopIfTrue="1">
      <formula>AND(G143=1,G145=1)</formula>
    </cfRule>
    <cfRule type="expression" dxfId="2585" priority="129" stopIfTrue="1">
      <formula>AND(G144=1,G143=0)</formula>
    </cfRule>
  </conditionalFormatting>
  <conditionalFormatting sqref="G138:G143">
    <cfRule type="expression" dxfId="2584" priority="124" stopIfTrue="1">
      <formula>AND(G137=0,G138=1,G139=1)</formula>
    </cfRule>
    <cfRule type="expression" dxfId="2583" priority="125" stopIfTrue="1">
      <formula>AND(G137=1,G139=1)</formula>
    </cfRule>
    <cfRule type="expression" dxfId="2582" priority="126" stopIfTrue="1">
      <formula>AND(G138=1,G137=0)</formula>
    </cfRule>
  </conditionalFormatting>
  <conditionalFormatting sqref="G137">
    <cfRule type="expression" dxfId="2581" priority="122" stopIfTrue="1">
      <formula>AND(G137=1,G138=1)</formula>
    </cfRule>
    <cfRule type="expression" dxfId="2580" priority="123" stopIfTrue="1">
      <formula>AND(G137=1,G136=0)</formula>
    </cfRule>
  </conditionalFormatting>
  <conditionalFormatting sqref="G160">
    <cfRule type="expression" dxfId="2579" priority="119" stopIfTrue="1">
      <formula>$E160=0</formula>
    </cfRule>
    <cfRule type="expression" dxfId="2578" priority="120" stopIfTrue="1">
      <formula>ISERROR(G160)</formula>
    </cfRule>
    <cfRule type="expression" dxfId="2577" priority="121" stopIfTrue="1">
      <formula>$E160&lt;&gt;0</formula>
    </cfRule>
  </conditionalFormatting>
  <conditionalFormatting sqref="G158">
    <cfRule type="expression" dxfId="2576" priority="116" stopIfTrue="1">
      <formula>AND(G157=0,G158=1,G159=1)</formula>
    </cfRule>
    <cfRule type="expression" dxfId="2575" priority="117" stopIfTrue="1">
      <formula>AND(G157=1,G159=1)</formula>
    </cfRule>
    <cfRule type="expression" dxfId="2574" priority="118" stopIfTrue="1">
      <formula>AND(G158=1,G157=0)</formula>
    </cfRule>
  </conditionalFormatting>
  <conditionalFormatting sqref="G159">
    <cfRule type="expression" dxfId="2573" priority="114" stopIfTrue="1">
      <formula>AND(G159=1,G158=1)</formula>
    </cfRule>
    <cfRule type="expression" dxfId="2572" priority="115" stopIfTrue="1">
      <formula>AND(G159=1,G158=0)</formula>
    </cfRule>
  </conditionalFormatting>
  <conditionalFormatting sqref="G157">
    <cfRule type="expression" dxfId="2571" priority="111" stopIfTrue="1">
      <formula>AND(G156=0,G157=1,G158=1)</formula>
    </cfRule>
    <cfRule type="expression" dxfId="2570" priority="112" stopIfTrue="1">
      <formula>AND(G156=1,G158=1)</formula>
    </cfRule>
    <cfRule type="expression" dxfId="2569" priority="113" stopIfTrue="1">
      <formula>AND(G157=1,G156=0)</formula>
    </cfRule>
  </conditionalFormatting>
  <conditionalFormatting sqref="G151:G156">
    <cfRule type="expression" dxfId="2568" priority="108" stopIfTrue="1">
      <formula>AND(G150=0,G151=1,G152=1)</formula>
    </cfRule>
    <cfRule type="expression" dxfId="2567" priority="109" stopIfTrue="1">
      <formula>AND(G150=1,G152=1)</formula>
    </cfRule>
    <cfRule type="expression" dxfId="2566" priority="110" stopIfTrue="1">
      <formula>AND(G151=1,G150=0)</formula>
    </cfRule>
  </conditionalFormatting>
  <conditionalFormatting sqref="G150">
    <cfRule type="expression" dxfId="2565" priority="106" stopIfTrue="1">
      <formula>AND(G150=1,G151=1)</formula>
    </cfRule>
    <cfRule type="expression" dxfId="2564" priority="107" stopIfTrue="1">
      <formula>AND(G150=1,G149=0)</formula>
    </cfRule>
  </conditionalFormatting>
  <conditionalFormatting sqref="H147:M147">
    <cfRule type="expression" dxfId="2563" priority="103" stopIfTrue="1">
      <formula>$E147=0</formula>
    </cfRule>
    <cfRule type="expression" dxfId="2562" priority="104" stopIfTrue="1">
      <formula>ISERROR(H147)</formula>
    </cfRule>
    <cfRule type="expression" dxfId="2561" priority="105" stopIfTrue="1">
      <formula>$E147&lt;&gt;0</formula>
    </cfRule>
  </conditionalFormatting>
  <conditionalFormatting sqref="H145:M145">
    <cfRule type="expression" dxfId="2560" priority="100" stopIfTrue="1">
      <formula>AND(H144=0,H145=1,H146=1)</formula>
    </cfRule>
    <cfRule type="expression" dxfId="2559" priority="101" stopIfTrue="1">
      <formula>AND(H144=1,H146=1)</formula>
    </cfRule>
    <cfRule type="expression" dxfId="2558" priority="102" stopIfTrue="1">
      <formula>AND(H145=1,H144=0)</formula>
    </cfRule>
  </conditionalFormatting>
  <conditionalFormatting sqref="H146:M146">
    <cfRule type="expression" dxfId="2557" priority="98" stopIfTrue="1">
      <formula>AND(H146=1,H145=1)</formula>
    </cfRule>
    <cfRule type="expression" dxfId="2556" priority="99" stopIfTrue="1">
      <formula>AND(H146=1,H145=0)</formula>
    </cfRule>
  </conditionalFormatting>
  <conditionalFormatting sqref="H144:M144">
    <cfRule type="expression" dxfId="2555" priority="95" stopIfTrue="1">
      <formula>AND(H143=0,H144=1,H145=1)</formula>
    </cfRule>
    <cfRule type="expression" dxfId="2554" priority="96" stopIfTrue="1">
      <formula>AND(H143=1,H145=1)</formula>
    </cfRule>
    <cfRule type="expression" dxfId="2553" priority="97" stopIfTrue="1">
      <formula>AND(H144=1,H143=0)</formula>
    </cfRule>
  </conditionalFormatting>
  <conditionalFormatting sqref="H138:M143">
    <cfRule type="expression" dxfId="2552" priority="92" stopIfTrue="1">
      <formula>AND(H137=0,H138=1,H139=1)</formula>
    </cfRule>
    <cfRule type="expression" dxfId="2551" priority="93" stopIfTrue="1">
      <formula>AND(H137=1,H139=1)</formula>
    </cfRule>
    <cfRule type="expression" dxfId="2550" priority="94" stopIfTrue="1">
      <formula>AND(H138=1,H137=0)</formula>
    </cfRule>
  </conditionalFormatting>
  <conditionalFormatting sqref="H137:M137">
    <cfRule type="expression" dxfId="2549" priority="90" stopIfTrue="1">
      <formula>AND(H137=1,H138=1)</formula>
    </cfRule>
    <cfRule type="expression" dxfId="2548" priority="91" stopIfTrue="1">
      <formula>AND(H137=1,H136=0)</formula>
    </cfRule>
  </conditionalFormatting>
  <conditionalFormatting sqref="H160:M160">
    <cfRule type="expression" dxfId="2547" priority="87" stopIfTrue="1">
      <formula>$E160=0</formula>
    </cfRule>
    <cfRule type="expression" dxfId="2546" priority="88" stopIfTrue="1">
      <formula>ISERROR(H160)</formula>
    </cfRule>
    <cfRule type="expression" dxfId="2545" priority="89" stopIfTrue="1">
      <formula>$E160&lt;&gt;0</formula>
    </cfRule>
  </conditionalFormatting>
  <conditionalFormatting sqref="H158:M158">
    <cfRule type="expression" dxfId="2544" priority="84" stopIfTrue="1">
      <formula>AND(H157=0,H158=1,H159=1)</formula>
    </cfRule>
    <cfRule type="expression" dxfId="2543" priority="85" stopIfTrue="1">
      <formula>AND(H157=1,H159=1)</formula>
    </cfRule>
    <cfRule type="expression" dxfId="2542" priority="86" stopIfTrue="1">
      <formula>AND(H158=1,H157=0)</formula>
    </cfRule>
  </conditionalFormatting>
  <conditionalFormatting sqref="H159:M159">
    <cfRule type="expression" dxfId="2541" priority="82" stopIfTrue="1">
      <formula>AND(H159=1,H158=1)</formula>
    </cfRule>
    <cfRule type="expression" dxfId="2540" priority="83" stopIfTrue="1">
      <formula>AND(H159=1,H158=0)</formula>
    </cfRule>
  </conditionalFormatting>
  <conditionalFormatting sqref="H157:M157">
    <cfRule type="expression" dxfId="2539" priority="79" stopIfTrue="1">
      <formula>AND(H156=0,H157=1,H158=1)</formula>
    </cfRule>
    <cfRule type="expression" dxfId="2538" priority="80" stopIfTrue="1">
      <formula>AND(H156=1,H158=1)</formula>
    </cfRule>
    <cfRule type="expression" dxfId="2537" priority="81" stopIfTrue="1">
      <formula>AND(H157=1,H156=0)</formula>
    </cfRule>
  </conditionalFormatting>
  <conditionalFormatting sqref="H151:M156">
    <cfRule type="expression" dxfId="2536" priority="76" stopIfTrue="1">
      <formula>AND(H150=0,H151=1,H152=1)</formula>
    </cfRule>
    <cfRule type="expression" dxfId="2535" priority="77" stopIfTrue="1">
      <formula>AND(H150=1,H152=1)</formula>
    </cfRule>
    <cfRule type="expression" dxfId="2534" priority="78" stopIfTrue="1">
      <formula>AND(H151=1,H150=0)</formula>
    </cfRule>
  </conditionalFormatting>
  <conditionalFormatting sqref="H150:M150">
    <cfRule type="expression" dxfId="2533" priority="74" stopIfTrue="1">
      <formula>AND(H150=1,H151=1)</formula>
    </cfRule>
    <cfRule type="expression" dxfId="2532" priority="75" stopIfTrue="1">
      <formula>AND(H150=1,H149=0)</formula>
    </cfRule>
  </conditionalFormatting>
  <conditionalFormatting sqref="N133:O133 N135:O135">
    <cfRule type="containsBlanks" dxfId="2531" priority="73">
      <formula>LEN(TRIM(N133))=0</formula>
    </cfRule>
  </conditionalFormatting>
  <conditionalFormatting sqref="N132">
    <cfRule type="expression" dxfId="2530" priority="72">
      <formula>N133=""</formula>
    </cfRule>
  </conditionalFormatting>
  <conditionalFormatting sqref="N134">
    <cfRule type="expression" dxfId="2529" priority="71">
      <formula>N135=""</formula>
    </cfRule>
  </conditionalFormatting>
  <conditionalFormatting sqref="G173">
    <cfRule type="expression" dxfId="2528" priority="68" stopIfTrue="1">
      <formula>$E173=0</formula>
    </cfRule>
    <cfRule type="expression" dxfId="2527" priority="69" stopIfTrue="1">
      <formula>ISERROR(G173)</formula>
    </cfRule>
    <cfRule type="expression" dxfId="2526" priority="70" stopIfTrue="1">
      <formula>$E173&lt;&gt;0</formula>
    </cfRule>
  </conditionalFormatting>
  <conditionalFormatting sqref="G171">
    <cfRule type="expression" dxfId="2525" priority="62" stopIfTrue="1">
      <formula>AND(G170=0,G171=1,G172=1)</formula>
    </cfRule>
    <cfRule type="expression" dxfId="2524" priority="63" stopIfTrue="1">
      <formula>AND(G170=1,G172=1)</formula>
    </cfRule>
    <cfRule type="expression" dxfId="2523" priority="64" stopIfTrue="1">
      <formula>AND(G171=1,G170=0)</formula>
    </cfRule>
  </conditionalFormatting>
  <conditionalFormatting sqref="G170">
    <cfRule type="expression" dxfId="2522" priority="65" stopIfTrue="1">
      <formula>AND(G169=0,G170=1,G171=1)</formula>
    </cfRule>
    <cfRule type="expression" dxfId="2521" priority="66" stopIfTrue="1">
      <formula>AND(G169=1,G171=1)</formula>
    </cfRule>
    <cfRule type="expression" dxfId="2520" priority="67" stopIfTrue="1">
      <formula>AND(G170=1,G169=0)</formula>
    </cfRule>
  </conditionalFormatting>
  <conditionalFormatting sqref="G164:G169">
    <cfRule type="expression" dxfId="2519" priority="59" stopIfTrue="1">
      <formula>AND(G163=0,G164=1,G165=1)</formula>
    </cfRule>
    <cfRule type="expression" dxfId="2518" priority="60" stopIfTrue="1">
      <formula>AND(G163=1,G165=1)</formula>
    </cfRule>
    <cfRule type="expression" dxfId="2517" priority="61" stopIfTrue="1">
      <formula>AND(G164=1,G163=0)</formula>
    </cfRule>
  </conditionalFormatting>
  <conditionalFormatting sqref="G163">
    <cfRule type="expression" dxfId="2516" priority="57" stopIfTrue="1">
      <formula>AND(G163=1,G164=1)</formula>
    </cfRule>
    <cfRule type="expression" dxfId="2515" priority="58" stopIfTrue="1">
      <formula>AND(G163=1,G162=0)</formula>
    </cfRule>
  </conditionalFormatting>
  <conditionalFormatting sqref="G172">
    <cfRule type="expression" dxfId="2514" priority="55" stopIfTrue="1">
      <formula>AND(G172=1,G171=1)</formula>
    </cfRule>
    <cfRule type="expression" dxfId="2513" priority="56" stopIfTrue="1">
      <formula>AND(G172=1,G171=0)</formula>
    </cfRule>
  </conditionalFormatting>
  <conditionalFormatting sqref="H173:M173">
    <cfRule type="expression" dxfId="2512" priority="52" stopIfTrue="1">
      <formula>$E173=0</formula>
    </cfRule>
    <cfRule type="expression" dxfId="2511" priority="53" stopIfTrue="1">
      <formula>ISERROR(H173)</formula>
    </cfRule>
    <cfRule type="expression" dxfId="2510" priority="54" stopIfTrue="1">
      <formula>$E173&lt;&gt;0</formula>
    </cfRule>
  </conditionalFormatting>
  <conditionalFormatting sqref="H171:M171">
    <cfRule type="expression" dxfId="2509" priority="46" stopIfTrue="1">
      <formula>AND(H170=0,H171=1,H172=1)</formula>
    </cfRule>
    <cfRule type="expression" dxfId="2508" priority="47" stopIfTrue="1">
      <formula>AND(H170=1,H172=1)</formula>
    </cfRule>
    <cfRule type="expression" dxfId="2507" priority="48" stopIfTrue="1">
      <formula>AND(H171=1,H170=0)</formula>
    </cfRule>
  </conditionalFormatting>
  <conditionalFormatting sqref="H170:M170">
    <cfRule type="expression" dxfId="2506" priority="49" stopIfTrue="1">
      <formula>AND(H169=0,H170=1,H171=1)</formula>
    </cfRule>
    <cfRule type="expression" dxfId="2505" priority="50" stopIfTrue="1">
      <formula>AND(H169=1,H171=1)</formula>
    </cfRule>
    <cfRule type="expression" dxfId="2504" priority="51" stopIfTrue="1">
      <formula>AND(H170=1,H169=0)</formula>
    </cfRule>
  </conditionalFormatting>
  <conditionalFormatting sqref="H164:M169">
    <cfRule type="expression" dxfId="2503" priority="43" stopIfTrue="1">
      <formula>AND(H163=0,H164=1,H165=1)</formula>
    </cfRule>
    <cfRule type="expression" dxfId="2502" priority="44" stopIfTrue="1">
      <formula>AND(H163=1,H165=1)</formula>
    </cfRule>
    <cfRule type="expression" dxfId="2501" priority="45" stopIfTrue="1">
      <formula>AND(H164=1,H163=0)</formula>
    </cfRule>
  </conditionalFormatting>
  <conditionalFormatting sqref="H163:M163">
    <cfRule type="expression" dxfId="2500" priority="41" stopIfTrue="1">
      <formula>AND(H163=1,H164=1)</formula>
    </cfRule>
    <cfRule type="expression" dxfId="2499" priority="42" stopIfTrue="1">
      <formula>AND(H163=1,H162=0)</formula>
    </cfRule>
  </conditionalFormatting>
  <conditionalFormatting sqref="H172:M172">
    <cfRule type="expression" dxfId="2498" priority="39" stopIfTrue="1">
      <formula>AND(H172=1,H171=1)</formula>
    </cfRule>
    <cfRule type="expression" dxfId="2497" priority="40" stopIfTrue="1">
      <formula>AND(H172=1,H171=0)</formula>
    </cfRule>
  </conditionalFormatting>
  <conditionalFormatting sqref="E173:F173">
    <cfRule type="containsErrors" dxfId="2496" priority="38" stopIfTrue="1">
      <formula>ISERROR(E173)</formula>
    </cfRule>
  </conditionalFormatting>
  <conditionalFormatting sqref="AK8:AK38">
    <cfRule type="cellIs" dxfId="2495" priority="37" stopIfTrue="1" operator="equal">
      <formula>0</formula>
    </cfRule>
  </conditionalFormatting>
  <conditionalFormatting sqref="BA6:BG6">
    <cfRule type="cellIs" dxfId="2494" priority="35" stopIfTrue="1" operator="equal">
      <formula>$E$125</formula>
    </cfRule>
  </conditionalFormatting>
  <conditionalFormatting sqref="BA9:BG38 BB8:BG8">
    <cfRule type="cellIs" dxfId="2493" priority="34" stopIfTrue="1" operator="equal">
      <formula>0</formula>
    </cfRule>
  </conditionalFormatting>
  <conditionalFormatting sqref="BA8">
    <cfRule type="cellIs" dxfId="2492" priority="33" stopIfTrue="1" operator="equal">
      <formula>0</formula>
    </cfRule>
  </conditionalFormatting>
  <conditionalFormatting sqref="BA5:BG5">
    <cfRule type="cellIs" dxfId="2491" priority="32" stopIfTrue="1" operator="equal">
      <formula>$E$125</formula>
    </cfRule>
  </conditionalFormatting>
  <conditionalFormatting sqref="L3:N3">
    <cfRule type="cellIs" dxfId="2490" priority="31" stopIfTrue="1" operator="equal">
      <formula>0</formula>
    </cfRule>
  </conditionalFormatting>
  <conditionalFormatting sqref="BC3">
    <cfRule type="cellIs" dxfId="2489" priority="30" stopIfTrue="1" operator="equal">
      <formula>$E$125</formula>
    </cfRule>
  </conditionalFormatting>
  <conditionalFormatting sqref="BB66:BF66">
    <cfRule type="cellIs" dxfId="2488" priority="27" stopIfTrue="1" operator="equal">
      <formula>0</formula>
    </cfRule>
  </conditionalFormatting>
  <conditionalFormatting sqref="BB67:BF67">
    <cfRule type="cellIs" dxfId="2487" priority="26" stopIfTrue="1" operator="equal">
      <formula>0</formula>
    </cfRule>
  </conditionalFormatting>
  <conditionalFormatting sqref="BB64:BF64">
    <cfRule type="cellIs" dxfId="2486" priority="25" stopIfTrue="1" operator="equal">
      <formula>0</formula>
    </cfRule>
  </conditionalFormatting>
  <conditionalFormatting sqref="BB65:BF65">
    <cfRule type="cellIs" dxfId="2485" priority="24" stopIfTrue="1" operator="equal">
      <formula>0</formula>
    </cfRule>
  </conditionalFormatting>
  <conditionalFormatting sqref="BB63:BF63">
    <cfRule type="cellIs" dxfId="2484" priority="23" stopIfTrue="1" operator="equal">
      <formula>0</formula>
    </cfRule>
  </conditionalFormatting>
  <conditionalFormatting sqref="BA66">
    <cfRule type="cellIs" dxfId="2483" priority="22" stopIfTrue="1" operator="equal">
      <formula>0</formula>
    </cfRule>
  </conditionalFormatting>
  <conditionalFormatting sqref="BA67">
    <cfRule type="cellIs" dxfId="2482" priority="21" stopIfTrue="1" operator="equal">
      <formula>0</formula>
    </cfRule>
  </conditionalFormatting>
  <conditionalFormatting sqref="BA64">
    <cfRule type="cellIs" dxfId="2481" priority="20" stopIfTrue="1" operator="equal">
      <formula>0</formula>
    </cfRule>
  </conditionalFormatting>
  <conditionalFormatting sqref="BA65">
    <cfRule type="cellIs" dxfId="2480" priority="19" stopIfTrue="1" operator="equal">
      <formula>0</formula>
    </cfRule>
  </conditionalFormatting>
  <conditionalFormatting sqref="BA63">
    <cfRule type="cellIs" dxfId="2479" priority="18" stopIfTrue="1" operator="equal">
      <formula>0</formula>
    </cfRule>
  </conditionalFormatting>
  <conditionalFormatting sqref="BG66">
    <cfRule type="cellIs" dxfId="2478" priority="17" stopIfTrue="1" operator="equal">
      <formula>0</formula>
    </cfRule>
  </conditionalFormatting>
  <conditionalFormatting sqref="BG67">
    <cfRule type="cellIs" dxfId="2477" priority="16" stopIfTrue="1" operator="equal">
      <formula>0</formula>
    </cfRule>
  </conditionalFormatting>
  <conditionalFormatting sqref="BG64">
    <cfRule type="cellIs" dxfId="2476" priority="15" stopIfTrue="1" operator="equal">
      <formula>0</formula>
    </cfRule>
  </conditionalFormatting>
  <conditionalFormatting sqref="BG65">
    <cfRule type="cellIs" dxfId="2475" priority="14" stopIfTrue="1" operator="equal">
      <formula>0</formula>
    </cfRule>
  </conditionalFormatting>
  <conditionalFormatting sqref="BG63">
    <cfRule type="cellIs" dxfId="2474" priority="13" stopIfTrue="1" operator="equal">
      <formula>0</formula>
    </cfRule>
  </conditionalFormatting>
  <conditionalFormatting sqref="BB4:BG4">
    <cfRule type="cellIs" dxfId="2473" priority="12" stopIfTrue="1" operator="equal">
      <formula>0</formula>
    </cfRule>
  </conditionalFormatting>
  <conditionalFormatting sqref="BA4">
    <cfRule type="cellIs" dxfId="2472" priority="11" stopIfTrue="1" operator="equal">
      <formula>0</formula>
    </cfRule>
  </conditionalFormatting>
  <conditionalFormatting sqref="E8:F38">
    <cfRule type="expression" dxfId="2471" priority="3" stopIfTrue="1">
      <formula>$AE8=$AC$6</formula>
    </cfRule>
    <cfRule type="expression" dxfId="2470" priority="4" stopIfTrue="1">
      <formula>AND($AE8=0,$E8=0)</formula>
    </cfRule>
    <cfRule type="expression" dxfId="2469" priority="5" stopIfTrue="1">
      <formula>$AE8=0</formula>
    </cfRule>
  </conditionalFormatting>
  <conditionalFormatting sqref="G8:M38">
    <cfRule type="expression" dxfId="2468" priority="6" stopIfTrue="1">
      <formula>$AE8=$AC$6</formula>
    </cfRule>
    <cfRule type="expression" dxfId="2467" priority="7" stopIfTrue="1">
      <formula>OR($AE8=0,$E8=$E$129)</formula>
    </cfRule>
  </conditionalFormatting>
  <conditionalFormatting sqref="C8:D38">
    <cfRule type="expression" dxfId="2466" priority="2" stopIfTrue="1">
      <formula>$AE8=$AC$6</formula>
    </cfRule>
    <cfRule type="expression" dxfId="2465" priority="8" stopIfTrue="1">
      <formula>AND($L$199=0,OR($W8&lt;$B$129,$W8&gt;$B$130))</formula>
    </cfRule>
    <cfRule type="expression" dxfId="2464" priority="9" stopIfTrue="1">
      <formula>AND($AE8=0,$E8=0)</formula>
    </cfRule>
    <cfRule type="expression" dxfId="2463" priority="10" stopIfTrue="1">
      <formula>$AE8=0</formula>
    </cfRule>
  </conditionalFormatting>
  <conditionalFormatting sqref="N64">
    <cfRule type="expression" dxfId="2462"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CONCATENATE(IF(IMPOSTAZIONI!F220="","..",IMPOSTAZIONI!F220),"-",IF(IMPOSTAZIONI!F221="","..",IMPOSTAZIONI!F221),"-",IF(IMPOSTAZIONI!F222="","..",IMPOSTAZIONI!F222))</f>
        <v>..-..-..</v>
      </c>
      <c r="H1" s="167" t="str">
        <f>CONCATENATE(IF(IMPOSTAZIONI!K220="","..",IMPOSTAZIONI!K220),"-",IF(IMPOSTAZIONI!K221="","..",IMPOSTAZIONI!K221),"-",IF(IMPOSTAZIONI!K222="","..",IMPOSTAZIONI!K222))</f>
        <v>..-..-..</v>
      </c>
      <c r="I1" s="167" t="str">
        <f>CONCATENATE(IF(IMPOSTAZIONI!P220="","..",IMPOSTAZIONI!P220),"-",IF(IMPOSTAZIONI!P221="","..",IMPOSTAZIONI!P221),"-",IF(IMPOSTAZIONI!P222="","..",IMPOSTAZIONI!P222))</f>
        <v>..-..-..</v>
      </c>
      <c r="J1" s="167" t="str">
        <f>CONCATENATE(IF(IMPOSTAZIONI!U220="","..",IMPOSTAZIONI!U220),"-",IF(IMPOSTAZIONI!U221="","..",IMPOSTAZIONI!U221),"-",IF(IMPOSTAZIONI!U222="","..",IMPOSTAZIONI!U222))</f>
        <v>..-..-..</v>
      </c>
      <c r="K1" s="167" t="str">
        <f>CONCATENATE(IF(IMPOSTAZIONI!Z220="","..",IMPOSTAZIONI!Z220),"-",IF(IMPOSTAZIONI!Z221="","..",IMPOSTAZIONI!Z221),"-",IF(IMPOSTAZIONI!Z222="","..",IMPOSTAZIONI!Z222))</f>
        <v>..-..-..</v>
      </c>
      <c r="L1" s="167" t="str">
        <f>CONCATENATE(IF(IMPOSTAZIONI!AE220="","..",IMPOSTAZIONI!AE220),"-",IF(IMPOSTAZIONI!AE221="","..",IMPOSTAZIONI!AE221),"-",IF(IMPOSTAZIONI!AE222="","..",IMPOSTAZIONI!AE222))</f>
        <v>..-..-..</v>
      </c>
      <c r="M1" s="167" t="str">
        <f>CONCATENATE(IF(IMPOSTAZIONI!AJ220="","..",IMPOSTAZIONI!AJ220),"-",IF(IMPOSTAZIONI!AJ221="","..",IMPOSTAZIONI!AJ221),"-",IF(IMPOSTAZIONI!AJ222="","..",IMPOSTAZIONI!AJ222))</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342</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IF($I$199=0,"",IMPOSTAZIONI!G220)</f>
        <v/>
      </c>
      <c r="H4" s="183" t="str">
        <f>IF($I$199=0,"",IMPOSTAZIONI!L220)</f>
        <v/>
      </c>
      <c r="I4" s="183" t="str">
        <f>IF($I$199=0,"",IMPOSTAZIONI!Q220)</f>
        <v/>
      </c>
      <c r="J4" s="183" t="str">
        <f>IF($I$199=0,"",IMPOSTAZIONI!V220)</f>
        <v/>
      </c>
      <c r="K4" s="183" t="str">
        <f>IF($I$199=0,"",IMPOSTAZIONI!AA220)</f>
        <v/>
      </c>
      <c r="L4" s="183" t="str">
        <f>IF($I$199=0,"",IMPOSTAZIONI!AF220)</f>
        <v/>
      </c>
      <c r="M4" s="183" t="str">
        <f>IF($I$199=0,"",IMPOSTAZIONI!AK220)</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IF($I$199=0,"",IMPOSTAZIONI!G221)</f>
        <v/>
      </c>
      <c r="H5" s="823" t="str">
        <f>IF($I$199=0,"",IMPOSTAZIONI!L221)</f>
        <v/>
      </c>
      <c r="I5" s="823" t="str">
        <f>IF($I$199=0,"",IMPOSTAZIONI!Q221)</f>
        <v/>
      </c>
      <c r="J5" s="823" t="str">
        <f>IF($I$199=0,"",IMPOSTAZIONI!V221)</f>
        <v/>
      </c>
      <c r="K5" s="823" t="str">
        <f>IF($I$199=0,"",IMPOSTAZIONI!AA221)</f>
        <v/>
      </c>
      <c r="L5" s="823" t="str">
        <f>IF($I$199=0,"",IMPOSTAZIONI!AF221)</f>
        <v/>
      </c>
      <c r="M5" s="823" t="str">
        <f>IF($I$199=0,"",IMPOSTAZIONI!AK221)</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IF($I$199=0,"",IMPOSTAZIONI!G222)</f>
        <v/>
      </c>
      <c r="H6" s="40" t="str">
        <f>IF($I$199=0,"",IMPOSTAZIONI!L222)</f>
        <v/>
      </c>
      <c r="I6" s="40" t="str">
        <f>IF($I$199=0,"",IMPOSTAZIONI!Q222)</f>
        <v/>
      </c>
      <c r="J6" s="40" t="str">
        <f>IF($I$199=0,"",IMPOSTAZIONI!V222)</f>
        <v/>
      </c>
      <c r="K6" s="40" t="str">
        <f>IF($I$199=0,"",IMPOSTAZIONI!AA222)</f>
        <v/>
      </c>
      <c r="L6" s="40" t="str">
        <f>IF($I$199=0,"",IMPOSTAZIONI!AF222)</f>
        <v/>
      </c>
      <c r="M6" s="40" t="str">
        <f>IF($I$199=0,"",IMPOSTAZIONI!AK222)</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IMPOSTAZIONI!AE273</f>
        <v>0</v>
      </c>
      <c r="F7" s="1999"/>
      <c r="G7" s="811">
        <f>IMPOSTAZIONI!$AL287</f>
        <v>0</v>
      </c>
      <c r="H7" s="811">
        <f>IMPOSTAZIONI!$AL288</f>
        <v>0</v>
      </c>
      <c r="I7" s="811">
        <f>IMPOSTAZIONI!$AL289</f>
        <v>0</v>
      </c>
      <c r="J7" s="811">
        <f>IMPOSTAZIONI!$AL290</f>
        <v>0</v>
      </c>
      <c r="K7" s="811">
        <f>IMPOSTAZIONI!$AL291</f>
        <v>0</v>
      </c>
      <c r="L7" s="811">
        <f>IMPOSTAZIONI!$AL292</f>
        <v>0</v>
      </c>
      <c r="M7" s="811">
        <f>IMPOSTAZIONI!$AL293</f>
        <v>0</v>
      </c>
      <c r="N7" s="1288"/>
      <c r="O7" s="57"/>
      <c r="P7" s="2044" t="s">
        <v>524</v>
      </c>
      <c r="Q7" s="2044"/>
      <c r="R7" s="2044"/>
      <c r="S7" s="2044"/>
      <c r="T7" s="2044"/>
      <c r="U7" s="2044"/>
      <c r="V7" s="2044"/>
      <c r="W7" s="285">
        <f>W8-1</f>
        <v>45596</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11</v>
      </c>
      <c r="E8" s="1994" t="str">
        <f t="shared" ref="E8:E37"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7" si="10">IF(AND($L$199=0,$W8&gt;$B$130),0,IF(G$123="X",0,ROUND(G8*P$6,2)))</f>
        <v>0</v>
      </c>
      <c r="Q8" s="487">
        <f t="shared" ref="Q8:Q37" si="11">IF(AND($L$199=0,$W8&gt;$B$130),0,IF(H$123="X",0,ROUND(H8*Q$6,2)))</f>
        <v>0</v>
      </c>
      <c r="R8" s="487">
        <f t="shared" ref="R8:R37" si="12">IF(AND($L$199=0,$W8&gt;$B$130),0,IF(I$123="X",0,ROUND(I8*R$6,2)))</f>
        <v>0</v>
      </c>
      <c r="S8" s="487">
        <f t="shared" ref="S8:S37" si="13">IF(AND($L$199=0,$W8&gt;$B$130),0,IF(J$123="X",0,ROUND(J8*S$6,2)))</f>
        <v>0</v>
      </c>
      <c r="T8" s="487">
        <f t="shared" ref="T8:T37" si="14">IF(AND($L$199=0,$W8&gt;$B$130),0,IF(K$123="X",0,ROUND(K8*T$6,2)))</f>
        <v>0</v>
      </c>
      <c r="U8" s="487">
        <f t="shared" ref="U8:U37" si="15">IF(AND($L$199=0,$W8&gt;$B$130),0,IF(L$123="X",0,ROUND(L8*U$6,2)))</f>
        <v>0</v>
      </c>
      <c r="V8" s="488">
        <f t="shared" ref="V8:V37" si="16">IF(AND($L$199=0,$W8&gt;$B$130),0,IF(M$123="X",0,ROUND(M8*V$6,2)))</f>
        <v>0</v>
      </c>
      <c r="W8" s="154">
        <f>DATE(C$6,D8,C8)</f>
        <v>45597</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7" si="18">SUMIF($G$120:$M$120,1,$X8:$AD8)-SUM(AG8:AJ8)</f>
        <v>0</v>
      </c>
      <c r="AG8" s="510">
        <f t="shared" ref="AG8:AG37" si="19">IF(AND($AF$6=1,$P$70&lt;&gt;0),$P$70/$P$65*SUMIF($G$120:$M$120,1,$X8:$AD8),0)</f>
        <v>0</v>
      </c>
      <c r="AH8" s="487">
        <f t="shared" ref="AH8:AH37" si="20">IF(AND($AF$6=1,$P$71&lt;&gt;0),$P$71/$P$65*SUMIF($G$120:$M$120,1,$X8:$AD8),0)</f>
        <v>0</v>
      </c>
      <c r="AI8" s="487">
        <f t="shared" ref="AI8:AI37" si="21">IF(AND($AF$6=1,$P$72&lt;&gt;0),$P$72/$P$65*SUMIF($G$120:$M$120,1,$X8:$AD8),0)</f>
        <v>0</v>
      </c>
      <c r="AJ8" s="511">
        <f t="shared" ref="AJ8:AJ37" si="22">IF(AND($AF$6=1,$P$73&lt;&gt;0),$P$73/$P$65*SUMIF($G$120:$M$120,1,$X8:$AD8),0)</f>
        <v>0</v>
      </c>
      <c r="AK8" s="1003">
        <f>IF(AND($L$199=0,OR($W8&lt;$B$129,$W8&gt;$B$130)),0,SUMIF($G$42:$M$42,$K$102,$G8:$M8))</f>
        <v>0</v>
      </c>
      <c r="AL8" s="509">
        <f>SUMIF($G$42:$M$42,$K$102,$X8:$AD8)</f>
        <v>0</v>
      </c>
      <c r="AM8" s="525">
        <f t="shared" ref="AM8:AM37" si="23">IF(G$42=$K$102,P8,0)</f>
        <v>0</v>
      </c>
      <c r="AN8" s="487">
        <f t="shared" ref="AN8:AN37" si="24">IF(H$42=$K$102,Q8,0)</f>
        <v>0</v>
      </c>
      <c r="AO8" s="487">
        <f t="shared" ref="AO8:AO37" si="25">IF(I$42=$K$102,R8,0)</f>
        <v>0</v>
      </c>
      <c r="AP8" s="487">
        <f t="shared" ref="AP8:AP37" si="26">IF(J$42=$K$102,S8,0)</f>
        <v>0</v>
      </c>
      <c r="AQ8" s="487">
        <f t="shared" ref="AQ8:AQ37" si="27">IF(K$42=$K$102,T8,0)</f>
        <v>0</v>
      </c>
      <c r="AR8" s="487">
        <f t="shared" ref="AR8:AR37" si="28">IF(L$42=$K$102,U8,0)</f>
        <v>0</v>
      </c>
      <c r="AS8" s="511">
        <f t="shared" ref="AS8:AS37" si="29">IF(M$42=$K$102,V8,0)</f>
        <v>0</v>
      </c>
      <c r="AT8" s="2"/>
      <c r="AU8" s="509">
        <f t="shared" ref="AU8:AU37" si="30">IF(AF8&lt;&gt;0,AF8*$R$66/100,0)</f>
        <v>0</v>
      </c>
      <c r="AV8" s="510">
        <f t="shared" ref="AV8:AV37" si="31">IF(AG8&lt;&gt;0,AG8*$R$70/100,0)</f>
        <v>0</v>
      </c>
      <c r="AW8" s="487">
        <f t="shared" ref="AW8:AW37" si="32">IF(AH8&lt;&gt;0,AH8*$R$71/100,0)</f>
        <v>0</v>
      </c>
      <c r="AX8" s="487">
        <f t="shared" ref="AX8:AX37" si="33">IF(AI8&lt;&gt;0,AI8*$R$72/100,0)</f>
        <v>0</v>
      </c>
      <c r="AY8" s="511">
        <f t="shared" ref="AY8:AY37" si="34">IF(AJ8&lt;&gt;0,AJ8*$R$73/100,0)</f>
        <v>0</v>
      </c>
      <c r="AZ8" s="1123" t="str">
        <f>IF(AND(W8&gt;=BA$3,W8&lt;=BB$3),"X","")</f>
        <v/>
      </c>
      <c r="BA8" s="1045">
        <f>IF(G$123=$E$124,$P$66/$P$65*X8,X8)</f>
        <v>0</v>
      </c>
      <c r="BB8" s="1046">
        <f t="shared" ref="BB8:BG37"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11</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45598</v>
      </c>
      <c r="X9" s="489">
        <f t="shared" ref="X9:X37" si="37">IF(AND($L$199=0,OR($W9&lt;$B$129,$W9&gt;$B$130)),0,IF(G$130=$N$130,G9+P9,G9-P9))</f>
        <v>0</v>
      </c>
      <c r="Y9" s="490">
        <f t="shared" ref="Y9:Y37" si="38">IF(AND($L$199=0,OR($W9&lt;$B$129,$W9&gt;$B$130)),0,IF(H$130=$N$130,H9+Q9,H9-Q9))</f>
        <v>0</v>
      </c>
      <c r="Z9" s="490">
        <f t="shared" ref="Z9:Z37" si="39">IF(AND($L$199=0,OR($W9&lt;$B$129,$W9&gt;$B$130)),0,IF(I$130=$N$130,I9+R9,I9-R9))</f>
        <v>0</v>
      </c>
      <c r="AA9" s="490">
        <f t="shared" ref="AA9:AA37" si="40">IF(AND($L$199=0,OR($W9&lt;$B$129,$W9&gt;$B$130)),0,IF(J$130=$N$130,J9+S9,J9-S9))</f>
        <v>0</v>
      </c>
      <c r="AB9" s="490">
        <f t="shared" ref="AB9:AB37" si="41">IF(AND($L$199=0,OR($W9&lt;$B$129,$W9&gt;$B$130)),0,IF(K$130=$N$130,K9+T9,K9-T9))</f>
        <v>0</v>
      </c>
      <c r="AC9" s="490">
        <f t="shared" ref="AC9:AC37" si="42">IF(AND($L$199=0,OR($W9&lt;$B$129,$W9&gt;$B$130)),0,IF(L$130=$N$130,L9+U9,L9-U9))</f>
        <v>0</v>
      </c>
      <c r="AD9" s="491">
        <f t="shared" ref="AD9:AD37"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7" si="44">IF(AND($L$199=0,OR($W9&lt;$B$129,$W9&gt;$B$130)),0,SUMIF($G$42:$M$42,$K$102,$G9:$M9))</f>
        <v>0</v>
      </c>
      <c r="AL9" s="512">
        <f t="shared" ref="AL9:AL37"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7" si="46">IF(AND(W9&gt;=BA$3,W9&lt;=BB$3),"X","")</f>
        <v/>
      </c>
      <c r="BA9" s="1048">
        <f t="shared" ref="BA9:BA37"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11</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7" si="49">W9+1</f>
        <v>45599</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11</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45600</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11</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45601</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11</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45602</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11</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45603</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11</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45604</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11</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45605</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11</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45606</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11</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45607</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11</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45608</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11</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45609</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11</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45610</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11</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45611</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11</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45612</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11</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45613</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11</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45614</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11</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45615</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11</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45616</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11</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45617</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11</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45618</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11</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45619</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11</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45620</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11</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45621</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11</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45622</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11</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45623</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11</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45624</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11</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45625</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11</v>
      </c>
      <c r="E37" s="1959" t="str">
        <f t="shared" si="9"/>
        <v xml:space="preserve">disattivato  </v>
      </c>
      <c r="F37" s="1960"/>
      <c r="G37" s="1309"/>
      <c r="H37" s="1309"/>
      <c r="I37" s="1309"/>
      <c r="J37" s="1309"/>
      <c r="K37" s="1309"/>
      <c r="L37" s="1309"/>
      <c r="M37" s="1309"/>
      <c r="N37" s="1310"/>
      <c r="O37" s="6"/>
      <c r="P37" s="492">
        <f t="shared" si="10"/>
        <v>0</v>
      </c>
      <c r="Q37" s="493">
        <f t="shared" si="11"/>
        <v>0</v>
      </c>
      <c r="R37" s="493">
        <f t="shared" si="12"/>
        <v>0</v>
      </c>
      <c r="S37" s="493">
        <f t="shared" si="13"/>
        <v>0</v>
      </c>
      <c r="T37" s="493">
        <f t="shared" si="14"/>
        <v>0</v>
      </c>
      <c r="U37" s="493">
        <f t="shared" si="15"/>
        <v>0</v>
      </c>
      <c r="V37" s="494">
        <f t="shared" si="16"/>
        <v>0</v>
      </c>
      <c r="W37" s="154">
        <f t="shared" si="49"/>
        <v>45626</v>
      </c>
      <c r="X37" s="492">
        <f t="shared" si="37"/>
        <v>0</v>
      </c>
      <c r="Y37" s="493">
        <f t="shared" si="38"/>
        <v>0</v>
      </c>
      <c r="Z37" s="493">
        <f t="shared" si="39"/>
        <v>0</v>
      </c>
      <c r="AA37" s="493">
        <f t="shared" si="40"/>
        <v>0</v>
      </c>
      <c r="AB37" s="493">
        <f t="shared" si="41"/>
        <v>0</v>
      </c>
      <c r="AC37" s="493">
        <f t="shared" si="42"/>
        <v>0</v>
      </c>
      <c r="AD37" s="494">
        <f t="shared" si="43"/>
        <v>0</v>
      </c>
      <c r="AE37" s="414">
        <f>VLOOKUP(W37,CASSA!$B$180:$C$545,2,FALSE)</f>
        <v>0</v>
      </c>
      <c r="AF37" s="515">
        <f t="shared" si="18"/>
        <v>0</v>
      </c>
      <c r="AG37" s="516">
        <f t="shared" si="19"/>
        <v>0</v>
      </c>
      <c r="AH37" s="493">
        <f t="shared" si="20"/>
        <v>0</v>
      </c>
      <c r="AI37" s="493">
        <f t="shared" si="21"/>
        <v>0</v>
      </c>
      <c r="AJ37" s="517">
        <f t="shared" si="22"/>
        <v>0</v>
      </c>
      <c r="AK37" s="1003">
        <f t="shared" si="44"/>
        <v>0</v>
      </c>
      <c r="AL37" s="515">
        <f t="shared" si="45"/>
        <v>0</v>
      </c>
      <c r="AM37" s="527">
        <f t="shared" si="23"/>
        <v>0</v>
      </c>
      <c r="AN37" s="493">
        <f t="shared" si="24"/>
        <v>0</v>
      </c>
      <c r="AO37" s="493">
        <f t="shared" si="25"/>
        <v>0</v>
      </c>
      <c r="AP37" s="493">
        <f t="shared" si="26"/>
        <v>0</v>
      </c>
      <c r="AQ37" s="493">
        <f t="shared" si="27"/>
        <v>0</v>
      </c>
      <c r="AR37" s="493">
        <f t="shared" si="28"/>
        <v>0</v>
      </c>
      <c r="AS37" s="517">
        <f t="shared" si="29"/>
        <v>0</v>
      </c>
      <c r="AT37" s="2"/>
      <c r="AU37" s="515">
        <f t="shared" si="30"/>
        <v>0</v>
      </c>
      <c r="AV37" s="516">
        <f t="shared" si="31"/>
        <v>0</v>
      </c>
      <c r="AW37" s="493">
        <f t="shared" si="32"/>
        <v>0</v>
      </c>
      <c r="AX37" s="493">
        <f t="shared" si="33"/>
        <v>0</v>
      </c>
      <c r="AY37" s="517">
        <f t="shared" si="34"/>
        <v>0</v>
      </c>
      <c r="AZ37" s="1123" t="str">
        <f t="shared" si="46"/>
        <v/>
      </c>
      <c r="BA37" s="1050">
        <f t="shared" si="47"/>
        <v>0</v>
      </c>
      <c r="BB37" s="1051">
        <f t="shared" si="35"/>
        <v>0</v>
      </c>
      <c r="BC37" s="1051">
        <f t="shared" si="35"/>
        <v>0</v>
      </c>
      <c r="BD37" s="1051">
        <f t="shared" si="35"/>
        <v>0</v>
      </c>
      <c r="BE37" s="1051">
        <f t="shared" si="35"/>
        <v>0</v>
      </c>
      <c r="BF37" s="1051">
        <f t="shared" si="35"/>
        <v>0</v>
      </c>
      <c r="BG37" s="1052">
        <f t="shared" si="35"/>
        <v>0</v>
      </c>
      <c r="BH37" s="2"/>
      <c r="BI37" s="1314"/>
      <c r="BJ37" s="2"/>
    </row>
    <row r="38" spans="1:62" ht="20.25" customHeight="1" x14ac:dyDescent="0.2">
      <c r="A38" s="2"/>
      <c r="B38" s="18">
        <v>31</v>
      </c>
      <c r="C38" s="801" t="str">
        <f t="shared" si="48"/>
        <v>--</v>
      </c>
      <c r="D38" s="802" t="str">
        <f t="shared" si="36"/>
        <v>--</v>
      </c>
      <c r="E38" s="2097"/>
      <c r="F38" s="2098"/>
      <c r="G38" s="1289"/>
      <c r="H38" s="1289"/>
      <c r="I38" s="1289"/>
      <c r="J38" s="1289"/>
      <c r="K38" s="1289"/>
      <c r="L38" s="1289"/>
      <c r="M38" s="1289"/>
      <c r="N38" s="1290"/>
      <c r="O38" s="6"/>
      <c r="P38" s="495"/>
      <c r="Q38" s="495"/>
      <c r="R38" s="495"/>
      <c r="S38" s="495"/>
      <c r="T38" s="495"/>
      <c r="U38" s="495"/>
      <c r="V38" s="495"/>
      <c r="W38" s="496"/>
      <c r="X38" s="495"/>
      <c r="Y38" s="495"/>
      <c r="Z38" s="495"/>
      <c r="AA38" s="495"/>
      <c r="AB38" s="495"/>
      <c r="AC38" s="495"/>
      <c r="AD38" s="495"/>
      <c r="AE38" s="414"/>
      <c r="AF38" s="2"/>
      <c r="AG38" s="2"/>
      <c r="AH38" s="2"/>
      <c r="AI38" s="2"/>
      <c r="AJ38" s="2"/>
      <c r="AK38" s="2"/>
      <c r="AL38" s="2"/>
      <c r="AM38" s="2"/>
      <c r="AN38" s="2"/>
      <c r="AO38" s="2"/>
      <c r="AP38" s="2"/>
      <c r="AQ38" s="2"/>
      <c r="AR38" s="2"/>
      <c r="AS38" s="2"/>
      <c r="AT38" s="2"/>
      <c r="AU38" s="2"/>
      <c r="AV38" s="2"/>
      <c r="AW38" s="2"/>
      <c r="AX38" s="2"/>
      <c r="AY38" s="2"/>
      <c r="AZ38" s="1123"/>
      <c r="BA38" s="2"/>
      <c r="BB38" s="2"/>
      <c r="BC38" s="2"/>
      <c r="BD38" s="2"/>
      <c r="BE38" s="2"/>
      <c r="BF38" s="2"/>
      <c r="BG38" s="2"/>
      <c r="BH38" s="2"/>
      <c r="BI38" s="1287"/>
      <c r="BJ38" s="2"/>
    </row>
    <row r="39" spans="1:62" ht="20.25" customHeight="1" x14ac:dyDescent="0.2">
      <c r="A39" s="2"/>
      <c r="B39" s="7"/>
      <c r="C39" s="1992" t="s">
        <v>244</v>
      </c>
      <c r="D39" s="1993"/>
      <c r="E39" s="1996">
        <f>IMPOSTAZIONI!AH273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343</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11</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01/11 - 30/11</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IMPOSTAZIONI!AL304</f>
        <v>0</v>
      </c>
      <c r="I90" s="784">
        <f>IMPOSTAZIONI!AL305</f>
        <v>0</v>
      </c>
      <c r="J90" s="785">
        <f>IMPOSTAZIONI!AL306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IMPOSTAZIONI!AQ304</f>
        <v>0</v>
      </c>
      <c r="I91" s="788">
        <f>IMPOSTAZIONI!AQ305</f>
        <v>0</v>
      </c>
      <c r="J91" s="789">
        <f>IMPOSTAZIONI!AQ306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IF(IMPOSTAZIONI!Y181=0,1,0)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IF(IMPOSTAZIONI!Y182=0,1,0)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IF(IMPOSTAZIONI!Y183=0,1,0)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33</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IMPOSTAZIONI!F221</f>
        <v/>
      </c>
      <c r="H124" s="803" t="str">
        <f>IMPOSTAZIONI!K221</f>
        <v/>
      </c>
      <c r="I124" s="803" t="str">
        <f>IMPOSTAZIONI!P221</f>
        <v/>
      </c>
      <c r="J124" s="803" t="str">
        <f>IMPOSTAZIONI!U221</f>
        <v/>
      </c>
      <c r="K124" s="803" t="str">
        <f>IMPOSTAZIONI!Z221</f>
        <v/>
      </c>
      <c r="L124" s="803" t="str">
        <f>IMPOSTAZIONI!AE221</f>
        <v/>
      </c>
      <c r="M124" s="803" t="str">
        <f>IMPOSTAZIONI!AJ221</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IMPOSTAZIONI!J221</f>
        <v>0</v>
      </c>
      <c r="H130" s="803">
        <f>IMPOSTAZIONI!O221</f>
        <v>0</v>
      </c>
      <c r="I130" s="803">
        <f>IMPOSTAZIONI!T221</f>
        <v>0</v>
      </c>
      <c r="J130" s="803">
        <f>IMPOSTAZIONI!Y221</f>
        <v>0</v>
      </c>
      <c r="K130" s="803">
        <f>IMPOSTAZIONI!AD221</f>
        <v>0</v>
      </c>
      <c r="L130" s="803">
        <f>IMPOSTAZIONI!AI221</f>
        <v>0</v>
      </c>
      <c r="M130" s="803">
        <f>IMPOSTAZIONI!AN221</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01/11 - 30/11</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01/01 - 30/11</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33</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JI4XSz2SVrnRYKFuvJFjIPgDvJ2PRkw/1QJMB7MZMKXNckNXijqM7wdWzMXS5Ha8rRwNpI613HIzUWWzXzqJXg==" saltValue="XZVSbiJ49UrGnJg0+ktarA==" spinCount="100000" sheet="1" objects="1" scenarios="1" selectLockedCells="1"/>
  <mergeCells count="133">
    <mergeCell ref="E15:F15"/>
    <mergeCell ref="E16:F16"/>
    <mergeCell ref="E17:F17"/>
    <mergeCell ref="E22:F22"/>
    <mergeCell ref="C43:D43"/>
    <mergeCell ref="H53:I53"/>
    <mergeCell ref="M50:N50"/>
    <mergeCell ref="M51:N51"/>
    <mergeCell ref="M52:N52"/>
    <mergeCell ref="M53:N53"/>
    <mergeCell ref="H50:K50"/>
    <mergeCell ref="J51:K52"/>
    <mergeCell ref="C46:D46"/>
    <mergeCell ref="C47:D47"/>
    <mergeCell ref="C48:D48"/>
    <mergeCell ref="C45:F45"/>
    <mergeCell ref="C44:F44"/>
    <mergeCell ref="E48:F48"/>
    <mergeCell ref="E46:F46"/>
    <mergeCell ref="E47:F47"/>
    <mergeCell ref="E43:F43"/>
    <mergeCell ref="AU7:AY7"/>
    <mergeCell ref="AM6:AS6"/>
    <mergeCell ref="C7:D7"/>
    <mergeCell ref="E7:F7"/>
    <mergeCell ref="C6:D6"/>
    <mergeCell ref="C4:D5"/>
    <mergeCell ref="AF7:AJ7"/>
    <mergeCell ref="E10:F10"/>
    <mergeCell ref="P7:V7"/>
    <mergeCell ref="E8:F8"/>
    <mergeCell ref="E4:F5"/>
    <mergeCell ref="J2:N2"/>
    <mergeCell ref="C62:D62"/>
    <mergeCell ref="C59:E59"/>
    <mergeCell ref="C56:D56"/>
    <mergeCell ref="C53:F53"/>
    <mergeCell ref="E29:F29"/>
    <mergeCell ref="E26:F26"/>
    <mergeCell ref="E24:F24"/>
    <mergeCell ref="E30:F30"/>
    <mergeCell ref="E31:F31"/>
    <mergeCell ref="E36:F36"/>
    <mergeCell ref="E27:F27"/>
    <mergeCell ref="E25:F25"/>
    <mergeCell ref="N5:N6"/>
    <mergeCell ref="C2:I2"/>
    <mergeCell ref="E19:F19"/>
    <mergeCell ref="E28:F28"/>
    <mergeCell ref="E20:F20"/>
    <mergeCell ref="E6:F6"/>
    <mergeCell ref="E18:F18"/>
    <mergeCell ref="E9:F9"/>
    <mergeCell ref="E11:F11"/>
    <mergeCell ref="C3:D3"/>
    <mergeCell ref="E3:H3"/>
    <mergeCell ref="C184:D184"/>
    <mergeCell ref="E184:F184"/>
    <mergeCell ref="C182:D182"/>
    <mergeCell ref="E182:F182"/>
    <mergeCell ref="C183:D183"/>
    <mergeCell ref="E183:F183"/>
    <mergeCell ref="N133:O133"/>
    <mergeCell ref="C174:J174"/>
    <mergeCell ref="C164:D165"/>
    <mergeCell ref="E164:E165"/>
    <mergeCell ref="C173:D173"/>
    <mergeCell ref="C163:D163"/>
    <mergeCell ref="C137:D137"/>
    <mergeCell ref="C151:D152"/>
    <mergeCell ref="E151:E152"/>
    <mergeCell ref="C138:D139"/>
    <mergeCell ref="E138:E139"/>
    <mergeCell ref="C149:F149"/>
    <mergeCell ref="C150:D150"/>
    <mergeCell ref="C162:H162"/>
    <mergeCell ref="N135:O135"/>
    <mergeCell ref="B129:D129"/>
    <mergeCell ref="K174:M174"/>
    <mergeCell ref="C160:D160"/>
    <mergeCell ref="E160:F160"/>
    <mergeCell ref="B130:D130"/>
    <mergeCell ref="E147:F147"/>
    <mergeCell ref="C134:D134"/>
    <mergeCell ref="E134:F134"/>
    <mergeCell ref="C136:F136"/>
    <mergeCell ref="C135:F135"/>
    <mergeCell ref="C147:D147"/>
    <mergeCell ref="E173:F173"/>
    <mergeCell ref="G119:M119"/>
    <mergeCell ref="C71:F71"/>
    <mergeCell ref="C70:F70"/>
    <mergeCell ref="N77:O77"/>
    <mergeCell ref="N78:O78"/>
    <mergeCell ref="C73:F73"/>
    <mergeCell ref="C72:F72"/>
    <mergeCell ref="C69:F69"/>
    <mergeCell ref="J53:K53"/>
    <mergeCell ref="J54:K54"/>
    <mergeCell ref="J55:K55"/>
    <mergeCell ref="J56:K56"/>
    <mergeCell ref="C65:D65"/>
    <mergeCell ref="C64:F64"/>
    <mergeCell ref="E62:F62"/>
    <mergeCell ref="C63:F63"/>
    <mergeCell ref="C54:F54"/>
    <mergeCell ref="C60:N60"/>
    <mergeCell ref="M56:N56"/>
    <mergeCell ref="E65:F65"/>
    <mergeCell ref="L3:N3"/>
    <mergeCell ref="C67:F67"/>
    <mergeCell ref="E38:F38"/>
    <mergeCell ref="E32:F32"/>
    <mergeCell ref="E35:F35"/>
    <mergeCell ref="E34:F34"/>
    <mergeCell ref="E33:F33"/>
    <mergeCell ref="C50:F50"/>
    <mergeCell ref="C51:F51"/>
    <mergeCell ref="C52:F52"/>
    <mergeCell ref="E56:F56"/>
    <mergeCell ref="C55:F55"/>
    <mergeCell ref="C57:F57"/>
    <mergeCell ref="C58:F58"/>
    <mergeCell ref="C39:D39"/>
    <mergeCell ref="C66:F66"/>
    <mergeCell ref="E37:F37"/>
    <mergeCell ref="I3:K3"/>
    <mergeCell ref="E21:F21"/>
    <mergeCell ref="E14:F14"/>
    <mergeCell ref="E12:F12"/>
    <mergeCell ref="E13:F13"/>
    <mergeCell ref="E23:F23"/>
    <mergeCell ref="E39:F39"/>
  </mergeCells>
  <phoneticPr fontId="24" type="noConversion"/>
  <conditionalFormatting sqref="C57 G57">
    <cfRule type="expression" dxfId="2461" priority="235" stopIfTrue="1">
      <formula>C58=0</formula>
    </cfRule>
  </conditionalFormatting>
  <conditionalFormatting sqref="O182:O184 O147 O160 O173">
    <cfRule type="expression" dxfId="2460" priority="354" stopIfTrue="1">
      <formula>$N$44=""</formula>
    </cfRule>
    <cfRule type="expression" dxfId="2459" priority="355" stopIfTrue="1">
      <formula>$N$44=0</formula>
    </cfRule>
  </conditionalFormatting>
  <conditionalFormatting sqref="G182:M184">
    <cfRule type="expression" dxfId="2458" priority="356" stopIfTrue="1">
      <formula>ISERROR(G182)</formula>
    </cfRule>
    <cfRule type="cellIs" dxfId="2457" priority="357" stopIfTrue="1" operator="equal">
      <formula>0</formula>
    </cfRule>
  </conditionalFormatting>
  <conditionalFormatting sqref="G58 C58 AE8:AE38 G42:M42 E6:F6">
    <cfRule type="cellIs" dxfId="2456" priority="360" stopIfTrue="1" operator="equal">
      <formula>0</formula>
    </cfRule>
  </conditionalFormatting>
  <conditionalFormatting sqref="N63">
    <cfRule type="expression" dxfId="2455" priority="365" stopIfTrue="1">
      <formula>$N$44=""</formula>
    </cfRule>
  </conditionalFormatting>
  <conditionalFormatting sqref="E47:F48">
    <cfRule type="expression" dxfId="2454" priority="369" stopIfTrue="1">
      <formula>ISERROR(E47)</formula>
    </cfRule>
  </conditionalFormatting>
  <conditionalFormatting sqref="G135:M136 E164:E165 E138:E139 E147:F147 E151:E152 E160:F160">
    <cfRule type="expression" dxfId="2453" priority="370" stopIfTrue="1">
      <formula>ISERROR(E135)</formula>
    </cfRule>
  </conditionalFormatting>
  <conditionalFormatting sqref="G43:M43 G134:M134">
    <cfRule type="cellIs" dxfId="2452" priority="371" stopIfTrue="1" operator="equal">
      <formula>0</formula>
    </cfRule>
  </conditionalFormatting>
  <conditionalFormatting sqref="G123:M123">
    <cfRule type="cellIs" dxfId="2451" priority="376" stopIfTrue="1" operator="equal">
      <formula>0</formula>
    </cfRule>
  </conditionalFormatting>
  <conditionalFormatting sqref="X8:AD38 P8:V37 AF8:AJ37 AU8:AY37 AL8:AS37">
    <cfRule type="cellIs" dxfId="2450" priority="377" stopIfTrue="1" operator="equal">
      <formula>0</formula>
    </cfRule>
  </conditionalFormatting>
  <conditionalFormatting sqref="G68:M68 G74:M74 H107:H116">
    <cfRule type="cellIs" dxfId="2449" priority="380" stopIfTrue="1" operator="equal">
      <formula>"OK"</formula>
    </cfRule>
  </conditionalFormatting>
  <conditionalFormatting sqref="I107:I116">
    <cfRule type="cellIs" dxfId="2448" priority="381" stopIfTrue="1" operator="greaterThan">
      <formula>0</formula>
    </cfRule>
  </conditionalFormatting>
  <conditionalFormatting sqref="G125:M126">
    <cfRule type="cellIs" dxfId="2447" priority="384" stopIfTrue="1" operator="equal">
      <formula>$E$125</formula>
    </cfRule>
  </conditionalFormatting>
  <conditionalFormatting sqref="C162:H162">
    <cfRule type="expression" dxfId="2446" priority="389" stopIfTrue="1">
      <formula>ISERROR($C$162)</formula>
    </cfRule>
  </conditionalFormatting>
  <conditionalFormatting sqref="E46:F46">
    <cfRule type="expression" dxfId="2445" priority="393" stopIfTrue="1">
      <formula>ISERROR($E$46)</formula>
    </cfRule>
  </conditionalFormatting>
  <conditionalFormatting sqref="C60">
    <cfRule type="expression" dxfId="2444" priority="427" stopIfTrue="1">
      <formula>SUM($G$118:$M$118)=0</formula>
    </cfRule>
  </conditionalFormatting>
  <conditionalFormatting sqref="G120:M120">
    <cfRule type="cellIs" dxfId="2443" priority="233" operator="equal">
      <formula>0</formula>
    </cfRule>
  </conditionalFormatting>
  <conditionalFormatting sqref="N65:N67 C66:F67">
    <cfRule type="expression" dxfId="2442" priority="231" stopIfTrue="1">
      <formula>SUM($G$120:$M$120)=0</formula>
    </cfRule>
  </conditionalFormatting>
  <conditionalFormatting sqref="G65:M65">
    <cfRule type="expression" dxfId="2441" priority="230">
      <formula>$D$120=0</formula>
    </cfRule>
    <cfRule type="cellIs" dxfId="2440" priority="232" operator="equal">
      <formula>0</formula>
    </cfRule>
  </conditionalFormatting>
  <conditionalFormatting sqref="G62:M62">
    <cfRule type="expression" dxfId="2439" priority="2505" stopIfTrue="1">
      <formula>AND(G$123="X",G$62&lt;&gt;"")</formula>
    </cfRule>
  </conditionalFormatting>
  <conditionalFormatting sqref="G66:M66">
    <cfRule type="expression" dxfId="2438" priority="2532">
      <formula>AND(G$66&lt;&gt;0,G$68=$O$120)</formula>
    </cfRule>
    <cfRule type="expression" dxfId="2437" priority="2533">
      <formula>$D$120=0</formula>
    </cfRule>
  </conditionalFormatting>
  <conditionalFormatting sqref="G67:M67">
    <cfRule type="expression" dxfId="2436" priority="2534">
      <formula>AND(G$67&lt;&gt;0,G$68=$O$120)</formula>
    </cfRule>
    <cfRule type="expression" dxfId="2435" priority="2535">
      <formula>$D$120=0</formula>
    </cfRule>
  </conditionalFormatting>
  <conditionalFormatting sqref="G73:M73">
    <cfRule type="expression" dxfId="2434" priority="2536">
      <formula>AND(G$73&lt;&gt;0,G$74=$O$120)</formula>
    </cfRule>
    <cfRule type="expression" dxfId="2433" priority="2537">
      <formula>$D$120=0</formula>
    </cfRule>
  </conditionalFormatting>
  <conditionalFormatting sqref="G70:M70">
    <cfRule type="expression" dxfId="2432" priority="2538">
      <formula>AND(G$70&lt;&gt;0,G$74=$O$120)</formula>
    </cfRule>
    <cfRule type="expression" dxfId="2431" priority="2539">
      <formula>$D$120=0</formula>
    </cfRule>
  </conditionalFormatting>
  <conditionalFormatting sqref="G71:M71">
    <cfRule type="expression" dxfId="2430" priority="2540">
      <formula>AND(G$71&lt;&gt;0,G$74=$O$120)</formula>
    </cfRule>
    <cfRule type="expression" dxfId="2429" priority="2541">
      <formula>$D$120=0</formula>
    </cfRule>
  </conditionalFormatting>
  <conditionalFormatting sqref="G72:M72">
    <cfRule type="expression" dxfId="2428" priority="2542">
      <formula>AND(G$72&lt;&gt;0,G$74=$O$120)</formula>
    </cfRule>
    <cfRule type="expression" dxfId="2427" priority="2543">
      <formula>$D$120=0</formula>
    </cfRule>
  </conditionalFormatting>
  <conditionalFormatting sqref="N70:N73">
    <cfRule type="expression" dxfId="2426" priority="2544" stopIfTrue="1">
      <formula>$D$120=0</formula>
    </cfRule>
    <cfRule type="expression" dxfId="2425" priority="2545" stopIfTrue="1">
      <formula>$B70=""</formula>
    </cfRule>
  </conditionalFormatting>
  <conditionalFormatting sqref="C95 P95">
    <cfRule type="expression" dxfId="2424" priority="2971" stopIfTrue="1">
      <formula>ISERROR($H$199)</formula>
    </cfRule>
  </conditionalFormatting>
  <conditionalFormatting sqref="C2:J2">
    <cfRule type="expression" dxfId="2423" priority="2972" stopIfTrue="1">
      <formula>$I$199=0</formula>
    </cfRule>
  </conditionalFormatting>
  <conditionalFormatting sqref="N136:O136">
    <cfRule type="expression" dxfId="2422" priority="3233" stopIfTrue="1">
      <formula>$N$5=#REF!</formula>
    </cfRule>
    <cfRule type="expression" dxfId="2421" priority="3234" stopIfTrue="1">
      <formula>$N$44=0</formula>
    </cfRule>
  </conditionalFormatting>
  <conditionalFormatting sqref="N5">
    <cfRule type="expression" dxfId="2420" priority="3247" stopIfTrue="1">
      <formula>#REF!=""</formula>
    </cfRule>
    <cfRule type="cellIs" dxfId="2419" priority="3248" stopIfTrue="1" operator="equal">
      <formula>0</formula>
    </cfRule>
    <cfRule type="expression" dxfId="2418" priority="3249" stopIfTrue="1">
      <formula>$N$5=#REF!</formula>
    </cfRule>
  </conditionalFormatting>
  <conditionalFormatting sqref="G44:M45">
    <cfRule type="cellIs" dxfId="2417" priority="192" operator="equal">
      <formula>0</formula>
    </cfRule>
  </conditionalFormatting>
  <conditionalFormatting sqref="E39:N39">
    <cfRule type="expression" dxfId="2416" priority="191">
      <formula>ISERROR($H$199)</formula>
    </cfRule>
  </conditionalFormatting>
  <conditionalFormatting sqref="E7:N7">
    <cfRule type="expression" dxfId="2415" priority="190">
      <formula>ISERROR($H$199)</formula>
    </cfRule>
  </conditionalFormatting>
  <conditionalFormatting sqref="G47:M47">
    <cfRule type="expression" dxfId="2414" priority="181" stopIfTrue="1">
      <formula>ISERROR(G47)</formula>
    </cfRule>
    <cfRule type="expression" dxfId="2413" priority="182" stopIfTrue="1">
      <formula>G$42=$K$102</formula>
    </cfRule>
    <cfRule type="expression" dxfId="2412" priority="183" stopIfTrue="1">
      <formula>AND(G$46&gt;0,OR(G$68=$E$120,G$68=$N$120))</formula>
    </cfRule>
    <cfRule type="cellIs" dxfId="2411" priority="184" operator="equal">
      <formula>0</formula>
    </cfRule>
  </conditionalFormatting>
  <conditionalFormatting sqref="G48:M48">
    <cfRule type="expression" dxfId="2410" priority="180" stopIfTrue="1">
      <formula>ISERROR(G48)</formula>
    </cfRule>
    <cfRule type="expression" dxfId="2409" priority="185" stopIfTrue="1">
      <formula>G$42=$K$102</formula>
    </cfRule>
    <cfRule type="expression" dxfId="2408" priority="186" stopIfTrue="1">
      <formula>AND(G$46&gt;0,OR(G$68=$E$120,G$68=$N$120,COUNTIF($C$70:$F$73,"ERROR")&gt;0,G$74=$E$120,G$74=$N$120))</formula>
    </cfRule>
    <cfRule type="cellIs" dxfId="2407" priority="187" operator="equal">
      <formula>0</formula>
    </cfRule>
  </conditionalFormatting>
  <conditionalFormatting sqref="G130:M130">
    <cfRule type="cellIs" dxfId="2406" priority="179" stopIfTrue="1" operator="equal">
      <formula>0</formula>
    </cfRule>
  </conditionalFormatting>
  <conditionalFormatting sqref="G4:M4">
    <cfRule type="cellIs" dxfId="2405" priority="178" operator="equal">
      <formula>0</formula>
    </cfRule>
  </conditionalFormatting>
  <conditionalFormatting sqref="N130">
    <cfRule type="cellIs" dxfId="2404" priority="177" stopIfTrue="1" operator="equal">
      <formula>0</formula>
    </cfRule>
  </conditionalFormatting>
  <conditionalFormatting sqref="G63">
    <cfRule type="expression" dxfId="2403" priority="174">
      <formula>ISERROR(G46)</formula>
    </cfRule>
    <cfRule type="cellIs" dxfId="2402" priority="176" operator="equal">
      <formula>0</formula>
    </cfRule>
  </conditionalFormatting>
  <conditionalFormatting sqref="G64">
    <cfRule type="expression" dxfId="2401" priority="173">
      <formula>ISERROR(G46)</formula>
    </cfRule>
    <cfRule type="cellIs" dxfId="2400" priority="175" operator="equal">
      <formula>0</formula>
    </cfRule>
  </conditionalFormatting>
  <conditionalFormatting sqref="H63:M63">
    <cfRule type="expression" dxfId="2399" priority="170">
      <formula>ISERROR(H46)</formula>
    </cfRule>
    <cfRule type="cellIs" dxfId="2398" priority="172" operator="equal">
      <formula>0</formula>
    </cfRule>
  </conditionalFormatting>
  <conditionalFormatting sqref="H64:M64">
    <cfRule type="expression" dxfId="2397" priority="169">
      <formula>ISERROR(H46)</formula>
    </cfRule>
    <cfRule type="cellIs" dxfId="2396" priority="171" operator="equal">
      <formula>0</formula>
    </cfRule>
  </conditionalFormatting>
  <conditionalFormatting sqref="C70:F73">
    <cfRule type="cellIs" dxfId="2395" priority="163" stopIfTrue="1" operator="equal">
      <formula>"ERROR"</formula>
    </cfRule>
    <cfRule type="cellIs" dxfId="2394" priority="164" stopIfTrue="1" operator="equal">
      <formula>0</formula>
    </cfRule>
    <cfRule type="expression" dxfId="2393" priority="165" stopIfTrue="1">
      <formula>SUM($G$120:$M$120)=0</formula>
    </cfRule>
  </conditionalFormatting>
  <conditionalFormatting sqref="G49">
    <cfRule type="cellIs" dxfId="2392" priority="162" operator="equal">
      <formula>$E$130</formula>
    </cfRule>
  </conditionalFormatting>
  <conditionalFormatting sqref="H49:M49">
    <cfRule type="cellIs" dxfId="2391" priority="161" operator="equal">
      <formula>$E$130</formula>
    </cfRule>
  </conditionalFormatting>
  <conditionalFormatting sqref="G90:G91">
    <cfRule type="expression" dxfId="2390" priority="159" stopIfTrue="1">
      <formula>SUM($H90:$J90)=0</formula>
    </cfRule>
  </conditionalFormatting>
  <conditionalFormatting sqref="N77:N78">
    <cfRule type="expression" dxfId="2389" priority="160" stopIfTrue="1">
      <formula>$M$77=0</formula>
    </cfRule>
  </conditionalFormatting>
  <conditionalFormatting sqref="H85:J87">
    <cfRule type="expression" dxfId="2388" priority="157">
      <formula>AND($E$103=3,$J$112=3)</formula>
    </cfRule>
    <cfRule type="cellIs" dxfId="2387" priority="158" operator="equal">
      <formula>0</formula>
    </cfRule>
  </conditionalFormatting>
  <conditionalFormatting sqref="H90:J91">
    <cfRule type="expression" dxfId="2386" priority="155">
      <formula>AND($E$103=3,$J$112=3)</formula>
    </cfRule>
    <cfRule type="cellIs" dxfId="2385" priority="156" operator="equal">
      <formula>0</formula>
    </cfRule>
  </conditionalFormatting>
  <conditionalFormatting sqref="K90:K91">
    <cfRule type="expression" dxfId="2384" priority="154">
      <formula>AND($E$103=3,$J$112=3)</formula>
    </cfRule>
  </conditionalFormatting>
  <conditionalFormatting sqref="M90:M91">
    <cfRule type="expression" dxfId="2383" priority="153">
      <formula>AND($E$103=3,$J$112=3)</formula>
    </cfRule>
  </conditionalFormatting>
  <conditionalFormatting sqref="M79:M89">
    <cfRule type="expression" dxfId="2382" priority="152">
      <formula>AND($E$103=3,$J$112=3)</formula>
    </cfRule>
  </conditionalFormatting>
  <conditionalFormatting sqref="M77:M78">
    <cfRule type="expression" dxfId="2381" priority="151">
      <formula>AND($E$103=3,$J$112=3)</formula>
    </cfRule>
  </conditionalFormatting>
  <conditionalFormatting sqref="L91">
    <cfRule type="expression" dxfId="2380" priority="150">
      <formula>AND($E$103=3,$J$112=3)</formula>
    </cfRule>
  </conditionalFormatting>
  <conditionalFormatting sqref="L77:L78">
    <cfRule type="expression" dxfId="2379" priority="149">
      <formula>AND($E$103=3,$J$112=3)</formula>
    </cfRule>
  </conditionalFormatting>
  <conditionalFormatting sqref="G76:G81">
    <cfRule type="expression" dxfId="2378" priority="148">
      <formula>AND($E$103=3,$J$112=3)</formula>
    </cfRule>
  </conditionalFormatting>
  <conditionalFormatting sqref="C38:D38">
    <cfRule type="expression" dxfId="2377" priority="5922" stopIfTrue="1">
      <formula>$AE38=$AC$6</formula>
    </cfRule>
    <cfRule type="expression" dxfId="2376" priority="5923" stopIfTrue="1">
      <formula>AND($L$199=0,OR($W38&lt;$B$129,$W38&gt;$B$130))</formula>
    </cfRule>
    <cfRule type="expression" dxfId="2375" priority="5924" stopIfTrue="1">
      <formula>AND($AE38=0,$E38=0)</formula>
    </cfRule>
  </conditionalFormatting>
  <conditionalFormatting sqref="G46:M46">
    <cfRule type="expression" dxfId="2374" priority="5925" stopIfTrue="1">
      <formula>G$42=$K$102</formula>
    </cfRule>
    <cfRule type="expression" dxfId="2373" priority="5926" stopIfTrue="1">
      <formula>$I$199=0</formula>
    </cfRule>
  </conditionalFormatting>
  <conditionalFormatting sqref="H53:H54">
    <cfRule type="expression" dxfId="2372" priority="145" stopIfTrue="1">
      <formula>ISERROR($G$123)</formula>
    </cfRule>
    <cfRule type="expression" dxfId="2371" priority="146" stopIfTrue="1">
      <formula>ISERROR(H53)</formula>
    </cfRule>
  </conditionalFormatting>
  <conditionalFormatting sqref="H51:I52">
    <cfRule type="expression" dxfId="2370" priority="147" stopIfTrue="1">
      <formula>ISERROR(H51)</formula>
    </cfRule>
  </conditionalFormatting>
  <conditionalFormatting sqref="I54">
    <cfRule type="expression" dxfId="2369" priority="143" stopIfTrue="1">
      <formula>ISERROR($G$123)</formula>
    </cfRule>
    <cfRule type="expression" dxfId="2368" priority="144" stopIfTrue="1">
      <formula>ISERROR(I54)</formula>
    </cfRule>
  </conditionalFormatting>
  <conditionalFormatting sqref="H56:I56">
    <cfRule type="expression" dxfId="2367" priority="142" stopIfTrue="1">
      <formula>ISERROR(H56)</formula>
    </cfRule>
  </conditionalFormatting>
  <conditionalFormatting sqref="H55">
    <cfRule type="expression" dxfId="2366" priority="140" stopIfTrue="1">
      <formula>ISERROR($G$123)</formula>
    </cfRule>
    <cfRule type="expression" dxfId="2365" priority="141" stopIfTrue="1">
      <formula>ISERROR(H55)</formula>
    </cfRule>
  </conditionalFormatting>
  <conditionalFormatting sqref="I55">
    <cfRule type="expression" dxfId="2364" priority="138" stopIfTrue="1">
      <formula>ISERROR($G$123)</formula>
    </cfRule>
    <cfRule type="expression" dxfId="2363" priority="139" stopIfTrue="1">
      <formula>ISERROR(I55)</formula>
    </cfRule>
  </conditionalFormatting>
  <conditionalFormatting sqref="G147">
    <cfRule type="expression" dxfId="2362" priority="135" stopIfTrue="1">
      <formula>$E147=0</formula>
    </cfRule>
    <cfRule type="expression" dxfId="2361" priority="136" stopIfTrue="1">
      <formula>ISERROR(G147)</formula>
    </cfRule>
    <cfRule type="expression" dxfId="2360" priority="137" stopIfTrue="1">
      <formula>$E147&lt;&gt;0</formula>
    </cfRule>
  </conditionalFormatting>
  <conditionalFormatting sqref="G145">
    <cfRule type="expression" dxfId="2359" priority="132" stopIfTrue="1">
      <formula>AND(G144=0,G145=1,G146=1)</formula>
    </cfRule>
    <cfRule type="expression" dxfId="2358" priority="133" stopIfTrue="1">
      <formula>AND(G144=1,G146=1)</formula>
    </cfRule>
    <cfRule type="expression" dxfId="2357" priority="134" stopIfTrue="1">
      <formula>AND(G145=1,G144=0)</formula>
    </cfRule>
  </conditionalFormatting>
  <conditionalFormatting sqref="G146">
    <cfRule type="expression" dxfId="2356" priority="130" stopIfTrue="1">
      <formula>AND(G146=1,G145=1)</formula>
    </cfRule>
    <cfRule type="expression" dxfId="2355" priority="131" stopIfTrue="1">
      <formula>AND(G146=1,G145=0)</formula>
    </cfRule>
  </conditionalFormatting>
  <conditionalFormatting sqref="G144">
    <cfRule type="expression" dxfId="2354" priority="127" stopIfTrue="1">
      <formula>AND(G143=0,G144=1,G145=1)</formula>
    </cfRule>
    <cfRule type="expression" dxfId="2353" priority="128" stopIfTrue="1">
      <formula>AND(G143=1,G145=1)</formula>
    </cfRule>
    <cfRule type="expression" dxfId="2352" priority="129" stopIfTrue="1">
      <formula>AND(G144=1,G143=0)</formula>
    </cfRule>
  </conditionalFormatting>
  <conditionalFormatting sqref="G138:G143">
    <cfRule type="expression" dxfId="2351" priority="124" stopIfTrue="1">
      <formula>AND(G137=0,G138=1,G139=1)</formula>
    </cfRule>
    <cfRule type="expression" dxfId="2350" priority="125" stopIfTrue="1">
      <formula>AND(G137=1,G139=1)</formula>
    </cfRule>
    <cfRule type="expression" dxfId="2349" priority="126" stopIfTrue="1">
      <formula>AND(G138=1,G137=0)</formula>
    </cfRule>
  </conditionalFormatting>
  <conditionalFormatting sqref="G137">
    <cfRule type="expression" dxfId="2348" priority="122" stopIfTrue="1">
      <formula>AND(G137=1,G138=1)</formula>
    </cfRule>
    <cfRule type="expression" dxfId="2347" priority="123" stopIfTrue="1">
      <formula>AND(G137=1,G136=0)</formula>
    </cfRule>
  </conditionalFormatting>
  <conditionalFormatting sqref="G160">
    <cfRule type="expression" dxfId="2346" priority="119" stopIfTrue="1">
      <formula>$E160=0</formula>
    </cfRule>
    <cfRule type="expression" dxfId="2345" priority="120" stopIfTrue="1">
      <formula>ISERROR(G160)</formula>
    </cfRule>
    <cfRule type="expression" dxfId="2344" priority="121" stopIfTrue="1">
      <formula>$E160&lt;&gt;0</formula>
    </cfRule>
  </conditionalFormatting>
  <conditionalFormatting sqref="G158">
    <cfRule type="expression" dxfId="2343" priority="116" stopIfTrue="1">
      <formula>AND(G157=0,G158=1,G159=1)</formula>
    </cfRule>
    <cfRule type="expression" dxfId="2342" priority="117" stopIfTrue="1">
      <formula>AND(G157=1,G159=1)</formula>
    </cfRule>
    <cfRule type="expression" dxfId="2341" priority="118" stopIfTrue="1">
      <formula>AND(G158=1,G157=0)</formula>
    </cfRule>
  </conditionalFormatting>
  <conditionalFormatting sqref="G159">
    <cfRule type="expression" dxfId="2340" priority="114" stopIfTrue="1">
      <formula>AND(G159=1,G158=1)</formula>
    </cfRule>
    <cfRule type="expression" dxfId="2339" priority="115" stopIfTrue="1">
      <formula>AND(G159=1,G158=0)</formula>
    </cfRule>
  </conditionalFormatting>
  <conditionalFormatting sqref="G157">
    <cfRule type="expression" dxfId="2338" priority="111" stopIfTrue="1">
      <formula>AND(G156=0,G157=1,G158=1)</formula>
    </cfRule>
    <cfRule type="expression" dxfId="2337" priority="112" stopIfTrue="1">
      <formula>AND(G156=1,G158=1)</formula>
    </cfRule>
    <cfRule type="expression" dxfId="2336" priority="113" stopIfTrue="1">
      <formula>AND(G157=1,G156=0)</formula>
    </cfRule>
  </conditionalFormatting>
  <conditionalFormatting sqref="G151:G156">
    <cfRule type="expression" dxfId="2335" priority="108" stopIfTrue="1">
      <formula>AND(G150=0,G151=1,G152=1)</formula>
    </cfRule>
    <cfRule type="expression" dxfId="2334" priority="109" stopIfTrue="1">
      <formula>AND(G150=1,G152=1)</formula>
    </cfRule>
    <cfRule type="expression" dxfId="2333" priority="110" stopIfTrue="1">
      <formula>AND(G151=1,G150=0)</formula>
    </cfRule>
  </conditionalFormatting>
  <conditionalFormatting sqref="G150">
    <cfRule type="expression" dxfId="2332" priority="106" stopIfTrue="1">
      <formula>AND(G150=1,G151=1)</formula>
    </cfRule>
    <cfRule type="expression" dxfId="2331" priority="107" stopIfTrue="1">
      <formula>AND(G150=1,G149=0)</formula>
    </cfRule>
  </conditionalFormatting>
  <conditionalFormatting sqref="H147:M147">
    <cfRule type="expression" dxfId="2330" priority="103" stopIfTrue="1">
      <formula>$E147=0</formula>
    </cfRule>
    <cfRule type="expression" dxfId="2329" priority="104" stopIfTrue="1">
      <formula>ISERROR(H147)</formula>
    </cfRule>
    <cfRule type="expression" dxfId="2328" priority="105" stopIfTrue="1">
      <formula>$E147&lt;&gt;0</formula>
    </cfRule>
  </conditionalFormatting>
  <conditionalFormatting sqref="H145:M145">
    <cfRule type="expression" dxfId="2327" priority="100" stopIfTrue="1">
      <formula>AND(H144=0,H145=1,H146=1)</formula>
    </cfRule>
    <cfRule type="expression" dxfId="2326" priority="101" stopIfTrue="1">
      <formula>AND(H144=1,H146=1)</formula>
    </cfRule>
    <cfRule type="expression" dxfId="2325" priority="102" stopIfTrue="1">
      <formula>AND(H145=1,H144=0)</formula>
    </cfRule>
  </conditionalFormatting>
  <conditionalFormatting sqref="H146:M146">
    <cfRule type="expression" dxfId="2324" priority="98" stopIfTrue="1">
      <formula>AND(H146=1,H145=1)</formula>
    </cfRule>
    <cfRule type="expression" dxfId="2323" priority="99" stopIfTrue="1">
      <formula>AND(H146=1,H145=0)</formula>
    </cfRule>
  </conditionalFormatting>
  <conditionalFormatting sqref="H144:M144">
    <cfRule type="expression" dxfId="2322" priority="95" stopIfTrue="1">
      <formula>AND(H143=0,H144=1,H145=1)</formula>
    </cfRule>
    <cfRule type="expression" dxfId="2321" priority="96" stopIfTrue="1">
      <formula>AND(H143=1,H145=1)</formula>
    </cfRule>
    <cfRule type="expression" dxfId="2320" priority="97" stopIfTrue="1">
      <formula>AND(H144=1,H143=0)</formula>
    </cfRule>
  </conditionalFormatting>
  <conditionalFormatting sqref="H138:M143">
    <cfRule type="expression" dxfId="2319" priority="92" stopIfTrue="1">
      <formula>AND(H137=0,H138=1,H139=1)</formula>
    </cfRule>
    <cfRule type="expression" dxfId="2318" priority="93" stopIfTrue="1">
      <formula>AND(H137=1,H139=1)</formula>
    </cfRule>
    <cfRule type="expression" dxfId="2317" priority="94" stopIfTrue="1">
      <formula>AND(H138=1,H137=0)</formula>
    </cfRule>
  </conditionalFormatting>
  <conditionalFormatting sqref="H137:M137">
    <cfRule type="expression" dxfId="2316" priority="90" stopIfTrue="1">
      <formula>AND(H137=1,H138=1)</formula>
    </cfRule>
    <cfRule type="expression" dxfId="2315" priority="91" stopIfTrue="1">
      <formula>AND(H137=1,H136=0)</formula>
    </cfRule>
  </conditionalFormatting>
  <conditionalFormatting sqref="H160:M160">
    <cfRule type="expression" dxfId="2314" priority="87" stopIfTrue="1">
      <formula>$E160=0</formula>
    </cfRule>
    <cfRule type="expression" dxfId="2313" priority="88" stopIfTrue="1">
      <formula>ISERROR(H160)</formula>
    </cfRule>
    <cfRule type="expression" dxfId="2312" priority="89" stopIfTrue="1">
      <formula>$E160&lt;&gt;0</formula>
    </cfRule>
  </conditionalFormatting>
  <conditionalFormatting sqref="H158:M158">
    <cfRule type="expression" dxfId="2311" priority="84" stopIfTrue="1">
      <formula>AND(H157=0,H158=1,H159=1)</formula>
    </cfRule>
    <cfRule type="expression" dxfId="2310" priority="85" stopIfTrue="1">
      <formula>AND(H157=1,H159=1)</formula>
    </cfRule>
    <cfRule type="expression" dxfId="2309" priority="86" stopIfTrue="1">
      <formula>AND(H158=1,H157=0)</formula>
    </cfRule>
  </conditionalFormatting>
  <conditionalFormatting sqref="H159:M159">
    <cfRule type="expression" dxfId="2308" priority="82" stopIfTrue="1">
      <formula>AND(H159=1,H158=1)</formula>
    </cfRule>
    <cfRule type="expression" dxfId="2307" priority="83" stopIfTrue="1">
      <formula>AND(H159=1,H158=0)</formula>
    </cfRule>
  </conditionalFormatting>
  <conditionalFormatting sqref="H157:M157">
    <cfRule type="expression" dxfId="2306" priority="79" stopIfTrue="1">
      <formula>AND(H156=0,H157=1,H158=1)</formula>
    </cfRule>
    <cfRule type="expression" dxfId="2305" priority="80" stopIfTrue="1">
      <formula>AND(H156=1,H158=1)</formula>
    </cfRule>
    <cfRule type="expression" dxfId="2304" priority="81" stopIfTrue="1">
      <formula>AND(H157=1,H156=0)</formula>
    </cfRule>
  </conditionalFormatting>
  <conditionalFormatting sqref="H151:M156">
    <cfRule type="expression" dxfId="2303" priority="76" stopIfTrue="1">
      <formula>AND(H150=0,H151=1,H152=1)</formula>
    </cfRule>
    <cfRule type="expression" dxfId="2302" priority="77" stopIfTrue="1">
      <formula>AND(H150=1,H152=1)</formula>
    </cfRule>
    <cfRule type="expression" dxfId="2301" priority="78" stopIfTrue="1">
      <formula>AND(H151=1,H150=0)</formula>
    </cfRule>
  </conditionalFormatting>
  <conditionalFormatting sqref="H150:M150">
    <cfRule type="expression" dxfId="2300" priority="74" stopIfTrue="1">
      <formula>AND(H150=1,H151=1)</formula>
    </cfRule>
    <cfRule type="expression" dxfId="2299" priority="75" stopIfTrue="1">
      <formula>AND(H150=1,H149=0)</formula>
    </cfRule>
  </conditionalFormatting>
  <conditionalFormatting sqref="N133:O133 N135:O135">
    <cfRule type="containsBlanks" dxfId="2298" priority="73">
      <formula>LEN(TRIM(N133))=0</formula>
    </cfRule>
  </conditionalFormatting>
  <conditionalFormatting sqref="N132">
    <cfRule type="expression" dxfId="2297" priority="72">
      <formula>N133=""</formula>
    </cfRule>
  </conditionalFormatting>
  <conditionalFormatting sqref="N134">
    <cfRule type="expression" dxfId="2296" priority="71">
      <formula>N135=""</formula>
    </cfRule>
  </conditionalFormatting>
  <conditionalFormatting sqref="G173">
    <cfRule type="expression" dxfId="2295" priority="68" stopIfTrue="1">
      <formula>$E173=0</formula>
    </cfRule>
    <cfRule type="expression" dxfId="2294" priority="69" stopIfTrue="1">
      <formula>ISERROR(G173)</formula>
    </cfRule>
    <cfRule type="expression" dxfId="2293" priority="70" stopIfTrue="1">
      <formula>$E173&lt;&gt;0</formula>
    </cfRule>
  </conditionalFormatting>
  <conditionalFormatting sqref="G171">
    <cfRule type="expression" dxfId="2292" priority="62" stopIfTrue="1">
      <formula>AND(G170=0,G171=1,G172=1)</formula>
    </cfRule>
    <cfRule type="expression" dxfId="2291" priority="63" stopIfTrue="1">
      <formula>AND(G170=1,G172=1)</formula>
    </cfRule>
    <cfRule type="expression" dxfId="2290" priority="64" stopIfTrue="1">
      <formula>AND(G171=1,G170=0)</formula>
    </cfRule>
  </conditionalFormatting>
  <conditionalFormatting sqref="G170">
    <cfRule type="expression" dxfId="2289" priority="65" stopIfTrue="1">
      <formula>AND(G169=0,G170=1,G171=1)</formula>
    </cfRule>
    <cfRule type="expression" dxfId="2288" priority="66" stopIfTrue="1">
      <formula>AND(G169=1,G171=1)</formula>
    </cfRule>
    <cfRule type="expression" dxfId="2287" priority="67" stopIfTrue="1">
      <formula>AND(G170=1,G169=0)</formula>
    </cfRule>
  </conditionalFormatting>
  <conditionalFormatting sqref="G164:G169">
    <cfRule type="expression" dxfId="2286" priority="59" stopIfTrue="1">
      <formula>AND(G163=0,G164=1,G165=1)</formula>
    </cfRule>
    <cfRule type="expression" dxfId="2285" priority="60" stopIfTrue="1">
      <formula>AND(G163=1,G165=1)</formula>
    </cfRule>
    <cfRule type="expression" dxfId="2284" priority="61" stopIfTrue="1">
      <formula>AND(G164=1,G163=0)</formula>
    </cfRule>
  </conditionalFormatting>
  <conditionalFormatting sqref="G163">
    <cfRule type="expression" dxfId="2283" priority="57" stopIfTrue="1">
      <formula>AND(G163=1,G164=1)</formula>
    </cfRule>
    <cfRule type="expression" dxfId="2282" priority="58" stopIfTrue="1">
      <formula>AND(G163=1,G162=0)</formula>
    </cfRule>
  </conditionalFormatting>
  <conditionalFormatting sqref="G172">
    <cfRule type="expression" dxfId="2281" priority="55" stopIfTrue="1">
      <formula>AND(G172=1,G171=1)</formula>
    </cfRule>
    <cfRule type="expression" dxfId="2280" priority="56" stopIfTrue="1">
      <formula>AND(G172=1,G171=0)</formula>
    </cfRule>
  </conditionalFormatting>
  <conditionalFormatting sqref="H173:M173">
    <cfRule type="expression" dxfId="2279" priority="52" stopIfTrue="1">
      <formula>$E173=0</formula>
    </cfRule>
    <cfRule type="expression" dxfId="2278" priority="53" stopIfTrue="1">
      <formula>ISERROR(H173)</formula>
    </cfRule>
    <cfRule type="expression" dxfId="2277" priority="54" stopIfTrue="1">
      <formula>$E173&lt;&gt;0</formula>
    </cfRule>
  </conditionalFormatting>
  <conditionalFormatting sqref="H171:M171">
    <cfRule type="expression" dxfId="2276" priority="46" stopIfTrue="1">
      <formula>AND(H170=0,H171=1,H172=1)</formula>
    </cfRule>
    <cfRule type="expression" dxfId="2275" priority="47" stopIfTrue="1">
      <formula>AND(H170=1,H172=1)</formula>
    </cfRule>
    <cfRule type="expression" dxfId="2274" priority="48" stopIfTrue="1">
      <formula>AND(H171=1,H170=0)</formula>
    </cfRule>
  </conditionalFormatting>
  <conditionalFormatting sqref="H170:M170">
    <cfRule type="expression" dxfId="2273" priority="49" stopIfTrue="1">
      <formula>AND(H169=0,H170=1,H171=1)</formula>
    </cfRule>
    <cfRule type="expression" dxfId="2272" priority="50" stopIfTrue="1">
      <formula>AND(H169=1,H171=1)</formula>
    </cfRule>
    <cfRule type="expression" dxfId="2271" priority="51" stopIfTrue="1">
      <formula>AND(H170=1,H169=0)</formula>
    </cfRule>
  </conditionalFormatting>
  <conditionalFormatting sqref="H164:M169">
    <cfRule type="expression" dxfId="2270" priority="43" stopIfTrue="1">
      <formula>AND(H163=0,H164=1,H165=1)</formula>
    </cfRule>
    <cfRule type="expression" dxfId="2269" priority="44" stopIfTrue="1">
      <formula>AND(H163=1,H165=1)</formula>
    </cfRule>
    <cfRule type="expression" dxfId="2268" priority="45" stopIfTrue="1">
      <formula>AND(H164=1,H163=0)</formula>
    </cfRule>
  </conditionalFormatting>
  <conditionalFormatting sqref="H163:M163">
    <cfRule type="expression" dxfId="2267" priority="41" stopIfTrue="1">
      <formula>AND(H163=1,H164=1)</formula>
    </cfRule>
    <cfRule type="expression" dxfId="2266" priority="42" stopIfTrue="1">
      <formula>AND(H163=1,H162=0)</formula>
    </cfRule>
  </conditionalFormatting>
  <conditionalFormatting sqref="H172:M172">
    <cfRule type="expression" dxfId="2265" priority="39" stopIfTrue="1">
      <formula>AND(H172=1,H171=1)</formula>
    </cfRule>
    <cfRule type="expression" dxfId="2264" priority="40" stopIfTrue="1">
      <formula>AND(H172=1,H171=0)</formula>
    </cfRule>
  </conditionalFormatting>
  <conditionalFormatting sqref="E173:F173">
    <cfRule type="containsErrors" dxfId="2263" priority="38" stopIfTrue="1">
      <formula>ISERROR(E173)</formula>
    </cfRule>
  </conditionalFormatting>
  <conditionalFormatting sqref="AK8:AK37">
    <cfRule type="cellIs" dxfId="2262" priority="37" stopIfTrue="1" operator="equal">
      <formula>0</formula>
    </cfRule>
  </conditionalFormatting>
  <conditionalFormatting sqref="BA6:BG6">
    <cfRule type="cellIs" dxfId="2261" priority="35" stopIfTrue="1" operator="equal">
      <formula>$E$125</formula>
    </cfRule>
  </conditionalFormatting>
  <conditionalFormatting sqref="BB8:BG8 BA9:BG37">
    <cfRule type="cellIs" dxfId="2260" priority="34" stopIfTrue="1" operator="equal">
      <formula>0</formula>
    </cfRule>
  </conditionalFormatting>
  <conditionalFormatting sqref="BA8">
    <cfRule type="cellIs" dxfId="2259" priority="33" stopIfTrue="1" operator="equal">
      <formula>0</formula>
    </cfRule>
  </conditionalFormatting>
  <conditionalFormatting sqref="BA5:BG5">
    <cfRule type="cellIs" dxfId="2258" priority="32" stopIfTrue="1" operator="equal">
      <formula>$E$125</formula>
    </cfRule>
  </conditionalFormatting>
  <conditionalFormatting sqref="L3:N3">
    <cfRule type="cellIs" dxfId="2257" priority="31" stopIfTrue="1" operator="equal">
      <formula>0</formula>
    </cfRule>
  </conditionalFormatting>
  <conditionalFormatting sqref="BC3">
    <cfRule type="cellIs" dxfId="2256" priority="30" stopIfTrue="1" operator="equal">
      <formula>$E$125</formula>
    </cfRule>
  </conditionalFormatting>
  <conditionalFormatting sqref="BB66:BF66">
    <cfRule type="cellIs" dxfId="2255" priority="27" stopIfTrue="1" operator="equal">
      <formula>0</formula>
    </cfRule>
  </conditionalFormatting>
  <conditionalFormatting sqref="BB67:BF67">
    <cfRule type="cellIs" dxfId="2254" priority="26" stopIfTrue="1" operator="equal">
      <formula>0</formula>
    </cfRule>
  </conditionalFormatting>
  <conditionalFormatting sqref="BB64:BF64">
    <cfRule type="cellIs" dxfId="2253" priority="25" stopIfTrue="1" operator="equal">
      <formula>0</formula>
    </cfRule>
  </conditionalFormatting>
  <conditionalFormatting sqref="BB65:BF65">
    <cfRule type="cellIs" dxfId="2252" priority="24" stopIfTrue="1" operator="equal">
      <formula>0</formula>
    </cfRule>
  </conditionalFormatting>
  <conditionalFormatting sqref="BB63:BF63">
    <cfRule type="cellIs" dxfId="2251" priority="23" stopIfTrue="1" operator="equal">
      <formula>0</formula>
    </cfRule>
  </conditionalFormatting>
  <conditionalFormatting sqref="BA66">
    <cfRule type="cellIs" dxfId="2250" priority="22" stopIfTrue="1" operator="equal">
      <formula>0</formula>
    </cfRule>
  </conditionalFormatting>
  <conditionalFormatting sqref="BA67">
    <cfRule type="cellIs" dxfId="2249" priority="21" stopIfTrue="1" operator="equal">
      <formula>0</formula>
    </cfRule>
  </conditionalFormatting>
  <conditionalFormatting sqref="BA64">
    <cfRule type="cellIs" dxfId="2248" priority="20" stopIfTrue="1" operator="equal">
      <formula>0</formula>
    </cfRule>
  </conditionalFormatting>
  <conditionalFormatting sqref="BA65">
    <cfRule type="cellIs" dxfId="2247" priority="19" stopIfTrue="1" operator="equal">
      <formula>0</formula>
    </cfRule>
  </conditionalFormatting>
  <conditionalFormatting sqref="BA63">
    <cfRule type="cellIs" dxfId="2246" priority="18" stopIfTrue="1" operator="equal">
      <formula>0</formula>
    </cfRule>
  </conditionalFormatting>
  <conditionalFormatting sqref="BG66">
    <cfRule type="cellIs" dxfId="2245" priority="17" stopIfTrue="1" operator="equal">
      <formula>0</formula>
    </cfRule>
  </conditionalFormatting>
  <conditionalFormatting sqref="BG67">
    <cfRule type="cellIs" dxfId="2244" priority="16" stopIfTrue="1" operator="equal">
      <formula>0</formula>
    </cfRule>
  </conditionalFormatting>
  <conditionalFormatting sqref="BG64">
    <cfRule type="cellIs" dxfId="2243" priority="15" stopIfTrue="1" operator="equal">
      <formula>0</formula>
    </cfRule>
  </conditionalFormatting>
  <conditionalFormatting sqref="BG65">
    <cfRule type="cellIs" dxfId="2242" priority="14" stopIfTrue="1" operator="equal">
      <formula>0</formula>
    </cfRule>
  </conditionalFormatting>
  <conditionalFormatting sqref="BG63">
    <cfRule type="cellIs" dxfId="2241" priority="13" stopIfTrue="1" operator="equal">
      <formula>0</formula>
    </cfRule>
  </conditionalFormatting>
  <conditionalFormatting sqref="BB4:BG4">
    <cfRule type="cellIs" dxfId="2240" priority="12" stopIfTrue="1" operator="equal">
      <formula>0</formula>
    </cfRule>
  </conditionalFormatting>
  <conditionalFormatting sqref="BA4">
    <cfRule type="cellIs" dxfId="2239" priority="11" stopIfTrue="1" operator="equal">
      <formula>0</formula>
    </cfRule>
  </conditionalFormatting>
  <conditionalFormatting sqref="E8:F37">
    <cfRule type="expression" dxfId="2238" priority="3" stopIfTrue="1">
      <formula>$AE8=$AC$6</formula>
    </cfRule>
    <cfRule type="expression" dxfId="2237" priority="4" stopIfTrue="1">
      <formula>AND($AE8=0,$E8=0)</formula>
    </cfRule>
    <cfRule type="expression" dxfId="2236" priority="5" stopIfTrue="1">
      <formula>$AE8=0</formula>
    </cfRule>
  </conditionalFormatting>
  <conditionalFormatting sqref="G8:M37">
    <cfRule type="expression" dxfId="2235" priority="6" stopIfTrue="1">
      <formula>$AE8=$AC$6</formula>
    </cfRule>
    <cfRule type="expression" dxfId="2234" priority="7" stopIfTrue="1">
      <formula>OR($AE8=0,$E8=$E$129)</formula>
    </cfRule>
  </conditionalFormatting>
  <conditionalFormatting sqref="C8:D37">
    <cfRule type="expression" dxfId="2233" priority="2" stopIfTrue="1">
      <formula>$AE8=$AC$6</formula>
    </cfRule>
    <cfRule type="expression" dxfId="2232" priority="8" stopIfTrue="1">
      <formula>AND($L$199=0,OR($W8&lt;$B$129,$W8&gt;$B$130))</formula>
    </cfRule>
    <cfRule type="expression" dxfId="2231" priority="9" stopIfTrue="1">
      <formula>AND($AE8=0,$E8=0)</formula>
    </cfRule>
    <cfRule type="expression" dxfId="2230" priority="10" stopIfTrue="1">
      <formula>$AE8=0</formula>
    </cfRule>
  </conditionalFormatting>
  <conditionalFormatting sqref="N64">
    <cfRule type="expression" dxfId="2229"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CONCATENATE(IF(IMPOSTAZIONI!F223="","..",IMPOSTAZIONI!F223),"-",IF(IMPOSTAZIONI!F224="","..",IMPOSTAZIONI!F224),"-",IF(IMPOSTAZIONI!F225="","..",IMPOSTAZIONI!F225))</f>
        <v>..-..-..</v>
      </c>
      <c r="H1" s="167" t="str">
        <f>CONCATENATE(IF(IMPOSTAZIONI!K223="","..",IMPOSTAZIONI!K223),"-",IF(IMPOSTAZIONI!K224="","..",IMPOSTAZIONI!K224),"-",IF(IMPOSTAZIONI!K225="","..",IMPOSTAZIONI!K225))</f>
        <v>..-..-..</v>
      </c>
      <c r="I1" s="167" t="str">
        <f>CONCATENATE(IF(IMPOSTAZIONI!P223="","..",IMPOSTAZIONI!P223),"-",IF(IMPOSTAZIONI!P224="","..",IMPOSTAZIONI!P224),"-",IF(IMPOSTAZIONI!P225="","..",IMPOSTAZIONI!P225))</f>
        <v>..-..-..</v>
      </c>
      <c r="J1" s="167" t="str">
        <f>CONCATENATE(IF(IMPOSTAZIONI!U223="","..",IMPOSTAZIONI!U223),"-",IF(IMPOSTAZIONI!U224="","..",IMPOSTAZIONI!U224),"-",IF(IMPOSTAZIONI!U225="","..",IMPOSTAZIONI!U225))</f>
        <v>..-..-..</v>
      </c>
      <c r="K1" s="167" t="str">
        <f>CONCATENATE(IF(IMPOSTAZIONI!Z223="","..",IMPOSTAZIONI!Z223),"-",IF(IMPOSTAZIONI!Z224="","..",IMPOSTAZIONI!Z224),"-",IF(IMPOSTAZIONI!Z225="","..",IMPOSTAZIONI!Z225))</f>
        <v>..-..-..</v>
      </c>
      <c r="L1" s="167" t="str">
        <f>CONCATENATE(IF(IMPOSTAZIONI!AE223="","..",IMPOSTAZIONI!AE223),"-",IF(IMPOSTAZIONI!AE224="","..",IMPOSTAZIONI!AE224),"-",IF(IMPOSTAZIONI!AE225="","..",IMPOSTAZIONI!AE225))</f>
        <v>..-..-..</v>
      </c>
      <c r="M1" s="167" t="str">
        <f>CONCATENATE(IF(IMPOSTAZIONI!AJ223="","..",IMPOSTAZIONI!AJ223),"-",IF(IMPOSTAZIONI!AJ224="","..",IMPOSTAZIONI!AJ224),"-",IF(IMPOSTAZIONI!AJ225="","..",IMPOSTAZIONI!AJ225))</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344</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IF($I$199=0,"",IMPOSTAZIONI!G223)</f>
        <v/>
      </c>
      <c r="H4" s="183" t="str">
        <f>IF($I$199=0,"",IMPOSTAZIONI!L223)</f>
        <v/>
      </c>
      <c r="I4" s="183" t="str">
        <f>IF($I$199=0,"",IMPOSTAZIONI!Q223)</f>
        <v/>
      </c>
      <c r="J4" s="183" t="str">
        <f>IF($I$199=0,"",IMPOSTAZIONI!V223)</f>
        <v/>
      </c>
      <c r="K4" s="183" t="str">
        <f>IF($I$199=0,"",IMPOSTAZIONI!AA223)</f>
        <v/>
      </c>
      <c r="L4" s="183" t="str">
        <f>IF($I$199=0,"",IMPOSTAZIONI!AF223)</f>
        <v/>
      </c>
      <c r="M4" s="183" t="str">
        <f>IF($I$199=0,"",IMPOSTAZIONI!AK223)</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IF($I$199=0,"",IMPOSTAZIONI!G224)</f>
        <v/>
      </c>
      <c r="H5" s="823" t="str">
        <f>IF($I$199=0,"",IMPOSTAZIONI!L224)</f>
        <v/>
      </c>
      <c r="I5" s="823" t="str">
        <f>IF($I$199=0,"",IMPOSTAZIONI!Q224)</f>
        <v/>
      </c>
      <c r="J5" s="823" t="str">
        <f>IF($I$199=0,"",IMPOSTAZIONI!V224)</f>
        <v/>
      </c>
      <c r="K5" s="823" t="str">
        <f>IF($I$199=0,"",IMPOSTAZIONI!AA224)</f>
        <v/>
      </c>
      <c r="L5" s="823" t="str">
        <f>IF($I$199=0,"",IMPOSTAZIONI!AF224)</f>
        <v/>
      </c>
      <c r="M5" s="823" t="str">
        <f>IF($I$199=0,"",IMPOSTAZIONI!AK224)</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IF($I$199=0,"",IMPOSTAZIONI!G225)</f>
        <v/>
      </c>
      <c r="H6" s="40" t="str">
        <f>IF($I$199=0,"",IMPOSTAZIONI!L225)</f>
        <v/>
      </c>
      <c r="I6" s="40" t="str">
        <f>IF($I$199=0,"",IMPOSTAZIONI!Q225)</f>
        <v/>
      </c>
      <c r="J6" s="40" t="str">
        <f>IF($I$199=0,"",IMPOSTAZIONI!V225)</f>
        <v/>
      </c>
      <c r="K6" s="40" t="str">
        <f>IF($I$199=0,"",IMPOSTAZIONI!AA225)</f>
        <v/>
      </c>
      <c r="L6" s="40" t="str">
        <f>IF($I$199=0,"",IMPOSTAZIONI!AF225)</f>
        <v/>
      </c>
      <c r="M6" s="40" t="str">
        <f>IF($I$199=0,"",IMPOSTAZIONI!AK225)</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IMPOSTAZIONI!AH273</f>
        <v>0</v>
      </c>
      <c r="F7" s="1999"/>
      <c r="G7" s="811">
        <f>IMPOSTAZIONI!$AU287</f>
        <v>0</v>
      </c>
      <c r="H7" s="811">
        <f>IMPOSTAZIONI!$AU288</f>
        <v>0</v>
      </c>
      <c r="I7" s="811">
        <f>IMPOSTAZIONI!$AU289</f>
        <v>0</v>
      </c>
      <c r="J7" s="811">
        <f>IMPOSTAZIONI!$AU290</f>
        <v>0</v>
      </c>
      <c r="K7" s="811">
        <f>IMPOSTAZIONI!$AU291</f>
        <v>0</v>
      </c>
      <c r="L7" s="811">
        <f>IMPOSTAZIONI!$AU292</f>
        <v>0</v>
      </c>
      <c r="M7" s="811">
        <f>IMPOSTAZIONI!$AU293</f>
        <v>0</v>
      </c>
      <c r="N7" s="1288"/>
      <c r="O7" s="57"/>
      <c r="P7" s="2044" t="s">
        <v>524</v>
      </c>
      <c r="Q7" s="2044"/>
      <c r="R7" s="2044"/>
      <c r="S7" s="2044"/>
      <c r="T7" s="2044"/>
      <c r="U7" s="2044"/>
      <c r="V7" s="2044"/>
      <c r="W7" s="285">
        <f>W8-1</f>
        <v>45626</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12</v>
      </c>
      <c r="E8" s="1994" t="str">
        <f t="shared" ref="E8:E38"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45627</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12</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45628</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12</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45629</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12</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45630</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12</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45631</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12</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45632</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12</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45633</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12</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45634</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12</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45635</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12</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45636</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12</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45637</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12</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45638</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12</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45639</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12</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45640</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12</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45641</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12</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45642</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12</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45643</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12</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45644</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12</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45645</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12</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45646</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12</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45647</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12</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45648</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12</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45649</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12</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45650</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12</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45651</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12</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45652</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12</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45653</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12</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45654</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12</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45655</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12</v>
      </c>
      <c r="E37" s="1959" t="str">
        <f t="shared" si="9"/>
        <v xml:space="preserve">disattivato  </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45656</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12</v>
      </c>
      <c r="E38" s="2039" t="str">
        <f t="shared" si="9"/>
        <v xml:space="preserve">disattivato  </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45657</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IMPOSTAZIONI!AK273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345</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12</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01/12 - 31/12</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IMPOSTAZIONI!AU304</f>
        <v>0</v>
      </c>
      <c r="I90" s="784">
        <f>IMPOSTAZIONI!AU305</f>
        <v>0</v>
      </c>
      <c r="J90" s="785">
        <f>IMPOSTAZIONI!AU306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IMPOSTAZIONI!AZ304</f>
        <v>0</v>
      </c>
      <c r="I91" s="788">
        <f>IMPOSTAZIONI!AZ305</f>
        <v>0</v>
      </c>
      <c r="J91" s="789">
        <f>IMPOSTAZIONI!AZ306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IF(IMPOSTAZIONI!Z181=0,1,0)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IF(IMPOSTAZIONI!Z182=0,1,0)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IF(IMPOSTAZIONI!Z183=0,1,0)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36</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IMPOSTAZIONI!F224</f>
        <v/>
      </c>
      <c r="H124" s="803" t="str">
        <f>IMPOSTAZIONI!K224</f>
        <v/>
      </c>
      <c r="I124" s="803" t="str">
        <f>IMPOSTAZIONI!P224</f>
        <v/>
      </c>
      <c r="J124" s="803" t="str">
        <f>IMPOSTAZIONI!U224</f>
        <v/>
      </c>
      <c r="K124" s="803" t="str">
        <f>IMPOSTAZIONI!Z224</f>
        <v/>
      </c>
      <c r="L124" s="803" t="str">
        <f>IMPOSTAZIONI!AE224</f>
        <v/>
      </c>
      <c r="M124" s="803" t="str">
        <f>IMPOSTAZIONI!AJ224</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IMPOSTAZIONI!J224</f>
        <v>0</v>
      </c>
      <c r="H130" s="803">
        <f>IMPOSTAZIONI!O224</f>
        <v>0</v>
      </c>
      <c r="I130" s="803">
        <f>IMPOSTAZIONI!T224</f>
        <v>0</v>
      </c>
      <c r="J130" s="803">
        <f>IMPOSTAZIONI!Y224</f>
        <v>0</v>
      </c>
      <c r="K130" s="803">
        <f>IMPOSTAZIONI!AD224</f>
        <v>0</v>
      </c>
      <c r="L130" s="803">
        <f>IMPOSTAZIONI!AI224</f>
        <v>0</v>
      </c>
      <c r="M130" s="803">
        <f>IMPOSTAZIONI!AN224</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01/12 - 31/12</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01/01 - 31/12</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36</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mZFMgUHFIflpgdJfj+Oh1TICJjk3L7jZrtkwCIUvxjeVG+STrGpUsh1Pay+qA4Sm3QgmNNAdEGDBrVlDnhg5zA==" saltValue="jc0mSKPewPwGdPfRwDXYhg==" spinCount="100000" sheet="1" objects="1" scenarios="1" selectLockedCells="1"/>
  <mergeCells count="133">
    <mergeCell ref="N135:O135"/>
    <mergeCell ref="C71:F71"/>
    <mergeCell ref="C69:F69"/>
    <mergeCell ref="H53:I53"/>
    <mergeCell ref="M50:N50"/>
    <mergeCell ref="M51:N51"/>
    <mergeCell ref="M52:N52"/>
    <mergeCell ref="M53:N53"/>
    <mergeCell ref="M56:N56"/>
    <mergeCell ref="H50:K50"/>
    <mergeCell ref="J51:K52"/>
    <mergeCell ref="J53:K53"/>
    <mergeCell ref="J54:K54"/>
    <mergeCell ref="J55:K55"/>
    <mergeCell ref="J56:K56"/>
    <mergeCell ref="C67:F67"/>
    <mergeCell ref="C70:F70"/>
    <mergeCell ref="C72:F72"/>
    <mergeCell ref="N133:O133"/>
    <mergeCell ref="B130:D130"/>
    <mergeCell ref="C52:F52"/>
    <mergeCell ref="C57:F57"/>
    <mergeCell ref="C58:F58"/>
    <mergeCell ref="C55:F55"/>
    <mergeCell ref="AU7:AY7"/>
    <mergeCell ref="G119:M119"/>
    <mergeCell ref="C53:F53"/>
    <mergeCell ref="E19:F19"/>
    <mergeCell ref="E20:F20"/>
    <mergeCell ref="C44:F44"/>
    <mergeCell ref="C73:F73"/>
    <mergeCell ref="C56:D56"/>
    <mergeCell ref="E56:F56"/>
    <mergeCell ref="C63:F63"/>
    <mergeCell ref="C62:D62"/>
    <mergeCell ref="E65:F65"/>
    <mergeCell ref="C66:F66"/>
    <mergeCell ref="C65:D65"/>
    <mergeCell ref="C59:E59"/>
    <mergeCell ref="E62:F62"/>
    <mergeCell ref="AF7:AJ7"/>
    <mergeCell ref="C60:N60"/>
    <mergeCell ref="C64:F64"/>
    <mergeCell ref="N77:O77"/>
    <mergeCell ref="N78:O78"/>
    <mergeCell ref="E25:F25"/>
    <mergeCell ref="E26:F26"/>
    <mergeCell ref="E23:F23"/>
    <mergeCell ref="J2:N2"/>
    <mergeCell ref="N5:N6"/>
    <mergeCell ref="E4:F5"/>
    <mergeCell ref="E6:F6"/>
    <mergeCell ref="E28:F28"/>
    <mergeCell ref="E10:F10"/>
    <mergeCell ref="C4:D5"/>
    <mergeCell ref="E7:F7"/>
    <mergeCell ref="AM6:AS6"/>
    <mergeCell ref="E24:F24"/>
    <mergeCell ref="E12:F12"/>
    <mergeCell ref="E13:F13"/>
    <mergeCell ref="P7:V7"/>
    <mergeCell ref="C2:I2"/>
    <mergeCell ref="C3:D3"/>
    <mergeCell ref="E3:H3"/>
    <mergeCell ref="E8:F8"/>
    <mergeCell ref="I3:K3"/>
    <mergeCell ref="L3:N3"/>
    <mergeCell ref="E9:F9"/>
    <mergeCell ref="E14:F14"/>
    <mergeCell ref="C7:D7"/>
    <mergeCell ref="E11:F11"/>
    <mergeCell ref="C6:D6"/>
    <mergeCell ref="E15:F15"/>
    <mergeCell ref="E16:F16"/>
    <mergeCell ref="E18:F18"/>
    <mergeCell ref="E17:F17"/>
    <mergeCell ref="E38:F38"/>
    <mergeCell ref="C46:D46"/>
    <mergeCell ref="E46:F46"/>
    <mergeCell ref="C45:F45"/>
    <mergeCell ref="E35:F35"/>
    <mergeCell ref="C39:D39"/>
    <mergeCell ref="C43:D43"/>
    <mergeCell ref="E34:F34"/>
    <mergeCell ref="E21:F21"/>
    <mergeCell ref="E29:F29"/>
    <mergeCell ref="E30:F30"/>
    <mergeCell ref="E31:F31"/>
    <mergeCell ref="E32:F32"/>
    <mergeCell ref="E27:F27"/>
    <mergeCell ref="E22:F22"/>
    <mergeCell ref="E37:F37"/>
    <mergeCell ref="E36:F36"/>
    <mergeCell ref="E184:F184"/>
    <mergeCell ref="C182:D182"/>
    <mergeCell ref="E182:F182"/>
    <mergeCell ref="C183:D183"/>
    <mergeCell ref="E183:F183"/>
    <mergeCell ref="C184:D184"/>
    <mergeCell ref="C134:D134"/>
    <mergeCell ref="E134:F134"/>
    <mergeCell ref="C136:F136"/>
    <mergeCell ref="C135:F135"/>
    <mergeCell ref="C138:D139"/>
    <mergeCell ref="E138:E139"/>
    <mergeCell ref="E173:F173"/>
    <mergeCell ref="C162:H162"/>
    <mergeCell ref="C151:D152"/>
    <mergeCell ref="E151:E152"/>
    <mergeCell ref="C160:D160"/>
    <mergeCell ref="C173:D173"/>
    <mergeCell ref="C147:D147"/>
    <mergeCell ref="E147:F147"/>
    <mergeCell ref="C137:D137"/>
    <mergeCell ref="C54:F54"/>
    <mergeCell ref="C51:F51"/>
    <mergeCell ref="E33:F33"/>
    <mergeCell ref="E43:F43"/>
    <mergeCell ref="E39:F39"/>
    <mergeCell ref="K174:M174"/>
    <mergeCell ref="C174:J174"/>
    <mergeCell ref="E160:F160"/>
    <mergeCell ref="B129:D129"/>
    <mergeCell ref="C164:D165"/>
    <mergeCell ref="C163:D163"/>
    <mergeCell ref="E164:E165"/>
    <mergeCell ref="C149:F149"/>
    <mergeCell ref="C150:D150"/>
    <mergeCell ref="E47:F47"/>
    <mergeCell ref="E48:F48"/>
    <mergeCell ref="C50:F50"/>
    <mergeCell ref="C47:D47"/>
    <mergeCell ref="C48:D48"/>
  </mergeCells>
  <phoneticPr fontId="24" type="noConversion"/>
  <conditionalFormatting sqref="C57 G57">
    <cfRule type="expression" dxfId="2228" priority="235" stopIfTrue="1">
      <formula>C58=0</formula>
    </cfRule>
  </conditionalFormatting>
  <conditionalFormatting sqref="O182:O184 O147 O160 O173">
    <cfRule type="expression" dxfId="2227" priority="413" stopIfTrue="1">
      <formula>$N$44=""</formula>
    </cfRule>
    <cfRule type="expression" dxfId="2226" priority="414" stopIfTrue="1">
      <formula>$N$44=0</formula>
    </cfRule>
  </conditionalFormatting>
  <conditionalFormatting sqref="G182:M184">
    <cfRule type="expression" dxfId="2225" priority="415" stopIfTrue="1">
      <formula>ISERROR(G182)</formula>
    </cfRule>
    <cfRule type="cellIs" dxfId="2224" priority="416" stopIfTrue="1" operator="equal">
      <formula>0</formula>
    </cfRule>
  </conditionalFormatting>
  <conditionalFormatting sqref="G58 C58 AE8:AE38 G42:M42 E6:F6">
    <cfRule type="cellIs" dxfId="2223" priority="419" stopIfTrue="1" operator="equal">
      <formula>0</formula>
    </cfRule>
  </conditionalFormatting>
  <conditionalFormatting sqref="N63">
    <cfRule type="expression" dxfId="2222" priority="424" stopIfTrue="1">
      <formula>$N$44=""</formula>
    </cfRule>
  </conditionalFormatting>
  <conditionalFormatting sqref="E47:F48">
    <cfRule type="expression" dxfId="2221" priority="428" stopIfTrue="1">
      <formula>ISERROR(E47)</formula>
    </cfRule>
  </conditionalFormatting>
  <conditionalFormatting sqref="G135:M136 E164:E165 E138:E139 E147:F147 E151:E152 E160:F160">
    <cfRule type="expression" dxfId="2220" priority="429" stopIfTrue="1">
      <formula>ISERROR(E135)</formula>
    </cfRule>
  </conditionalFormatting>
  <conditionalFormatting sqref="G43:M43 G134:M134">
    <cfRule type="cellIs" dxfId="2219" priority="430" stopIfTrue="1" operator="equal">
      <formula>0</formula>
    </cfRule>
  </conditionalFormatting>
  <conditionalFormatting sqref="G123:M123">
    <cfRule type="cellIs" dxfId="2218" priority="435" stopIfTrue="1" operator="equal">
      <formula>0</formula>
    </cfRule>
  </conditionalFormatting>
  <conditionalFormatting sqref="P8:V38 X8:AD38 AF8:AJ38 AU8:AY38 AL8:AS38">
    <cfRule type="cellIs" dxfId="2217" priority="436" stopIfTrue="1" operator="equal">
      <formula>0</formula>
    </cfRule>
  </conditionalFormatting>
  <conditionalFormatting sqref="G68:M68 G74:M74 H107:H116">
    <cfRule type="cellIs" dxfId="2216" priority="439" stopIfTrue="1" operator="equal">
      <formula>"OK"</formula>
    </cfRule>
  </conditionalFormatting>
  <conditionalFormatting sqref="I107:I116">
    <cfRule type="cellIs" dxfId="2215" priority="440" stopIfTrue="1" operator="greaterThan">
      <formula>0</formula>
    </cfRule>
  </conditionalFormatting>
  <conditionalFormatting sqref="G125:M126">
    <cfRule type="cellIs" dxfId="2214" priority="443" stopIfTrue="1" operator="equal">
      <formula>$E$125</formula>
    </cfRule>
  </conditionalFormatting>
  <conditionalFormatting sqref="C162:H162">
    <cfRule type="expression" dxfId="2213" priority="448" stopIfTrue="1">
      <formula>ISERROR($C$162)</formula>
    </cfRule>
  </conditionalFormatting>
  <conditionalFormatting sqref="E46:F46">
    <cfRule type="expression" dxfId="2212" priority="452" stopIfTrue="1">
      <formula>ISERROR($E$46)</formula>
    </cfRule>
  </conditionalFormatting>
  <conditionalFormatting sqref="C60">
    <cfRule type="expression" dxfId="2211" priority="483" stopIfTrue="1">
      <formula>SUM($G$118:$M$118)=0</formula>
    </cfRule>
  </conditionalFormatting>
  <conditionalFormatting sqref="G120:M120">
    <cfRule type="cellIs" dxfId="2210" priority="233" operator="equal">
      <formula>0</formula>
    </cfRule>
  </conditionalFormatting>
  <conditionalFormatting sqref="N65:N67 C66:F67">
    <cfRule type="expression" dxfId="2209" priority="231" stopIfTrue="1">
      <formula>SUM($G$120:$M$120)=0</formula>
    </cfRule>
  </conditionalFormatting>
  <conditionalFormatting sqref="G65:M65">
    <cfRule type="expression" dxfId="2208" priority="230">
      <formula>$D$120=0</formula>
    </cfRule>
    <cfRule type="cellIs" dxfId="2207" priority="232" operator="equal">
      <formula>0</formula>
    </cfRule>
  </conditionalFormatting>
  <conditionalFormatting sqref="G62:M62">
    <cfRule type="expression" dxfId="2206" priority="2403" stopIfTrue="1">
      <formula>AND(G$123="X",G$62&lt;&gt;"")</formula>
    </cfRule>
  </conditionalFormatting>
  <conditionalFormatting sqref="G66:M66">
    <cfRule type="expression" dxfId="2205" priority="2488">
      <formula>AND(G$66&lt;&gt;0,G$68=$O$120)</formula>
    </cfRule>
    <cfRule type="expression" dxfId="2204" priority="2489">
      <formula>$D$120=0</formula>
    </cfRule>
  </conditionalFormatting>
  <conditionalFormatting sqref="G67:M67">
    <cfRule type="expression" dxfId="2203" priority="2490">
      <formula>AND(G$67&lt;&gt;0,G$68=$O$120)</formula>
    </cfRule>
    <cfRule type="expression" dxfId="2202" priority="2491">
      <formula>$D$120=0</formula>
    </cfRule>
  </conditionalFormatting>
  <conditionalFormatting sqref="G73:M73">
    <cfRule type="expression" dxfId="2201" priority="2492">
      <formula>AND(G$73&lt;&gt;0,G$74=$O$120)</formula>
    </cfRule>
    <cfRule type="expression" dxfId="2200" priority="2493">
      <formula>$D$120=0</formula>
    </cfRule>
  </conditionalFormatting>
  <conditionalFormatting sqref="G70:M70">
    <cfRule type="expression" dxfId="2199" priority="2494">
      <formula>AND(G$70&lt;&gt;0,G$74=$O$120)</formula>
    </cfRule>
    <cfRule type="expression" dxfId="2198" priority="2495">
      <formula>$D$120=0</formula>
    </cfRule>
  </conditionalFormatting>
  <conditionalFormatting sqref="G71:M71">
    <cfRule type="expression" dxfId="2197" priority="2496">
      <formula>AND(G$71&lt;&gt;0,G$74=$O$120)</formula>
    </cfRule>
    <cfRule type="expression" dxfId="2196" priority="2497">
      <formula>$D$120=0</formula>
    </cfRule>
  </conditionalFormatting>
  <conditionalFormatting sqref="G72:M72">
    <cfRule type="expression" dxfId="2195" priority="2498">
      <formula>AND(G$72&lt;&gt;0,G$74=$O$120)</formula>
    </cfRule>
    <cfRule type="expression" dxfId="2194" priority="2499">
      <formula>$D$120=0</formula>
    </cfRule>
  </conditionalFormatting>
  <conditionalFormatting sqref="N70:N73">
    <cfRule type="expression" dxfId="2193" priority="2500" stopIfTrue="1">
      <formula>$D$120=0</formula>
    </cfRule>
    <cfRule type="expression" dxfId="2192" priority="2501" stopIfTrue="1">
      <formula>$B70=""</formula>
    </cfRule>
  </conditionalFormatting>
  <conditionalFormatting sqref="C95 P95">
    <cfRule type="expression" dxfId="2191" priority="2959" stopIfTrue="1">
      <formula>ISERROR($H$199)</formula>
    </cfRule>
  </conditionalFormatting>
  <conditionalFormatting sqref="C2:J2">
    <cfRule type="expression" dxfId="2190" priority="2960" stopIfTrue="1">
      <formula>$I$199=0</formula>
    </cfRule>
  </conditionalFormatting>
  <conditionalFormatting sqref="N136:O136">
    <cfRule type="expression" dxfId="2189" priority="3216" stopIfTrue="1">
      <formula>$N$5=#REF!</formula>
    </cfRule>
    <cfRule type="expression" dxfId="2188" priority="3217" stopIfTrue="1">
      <formula>$N$44=0</formula>
    </cfRule>
  </conditionalFormatting>
  <conditionalFormatting sqref="N5">
    <cfRule type="expression" dxfId="2187" priority="3230" stopIfTrue="1">
      <formula>#REF!=""</formula>
    </cfRule>
    <cfRule type="cellIs" dxfId="2186" priority="3231" stopIfTrue="1" operator="equal">
      <formula>0</formula>
    </cfRule>
    <cfRule type="expression" dxfId="2185" priority="3232" stopIfTrue="1">
      <formula>$N$5=#REF!</formula>
    </cfRule>
  </conditionalFormatting>
  <conditionalFormatting sqref="G44:M45">
    <cfRule type="cellIs" dxfId="2184" priority="192" operator="equal">
      <formula>0</formula>
    </cfRule>
  </conditionalFormatting>
  <conditionalFormatting sqref="E39:N39">
    <cfRule type="expression" dxfId="2183" priority="191">
      <formula>ISERROR($H$199)</formula>
    </cfRule>
  </conditionalFormatting>
  <conditionalFormatting sqref="E7:N7">
    <cfRule type="expression" dxfId="2182" priority="190">
      <formula>ISERROR($H$199)</formula>
    </cfRule>
  </conditionalFormatting>
  <conditionalFormatting sqref="G47:M47">
    <cfRule type="expression" dxfId="2181" priority="181" stopIfTrue="1">
      <formula>ISERROR(G47)</formula>
    </cfRule>
    <cfRule type="expression" dxfId="2180" priority="182" stopIfTrue="1">
      <formula>G$42=$K$102</formula>
    </cfRule>
    <cfRule type="expression" dxfId="2179" priority="183" stopIfTrue="1">
      <formula>AND(G$46&gt;0,OR(G$68=$E$120,G$68=$N$120))</formula>
    </cfRule>
    <cfRule type="cellIs" dxfId="2178" priority="184" operator="equal">
      <formula>0</formula>
    </cfRule>
  </conditionalFormatting>
  <conditionalFormatting sqref="G48:M48">
    <cfRule type="expression" dxfId="2177" priority="180" stopIfTrue="1">
      <formula>ISERROR(G48)</formula>
    </cfRule>
    <cfRule type="expression" dxfId="2176" priority="185" stopIfTrue="1">
      <formula>G$42=$K$102</formula>
    </cfRule>
    <cfRule type="expression" dxfId="2175" priority="186" stopIfTrue="1">
      <formula>AND(G$46&gt;0,OR(G$68=$E$120,G$68=$N$120,COUNTIF($C$70:$F$73,"ERROR")&gt;0,G$74=$E$120,G$74=$N$120))</formula>
    </cfRule>
    <cfRule type="cellIs" dxfId="2174" priority="187" operator="equal">
      <formula>0</formula>
    </cfRule>
  </conditionalFormatting>
  <conditionalFormatting sqref="G130:M130">
    <cfRule type="cellIs" dxfId="2173" priority="179" stopIfTrue="1" operator="equal">
      <formula>0</formula>
    </cfRule>
  </conditionalFormatting>
  <conditionalFormatting sqref="G4:M4">
    <cfRule type="cellIs" dxfId="2172" priority="178" operator="equal">
      <formula>0</formula>
    </cfRule>
  </conditionalFormatting>
  <conditionalFormatting sqref="N130">
    <cfRule type="cellIs" dxfId="2171" priority="177" stopIfTrue="1" operator="equal">
      <formula>0</formula>
    </cfRule>
  </conditionalFormatting>
  <conditionalFormatting sqref="G63">
    <cfRule type="expression" dxfId="2170" priority="174">
      <formula>ISERROR(G46)</formula>
    </cfRule>
    <cfRule type="cellIs" dxfId="2169" priority="176" operator="equal">
      <formula>0</formula>
    </cfRule>
  </conditionalFormatting>
  <conditionalFormatting sqref="G64">
    <cfRule type="expression" dxfId="2168" priority="173">
      <formula>ISERROR(G46)</formula>
    </cfRule>
    <cfRule type="cellIs" dxfId="2167" priority="175" operator="equal">
      <formula>0</formula>
    </cfRule>
  </conditionalFormatting>
  <conditionalFormatting sqref="H63:M63">
    <cfRule type="expression" dxfId="2166" priority="170">
      <formula>ISERROR(H46)</formula>
    </cfRule>
    <cfRule type="cellIs" dxfId="2165" priority="172" operator="equal">
      <formula>0</formula>
    </cfRule>
  </conditionalFormatting>
  <conditionalFormatting sqref="H64:M64">
    <cfRule type="expression" dxfId="2164" priority="169">
      <formula>ISERROR(H46)</formula>
    </cfRule>
    <cfRule type="cellIs" dxfId="2163" priority="171" operator="equal">
      <formula>0</formula>
    </cfRule>
  </conditionalFormatting>
  <conditionalFormatting sqref="C70:F73">
    <cfRule type="cellIs" dxfId="2162" priority="163" stopIfTrue="1" operator="equal">
      <formula>"ERROR"</formula>
    </cfRule>
    <cfRule type="cellIs" dxfId="2161" priority="164" stopIfTrue="1" operator="equal">
      <formula>0</formula>
    </cfRule>
    <cfRule type="expression" dxfId="2160" priority="165" stopIfTrue="1">
      <formula>SUM($G$120:$M$120)=0</formula>
    </cfRule>
  </conditionalFormatting>
  <conditionalFormatting sqref="G49">
    <cfRule type="cellIs" dxfId="2159" priority="162" operator="equal">
      <formula>$E$130</formula>
    </cfRule>
  </conditionalFormatting>
  <conditionalFormatting sqref="H49:M49">
    <cfRule type="cellIs" dxfId="2158" priority="161" operator="equal">
      <formula>$E$130</formula>
    </cfRule>
  </conditionalFormatting>
  <conditionalFormatting sqref="G90:G91">
    <cfRule type="expression" dxfId="2157" priority="159" stopIfTrue="1">
      <formula>SUM($H90:$J90)=0</formula>
    </cfRule>
  </conditionalFormatting>
  <conditionalFormatting sqref="N77:N78">
    <cfRule type="expression" dxfId="2156" priority="160" stopIfTrue="1">
      <formula>$M$77=0</formula>
    </cfRule>
  </conditionalFormatting>
  <conditionalFormatting sqref="H85:J87">
    <cfRule type="expression" dxfId="2155" priority="157">
      <formula>AND($E$103=3,$J$112=3)</formula>
    </cfRule>
    <cfRule type="cellIs" dxfId="2154" priority="158" operator="equal">
      <formula>0</formula>
    </cfRule>
  </conditionalFormatting>
  <conditionalFormatting sqref="H90:J91">
    <cfRule type="expression" dxfId="2153" priority="155">
      <formula>AND($E$103=3,$J$112=3)</formula>
    </cfRule>
    <cfRule type="cellIs" dxfId="2152" priority="156" operator="equal">
      <formula>0</formula>
    </cfRule>
  </conditionalFormatting>
  <conditionalFormatting sqref="K90:K91">
    <cfRule type="expression" dxfId="2151" priority="154">
      <formula>AND($E$103=3,$J$112=3)</formula>
    </cfRule>
  </conditionalFormatting>
  <conditionalFormatting sqref="M90:M91">
    <cfRule type="expression" dxfId="2150" priority="153">
      <formula>AND($E$103=3,$J$112=3)</formula>
    </cfRule>
  </conditionalFormatting>
  <conditionalFormatting sqref="M79:M89">
    <cfRule type="expression" dxfId="2149" priority="152">
      <formula>AND($E$103=3,$J$112=3)</formula>
    </cfRule>
  </conditionalFormatting>
  <conditionalFormatting sqref="M77:M78">
    <cfRule type="expression" dxfId="2148" priority="151">
      <formula>AND($E$103=3,$J$112=3)</formula>
    </cfRule>
  </conditionalFormatting>
  <conditionalFormatting sqref="L91">
    <cfRule type="expression" dxfId="2147" priority="150">
      <formula>AND($E$103=3,$J$112=3)</formula>
    </cfRule>
  </conditionalFormatting>
  <conditionalFormatting sqref="L77:L78">
    <cfRule type="expression" dxfId="2146" priority="149">
      <formula>AND($E$103=3,$J$112=3)</formula>
    </cfRule>
  </conditionalFormatting>
  <conditionalFormatting sqref="G76:G81">
    <cfRule type="expression" dxfId="2145" priority="148">
      <formula>AND($E$103=3,$J$112=3)</formula>
    </cfRule>
  </conditionalFormatting>
  <conditionalFormatting sqref="G46:M46">
    <cfRule type="expression" dxfId="2144" priority="5916" stopIfTrue="1">
      <formula>G$42=$K$102</formula>
    </cfRule>
    <cfRule type="expression" dxfId="2143" priority="5917" stopIfTrue="1">
      <formula>$I$199=0</formula>
    </cfRule>
  </conditionalFormatting>
  <conditionalFormatting sqref="H53:H54">
    <cfRule type="expression" dxfId="2142" priority="145" stopIfTrue="1">
      <formula>ISERROR($G$123)</formula>
    </cfRule>
    <cfRule type="expression" dxfId="2141" priority="146" stopIfTrue="1">
      <formula>ISERROR(H53)</formula>
    </cfRule>
  </conditionalFormatting>
  <conditionalFormatting sqref="H51:I52">
    <cfRule type="expression" dxfId="2140" priority="147" stopIfTrue="1">
      <formula>ISERROR(H51)</formula>
    </cfRule>
  </conditionalFormatting>
  <conditionalFormatting sqref="I54">
    <cfRule type="expression" dxfId="2139" priority="143" stopIfTrue="1">
      <formula>ISERROR($G$123)</formula>
    </cfRule>
    <cfRule type="expression" dxfId="2138" priority="144" stopIfTrue="1">
      <formula>ISERROR(I54)</formula>
    </cfRule>
  </conditionalFormatting>
  <conditionalFormatting sqref="H56:I56">
    <cfRule type="expression" dxfId="2137" priority="142" stopIfTrue="1">
      <formula>ISERROR(H56)</formula>
    </cfRule>
  </conditionalFormatting>
  <conditionalFormatting sqref="H55">
    <cfRule type="expression" dxfId="2136" priority="140" stopIfTrue="1">
      <formula>ISERROR($G$123)</formula>
    </cfRule>
    <cfRule type="expression" dxfId="2135" priority="141" stopIfTrue="1">
      <formula>ISERROR(H55)</formula>
    </cfRule>
  </conditionalFormatting>
  <conditionalFormatting sqref="I55">
    <cfRule type="expression" dxfId="2134" priority="138" stopIfTrue="1">
      <formula>ISERROR($G$123)</formula>
    </cfRule>
    <cfRule type="expression" dxfId="2133" priority="139" stopIfTrue="1">
      <formula>ISERROR(I55)</formula>
    </cfRule>
  </conditionalFormatting>
  <conditionalFormatting sqref="G147">
    <cfRule type="expression" dxfId="2132" priority="135" stopIfTrue="1">
      <formula>$E147=0</formula>
    </cfRule>
    <cfRule type="expression" dxfId="2131" priority="136" stopIfTrue="1">
      <formula>ISERROR(G147)</formula>
    </cfRule>
    <cfRule type="expression" dxfId="2130" priority="137" stopIfTrue="1">
      <formula>$E147&lt;&gt;0</formula>
    </cfRule>
  </conditionalFormatting>
  <conditionalFormatting sqref="G145">
    <cfRule type="expression" dxfId="2129" priority="132" stopIfTrue="1">
      <formula>AND(G144=0,G145=1,G146=1)</formula>
    </cfRule>
    <cfRule type="expression" dxfId="2128" priority="133" stopIfTrue="1">
      <formula>AND(G144=1,G146=1)</formula>
    </cfRule>
    <cfRule type="expression" dxfId="2127" priority="134" stopIfTrue="1">
      <formula>AND(G145=1,G144=0)</formula>
    </cfRule>
  </conditionalFormatting>
  <conditionalFormatting sqref="G146">
    <cfRule type="expression" dxfId="2126" priority="130" stopIfTrue="1">
      <formula>AND(G146=1,G145=1)</formula>
    </cfRule>
    <cfRule type="expression" dxfId="2125" priority="131" stopIfTrue="1">
      <formula>AND(G146=1,G145=0)</formula>
    </cfRule>
  </conditionalFormatting>
  <conditionalFormatting sqref="G144">
    <cfRule type="expression" dxfId="2124" priority="127" stopIfTrue="1">
      <formula>AND(G143=0,G144=1,G145=1)</formula>
    </cfRule>
    <cfRule type="expression" dxfId="2123" priority="128" stopIfTrue="1">
      <formula>AND(G143=1,G145=1)</formula>
    </cfRule>
    <cfRule type="expression" dxfId="2122" priority="129" stopIfTrue="1">
      <formula>AND(G144=1,G143=0)</formula>
    </cfRule>
  </conditionalFormatting>
  <conditionalFormatting sqref="G138:G143">
    <cfRule type="expression" dxfId="2121" priority="124" stopIfTrue="1">
      <formula>AND(G137=0,G138=1,G139=1)</formula>
    </cfRule>
    <cfRule type="expression" dxfId="2120" priority="125" stopIfTrue="1">
      <formula>AND(G137=1,G139=1)</formula>
    </cfRule>
    <cfRule type="expression" dxfId="2119" priority="126" stopIfTrue="1">
      <formula>AND(G138=1,G137=0)</formula>
    </cfRule>
  </conditionalFormatting>
  <conditionalFormatting sqref="G137">
    <cfRule type="expression" dxfId="2118" priority="122" stopIfTrue="1">
      <formula>AND(G137=1,G138=1)</formula>
    </cfRule>
    <cfRule type="expression" dxfId="2117" priority="123" stopIfTrue="1">
      <formula>AND(G137=1,G136=0)</formula>
    </cfRule>
  </conditionalFormatting>
  <conditionalFormatting sqref="G160">
    <cfRule type="expression" dxfId="2116" priority="119" stopIfTrue="1">
      <formula>$E160=0</formula>
    </cfRule>
    <cfRule type="expression" dxfId="2115" priority="120" stopIfTrue="1">
      <formula>ISERROR(G160)</formula>
    </cfRule>
    <cfRule type="expression" dxfId="2114" priority="121" stopIfTrue="1">
      <formula>$E160&lt;&gt;0</formula>
    </cfRule>
  </conditionalFormatting>
  <conditionalFormatting sqref="G158">
    <cfRule type="expression" dxfId="2113" priority="116" stopIfTrue="1">
      <formula>AND(G157=0,G158=1,G159=1)</formula>
    </cfRule>
    <cfRule type="expression" dxfId="2112" priority="117" stopIfTrue="1">
      <formula>AND(G157=1,G159=1)</formula>
    </cfRule>
    <cfRule type="expression" dxfId="2111" priority="118" stopIfTrue="1">
      <formula>AND(G158=1,G157=0)</formula>
    </cfRule>
  </conditionalFormatting>
  <conditionalFormatting sqref="G159">
    <cfRule type="expression" dxfId="2110" priority="114" stopIfTrue="1">
      <formula>AND(G159=1,G158=1)</formula>
    </cfRule>
    <cfRule type="expression" dxfId="2109" priority="115" stopIfTrue="1">
      <formula>AND(G159=1,G158=0)</formula>
    </cfRule>
  </conditionalFormatting>
  <conditionalFormatting sqref="G157">
    <cfRule type="expression" dxfId="2108" priority="111" stopIfTrue="1">
      <formula>AND(G156=0,G157=1,G158=1)</formula>
    </cfRule>
    <cfRule type="expression" dxfId="2107" priority="112" stopIfTrue="1">
      <formula>AND(G156=1,G158=1)</formula>
    </cfRule>
    <cfRule type="expression" dxfId="2106" priority="113" stopIfTrue="1">
      <formula>AND(G157=1,G156=0)</formula>
    </cfRule>
  </conditionalFormatting>
  <conditionalFormatting sqref="G151:G156">
    <cfRule type="expression" dxfId="2105" priority="108" stopIfTrue="1">
      <formula>AND(G150=0,G151=1,G152=1)</formula>
    </cfRule>
    <cfRule type="expression" dxfId="2104" priority="109" stopIfTrue="1">
      <formula>AND(G150=1,G152=1)</formula>
    </cfRule>
    <cfRule type="expression" dxfId="2103" priority="110" stopIfTrue="1">
      <formula>AND(G151=1,G150=0)</formula>
    </cfRule>
  </conditionalFormatting>
  <conditionalFormatting sqref="G150">
    <cfRule type="expression" dxfId="2102" priority="106" stopIfTrue="1">
      <formula>AND(G150=1,G151=1)</formula>
    </cfRule>
    <cfRule type="expression" dxfId="2101" priority="107" stopIfTrue="1">
      <formula>AND(G150=1,G149=0)</formula>
    </cfRule>
  </conditionalFormatting>
  <conditionalFormatting sqref="H147:M147">
    <cfRule type="expression" dxfId="2100" priority="103" stopIfTrue="1">
      <formula>$E147=0</formula>
    </cfRule>
    <cfRule type="expression" dxfId="2099" priority="104" stopIfTrue="1">
      <formula>ISERROR(H147)</formula>
    </cfRule>
    <cfRule type="expression" dxfId="2098" priority="105" stopIfTrue="1">
      <formula>$E147&lt;&gt;0</formula>
    </cfRule>
  </conditionalFormatting>
  <conditionalFormatting sqref="H145:M145">
    <cfRule type="expression" dxfId="2097" priority="100" stopIfTrue="1">
      <formula>AND(H144=0,H145=1,H146=1)</formula>
    </cfRule>
    <cfRule type="expression" dxfId="2096" priority="101" stopIfTrue="1">
      <formula>AND(H144=1,H146=1)</formula>
    </cfRule>
    <cfRule type="expression" dxfId="2095" priority="102" stopIfTrue="1">
      <formula>AND(H145=1,H144=0)</formula>
    </cfRule>
  </conditionalFormatting>
  <conditionalFormatting sqref="H146:M146">
    <cfRule type="expression" dxfId="2094" priority="98" stopIfTrue="1">
      <formula>AND(H146=1,H145=1)</formula>
    </cfRule>
    <cfRule type="expression" dxfId="2093" priority="99" stopIfTrue="1">
      <formula>AND(H146=1,H145=0)</formula>
    </cfRule>
  </conditionalFormatting>
  <conditionalFormatting sqref="H144:M144">
    <cfRule type="expression" dxfId="2092" priority="95" stopIfTrue="1">
      <formula>AND(H143=0,H144=1,H145=1)</formula>
    </cfRule>
    <cfRule type="expression" dxfId="2091" priority="96" stopIfTrue="1">
      <formula>AND(H143=1,H145=1)</formula>
    </cfRule>
    <cfRule type="expression" dxfId="2090" priority="97" stopIfTrue="1">
      <formula>AND(H144=1,H143=0)</formula>
    </cfRule>
  </conditionalFormatting>
  <conditionalFormatting sqref="H138:M143">
    <cfRule type="expression" dxfId="2089" priority="92" stopIfTrue="1">
      <formula>AND(H137=0,H138=1,H139=1)</formula>
    </cfRule>
    <cfRule type="expression" dxfId="2088" priority="93" stopIfTrue="1">
      <formula>AND(H137=1,H139=1)</formula>
    </cfRule>
    <cfRule type="expression" dxfId="2087" priority="94" stopIfTrue="1">
      <formula>AND(H138=1,H137=0)</formula>
    </cfRule>
  </conditionalFormatting>
  <conditionalFormatting sqref="H137:M137">
    <cfRule type="expression" dxfId="2086" priority="90" stopIfTrue="1">
      <formula>AND(H137=1,H138=1)</formula>
    </cfRule>
    <cfRule type="expression" dxfId="2085" priority="91" stopIfTrue="1">
      <formula>AND(H137=1,H136=0)</formula>
    </cfRule>
  </conditionalFormatting>
  <conditionalFormatting sqref="H160:M160">
    <cfRule type="expression" dxfId="2084" priority="87" stopIfTrue="1">
      <formula>$E160=0</formula>
    </cfRule>
    <cfRule type="expression" dxfId="2083" priority="88" stopIfTrue="1">
      <formula>ISERROR(H160)</formula>
    </cfRule>
    <cfRule type="expression" dxfId="2082" priority="89" stopIfTrue="1">
      <formula>$E160&lt;&gt;0</formula>
    </cfRule>
  </conditionalFormatting>
  <conditionalFormatting sqref="H158:M158">
    <cfRule type="expression" dxfId="2081" priority="84" stopIfTrue="1">
      <formula>AND(H157=0,H158=1,H159=1)</formula>
    </cfRule>
    <cfRule type="expression" dxfId="2080" priority="85" stopIfTrue="1">
      <formula>AND(H157=1,H159=1)</formula>
    </cfRule>
    <cfRule type="expression" dxfId="2079" priority="86" stopIfTrue="1">
      <formula>AND(H158=1,H157=0)</formula>
    </cfRule>
  </conditionalFormatting>
  <conditionalFormatting sqref="H159:M159">
    <cfRule type="expression" dxfId="2078" priority="82" stopIfTrue="1">
      <formula>AND(H159=1,H158=1)</formula>
    </cfRule>
    <cfRule type="expression" dxfId="2077" priority="83" stopIfTrue="1">
      <formula>AND(H159=1,H158=0)</formula>
    </cfRule>
  </conditionalFormatting>
  <conditionalFormatting sqref="H157:M157">
    <cfRule type="expression" dxfId="2076" priority="79" stopIfTrue="1">
      <formula>AND(H156=0,H157=1,H158=1)</formula>
    </cfRule>
    <cfRule type="expression" dxfId="2075" priority="80" stopIfTrue="1">
      <formula>AND(H156=1,H158=1)</formula>
    </cfRule>
    <cfRule type="expression" dxfId="2074" priority="81" stopIfTrue="1">
      <formula>AND(H157=1,H156=0)</formula>
    </cfRule>
  </conditionalFormatting>
  <conditionalFormatting sqref="H151:M156">
    <cfRule type="expression" dxfId="2073" priority="76" stopIfTrue="1">
      <formula>AND(H150=0,H151=1,H152=1)</formula>
    </cfRule>
    <cfRule type="expression" dxfId="2072" priority="77" stopIfTrue="1">
      <formula>AND(H150=1,H152=1)</formula>
    </cfRule>
    <cfRule type="expression" dxfId="2071" priority="78" stopIfTrue="1">
      <formula>AND(H151=1,H150=0)</formula>
    </cfRule>
  </conditionalFormatting>
  <conditionalFormatting sqref="H150:M150">
    <cfRule type="expression" dxfId="2070" priority="74" stopIfTrue="1">
      <formula>AND(H150=1,H151=1)</formula>
    </cfRule>
    <cfRule type="expression" dxfId="2069" priority="75" stopIfTrue="1">
      <formula>AND(H150=1,H149=0)</formula>
    </cfRule>
  </conditionalFormatting>
  <conditionalFormatting sqref="N133:O133 N135:O135">
    <cfRule type="containsBlanks" dxfId="2068" priority="73">
      <formula>LEN(TRIM(N133))=0</formula>
    </cfRule>
  </conditionalFormatting>
  <conditionalFormatting sqref="N132">
    <cfRule type="expression" dxfId="2067" priority="72">
      <formula>N133=""</formula>
    </cfRule>
  </conditionalFormatting>
  <conditionalFormatting sqref="N134">
    <cfRule type="expression" dxfId="2066" priority="71">
      <formula>N135=""</formula>
    </cfRule>
  </conditionalFormatting>
  <conditionalFormatting sqref="G173">
    <cfRule type="expression" dxfId="2065" priority="68" stopIfTrue="1">
      <formula>$E173=0</formula>
    </cfRule>
    <cfRule type="expression" dxfId="2064" priority="69" stopIfTrue="1">
      <formula>ISERROR(G173)</formula>
    </cfRule>
    <cfRule type="expression" dxfId="2063" priority="70" stopIfTrue="1">
      <formula>$E173&lt;&gt;0</formula>
    </cfRule>
  </conditionalFormatting>
  <conditionalFormatting sqref="G171">
    <cfRule type="expression" dxfId="2062" priority="62" stopIfTrue="1">
      <formula>AND(G170=0,G171=1,G172=1)</formula>
    </cfRule>
    <cfRule type="expression" dxfId="2061" priority="63" stopIfTrue="1">
      <formula>AND(G170=1,G172=1)</formula>
    </cfRule>
    <cfRule type="expression" dxfId="2060" priority="64" stopIfTrue="1">
      <formula>AND(G171=1,G170=0)</formula>
    </cfRule>
  </conditionalFormatting>
  <conditionalFormatting sqref="G170">
    <cfRule type="expression" dxfId="2059" priority="65" stopIfTrue="1">
      <formula>AND(G169=0,G170=1,G171=1)</formula>
    </cfRule>
    <cfRule type="expression" dxfId="2058" priority="66" stopIfTrue="1">
      <formula>AND(G169=1,G171=1)</formula>
    </cfRule>
    <cfRule type="expression" dxfId="2057" priority="67" stopIfTrue="1">
      <formula>AND(G170=1,G169=0)</formula>
    </cfRule>
  </conditionalFormatting>
  <conditionalFormatting sqref="G164:G169">
    <cfRule type="expression" dxfId="2056" priority="59" stopIfTrue="1">
      <formula>AND(G163=0,G164=1,G165=1)</formula>
    </cfRule>
    <cfRule type="expression" dxfId="2055" priority="60" stopIfTrue="1">
      <formula>AND(G163=1,G165=1)</formula>
    </cfRule>
    <cfRule type="expression" dxfId="2054" priority="61" stopIfTrue="1">
      <formula>AND(G164=1,G163=0)</formula>
    </cfRule>
  </conditionalFormatting>
  <conditionalFormatting sqref="G163">
    <cfRule type="expression" dxfId="2053" priority="57" stopIfTrue="1">
      <formula>AND(G163=1,G164=1)</formula>
    </cfRule>
    <cfRule type="expression" dxfId="2052" priority="58" stopIfTrue="1">
      <formula>AND(G163=1,G162=0)</formula>
    </cfRule>
  </conditionalFormatting>
  <conditionalFormatting sqref="G172">
    <cfRule type="expression" dxfId="2051" priority="55" stopIfTrue="1">
      <formula>AND(G172=1,G171=1)</formula>
    </cfRule>
    <cfRule type="expression" dxfId="2050" priority="56" stopIfTrue="1">
      <formula>AND(G172=1,G171=0)</formula>
    </cfRule>
  </conditionalFormatting>
  <conditionalFormatting sqref="H173:M173">
    <cfRule type="expression" dxfId="2049" priority="52" stopIfTrue="1">
      <formula>$E173=0</formula>
    </cfRule>
    <cfRule type="expression" dxfId="2048" priority="53" stopIfTrue="1">
      <formula>ISERROR(H173)</formula>
    </cfRule>
    <cfRule type="expression" dxfId="2047" priority="54" stopIfTrue="1">
      <formula>$E173&lt;&gt;0</formula>
    </cfRule>
  </conditionalFormatting>
  <conditionalFormatting sqref="H171:M171">
    <cfRule type="expression" dxfId="2046" priority="46" stopIfTrue="1">
      <formula>AND(H170=0,H171=1,H172=1)</formula>
    </cfRule>
    <cfRule type="expression" dxfId="2045" priority="47" stopIfTrue="1">
      <formula>AND(H170=1,H172=1)</formula>
    </cfRule>
    <cfRule type="expression" dxfId="2044" priority="48" stopIfTrue="1">
      <formula>AND(H171=1,H170=0)</formula>
    </cfRule>
  </conditionalFormatting>
  <conditionalFormatting sqref="H170:M170">
    <cfRule type="expression" dxfId="2043" priority="49" stopIfTrue="1">
      <formula>AND(H169=0,H170=1,H171=1)</formula>
    </cfRule>
    <cfRule type="expression" dxfId="2042" priority="50" stopIfTrue="1">
      <formula>AND(H169=1,H171=1)</formula>
    </cfRule>
    <cfRule type="expression" dxfId="2041" priority="51" stopIfTrue="1">
      <formula>AND(H170=1,H169=0)</formula>
    </cfRule>
  </conditionalFormatting>
  <conditionalFormatting sqref="H164:M169">
    <cfRule type="expression" dxfId="2040" priority="43" stopIfTrue="1">
      <formula>AND(H163=0,H164=1,H165=1)</formula>
    </cfRule>
    <cfRule type="expression" dxfId="2039" priority="44" stopIfTrue="1">
      <formula>AND(H163=1,H165=1)</formula>
    </cfRule>
    <cfRule type="expression" dxfId="2038" priority="45" stopIfTrue="1">
      <formula>AND(H164=1,H163=0)</formula>
    </cfRule>
  </conditionalFormatting>
  <conditionalFormatting sqref="H163:M163">
    <cfRule type="expression" dxfId="2037" priority="41" stopIfTrue="1">
      <formula>AND(H163=1,H164=1)</formula>
    </cfRule>
    <cfRule type="expression" dxfId="2036" priority="42" stopIfTrue="1">
      <formula>AND(H163=1,H162=0)</formula>
    </cfRule>
  </conditionalFormatting>
  <conditionalFormatting sqref="H172:M172">
    <cfRule type="expression" dxfId="2035" priority="39" stopIfTrue="1">
      <formula>AND(H172=1,H171=1)</formula>
    </cfRule>
    <cfRule type="expression" dxfId="2034" priority="40" stopIfTrue="1">
      <formula>AND(H172=1,H171=0)</formula>
    </cfRule>
  </conditionalFormatting>
  <conditionalFormatting sqref="E173:F173">
    <cfRule type="containsErrors" dxfId="2033" priority="38" stopIfTrue="1">
      <formula>ISERROR(E173)</formula>
    </cfRule>
  </conditionalFormatting>
  <conditionalFormatting sqref="AK8:AK38">
    <cfRule type="cellIs" dxfId="2032" priority="37" stopIfTrue="1" operator="equal">
      <formula>0</formula>
    </cfRule>
  </conditionalFormatting>
  <conditionalFormatting sqref="BA6:BG6">
    <cfRule type="cellIs" dxfId="2031" priority="35" stopIfTrue="1" operator="equal">
      <formula>$E$125</formula>
    </cfRule>
  </conditionalFormatting>
  <conditionalFormatting sqref="BA9:BG38 BB8:BG8">
    <cfRule type="cellIs" dxfId="2030" priority="34" stopIfTrue="1" operator="equal">
      <formula>0</formula>
    </cfRule>
  </conditionalFormatting>
  <conditionalFormatting sqref="BA8">
    <cfRule type="cellIs" dxfId="2029" priority="33" stopIfTrue="1" operator="equal">
      <formula>0</formula>
    </cfRule>
  </conditionalFormatting>
  <conditionalFormatting sqref="BA5:BG5">
    <cfRule type="cellIs" dxfId="2028" priority="32" stopIfTrue="1" operator="equal">
      <formula>$E$125</formula>
    </cfRule>
  </conditionalFormatting>
  <conditionalFormatting sqref="L3:N3">
    <cfRule type="cellIs" dxfId="2027" priority="31" stopIfTrue="1" operator="equal">
      <formula>0</formula>
    </cfRule>
  </conditionalFormatting>
  <conditionalFormatting sqref="BC3">
    <cfRule type="cellIs" dxfId="2026" priority="30" stopIfTrue="1" operator="equal">
      <formula>$E$125</formula>
    </cfRule>
  </conditionalFormatting>
  <conditionalFormatting sqref="BB66:BF66">
    <cfRule type="cellIs" dxfId="2025" priority="27" stopIfTrue="1" operator="equal">
      <formula>0</formula>
    </cfRule>
  </conditionalFormatting>
  <conditionalFormatting sqref="BB67:BF67">
    <cfRule type="cellIs" dxfId="2024" priority="26" stopIfTrue="1" operator="equal">
      <formula>0</formula>
    </cfRule>
  </conditionalFormatting>
  <conditionalFormatting sqref="BB64:BF64">
    <cfRule type="cellIs" dxfId="2023" priority="25" stopIfTrue="1" operator="equal">
      <formula>0</formula>
    </cfRule>
  </conditionalFormatting>
  <conditionalFormatting sqref="BB65:BF65">
    <cfRule type="cellIs" dxfId="2022" priority="24" stopIfTrue="1" operator="equal">
      <formula>0</formula>
    </cfRule>
  </conditionalFormatting>
  <conditionalFormatting sqref="BB63:BF63">
    <cfRule type="cellIs" dxfId="2021" priority="23" stopIfTrue="1" operator="equal">
      <formula>0</formula>
    </cfRule>
  </conditionalFormatting>
  <conditionalFormatting sqref="BA66">
    <cfRule type="cellIs" dxfId="2020" priority="22" stopIfTrue="1" operator="equal">
      <formula>0</formula>
    </cfRule>
  </conditionalFormatting>
  <conditionalFormatting sqref="BA67">
    <cfRule type="cellIs" dxfId="2019" priority="21" stopIfTrue="1" operator="equal">
      <formula>0</formula>
    </cfRule>
  </conditionalFormatting>
  <conditionalFormatting sqref="BA64">
    <cfRule type="cellIs" dxfId="2018" priority="20" stopIfTrue="1" operator="equal">
      <formula>0</formula>
    </cfRule>
  </conditionalFormatting>
  <conditionalFormatting sqref="BA65">
    <cfRule type="cellIs" dxfId="2017" priority="19" stopIfTrue="1" operator="equal">
      <formula>0</formula>
    </cfRule>
  </conditionalFormatting>
  <conditionalFormatting sqref="BA63">
    <cfRule type="cellIs" dxfId="2016" priority="18" stopIfTrue="1" operator="equal">
      <formula>0</formula>
    </cfRule>
  </conditionalFormatting>
  <conditionalFormatting sqref="BG66">
    <cfRule type="cellIs" dxfId="2015" priority="17" stopIfTrue="1" operator="equal">
      <formula>0</formula>
    </cfRule>
  </conditionalFormatting>
  <conditionalFormatting sqref="BG67">
    <cfRule type="cellIs" dxfId="2014" priority="16" stopIfTrue="1" operator="equal">
      <formula>0</formula>
    </cfRule>
  </conditionalFormatting>
  <conditionalFormatting sqref="BG64">
    <cfRule type="cellIs" dxfId="2013" priority="15" stopIfTrue="1" operator="equal">
      <formula>0</formula>
    </cfRule>
  </conditionalFormatting>
  <conditionalFormatting sqref="BG65">
    <cfRule type="cellIs" dxfId="2012" priority="14" stopIfTrue="1" operator="equal">
      <formula>0</formula>
    </cfRule>
  </conditionalFormatting>
  <conditionalFormatting sqref="BG63">
    <cfRule type="cellIs" dxfId="2011" priority="13" stopIfTrue="1" operator="equal">
      <formula>0</formula>
    </cfRule>
  </conditionalFormatting>
  <conditionalFormatting sqref="BB4:BG4">
    <cfRule type="cellIs" dxfId="2010" priority="12" stopIfTrue="1" operator="equal">
      <formula>0</formula>
    </cfRule>
  </conditionalFormatting>
  <conditionalFormatting sqref="BA4">
    <cfRule type="cellIs" dxfId="2009" priority="11" stopIfTrue="1" operator="equal">
      <formula>0</formula>
    </cfRule>
  </conditionalFormatting>
  <conditionalFormatting sqref="E8:F38">
    <cfRule type="expression" dxfId="2008" priority="3" stopIfTrue="1">
      <formula>$AE8=$AC$6</formula>
    </cfRule>
    <cfRule type="expression" dxfId="2007" priority="4" stopIfTrue="1">
      <formula>AND($AE8=0,$E8=0)</formula>
    </cfRule>
    <cfRule type="expression" dxfId="2006" priority="5" stopIfTrue="1">
      <formula>$AE8=0</formula>
    </cfRule>
  </conditionalFormatting>
  <conditionalFormatting sqref="G8:M38">
    <cfRule type="expression" dxfId="2005" priority="6" stopIfTrue="1">
      <formula>$AE8=$AC$6</formula>
    </cfRule>
    <cfRule type="expression" dxfId="2004" priority="7" stopIfTrue="1">
      <formula>OR($AE8=0,$E8=$E$129)</formula>
    </cfRule>
  </conditionalFormatting>
  <conditionalFormatting sqref="C8:D38">
    <cfRule type="expression" dxfId="2003" priority="2" stopIfTrue="1">
      <formula>$AE8=$AC$6</formula>
    </cfRule>
    <cfRule type="expression" dxfId="2002" priority="8" stopIfTrue="1">
      <formula>AND($L$199=0,OR($W8&lt;$B$129,$W8&gt;$B$130))</formula>
    </cfRule>
    <cfRule type="expression" dxfId="2001" priority="9" stopIfTrue="1">
      <formula>AND($AE8=0,$E8=0)</formula>
    </cfRule>
    <cfRule type="expression" dxfId="2000" priority="10" stopIfTrue="1">
      <formula>$AE8=0</formula>
    </cfRule>
  </conditionalFormatting>
  <conditionalFormatting sqref="N64">
    <cfRule type="expression" dxfId="1999"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A1:CY570"/>
  <sheetViews>
    <sheetView showGridLines="0" showRowColHeaders="0" zoomScaleNormal="100" workbookViewId="0">
      <selection activeCell="P5" sqref="P5:S5"/>
    </sheetView>
  </sheetViews>
  <sheetFormatPr defaultRowHeight="12.75" x14ac:dyDescent="0.2"/>
  <cols>
    <col min="1" max="1" width="8.5703125" style="4" customWidth="1"/>
    <col min="2" max="2" width="4.28515625" style="4" customWidth="1"/>
    <col min="3" max="3" width="2.7109375" style="4" customWidth="1"/>
    <col min="4" max="32" width="3.7109375" style="4" customWidth="1"/>
    <col min="33" max="33" width="12.85546875" style="4" customWidth="1"/>
    <col min="34" max="40" width="12.85546875" style="4" hidden="1" customWidth="1"/>
    <col min="41" max="56" width="11.42578125" style="4" hidden="1" customWidth="1"/>
    <col min="57" max="68" width="12.85546875" style="4" hidden="1" customWidth="1"/>
    <col min="69" max="69" width="8.5703125" style="4" hidden="1" customWidth="1"/>
    <col min="70" max="77" width="12.85546875" style="4" hidden="1" customWidth="1"/>
    <col min="78" max="79" width="1.42578125" style="4" hidden="1" customWidth="1"/>
    <col min="80" max="80" width="6.5703125" style="4" hidden="1" customWidth="1"/>
    <col min="81" max="85" width="12.85546875" style="4" hidden="1" customWidth="1"/>
    <col min="86" max="102" width="10.7109375" style="4" hidden="1" customWidth="1"/>
    <col min="103" max="103" width="9.140625" style="4" hidden="1" customWidth="1"/>
    <col min="104" max="16384" width="9.140625" style="4"/>
  </cols>
  <sheetData>
    <row r="1" spans="1:35" ht="7.5" customHeight="1" x14ac:dyDescent="0.2">
      <c r="A1" s="300"/>
      <c r="B1" s="69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2"/>
      <c r="AG1" s="696"/>
      <c r="AH1" s="696"/>
    </row>
    <row r="2" spans="1:35" ht="19.5" customHeight="1" x14ac:dyDescent="0.2">
      <c r="A2" s="2"/>
      <c r="B2" s="696"/>
      <c r="C2" s="19"/>
      <c r="D2" s="1070" t="str">
        <f>IMPOSTAZIONI!C74</f>
        <v>Inserisci la tua Ragione Sociale</v>
      </c>
      <c r="E2" s="1070"/>
      <c r="F2" s="1070"/>
      <c r="G2" s="1070"/>
      <c r="H2" s="1070"/>
      <c r="I2" s="1070"/>
      <c r="J2" s="1070"/>
      <c r="K2" s="1070"/>
      <c r="L2" s="1070"/>
      <c r="M2" s="1070"/>
      <c r="N2" s="1070"/>
      <c r="O2" s="1070"/>
      <c r="P2" s="1070"/>
      <c r="Q2" s="1072"/>
      <c r="R2" s="1072"/>
      <c r="S2" s="1073"/>
      <c r="T2" s="1073"/>
      <c r="U2" s="1073"/>
      <c r="V2" s="1073"/>
      <c r="W2" s="1073"/>
      <c r="X2" s="696"/>
      <c r="Y2" s="696"/>
      <c r="Z2" s="1074" t="s">
        <v>46</v>
      </c>
      <c r="AA2" s="2189" t="s">
        <v>255</v>
      </c>
      <c r="AB2" s="2190"/>
      <c r="AC2" s="2190"/>
      <c r="AD2" s="2190"/>
      <c r="AE2" s="2191"/>
      <c r="AF2" s="1075" t="str">
        <f>IF(AA2="","",UPPER(VLOOKUP(AA2,AH79:AJ90,3,FALSE)))</f>
        <v/>
      </c>
      <c r="AG2" s="2"/>
      <c r="AH2" s="696"/>
    </row>
    <row r="3" spans="1:35" ht="28.5" customHeight="1" x14ac:dyDescent="0.2">
      <c r="A3" s="2"/>
      <c r="B3" s="696"/>
      <c r="C3" s="19"/>
      <c r="D3" s="1071" t="s">
        <v>593</v>
      </c>
      <c r="E3" s="1071"/>
      <c r="F3" s="1071"/>
      <c r="G3" s="1071"/>
      <c r="H3" s="1071"/>
      <c r="I3" s="1071"/>
      <c r="J3" s="1071"/>
      <c r="K3" s="1071"/>
      <c r="L3" s="1071"/>
      <c r="M3" s="1071"/>
      <c r="N3" s="1071"/>
      <c r="O3" s="1071"/>
      <c r="P3" s="1071"/>
      <c r="Q3" s="1071"/>
      <c r="R3" s="1071"/>
      <c r="S3" s="1071"/>
      <c r="T3" s="1071"/>
      <c r="U3" s="1071"/>
      <c r="V3" s="1071"/>
      <c r="W3" s="1071"/>
      <c r="X3" s="553"/>
      <c r="Y3" s="553"/>
      <c r="Z3" s="553"/>
      <c r="AA3" s="553"/>
      <c r="AB3" s="553"/>
      <c r="AC3" s="553"/>
      <c r="AD3" s="553"/>
      <c r="AE3" s="553"/>
      <c r="AF3" s="553"/>
      <c r="AG3" s="696"/>
      <c r="AH3" s="696"/>
    </row>
    <row r="4" spans="1:35" ht="15.75" customHeight="1" x14ac:dyDescent="0.2">
      <c r="A4" s="2"/>
      <c r="B4" s="696"/>
      <c r="C4" s="696"/>
      <c r="D4" s="696"/>
      <c r="E4" s="696"/>
      <c r="F4" s="696"/>
      <c r="G4" s="696"/>
      <c r="H4" s="696"/>
      <c r="I4" s="696"/>
      <c r="J4" s="696"/>
      <c r="K4" s="696"/>
      <c r="L4" s="696"/>
      <c r="M4" s="696"/>
      <c r="N4" s="696"/>
      <c r="O4" s="696"/>
      <c r="P4" s="2197" t="s">
        <v>262</v>
      </c>
      <c r="Q4" s="2197"/>
      <c r="R4" s="2197"/>
      <c r="S4" s="2197"/>
      <c r="T4" s="696"/>
      <c r="U4" s="2197" t="str">
        <f>IF(O569=1,P4,UPPER(AI4))</f>
        <v>DISATTIVATO</v>
      </c>
      <c r="V4" s="2197"/>
      <c r="W4" s="2197"/>
      <c r="X4" s="2197"/>
      <c r="Y4" s="1059"/>
      <c r="Z4" s="1062" t="s">
        <v>635</v>
      </c>
      <c r="AA4" s="1063"/>
      <c r="AB4" s="1063"/>
      <c r="AC4" s="1063"/>
      <c r="AD4" s="1059"/>
      <c r="AE4" s="1059"/>
      <c r="AF4" s="1059"/>
      <c r="AG4" s="696"/>
      <c r="AH4" s="696"/>
      <c r="AI4" s="1121" t="str">
        <f>Presentazione!K158</f>
        <v>disattivato</v>
      </c>
    </row>
    <row r="5" spans="1:35" ht="19.5" customHeight="1" x14ac:dyDescent="0.2">
      <c r="A5" s="2"/>
      <c r="B5" s="2334" t="str">
        <f>RIEPILOGO!F168</f>
        <v>Registro Contabile Giornaliero 6.0.7 - per EXCEL .xlsm   -   www.marcopiccoli.it</v>
      </c>
      <c r="C5" s="1060"/>
      <c r="D5" s="1067" t="s">
        <v>589</v>
      </c>
      <c r="E5" s="1128"/>
      <c r="F5" s="1128"/>
      <c r="G5" s="1128"/>
      <c r="H5" s="1128"/>
      <c r="I5" s="1128"/>
      <c r="J5" s="1128"/>
      <c r="K5" s="1128"/>
      <c r="L5" s="1128"/>
      <c r="M5" s="1128"/>
      <c r="N5" s="1128"/>
      <c r="O5" s="1128"/>
      <c r="P5" s="2193">
        <v>45292</v>
      </c>
      <c r="Q5" s="2194"/>
      <c r="R5" s="2194"/>
      <c r="S5" s="2195"/>
      <c r="T5" s="1128"/>
      <c r="U5" s="2193"/>
      <c r="V5" s="2194"/>
      <c r="W5" s="2194"/>
      <c r="X5" s="2195"/>
      <c r="Y5" s="1064"/>
      <c r="Z5" s="2196" t="s">
        <v>513</v>
      </c>
      <c r="AA5" s="2196"/>
      <c r="AB5" s="2196"/>
      <c r="AC5" s="2196"/>
      <c r="AD5" s="2196"/>
      <c r="AE5" s="2196"/>
      <c r="AF5" s="1154"/>
      <c r="AG5" s="696"/>
      <c r="AH5" s="696"/>
    </row>
    <row r="6" spans="1:35" ht="26.25" customHeight="1" x14ac:dyDescent="0.2">
      <c r="A6" s="2"/>
      <c r="B6" s="2334"/>
      <c r="C6" s="696"/>
      <c r="D6" s="2198" t="s">
        <v>418</v>
      </c>
      <c r="E6" s="2198"/>
      <c r="F6" s="2198"/>
      <c r="G6" s="2198"/>
      <c r="H6" s="2198" t="s">
        <v>419</v>
      </c>
      <c r="I6" s="2198"/>
      <c r="J6" s="2198"/>
      <c r="K6" s="2198"/>
      <c r="L6" s="2198" t="s">
        <v>420</v>
      </c>
      <c r="M6" s="2198"/>
      <c r="N6" s="2198"/>
      <c r="O6" s="2198"/>
      <c r="P6" s="2198" t="s">
        <v>421</v>
      </c>
      <c r="Q6" s="2198"/>
      <c r="R6" s="2198"/>
      <c r="S6" s="2198"/>
      <c r="T6" s="2198" t="s">
        <v>422</v>
      </c>
      <c r="U6" s="2198"/>
      <c r="V6" s="2198"/>
      <c r="W6" s="2198"/>
      <c r="X6" s="2198" t="s">
        <v>423</v>
      </c>
      <c r="Y6" s="2198"/>
      <c r="Z6" s="2198"/>
      <c r="AA6" s="2198"/>
      <c r="AB6" s="2198" t="s">
        <v>424</v>
      </c>
      <c r="AC6" s="2198"/>
      <c r="AD6" s="2198"/>
      <c r="AE6" s="2198"/>
      <c r="AF6" s="2"/>
      <c r="AG6" s="696"/>
      <c r="AH6" s="696"/>
    </row>
    <row r="7" spans="1:35" ht="14.25" customHeight="1" x14ac:dyDescent="0.2">
      <c r="A7" s="2"/>
      <c r="B7" s="2334"/>
      <c r="C7" s="1304">
        <f>IF(AA2="",0,MONTH(P5))</f>
        <v>1</v>
      </c>
      <c r="D7" s="2199" t="str">
        <f>IF(OR(LEFT(D13,2)="..",D13=""),"",VLOOKUP(LEFT(D13,2),IMPOSTAZIONI!$B$8:$K$17,10,FALSE))</f>
        <v/>
      </c>
      <c r="E7" s="2200"/>
      <c r="F7" s="2200"/>
      <c r="G7" s="2201"/>
      <c r="H7" s="2199" t="str">
        <f>IF(OR(LEFT(H13,2)="..",H13=""),"",VLOOKUP(LEFT(H13,2),IMPOSTAZIONI!$B$8:$K$17,10,FALSE))</f>
        <v/>
      </c>
      <c r="I7" s="2200"/>
      <c r="J7" s="2200"/>
      <c r="K7" s="2201"/>
      <c r="L7" s="2199" t="str">
        <f>IF(OR(LEFT(L13,2)="..",L13=""),"",VLOOKUP(LEFT(L13,2),IMPOSTAZIONI!$B$8:$K$17,10,FALSE))</f>
        <v/>
      </c>
      <c r="M7" s="2200"/>
      <c r="N7" s="2200"/>
      <c r="O7" s="2201"/>
      <c r="P7" s="2199" t="str">
        <f>IF(OR(LEFT(P13,2)="..",P13=""),"",VLOOKUP(LEFT(P13,2),IMPOSTAZIONI!$B$8:$K$17,10,FALSE))</f>
        <v/>
      </c>
      <c r="Q7" s="2200"/>
      <c r="R7" s="2200"/>
      <c r="S7" s="2201"/>
      <c r="T7" s="2199" t="str">
        <f>IF(OR(LEFT(T13,2)="..",T13=""),"",VLOOKUP(LEFT(T13,2),IMPOSTAZIONI!$B$8:$K$17,10,FALSE))</f>
        <v/>
      </c>
      <c r="U7" s="2200"/>
      <c r="V7" s="2200"/>
      <c r="W7" s="2201"/>
      <c r="X7" s="2199" t="str">
        <f>IF(OR(LEFT(X13,2)="..",X13=""),"",VLOOKUP(LEFT(X13,2),IMPOSTAZIONI!$B$8:$K$17,10,FALSE))</f>
        <v/>
      </c>
      <c r="Y7" s="2200"/>
      <c r="Z7" s="2200"/>
      <c r="AA7" s="2201"/>
      <c r="AB7" s="2199" t="str">
        <f>IF(OR(LEFT(AB13,2)="..",AB13=""),"",VLOOKUP(LEFT(AB13,2),IMPOSTAZIONI!$B$8:$K$17,10,FALSE))</f>
        <v/>
      </c>
      <c r="AC7" s="2200"/>
      <c r="AD7" s="2200"/>
      <c r="AE7" s="2201"/>
      <c r="AF7" s="2"/>
      <c r="AG7" s="696"/>
      <c r="AH7" s="696"/>
    </row>
    <row r="8" spans="1:35" x14ac:dyDescent="0.2">
      <c r="A8" s="2"/>
      <c r="B8" s="2334"/>
      <c r="C8" s="1304">
        <f>IF(AA2="",0,VLOOKUP(AA2,AH79:AI90,2,FALSE))</f>
        <v>1</v>
      </c>
      <c r="D8" s="2202" t="str">
        <f>IF(OR(MID(D13,4,2)="..",D13=""),"",VLOOKUP(MID(D13,4,2),IMPOSTAZIONI!$R$132:$Y$141,8,FALSE))</f>
        <v/>
      </c>
      <c r="E8" s="2203"/>
      <c r="F8" s="2203"/>
      <c r="G8" s="2204"/>
      <c r="H8" s="2202" t="str">
        <f>IF(OR(MID(H13,4,2)="..",H13=""),"",VLOOKUP(MID(H13,4,2),IMPOSTAZIONI!$R$132:$Y$141,8,FALSE))</f>
        <v/>
      </c>
      <c r="I8" s="2203"/>
      <c r="J8" s="2203"/>
      <c r="K8" s="2204"/>
      <c r="L8" s="2202" t="str">
        <f>IF(OR(MID(L13,4,2)="..",L13=""),"",VLOOKUP(MID(L13,4,2),IMPOSTAZIONI!$R$132:$Y$141,8,FALSE))</f>
        <v/>
      </c>
      <c r="M8" s="2203"/>
      <c r="N8" s="2203"/>
      <c r="O8" s="2204"/>
      <c r="P8" s="2202" t="str">
        <f>IF(OR(MID(P13,4,2)="..",P13=""),"",VLOOKUP(MID(P13,4,2),IMPOSTAZIONI!$R$132:$Y$141,8,FALSE))</f>
        <v/>
      </c>
      <c r="Q8" s="2203"/>
      <c r="R8" s="2203"/>
      <c r="S8" s="2204"/>
      <c r="T8" s="2202" t="str">
        <f>IF(OR(MID(T13,4,2)="..",T13=""),"",VLOOKUP(MID(T13,4,2),IMPOSTAZIONI!$R$132:$Y$141,8,FALSE))</f>
        <v/>
      </c>
      <c r="U8" s="2203"/>
      <c r="V8" s="2203"/>
      <c r="W8" s="2204"/>
      <c r="X8" s="2202" t="str">
        <f>IF(OR(MID(X13,4,2)="..",X13=""),"",VLOOKUP(MID(X13,4,2),IMPOSTAZIONI!$R$132:$Y$141,8,FALSE))</f>
        <v/>
      </c>
      <c r="Y8" s="2203"/>
      <c r="Z8" s="2203"/>
      <c r="AA8" s="2204"/>
      <c r="AB8" s="2202" t="str">
        <f>IF(OR(MID(AB13,4,2)="..",AB13=""),"",VLOOKUP(MID(AB13,4,2),IMPOSTAZIONI!$R$132:$Y$141,8,FALSE))</f>
        <v/>
      </c>
      <c r="AC8" s="2203"/>
      <c r="AD8" s="2203"/>
      <c r="AE8" s="2204"/>
      <c r="AF8" s="2"/>
      <c r="AG8" s="696"/>
      <c r="AH8" s="696"/>
    </row>
    <row r="9" spans="1:35" ht="14.25" customHeight="1" x14ac:dyDescent="0.2">
      <c r="A9" s="2"/>
      <c r="B9" s="2334"/>
      <c r="C9" s="696"/>
      <c r="D9" s="2205" t="str">
        <f>IF(OR(RIGHT(D13,2)="..",D13=""),"",VLOOKUP(RIGHT(D13,2),IMPOSTAZIONI!$AF$8:$AG$14,2,FALSE))</f>
        <v/>
      </c>
      <c r="E9" s="2206"/>
      <c r="F9" s="2206"/>
      <c r="G9" s="2207"/>
      <c r="H9" s="2205" t="str">
        <f>IF(OR(RIGHT(H13,2)="..",H13=""),"",VLOOKUP(RIGHT(H13,2),IMPOSTAZIONI!$AF$8:$AG$14,2,FALSE))</f>
        <v/>
      </c>
      <c r="I9" s="2206"/>
      <c r="J9" s="2206"/>
      <c r="K9" s="2207"/>
      <c r="L9" s="2205" t="str">
        <f>IF(OR(RIGHT(L13,2)="..",L13=""),"",VLOOKUP(RIGHT(L13,2),IMPOSTAZIONI!$AF$8:$AG$14,2,FALSE))</f>
        <v/>
      </c>
      <c r="M9" s="2206"/>
      <c r="N9" s="2206"/>
      <c r="O9" s="2207"/>
      <c r="P9" s="2205" t="str">
        <f>IF(OR(RIGHT(P13,2)="..",P13=""),"",VLOOKUP(RIGHT(P13,2),IMPOSTAZIONI!$AF$8:$AG$14,2,FALSE))</f>
        <v/>
      </c>
      <c r="Q9" s="2206"/>
      <c r="R9" s="2206"/>
      <c r="S9" s="2207"/>
      <c r="T9" s="2205" t="str">
        <f>IF(OR(RIGHT(T13,2)="..",T13=""),"",VLOOKUP(RIGHT(T13,2),IMPOSTAZIONI!$AF$8:$AG$14,2,FALSE))</f>
        <v/>
      </c>
      <c r="U9" s="2206"/>
      <c r="V9" s="2206"/>
      <c r="W9" s="2207"/>
      <c r="X9" s="2205" t="str">
        <f>IF(OR(RIGHT(X13,2)="..",X13=""),"",VLOOKUP(RIGHT(X13,2),IMPOSTAZIONI!$AF$8:$AG$14,2,FALSE))</f>
        <v/>
      </c>
      <c r="Y9" s="2206"/>
      <c r="Z9" s="2206"/>
      <c r="AA9" s="2207"/>
      <c r="AB9" s="2205" t="str">
        <f>IF(OR(RIGHT(AB13,2)="..",AB13=""),"",VLOOKUP(RIGHT(AB13,2),IMPOSTAZIONI!$AF$8:$AG$14,2,FALSE))</f>
        <v/>
      </c>
      <c r="AC9" s="2206"/>
      <c r="AD9" s="2206"/>
      <c r="AE9" s="2207"/>
      <c r="AF9" s="2"/>
      <c r="AG9" s="696"/>
      <c r="AH9" s="696"/>
    </row>
    <row r="10" spans="1:35" ht="16.5" customHeight="1" x14ac:dyDescent="0.2">
      <c r="A10" s="2"/>
      <c r="B10" s="2334"/>
      <c r="C10" s="696"/>
      <c r="D10" s="2307">
        <f>IF(OR($C$8=0,$C$7=0,$C$8&lt;&gt;$C$7),0,VLOOKUP($C$8,IMPOSTAZIONI!$BD$289:$BK$300,2,FALSE))</f>
        <v>1000</v>
      </c>
      <c r="E10" s="2308"/>
      <c r="F10" s="2308"/>
      <c r="G10" s="2309"/>
      <c r="H10" s="2307">
        <f>IF(OR($C$8=0,$C$7=0,$C$8&lt;&gt;$C$7),0,VLOOKUP($C$8,IMPOSTAZIONI!$BD$289:$BK$300,3,FALSE))</f>
        <v>0</v>
      </c>
      <c r="I10" s="2308"/>
      <c r="J10" s="2308"/>
      <c r="K10" s="2309"/>
      <c r="L10" s="2307">
        <f>IF(OR($C$8=0,$C$7=0,$C$8&lt;&gt;$C$7),0,VLOOKUP($C$8,IMPOSTAZIONI!$BD$289:$BK$300,4,FALSE))</f>
        <v>0</v>
      </c>
      <c r="M10" s="2308"/>
      <c r="N10" s="2308"/>
      <c r="O10" s="2309"/>
      <c r="P10" s="2307">
        <f>IF(OR($C$8=0,$C$7=0,$C$8&lt;&gt;$C$7),0,VLOOKUP($C$8,IMPOSTAZIONI!$BD$289:$BK$300,5,FALSE))</f>
        <v>0</v>
      </c>
      <c r="Q10" s="2308"/>
      <c r="R10" s="2308"/>
      <c r="S10" s="2309"/>
      <c r="T10" s="2307">
        <f>IF(OR($C$8=0,$C$7=0,$C$8&lt;&gt;$C$7),0,VLOOKUP($C$8,IMPOSTAZIONI!$BD$289:$BK$300,6,FALSE))</f>
        <v>0</v>
      </c>
      <c r="U10" s="2308"/>
      <c r="V10" s="2308"/>
      <c r="W10" s="2309"/>
      <c r="X10" s="2307">
        <f>IF(OR($C$8=0,$C$7=0,$C$8&lt;&gt;$C$7),0,VLOOKUP($C$8,IMPOSTAZIONI!$BD$289:$BK$300,7,FALSE))</f>
        <v>0</v>
      </c>
      <c r="Y10" s="2308"/>
      <c r="Z10" s="2308"/>
      <c r="AA10" s="2309"/>
      <c r="AB10" s="2307">
        <f>IF(OR($C$8=0,$C$7=0,$C$8&lt;&gt;$C$7),0,VLOOKUP($C$8,IMPOSTAZIONI!$BD$289:$BK$300,8,FALSE))</f>
        <v>0</v>
      </c>
      <c r="AC10" s="2308"/>
      <c r="AD10" s="2308"/>
      <c r="AE10" s="2309"/>
      <c r="AF10" s="1169" t="str">
        <f>AE25</f>
        <v>EUR</v>
      </c>
      <c r="AG10" s="696"/>
      <c r="AH10" s="696"/>
    </row>
    <row r="11" spans="1:35" ht="15" customHeight="1" x14ac:dyDescent="0.2">
      <c r="A11" s="2"/>
      <c r="B11" s="2334"/>
      <c r="C11" s="696"/>
      <c r="D11" s="2310"/>
      <c r="E11" s="2311"/>
      <c r="F11" s="2311"/>
      <c r="G11" s="2312"/>
      <c r="H11" s="2310"/>
      <c r="I11" s="2311"/>
      <c r="J11" s="2311"/>
      <c r="K11" s="2312"/>
      <c r="L11" s="2310"/>
      <c r="M11" s="2311"/>
      <c r="N11" s="2311"/>
      <c r="O11" s="2312"/>
      <c r="P11" s="2310"/>
      <c r="Q11" s="2311"/>
      <c r="R11" s="2311"/>
      <c r="S11" s="2312"/>
      <c r="T11" s="2310"/>
      <c r="U11" s="2311"/>
      <c r="V11" s="2311"/>
      <c r="W11" s="2312"/>
      <c r="X11" s="2310"/>
      <c r="Y11" s="2311"/>
      <c r="Z11" s="2311"/>
      <c r="AA11" s="2312"/>
      <c r="AB11" s="2310"/>
      <c r="AC11" s="2311"/>
      <c r="AD11" s="2311"/>
      <c r="AE11" s="2312"/>
      <c r="AF11" s="2"/>
      <c r="AG11" s="696"/>
      <c r="AH11" s="696"/>
    </row>
    <row r="12" spans="1:35" ht="15" customHeight="1" x14ac:dyDescent="0.2">
      <c r="A12" s="2"/>
      <c r="B12" s="2334"/>
      <c r="C12" s="696"/>
      <c r="D12" s="2310"/>
      <c r="E12" s="2311"/>
      <c r="F12" s="2311"/>
      <c r="G12" s="2312"/>
      <c r="H12" s="2310"/>
      <c r="I12" s="2311"/>
      <c r="J12" s="2311"/>
      <c r="K12" s="2312"/>
      <c r="L12" s="2310"/>
      <c r="M12" s="2311"/>
      <c r="N12" s="2311"/>
      <c r="O12" s="2312"/>
      <c r="P12" s="2310"/>
      <c r="Q12" s="2311"/>
      <c r="R12" s="2311"/>
      <c r="S12" s="2312"/>
      <c r="T12" s="2310"/>
      <c r="U12" s="2311"/>
      <c r="V12" s="2311"/>
      <c r="W12" s="2312"/>
      <c r="X12" s="2310"/>
      <c r="Y12" s="2311"/>
      <c r="Z12" s="2311"/>
      <c r="AA12" s="2312"/>
      <c r="AB12" s="2310"/>
      <c r="AC12" s="2311"/>
      <c r="AD12" s="2311"/>
      <c r="AE12" s="2312"/>
      <c r="AF12" s="2"/>
      <c r="AG12" s="696"/>
      <c r="AH12" s="696"/>
    </row>
    <row r="13" spans="1:35" ht="20.25" customHeight="1" x14ac:dyDescent="0.2">
      <c r="A13" s="2"/>
      <c r="B13" s="2334"/>
      <c r="C13" s="19"/>
      <c r="D13" s="2116" t="str">
        <f>IF($C$8=0,"",VLOOKUP($C$8,IMPOSTAZIONI!$BD$276:$BK$287,2,FALSE))</f>
        <v>..-..-..</v>
      </c>
      <c r="E13" s="2116"/>
      <c r="F13" s="1375"/>
      <c r="G13" s="1375"/>
      <c r="H13" s="2116" t="str">
        <f>IF($C$8=0,"",VLOOKUP($C$8,IMPOSTAZIONI!$BD$276:$BK$287,3,FALSE))</f>
        <v>..-..-..</v>
      </c>
      <c r="I13" s="2116"/>
      <c r="J13" s="1375"/>
      <c r="K13" s="1375"/>
      <c r="L13" s="2116" t="str">
        <f>IF($C$8=0,"",VLOOKUP($C$8,IMPOSTAZIONI!$BD$276:$BK$287,4,FALSE))</f>
        <v>..-..-..</v>
      </c>
      <c r="M13" s="2116"/>
      <c r="N13" s="1375"/>
      <c r="O13" s="1375"/>
      <c r="P13" s="2116" t="str">
        <f>IF($C$8=0,"",VLOOKUP($C$8,IMPOSTAZIONI!$BD$276:$BK$287,5,FALSE))</f>
        <v>..-..-..</v>
      </c>
      <c r="Q13" s="2116"/>
      <c r="R13" s="1375"/>
      <c r="S13" s="1375"/>
      <c r="T13" s="2116" t="str">
        <f>IF($C$8=0,"",VLOOKUP($C$8,IMPOSTAZIONI!$BD$276:$BK$287,6,FALSE))</f>
        <v>..-..-..</v>
      </c>
      <c r="U13" s="2116"/>
      <c r="V13" s="1375"/>
      <c r="W13" s="1375"/>
      <c r="X13" s="2116" t="str">
        <f>IF($C$8=0,"",VLOOKUP($C$8,IMPOSTAZIONI!$BD$276:$BK$287,7,FALSE))</f>
        <v>..-..-..</v>
      </c>
      <c r="Y13" s="2116"/>
      <c r="Z13" s="1375"/>
      <c r="AA13" s="1375"/>
      <c r="AB13" s="2116" t="str">
        <f>IF($C$8=0,"",VLOOKUP($C$8,IMPOSTAZIONI!$BD$276:$BK$287,8,FALSE))</f>
        <v>..-..-..</v>
      </c>
      <c r="AC13" s="2116"/>
      <c r="AD13" s="1375"/>
      <c r="AE13" s="1375"/>
      <c r="AF13" s="696"/>
      <c r="AG13" s="696"/>
      <c r="AH13" s="696"/>
    </row>
    <row r="14" spans="1:35" ht="20.25" hidden="1" customHeight="1" x14ac:dyDescent="0.2">
      <c r="A14" s="2"/>
      <c r="B14" s="2334"/>
      <c r="C14" s="19"/>
      <c r="D14" s="2105" t="str">
        <f>CONCATENATE(D11,D12)</f>
        <v/>
      </c>
      <c r="E14" s="2106"/>
      <c r="F14" s="2106"/>
      <c r="G14" s="2107"/>
      <c r="H14" s="2105" t="str">
        <f t="shared" ref="H14" si="0">CONCATENATE(H11,H12)</f>
        <v/>
      </c>
      <c r="I14" s="2106"/>
      <c r="J14" s="2106"/>
      <c r="K14" s="2107"/>
      <c r="L14" s="2105" t="str">
        <f t="shared" ref="L14" si="1">CONCATENATE(L11,L12)</f>
        <v/>
      </c>
      <c r="M14" s="2106"/>
      <c r="N14" s="2106"/>
      <c r="O14" s="2107"/>
      <c r="P14" s="2105" t="str">
        <f t="shared" ref="P14" si="2">CONCATENATE(P11,P12)</f>
        <v/>
      </c>
      <c r="Q14" s="2106"/>
      <c r="R14" s="2106"/>
      <c r="S14" s="2107"/>
      <c r="T14" s="2105" t="str">
        <f t="shared" ref="T14" si="3">CONCATENATE(T11,T12)</f>
        <v/>
      </c>
      <c r="U14" s="2106"/>
      <c r="V14" s="2106"/>
      <c r="W14" s="2107"/>
      <c r="X14" s="2105" t="str">
        <f t="shared" ref="X14" si="4">CONCATENATE(X11,X12)</f>
        <v/>
      </c>
      <c r="Y14" s="2106"/>
      <c r="Z14" s="2106"/>
      <c r="AA14" s="2107"/>
      <c r="AB14" s="2105" t="str">
        <f t="shared" ref="AB14" si="5">CONCATENATE(AB11,AB12)</f>
        <v/>
      </c>
      <c r="AC14" s="2106"/>
      <c r="AD14" s="2106"/>
      <c r="AE14" s="2107"/>
      <c r="AF14" s="696"/>
      <c r="AG14" s="696"/>
      <c r="AH14" s="696"/>
    </row>
    <row r="15" spans="1:35" ht="6" hidden="1" customHeight="1" x14ac:dyDescent="0.2">
      <c r="B15" s="2334"/>
    </row>
    <row r="16" spans="1:35" ht="6" hidden="1" customHeight="1" x14ac:dyDescent="0.2">
      <c r="B16" s="2334"/>
    </row>
    <row r="17" spans="1:34" ht="6" hidden="1" customHeight="1" x14ac:dyDescent="0.2">
      <c r="B17" s="2334"/>
    </row>
    <row r="18" spans="1:34" ht="6" hidden="1" customHeight="1" x14ac:dyDescent="0.2">
      <c r="B18" s="2334"/>
    </row>
    <row r="19" spans="1:34" ht="6" hidden="1" customHeight="1" x14ac:dyDescent="0.2">
      <c r="B19" s="2334"/>
    </row>
    <row r="20" spans="1:34" ht="6" hidden="1" customHeight="1" x14ac:dyDescent="0.2">
      <c r="B20" s="2334"/>
    </row>
    <row r="21" spans="1:34" ht="6" hidden="1" customHeight="1" x14ac:dyDescent="0.2">
      <c r="B21" s="2334"/>
    </row>
    <row r="22" spans="1:34" ht="6" hidden="1" customHeight="1" x14ac:dyDescent="0.2">
      <c r="B22" s="2334"/>
    </row>
    <row r="23" spans="1:34" ht="6" hidden="1" customHeight="1" x14ac:dyDescent="0.2">
      <c r="B23" s="2334"/>
    </row>
    <row r="24" spans="1:34" ht="26.25" customHeight="1" x14ac:dyDescent="0.2">
      <c r="A24" s="2"/>
      <c r="B24" s="2334"/>
      <c r="C24" s="1059"/>
      <c r="D24" s="1059"/>
      <c r="E24" s="1059"/>
      <c r="F24" s="1059"/>
      <c r="G24" s="1059"/>
      <c r="H24" s="1059"/>
      <c r="I24" s="1059"/>
      <c r="J24" s="1059"/>
      <c r="K24" s="1059"/>
      <c r="L24" s="1059"/>
      <c r="M24" s="1059"/>
      <c r="N24" s="1059"/>
      <c r="O24" s="1059"/>
      <c r="P24" s="2323" t="str">
        <f>UPPER(W557)</f>
        <v>ENTATA MONETARIA</v>
      </c>
      <c r="Q24" s="2323"/>
      <c r="R24" s="2323"/>
      <c r="S24" s="2323"/>
      <c r="T24" s="2323"/>
      <c r="U24" s="2323" t="str">
        <f>UPPER(W558)</f>
        <v>USCITA MONETARIA</v>
      </c>
      <c r="V24" s="2323"/>
      <c r="W24" s="2323"/>
      <c r="X24" s="2323"/>
      <c r="Y24" s="2323"/>
      <c r="Z24" s="2324" t="str">
        <f>UPPER(W560)</f>
        <v>QUADRATURA ANALITICA</v>
      </c>
      <c r="AA24" s="2324"/>
      <c r="AB24" s="2324"/>
      <c r="AC24" s="2324"/>
      <c r="AD24" s="2324"/>
      <c r="AE24" s="1059"/>
      <c r="AF24" s="2"/>
      <c r="AG24" s="696"/>
      <c r="AH24" s="696"/>
    </row>
    <row r="25" spans="1:34" ht="19.5" customHeight="1" x14ac:dyDescent="0.2">
      <c r="A25" s="2"/>
      <c r="B25" s="2334"/>
      <c r="C25" s="1060"/>
      <c r="D25" s="1151" t="s">
        <v>592</v>
      </c>
      <c r="E25" s="1068"/>
      <c r="F25" s="1068"/>
      <c r="G25" s="1068"/>
      <c r="H25" s="1068"/>
      <c r="I25" s="1068"/>
      <c r="J25" s="1068"/>
      <c r="K25" s="2317">
        <f>D10+H10+L10+P10+T10+X10+AB10</f>
        <v>1000</v>
      </c>
      <c r="L25" s="2318"/>
      <c r="M25" s="2318"/>
      <c r="N25" s="2318"/>
      <c r="O25" s="2319"/>
      <c r="P25" s="2325">
        <f>SUMIF(D11:AE11,W557,D10:AE10)</f>
        <v>0</v>
      </c>
      <c r="Q25" s="2305"/>
      <c r="R25" s="2305"/>
      <c r="S25" s="2305"/>
      <c r="T25" s="2305"/>
      <c r="U25" s="2326">
        <f>SUMIF(D11:AE11,W558,D10:AE10)</f>
        <v>0</v>
      </c>
      <c r="V25" s="2305"/>
      <c r="W25" s="2305"/>
      <c r="X25" s="2305"/>
      <c r="Y25" s="2327"/>
      <c r="Z25" s="2305">
        <f>SUMIF(D12:AE12,W560,D10:AE10)</f>
        <v>0</v>
      </c>
      <c r="AA25" s="2305"/>
      <c r="AB25" s="2305"/>
      <c r="AC25" s="2305"/>
      <c r="AD25" s="2306"/>
      <c r="AE25" s="2208" t="str">
        <f>IMPOSTAZIONI!M82</f>
        <v>EUR</v>
      </c>
      <c r="AF25" s="2209"/>
      <c r="AG25" s="696"/>
      <c r="AH25" s="696"/>
    </row>
    <row r="26" spans="1:34" ht="7.5" customHeight="1" x14ac:dyDescent="0.2">
      <c r="A26" s="2"/>
      <c r="B26" s="2334"/>
      <c r="C26" s="1059"/>
      <c r="D26" s="1059"/>
      <c r="E26" s="1059"/>
      <c r="F26" s="1059"/>
      <c r="G26" s="1059"/>
      <c r="H26" s="1059"/>
      <c r="I26" s="1059"/>
      <c r="J26" s="1059"/>
      <c r="K26" s="1059"/>
      <c r="L26" s="1059"/>
      <c r="M26" s="1059"/>
      <c r="N26" s="1076"/>
      <c r="O26" s="1076"/>
      <c r="P26" s="1076"/>
      <c r="Q26" s="1076"/>
      <c r="R26" s="1059"/>
      <c r="S26" s="1059"/>
      <c r="T26" s="1059"/>
      <c r="U26" s="1059"/>
      <c r="V26" s="1059"/>
      <c r="W26" s="1059"/>
      <c r="X26" s="1059"/>
      <c r="Y26" s="1059"/>
      <c r="Z26" s="2"/>
      <c r="AA26" s="696"/>
      <c r="AB26" s="696"/>
      <c r="AC26" s="696"/>
      <c r="AD26" s="696"/>
      <c r="AE26" s="696"/>
      <c r="AF26" s="696"/>
      <c r="AG26" s="696"/>
      <c r="AH26" s="696"/>
    </row>
    <row r="27" spans="1:34" ht="18" customHeight="1" x14ac:dyDescent="0.2">
      <c r="A27" s="2"/>
      <c r="B27" s="2334"/>
      <c r="C27" s="1060"/>
      <c r="D27" s="1184" t="s">
        <v>594</v>
      </c>
      <c r="E27" s="696"/>
      <c r="F27" s="696"/>
      <c r="G27" s="696"/>
      <c r="H27" s="696"/>
      <c r="I27" s="696"/>
      <c r="J27" s="696"/>
      <c r="K27" s="696"/>
      <c r="L27" s="696"/>
      <c r="M27" s="696"/>
      <c r="N27" s="2176" t="s">
        <v>595</v>
      </c>
      <c r="O27" s="2176"/>
      <c r="P27" s="2176"/>
      <c r="Q27" s="2176"/>
      <c r="R27" s="696"/>
      <c r="S27" s="696"/>
      <c r="T27" s="1184" t="s">
        <v>623</v>
      </c>
      <c r="U27" s="696"/>
      <c r="V27" s="696"/>
      <c r="W27" s="696"/>
      <c r="X27" s="696"/>
      <c r="Y27" s="696"/>
      <c r="Z27" s="696"/>
      <c r="AA27" s="696"/>
      <c r="AB27" s="2192"/>
      <c r="AC27" s="2192"/>
      <c r="AD27" s="2192"/>
      <c r="AE27" s="2192"/>
      <c r="AF27" s="696"/>
      <c r="AG27" s="696"/>
      <c r="AH27" s="696"/>
    </row>
    <row r="28" spans="1:34" ht="15.75" customHeight="1" x14ac:dyDescent="0.2">
      <c r="A28" s="2"/>
      <c r="B28" s="2334"/>
      <c r="C28" s="5"/>
      <c r="D28" s="1164" t="s">
        <v>631</v>
      </c>
      <c r="E28" s="5"/>
      <c r="F28" s="5"/>
      <c r="G28" s="5"/>
      <c r="H28" s="5"/>
      <c r="I28" s="5"/>
      <c r="J28" s="5"/>
      <c r="K28" s="5"/>
      <c r="L28" s="5"/>
      <c r="M28" s="1077" t="s">
        <v>596</v>
      </c>
      <c r="N28" s="2127">
        <f>P25-U25</f>
        <v>0</v>
      </c>
      <c r="O28" s="2128"/>
      <c r="P28" s="2128"/>
      <c r="Q28" s="2129"/>
      <c r="R28" s="696"/>
      <c r="S28" s="696"/>
      <c r="T28" s="1164" t="s">
        <v>632</v>
      </c>
      <c r="U28" s="696"/>
      <c r="V28" s="696"/>
      <c r="W28" s="696"/>
      <c r="X28" s="696"/>
      <c r="Y28" s="696"/>
      <c r="Z28" s="696"/>
      <c r="AA28" s="1077" t="s">
        <v>596</v>
      </c>
      <c r="AB28" s="2127">
        <f>IF(AB27=AI61,P25,IF(AB27=AI62,U25,IF(AB27=AI63,Z25,0)))</f>
        <v>0</v>
      </c>
      <c r="AC28" s="2128"/>
      <c r="AD28" s="2128"/>
      <c r="AE28" s="2129"/>
      <c r="AF28" s="696"/>
      <c r="AG28" s="696"/>
      <c r="AH28" s="696"/>
    </row>
    <row r="29" spans="1:34" ht="15.75" customHeight="1" x14ac:dyDescent="0.2">
      <c r="A29" s="2"/>
      <c r="B29" s="2334"/>
      <c r="C29" s="1061"/>
      <c r="D29" s="2164"/>
      <c r="E29" s="2165"/>
      <c r="F29" s="2165"/>
      <c r="G29" s="2165"/>
      <c r="H29" s="2165"/>
      <c r="I29" s="2165"/>
      <c r="J29" s="2165"/>
      <c r="K29" s="2165"/>
      <c r="L29" s="2165"/>
      <c r="M29" s="2165"/>
      <c r="N29" s="2170"/>
      <c r="O29" s="2171"/>
      <c r="P29" s="2171"/>
      <c r="Q29" s="2172"/>
      <c r="R29" s="696"/>
      <c r="S29" s="696"/>
      <c r="T29" s="2164"/>
      <c r="U29" s="2165"/>
      <c r="V29" s="2165"/>
      <c r="W29" s="2165"/>
      <c r="X29" s="2165"/>
      <c r="Y29" s="2165"/>
      <c r="Z29" s="2165"/>
      <c r="AA29" s="2165"/>
      <c r="AB29" s="2170"/>
      <c r="AC29" s="2171"/>
      <c r="AD29" s="2171"/>
      <c r="AE29" s="2172"/>
      <c r="AF29" s="696"/>
      <c r="AG29" s="696"/>
      <c r="AH29" s="696"/>
    </row>
    <row r="30" spans="1:34" ht="15.75" customHeight="1" x14ac:dyDescent="0.2">
      <c r="A30" s="2"/>
      <c r="B30" s="2334"/>
      <c r="C30" s="1061"/>
      <c r="D30" s="2155"/>
      <c r="E30" s="2112"/>
      <c r="F30" s="2112"/>
      <c r="G30" s="2112"/>
      <c r="H30" s="2112"/>
      <c r="I30" s="2112"/>
      <c r="J30" s="2112"/>
      <c r="K30" s="2112"/>
      <c r="L30" s="2112"/>
      <c r="M30" s="2112"/>
      <c r="N30" s="2160"/>
      <c r="O30" s="2103"/>
      <c r="P30" s="2103"/>
      <c r="Q30" s="2161"/>
      <c r="R30" s="696"/>
      <c r="S30" s="696"/>
      <c r="T30" s="2155"/>
      <c r="U30" s="2112"/>
      <c r="V30" s="2112"/>
      <c r="W30" s="2112"/>
      <c r="X30" s="2112"/>
      <c r="Y30" s="2112"/>
      <c r="Z30" s="2112"/>
      <c r="AA30" s="2112"/>
      <c r="AB30" s="2160"/>
      <c r="AC30" s="2103"/>
      <c r="AD30" s="2103"/>
      <c r="AE30" s="2161"/>
      <c r="AF30" s="696"/>
      <c r="AG30" s="696"/>
      <c r="AH30" s="696"/>
    </row>
    <row r="31" spans="1:34" ht="15.75" customHeight="1" x14ac:dyDescent="0.2">
      <c r="A31" s="2"/>
      <c r="B31" s="2334"/>
      <c r="C31" s="1061"/>
      <c r="D31" s="2155"/>
      <c r="E31" s="2112"/>
      <c r="F31" s="2112"/>
      <c r="G31" s="2112"/>
      <c r="H31" s="2112"/>
      <c r="I31" s="2112"/>
      <c r="J31" s="2112"/>
      <c r="K31" s="2112"/>
      <c r="L31" s="2112"/>
      <c r="M31" s="2112"/>
      <c r="N31" s="2160"/>
      <c r="O31" s="2103"/>
      <c r="P31" s="2103"/>
      <c r="Q31" s="2161"/>
      <c r="R31" s="696"/>
      <c r="S31" s="696"/>
      <c r="T31" s="2155"/>
      <c r="U31" s="2112"/>
      <c r="V31" s="2112"/>
      <c r="W31" s="2112"/>
      <c r="X31" s="2112"/>
      <c r="Y31" s="2112"/>
      <c r="Z31" s="2112"/>
      <c r="AA31" s="2112"/>
      <c r="AB31" s="2160"/>
      <c r="AC31" s="2103"/>
      <c r="AD31" s="2103"/>
      <c r="AE31" s="2161"/>
      <c r="AF31" s="696"/>
      <c r="AG31" s="696"/>
      <c r="AH31" s="696"/>
    </row>
    <row r="32" spans="1:34" ht="15.75" customHeight="1" x14ac:dyDescent="0.2">
      <c r="A32" s="2"/>
      <c r="B32" s="2334"/>
      <c r="C32" s="1061"/>
      <c r="D32" s="2155"/>
      <c r="E32" s="2112"/>
      <c r="F32" s="2112"/>
      <c r="G32" s="2112"/>
      <c r="H32" s="2112"/>
      <c r="I32" s="2112"/>
      <c r="J32" s="2112"/>
      <c r="K32" s="2112"/>
      <c r="L32" s="2112"/>
      <c r="M32" s="2112"/>
      <c r="N32" s="2160"/>
      <c r="O32" s="2103"/>
      <c r="P32" s="2103"/>
      <c r="Q32" s="2161"/>
      <c r="R32" s="696"/>
      <c r="S32" s="696"/>
      <c r="T32" s="2155"/>
      <c r="U32" s="2112"/>
      <c r="V32" s="2112"/>
      <c r="W32" s="2112"/>
      <c r="X32" s="2112"/>
      <c r="Y32" s="2112"/>
      <c r="Z32" s="2112"/>
      <c r="AA32" s="2112"/>
      <c r="AB32" s="2160"/>
      <c r="AC32" s="2103"/>
      <c r="AD32" s="2103"/>
      <c r="AE32" s="2161"/>
      <c r="AF32" s="696"/>
      <c r="AG32" s="696"/>
      <c r="AH32" s="696"/>
    </row>
    <row r="33" spans="1:34" ht="15.75" customHeight="1" x14ac:dyDescent="0.2">
      <c r="A33" s="2"/>
      <c r="B33" s="2334"/>
      <c r="C33" s="1061"/>
      <c r="D33" s="2156"/>
      <c r="E33" s="2157"/>
      <c r="F33" s="2157"/>
      <c r="G33" s="2157"/>
      <c r="H33" s="2157"/>
      <c r="I33" s="2157"/>
      <c r="J33" s="2157"/>
      <c r="K33" s="2157"/>
      <c r="L33" s="2157"/>
      <c r="M33" s="2157"/>
      <c r="N33" s="2167"/>
      <c r="O33" s="2168"/>
      <c r="P33" s="2168"/>
      <c r="Q33" s="2169"/>
      <c r="R33" s="1126" t="str">
        <f>IF(SUM($R$34:$R$36,$AF$34:$AF$36)&gt;50,"ERR","doc")</f>
        <v>doc</v>
      </c>
      <c r="S33" s="696"/>
      <c r="T33" s="2156"/>
      <c r="U33" s="2157"/>
      <c r="V33" s="2157"/>
      <c r="W33" s="2157"/>
      <c r="X33" s="2157"/>
      <c r="Y33" s="2157"/>
      <c r="Z33" s="2157"/>
      <c r="AA33" s="2157"/>
      <c r="AB33" s="2167"/>
      <c r="AC33" s="2168"/>
      <c r="AD33" s="2168"/>
      <c r="AE33" s="2169"/>
      <c r="AF33" s="1126" t="str">
        <f>IF(SUM($R$34:$R$36,$AF$34:$AF$36)&gt;50,"ERR","doc")</f>
        <v>doc</v>
      </c>
      <c r="AG33" s="696"/>
      <c r="AH33" s="696"/>
    </row>
    <row r="34" spans="1:34" ht="15.75" customHeight="1" x14ac:dyDescent="0.2">
      <c r="A34" s="2"/>
      <c r="B34" s="2334"/>
      <c r="C34" s="1061"/>
      <c r="D34" s="2164"/>
      <c r="E34" s="2165"/>
      <c r="F34" s="2165"/>
      <c r="G34" s="2165"/>
      <c r="H34" s="2165"/>
      <c r="I34" s="2165"/>
      <c r="J34" s="2165"/>
      <c r="K34" s="2166"/>
      <c r="L34" s="2181"/>
      <c r="M34" s="2182"/>
      <c r="N34" s="2170"/>
      <c r="O34" s="2171"/>
      <c r="P34" s="2171"/>
      <c r="Q34" s="2172"/>
      <c r="R34" s="1178"/>
      <c r="S34" s="696"/>
      <c r="T34" s="2164"/>
      <c r="U34" s="2165"/>
      <c r="V34" s="2165"/>
      <c r="W34" s="2165"/>
      <c r="X34" s="2165"/>
      <c r="Y34" s="2166"/>
      <c r="Z34" s="2187" t="str">
        <f>CONCATENATE(LEFT(T34,4),".")</f>
        <v>.</v>
      </c>
      <c r="AA34" s="2188"/>
      <c r="AB34" s="2170"/>
      <c r="AC34" s="2171"/>
      <c r="AD34" s="2171"/>
      <c r="AE34" s="2172"/>
      <c r="AF34" s="1181"/>
      <c r="AG34" s="696"/>
      <c r="AH34" s="696"/>
    </row>
    <row r="35" spans="1:34" ht="15.75" customHeight="1" x14ac:dyDescent="0.2">
      <c r="A35" s="2"/>
      <c r="B35" s="2334"/>
      <c r="C35" s="1061"/>
      <c r="D35" s="2155"/>
      <c r="E35" s="2112"/>
      <c r="F35" s="2112"/>
      <c r="G35" s="2112"/>
      <c r="H35" s="2112"/>
      <c r="I35" s="2112"/>
      <c r="J35" s="2112"/>
      <c r="K35" s="2113"/>
      <c r="L35" s="2183"/>
      <c r="M35" s="2184"/>
      <c r="N35" s="2160"/>
      <c r="O35" s="2103"/>
      <c r="P35" s="2103"/>
      <c r="Q35" s="2161"/>
      <c r="R35" s="1179"/>
      <c r="S35" s="696"/>
      <c r="T35" s="2155"/>
      <c r="U35" s="2112"/>
      <c r="V35" s="2112"/>
      <c r="W35" s="2112"/>
      <c r="X35" s="2112"/>
      <c r="Y35" s="2113"/>
      <c r="Z35" s="2328" t="str">
        <f t="shared" ref="Z35:Z36" si="6">CONCATENATE(LEFT(T35,4),".")</f>
        <v>.</v>
      </c>
      <c r="AA35" s="2329"/>
      <c r="AB35" s="2160"/>
      <c r="AC35" s="2103"/>
      <c r="AD35" s="2103"/>
      <c r="AE35" s="2161"/>
      <c r="AF35" s="1179"/>
      <c r="AG35" s="696"/>
      <c r="AH35" s="696"/>
    </row>
    <row r="36" spans="1:34" ht="15.75" customHeight="1" x14ac:dyDescent="0.2">
      <c r="A36" s="2"/>
      <c r="B36" s="2334"/>
      <c r="C36" s="1061"/>
      <c r="D36" s="2156"/>
      <c r="E36" s="2157"/>
      <c r="F36" s="2157"/>
      <c r="G36" s="2157"/>
      <c r="H36" s="2157"/>
      <c r="I36" s="2157"/>
      <c r="J36" s="2157"/>
      <c r="K36" s="2158"/>
      <c r="L36" s="2185"/>
      <c r="M36" s="2186"/>
      <c r="N36" s="2167"/>
      <c r="O36" s="2168"/>
      <c r="P36" s="2168"/>
      <c r="Q36" s="2169"/>
      <c r="R36" s="1180"/>
      <c r="S36" s="696"/>
      <c r="T36" s="2156"/>
      <c r="U36" s="2157"/>
      <c r="V36" s="2157"/>
      <c r="W36" s="2157"/>
      <c r="X36" s="2157"/>
      <c r="Y36" s="2158"/>
      <c r="Z36" s="2330" t="str">
        <f t="shared" si="6"/>
        <v>.</v>
      </c>
      <c r="AA36" s="2331"/>
      <c r="AB36" s="2167"/>
      <c r="AC36" s="2168"/>
      <c r="AD36" s="2168"/>
      <c r="AE36" s="2169"/>
      <c r="AF36" s="1180"/>
      <c r="AG36" s="696"/>
      <c r="AH36" s="696"/>
    </row>
    <row r="37" spans="1:34" ht="5.25" customHeight="1" x14ac:dyDescent="0.2">
      <c r="A37" s="2"/>
      <c r="B37" s="2334"/>
      <c r="C37" s="1059"/>
      <c r="D37" s="1059"/>
      <c r="E37" s="1059"/>
      <c r="F37" s="1059"/>
      <c r="G37" s="1059"/>
      <c r="H37" s="1059"/>
      <c r="I37" s="1059"/>
      <c r="J37" s="1059"/>
      <c r="K37" s="1059"/>
      <c r="L37" s="1059"/>
      <c r="M37" s="1059"/>
      <c r="N37" s="1059"/>
      <c r="O37" s="1059"/>
      <c r="P37" s="1059"/>
      <c r="Q37" s="1059"/>
      <c r="R37" s="696"/>
      <c r="S37" s="696"/>
      <c r="T37" s="696"/>
      <c r="U37" s="696"/>
      <c r="V37" s="696"/>
      <c r="W37" s="696"/>
      <c r="X37" s="696"/>
      <c r="Y37" s="696"/>
      <c r="Z37" s="696"/>
      <c r="AA37" s="696"/>
      <c r="AB37" s="696"/>
      <c r="AC37" s="696"/>
      <c r="AD37" s="696"/>
      <c r="AE37" s="696"/>
      <c r="AF37" s="696"/>
      <c r="AG37" s="696"/>
      <c r="AH37" s="696"/>
    </row>
    <row r="38" spans="1:34" ht="15.75" customHeight="1" x14ac:dyDescent="0.2">
      <c r="A38" s="2"/>
      <c r="B38" s="2334"/>
      <c r="C38" s="1060"/>
      <c r="D38" s="1067"/>
      <c r="E38" s="1079"/>
      <c r="F38" s="1079"/>
      <c r="G38" s="1079"/>
      <c r="H38" s="1079"/>
      <c r="I38" s="1079"/>
      <c r="J38" s="1079"/>
      <c r="K38" s="1079"/>
      <c r="L38" s="1079"/>
      <c r="M38" s="1152" t="s">
        <v>597</v>
      </c>
      <c r="N38" s="2147">
        <f>SUM(N29:Q36)</f>
        <v>0</v>
      </c>
      <c r="O38" s="2148"/>
      <c r="P38" s="2148"/>
      <c r="Q38" s="2149"/>
      <c r="R38" s="696"/>
      <c r="S38" s="696"/>
      <c r="T38" s="696"/>
      <c r="U38" s="696"/>
      <c r="V38" s="696"/>
      <c r="W38" s="696"/>
      <c r="X38" s="696"/>
      <c r="Y38" s="696"/>
      <c r="Z38" s="696"/>
      <c r="AA38" s="1080" t="s">
        <v>598</v>
      </c>
      <c r="AB38" s="2147">
        <f>IF(OR($C$8=0,$C$7=0,$C$8&lt;&gt;$C$7),0,AB28-SUM(AB29:AE36))</f>
        <v>0</v>
      </c>
      <c r="AC38" s="2148"/>
      <c r="AD38" s="2148"/>
      <c r="AE38" s="2149"/>
      <c r="AF38" s="696"/>
      <c r="AG38" s="696"/>
      <c r="AH38" s="696"/>
    </row>
    <row r="39" spans="1:34" ht="15.75" customHeight="1" x14ac:dyDescent="0.2">
      <c r="A39" s="2"/>
      <c r="B39" s="2334"/>
      <c r="C39" s="1060"/>
      <c r="D39" s="1082"/>
      <c r="E39" s="1083"/>
      <c r="F39" s="1083"/>
      <c r="G39" s="1083"/>
      <c r="H39" s="1083"/>
      <c r="I39" s="1083"/>
      <c r="J39" s="1083"/>
      <c r="K39" s="1083"/>
      <c r="L39" s="1083"/>
      <c r="M39" s="1084" t="s">
        <v>599</v>
      </c>
      <c r="N39" s="2173">
        <f>IF(OR($C$8=0,$C$7=0,$C$8&lt;&gt;$C$7),0,N28-N38)</f>
        <v>0</v>
      </c>
      <c r="O39" s="2174"/>
      <c r="P39" s="2174"/>
      <c r="Q39" s="2175"/>
      <c r="R39" s="696"/>
      <c r="S39" s="696"/>
      <c r="T39" s="696"/>
      <c r="U39" s="696"/>
      <c r="V39" s="696"/>
      <c r="W39" s="696"/>
      <c r="X39" s="696"/>
      <c r="Y39" s="696"/>
      <c r="Z39" s="696"/>
      <c r="AA39" s="696"/>
      <c r="AB39" s="696"/>
      <c r="AC39" s="696"/>
      <c r="AD39" s="696"/>
      <c r="AE39" s="696"/>
      <c r="AF39" s="696"/>
      <c r="AG39" s="2"/>
      <c r="AH39" s="2"/>
    </row>
    <row r="40" spans="1:34" ht="18" customHeight="1" x14ac:dyDescent="0.2">
      <c r="A40" s="2"/>
      <c r="B40" s="2334"/>
      <c r="C40" s="1060"/>
      <c r="D40" s="1085" t="s">
        <v>600</v>
      </c>
      <c r="E40" s="1069"/>
      <c r="F40" s="1069"/>
      <c r="G40" s="1069"/>
      <c r="H40" s="1069"/>
      <c r="I40" s="1069"/>
      <c r="J40" s="1069"/>
      <c r="K40" s="1069"/>
      <c r="L40" s="1059"/>
      <c r="M40" s="1059"/>
      <c r="N40" s="1059"/>
      <c r="O40" s="1059"/>
      <c r="P40" s="1059"/>
      <c r="Q40" s="1059"/>
      <c r="R40" s="696"/>
      <c r="S40" s="696"/>
      <c r="T40" s="1184" t="s">
        <v>637</v>
      </c>
      <c r="U40" s="696"/>
      <c r="V40" s="696"/>
      <c r="W40" s="696"/>
      <c r="X40" s="696"/>
      <c r="Y40" s="696"/>
      <c r="Z40" s="696"/>
      <c r="AA40" s="696"/>
      <c r="AB40" s="2176" t="s">
        <v>616</v>
      </c>
      <c r="AC40" s="2176"/>
      <c r="AD40" s="2176"/>
      <c r="AE40" s="2176"/>
      <c r="AF40" s="696"/>
      <c r="AG40" s="2"/>
      <c r="AH40" s="2"/>
    </row>
    <row r="41" spans="1:34" ht="15.75" customHeight="1" x14ac:dyDescent="0.2">
      <c r="A41" s="2"/>
      <c r="B41" s="2334"/>
      <c r="C41" s="1060"/>
      <c r="D41" s="2177">
        <v>500</v>
      </c>
      <c r="E41" s="2178"/>
      <c r="F41" s="2179">
        <v>200</v>
      </c>
      <c r="G41" s="2180"/>
      <c r="H41" s="2179">
        <v>100</v>
      </c>
      <c r="I41" s="2178"/>
      <c r="J41" s="2179">
        <v>50</v>
      </c>
      <c r="K41" s="2178"/>
      <c r="L41" s="2179">
        <v>20</v>
      </c>
      <c r="M41" s="2178"/>
      <c r="N41" s="2179">
        <v>10</v>
      </c>
      <c r="O41" s="2178"/>
      <c r="P41" s="2179">
        <v>5</v>
      </c>
      <c r="Q41" s="2224"/>
      <c r="R41" s="696"/>
      <c r="S41" s="696"/>
      <c r="T41" s="696"/>
      <c r="U41" s="696"/>
      <c r="V41" s="696"/>
      <c r="W41" s="696"/>
      <c r="X41" s="696"/>
      <c r="Y41" s="696"/>
      <c r="Z41" s="696"/>
      <c r="AA41" s="1077" t="s">
        <v>596</v>
      </c>
      <c r="AB41" s="2225"/>
      <c r="AC41" s="2226"/>
      <c r="AD41" s="2226"/>
      <c r="AE41" s="2227"/>
      <c r="AF41" s="1126" t="str">
        <f>IF(SUM(AF42:AF47)&gt;48,"ERR","doc")</f>
        <v>doc</v>
      </c>
      <c r="AG41" s="696"/>
      <c r="AH41" s="696"/>
    </row>
    <row r="42" spans="1:34" ht="15.75" customHeight="1" x14ac:dyDescent="0.2">
      <c r="A42" s="2"/>
      <c r="B42" s="2334"/>
      <c r="C42" s="1153" t="s">
        <v>624</v>
      </c>
      <c r="D42" s="2163"/>
      <c r="E42" s="2151"/>
      <c r="F42" s="2150"/>
      <c r="G42" s="2340"/>
      <c r="H42" s="2150"/>
      <c r="I42" s="2151"/>
      <c r="J42" s="2150"/>
      <c r="K42" s="2151"/>
      <c r="L42" s="2150"/>
      <c r="M42" s="2151"/>
      <c r="N42" s="2150"/>
      <c r="O42" s="2151"/>
      <c r="P42" s="2150"/>
      <c r="Q42" s="2154"/>
      <c r="R42" s="696"/>
      <c r="S42" s="696"/>
      <c r="T42" s="696"/>
      <c r="U42" s="2164"/>
      <c r="V42" s="2165"/>
      <c r="W42" s="2165"/>
      <c r="X42" s="2165"/>
      <c r="Y42" s="2165"/>
      <c r="Z42" s="2166"/>
      <c r="AA42" s="1174" t="s">
        <v>242</v>
      </c>
      <c r="AB42" s="2170"/>
      <c r="AC42" s="2171"/>
      <c r="AD42" s="2171"/>
      <c r="AE42" s="2172"/>
      <c r="AF42" s="1178"/>
      <c r="AG42" s="696"/>
      <c r="AH42" s="696"/>
    </row>
    <row r="43" spans="1:34" ht="15.75" customHeight="1" x14ac:dyDescent="0.2">
      <c r="A43" s="2"/>
      <c r="B43" s="2334"/>
      <c r="C43" s="1060"/>
      <c r="D43" s="1085" t="s">
        <v>601</v>
      </c>
      <c r="E43" s="1063"/>
      <c r="F43" s="1063"/>
      <c r="G43" s="1063"/>
      <c r="H43" s="1063"/>
      <c r="I43" s="1063"/>
      <c r="J43" s="1063"/>
      <c r="K43" s="1063"/>
      <c r="L43" s="1063"/>
      <c r="M43" s="1063"/>
      <c r="N43" s="1063"/>
      <c r="O43" s="1063"/>
      <c r="P43" s="1063"/>
      <c r="Q43" s="1063"/>
      <c r="R43" s="696"/>
      <c r="S43" s="696"/>
      <c r="T43" s="696"/>
      <c r="U43" s="2155"/>
      <c r="V43" s="2112"/>
      <c r="W43" s="2112"/>
      <c r="X43" s="2112"/>
      <c r="Y43" s="2112"/>
      <c r="Z43" s="2113"/>
      <c r="AA43" s="1175" t="s">
        <v>216</v>
      </c>
      <c r="AB43" s="2160"/>
      <c r="AC43" s="2103"/>
      <c r="AD43" s="2103"/>
      <c r="AE43" s="2161"/>
      <c r="AF43" s="1182"/>
      <c r="AG43" s="2"/>
      <c r="AH43" s="2"/>
    </row>
    <row r="44" spans="1:34" ht="15.75" customHeight="1" x14ac:dyDescent="0.2">
      <c r="A44" s="2"/>
      <c r="B44" s="2334"/>
      <c r="C44" s="1060"/>
      <c r="D44" s="2162">
        <v>2</v>
      </c>
      <c r="E44" s="2153"/>
      <c r="F44" s="2152">
        <v>1</v>
      </c>
      <c r="G44" s="2153"/>
      <c r="H44" s="2152">
        <v>0.5</v>
      </c>
      <c r="I44" s="2153"/>
      <c r="J44" s="2152">
        <v>0.2</v>
      </c>
      <c r="K44" s="2153"/>
      <c r="L44" s="2152">
        <v>0.1</v>
      </c>
      <c r="M44" s="2153"/>
      <c r="N44" s="2152">
        <v>0.05</v>
      </c>
      <c r="O44" s="2153"/>
      <c r="P44" s="2152">
        <v>0.02</v>
      </c>
      <c r="Q44" s="2153"/>
      <c r="R44" s="2152">
        <v>0.01</v>
      </c>
      <c r="S44" s="2159"/>
      <c r="T44" s="696"/>
      <c r="U44" s="2155"/>
      <c r="V44" s="2112"/>
      <c r="W44" s="2112"/>
      <c r="X44" s="2112"/>
      <c r="Y44" s="2112"/>
      <c r="Z44" s="2113"/>
      <c r="AA44" s="1175" t="s">
        <v>217</v>
      </c>
      <c r="AB44" s="2160"/>
      <c r="AC44" s="2103"/>
      <c r="AD44" s="2103"/>
      <c r="AE44" s="2161"/>
      <c r="AF44" s="1182"/>
      <c r="AG44" s="2"/>
      <c r="AH44" s="2"/>
    </row>
    <row r="45" spans="1:34" ht="15.75" customHeight="1" x14ac:dyDescent="0.2">
      <c r="A45" s="2"/>
      <c r="B45" s="2334"/>
      <c r="C45" s="1153" t="s">
        <v>624</v>
      </c>
      <c r="D45" s="2163"/>
      <c r="E45" s="2151"/>
      <c r="F45" s="2150"/>
      <c r="G45" s="2151"/>
      <c r="H45" s="2150"/>
      <c r="I45" s="2151"/>
      <c r="J45" s="2150"/>
      <c r="K45" s="2151"/>
      <c r="L45" s="2150"/>
      <c r="M45" s="2151"/>
      <c r="N45" s="2150"/>
      <c r="O45" s="2151"/>
      <c r="P45" s="2150"/>
      <c r="Q45" s="2151"/>
      <c r="R45" s="2150"/>
      <c r="S45" s="2154"/>
      <c r="T45" s="696"/>
      <c r="U45" s="2155"/>
      <c r="V45" s="2112"/>
      <c r="W45" s="2112"/>
      <c r="X45" s="2112"/>
      <c r="Y45" s="2112"/>
      <c r="Z45" s="2113"/>
      <c r="AA45" s="1175" t="s">
        <v>618</v>
      </c>
      <c r="AB45" s="2160"/>
      <c r="AC45" s="2103"/>
      <c r="AD45" s="2103"/>
      <c r="AE45" s="2161"/>
      <c r="AF45" s="1182"/>
      <c r="AG45" s="2"/>
      <c r="AH45" s="2"/>
    </row>
    <row r="46" spans="1:34" ht="15.75" customHeight="1" x14ac:dyDescent="0.2">
      <c r="A46" s="2"/>
      <c r="B46" s="2334"/>
      <c r="C46" s="1059"/>
      <c r="D46" s="1059"/>
      <c r="E46" s="1059"/>
      <c r="F46" s="1059"/>
      <c r="G46" s="1059"/>
      <c r="H46" s="1059"/>
      <c r="I46" s="1059"/>
      <c r="J46" s="1059"/>
      <c r="K46" s="1059"/>
      <c r="L46" s="1059"/>
      <c r="M46" s="1059"/>
      <c r="N46" s="1059"/>
      <c r="O46" s="1059"/>
      <c r="P46" s="1059"/>
      <c r="Q46" s="1059"/>
      <c r="R46" s="1059"/>
      <c r="T46" s="696"/>
      <c r="U46" s="2155"/>
      <c r="V46" s="2112"/>
      <c r="W46" s="2112"/>
      <c r="X46" s="2112"/>
      <c r="Y46" s="2112"/>
      <c r="Z46" s="2113"/>
      <c r="AA46" s="1175" t="s">
        <v>310</v>
      </c>
      <c r="AB46" s="2160"/>
      <c r="AC46" s="2103"/>
      <c r="AD46" s="2103"/>
      <c r="AE46" s="2161"/>
      <c r="AF46" s="1182"/>
      <c r="AG46" s="2"/>
      <c r="AH46" s="2"/>
    </row>
    <row r="47" spans="1:34" ht="15.75" customHeight="1" x14ac:dyDescent="0.2">
      <c r="A47" s="2"/>
      <c r="B47" s="2334"/>
      <c r="C47" s="1059"/>
      <c r="D47" s="2277" t="s">
        <v>626</v>
      </c>
      <c r="E47" s="2278"/>
      <c r="F47" s="2278"/>
      <c r="G47" s="2279"/>
      <c r="H47" s="2277" t="s">
        <v>627</v>
      </c>
      <c r="I47" s="2280"/>
      <c r="J47" s="2280"/>
      <c r="K47" s="2281"/>
      <c r="L47" s="2282" t="s">
        <v>625</v>
      </c>
      <c r="M47" s="2283"/>
      <c r="N47" s="2283"/>
      <c r="O47" s="2284"/>
      <c r="P47" s="2277" t="s">
        <v>143</v>
      </c>
      <c r="Q47" s="2280"/>
      <c r="R47" s="2280"/>
      <c r="S47" s="2281"/>
      <c r="T47" s="696"/>
      <c r="U47" s="2156"/>
      <c r="V47" s="2157"/>
      <c r="W47" s="2157"/>
      <c r="X47" s="2157"/>
      <c r="Y47" s="2157"/>
      <c r="Z47" s="2158"/>
      <c r="AA47" s="1176" t="s">
        <v>619</v>
      </c>
      <c r="AB47" s="2167"/>
      <c r="AC47" s="2168"/>
      <c r="AD47" s="2168"/>
      <c r="AE47" s="2169"/>
      <c r="AF47" s="1183"/>
      <c r="AG47" s="2"/>
      <c r="AH47" s="2"/>
    </row>
    <row r="48" spans="1:34" ht="15.75" customHeight="1" x14ac:dyDescent="0.2">
      <c r="A48" s="2"/>
      <c r="B48" s="2334"/>
      <c r="C48" s="1059"/>
      <c r="D48" s="2292">
        <f>IF(OR($C$8=0,$C$7=0,$C$8&lt;&gt;$C$7),0,(D42*D41)+(F42*F41)+(H42*H41)+(J42*J41)+(L42*L41)+(N42*N41)+(P42*P41))</f>
        <v>0</v>
      </c>
      <c r="E48" s="2293"/>
      <c r="F48" s="2293"/>
      <c r="G48" s="2294"/>
      <c r="H48" s="2295">
        <f>IF(OR($C$8=0,$C$7=0,$C$8&lt;&gt;$C$7),0,(D45*D44)+(F45*F44)+(H45*H44)+(J45*J44)+(L45*L44)+(N45*N44)+(P45*P44)+(R45*R44))</f>
        <v>0</v>
      </c>
      <c r="I48" s="2296"/>
      <c r="J48" s="2296"/>
      <c r="K48" s="2297"/>
      <c r="L48" s="2298">
        <f>D48+H48</f>
        <v>0</v>
      </c>
      <c r="M48" s="2299"/>
      <c r="N48" s="2299"/>
      <c r="O48" s="2300"/>
      <c r="P48" s="2295">
        <f>(N39*-1)+D48+H48</f>
        <v>0</v>
      </c>
      <c r="Q48" s="2296"/>
      <c r="R48" s="2296"/>
      <c r="S48" s="2297"/>
      <c r="T48" s="696"/>
      <c r="U48" s="1164" t="s">
        <v>633</v>
      </c>
      <c r="V48" s="696"/>
      <c r="W48" s="696"/>
      <c r="X48" s="696"/>
      <c r="Y48" s="696"/>
      <c r="Z48" s="696"/>
      <c r="AA48" s="1080" t="s">
        <v>598</v>
      </c>
      <c r="AB48" s="2147">
        <f>IF(OR($C$8=0,$C$7=0,$C$8&lt;&gt;$C$7),0,AB41-SUM(AB42:AE47))</f>
        <v>0</v>
      </c>
      <c r="AC48" s="2148"/>
      <c r="AD48" s="2148"/>
      <c r="AE48" s="2149"/>
      <c r="AF48" s="1127" t="str">
        <f>$AE$25</f>
        <v>EUR</v>
      </c>
      <c r="AG48" s="2"/>
      <c r="AH48" s="2"/>
    </row>
    <row r="49" spans="1:42" ht="15.75" customHeight="1" x14ac:dyDescent="0.2">
      <c r="A49" s="2"/>
      <c r="B49" s="2334"/>
      <c r="C49" s="1059"/>
      <c r="D49" s="1059"/>
      <c r="E49" s="1059"/>
      <c r="F49" s="1059"/>
      <c r="G49" s="1059"/>
      <c r="H49" s="1059"/>
      <c r="I49" s="1059"/>
      <c r="J49" s="1059"/>
      <c r="K49" s="1059"/>
      <c r="L49" s="1059"/>
      <c r="M49" s="1059"/>
      <c r="N49" s="1059"/>
      <c r="O49" s="1059"/>
      <c r="P49" s="1059"/>
      <c r="Q49" s="1059"/>
      <c r="R49" s="1059"/>
      <c r="S49" s="1086"/>
      <c r="T49" s="1087"/>
      <c r="U49" s="1088"/>
      <c r="V49" s="1088"/>
      <c r="W49" s="1088"/>
      <c r="X49" s="1059"/>
      <c r="Y49" s="1059"/>
      <c r="Z49" s="1059"/>
      <c r="AA49" s="1059"/>
      <c r="AB49" s="1059"/>
      <c r="AC49" s="1059"/>
      <c r="AD49" s="1059"/>
      <c r="AE49" s="1059"/>
      <c r="AF49" s="2"/>
      <c r="AG49" s="2"/>
      <c r="AH49" s="2"/>
    </row>
    <row r="50" spans="1:42" ht="15.75" customHeight="1" x14ac:dyDescent="0.2">
      <c r="A50" s="2"/>
      <c r="B50" s="2334"/>
      <c r="C50" s="1060"/>
      <c r="D50" s="2335" t="s">
        <v>265</v>
      </c>
      <c r="E50" s="2336"/>
      <c r="F50" s="2336"/>
      <c r="G50" s="2336"/>
      <c r="H50" s="2336"/>
      <c r="I50" s="2336"/>
      <c r="J50" s="2254"/>
      <c r="K50" s="2254"/>
      <c r="L50" s="2254"/>
      <c r="M50" s="2255"/>
      <c r="N50" s="2337">
        <f>IF(OR($C$8=0,$C$7=0,$C$8&lt;&gt;$C$7),0,P48-J50)</f>
        <v>0</v>
      </c>
      <c r="O50" s="2338"/>
      <c r="P50" s="2338"/>
      <c r="Q50" s="2339"/>
      <c r="R50" s="1066" t="str">
        <f>IF(ROUND(N50,2)=0,N566,IF(N50&gt;0,N565,N564))</f>
        <v>OK</v>
      </c>
      <c r="S50" s="20"/>
      <c r="T50" s="20"/>
      <c r="U50" s="20"/>
      <c r="V50" s="20"/>
      <c r="W50" s="20"/>
      <c r="X50" s="20"/>
      <c r="Y50" s="20"/>
      <c r="Z50" s="20"/>
      <c r="AA50" s="20"/>
      <c r="AB50" s="20"/>
      <c r="AC50" s="20"/>
      <c r="AD50" s="20"/>
      <c r="AE50" s="20"/>
      <c r="AF50" s="1155"/>
      <c r="AG50" s="2"/>
      <c r="AH50" s="2"/>
    </row>
    <row r="51" spans="1:42" ht="24.75" customHeight="1" x14ac:dyDescent="0.2">
      <c r="A51" s="2"/>
      <c r="B51" s="1078"/>
      <c r="C51" s="19"/>
      <c r="D51" s="2332" t="s">
        <v>266</v>
      </c>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3"/>
      <c r="AA51" s="75"/>
      <c r="AB51" s="75"/>
      <c r="AC51" s="75"/>
      <c r="AD51" s="75"/>
      <c r="AE51" s="19"/>
      <c r="AF51" s="2"/>
      <c r="AG51" s="2"/>
      <c r="AH51" s="2"/>
    </row>
    <row r="52" spans="1:42" ht="19.5" customHeight="1" x14ac:dyDescent="0.2">
      <c r="A52" s="2"/>
      <c r="B52" s="1078"/>
      <c r="C52" s="2"/>
      <c r="D52" s="2286"/>
      <c r="E52" s="2286"/>
      <c r="F52" s="2286"/>
      <c r="G52" s="2286"/>
      <c r="H52" s="2286"/>
      <c r="I52" s="2286"/>
      <c r="J52" s="2286"/>
      <c r="K52" s="2286"/>
      <c r="L52" s="2286"/>
      <c r="M52" s="2286"/>
      <c r="N52" s="2286"/>
      <c r="O52" s="2286"/>
      <c r="P52" s="2286"/>
      <c r="Q52" s="2286"/>
      <c r="R52" s="2286"/>
      <c r="S52" s="2286"/>
      <c r="T52" s="2286"/>
      <c r="U52" s="2286"/>
      <c r="V52" s="2286"/>
      <c r="W52" s="2286"/>
      <c r="X52" s="2286"/>
      <c r="Y52" s="2286"/>
      <c r="Z52" s="2286"/>
      <c r="AA52" s="2286"/>
      <c r="AB52" s="2286"/>
      <c r="AC52" s="2286"/>
      <c r="AD52" s="2286"/>
      <c r="AE52" s="2286"/>
      <c r="AF52" s="2"/>
      <c r="AG52" s="2"/>
      <c r="AH52" s="2"/>
    </row>
    <row r="53" spans="1:42" ht="19.5" customHeight="1" x14ac:dyDescent="0.2">
      <c r="A53" s="2"/>
      <c r="B53" s="1078"/>
      <c r="C53" s="2"/>
      <c r="D53" s="2286"/>
      <c r="E53" s="2286"/>
      <c r="F53" s="2286"/>
      <c r="G53" s="2286"/>
      <c r="H53" s="2286"/>
      <c r="I53" s="2286"/>
      <c r="J53" s="2286"/>
      <c r="K53" s="2286"/>
      <c r="L53" s="2286"/>
      <c r="M53" s="2286"/>
      <c r="N53" s="2286"/>
      <c r="O53" s="2286"/>
      <c r="P53" s="2286"/>
      <c r="Q53" s="2286"/>
      <c r="R53" s="2286"/>
      <c r="S53" s="2286"/>
      <c r="T53" s="2286"/>
      <c r="U53" s="2286"/>
      <c r="V53" s="2286"/>
      <c r="W53" s="2286"/>
      <c r="X53" s="2286"/>
      <c r="Y53" s="2286"/>
      <c r="Z53" s="2286"/>
      <c r="AA53" s="2286"/>
      <c r="AB53" s="2286"/>
      <c r="AC53" s="2286"/>
      <c r="AD53" s="2286"/>
      <c r="AE53" s="2286"/>
      <c r="AF53" s="2"/>
      <c r="AG53" s="2"/>
      <c r="AH53" s="2"/>
    </row>
    <row r="54" spans="1:42" ht="19.5" customHeight="1" x14ac:dyDescent="0.2">
      <c r="A54" s="2"/>
      <c r="B54" s="1078"/>
      <c r="C54" s="2"/>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
      <c r="AG54" s="2"/>
      <c r="AH54" s="2"/>
    </row>
    <row r="55" spans="1:42" x14ac:dyDescent="0.2">
      <c r="A55" s="2"/>
      <c r="B55" s="1078"/>
      <c r="C55" s="2"/>
      <c r="D55" s="2285"/>
      <c r="E55" s="2285"/>
      <c r="F55" s="2285"/>
      <c r="G55" s="2285"/>
      <c r="H55" s="2285"/>
      <c r="I55" s="2285"/>
      <c r="J55" s="2285"/>
      <c r="K55" s="2285"/>
      <c r="L55" s="2285"/>
      <c r="M55" s="2285"/>
      <c r="N55" s="2285"/>
      <c r="O55" s="2285"/>
      <c r="P55" s="2285"/>
      <c r="Q55" s="2285"/>
      <c r="R55" s="2285"/>
      <c r="S55" s="2285"/>
      <c r="T55" s="2285"/>
      <c r="U55" s="2285"/>
      <c r="V55" s="2285"/>
      <c r="W55" s="2285"/>
      <c r="X55" s="2285"/>
      <c r="Y55" s="2285"/>
      <c r="Z55" s="2285"/>
      <c r="AA55" s="2285"/>
      <c r="AB55" s="2285"/>
      <c r="AC55" s="2285"/>
      <c r="AD55" s="1059"/>
      <c r="AE55" s="2"/>
      <c r="AF55" s="2"/>
      <c r="AG55" s="2"/>
      <c r="AH55" s="2"/>
    </row>
    <row r="56" spans="1:42" ht="22.5" customHeight="1" x14ac:dyDescent="0.2">
      <c r="A56" s="2"/>
      <c r="B56" s="1078"/>
      <c r="C56" s="2"/>
      <c r="D56" s="2197" t="s">
        <v>267</v>
      </c>
      <c r="E56" s="2197"/>
      <c r="F56" s="2197"/>
      <c r="G56" s="2197"/>
      <c r="H56" s="2253"/>
      <c r="I56" s="2253"/>
      <c r="J56" s="2253"/>
      <c r="K56" s="2253"/>
      <c r="L56" s="2253"/>
      <c r="M56" s="2253"/>
      <c r="N56" s="2253"/>
      <c r="O56" s="2253"/>
      <c r="P56" s="2253"/>
      <c r="Q56" s="2253"/>
      <c r="R56" s="2253"/>
      <c r="S56" s="2253"/>
      <c r="T56" s="696"/>
      <c r="U56" s="696"/>
      <c r="V56" s="2197" t="s">
        <v>268</v>
      </c>
      <c r="W56" s="2197"/>
      <c r="X56" s="2197"/>
      <c r="Y56" s="2197"/>
      <c r="Z56" s="2197"/>
      <c r="AA56" s="2287"/>
      <c r="AB56" s="2287"/>
      <c r="AC56" s="2287"/>
      <c r="AD56" s="2287"/>
      <c r="AE56" s="2287"/>
      <c r="AF56" s="1155"/>
      <c r="AG56" s="2"/>
      <c r="AH56" s="2"/>
    </row>
    <row r="57" spans="1:42" ht="20.25" customHeight="1" x14ac:dyDescent="0.2">
      <c r="A57" s="2"/>
      <c r="B57" s="1089"/>
      <c r="C57" s="1089"/>
      <c r="D57" s="1090"/>
      <c r="E57" s="1090"/>
      <c r="F57" s="1089"/>
      <c r="G57" s="1089"/>
      <c r="H57" s="1089"/>
      <c r="I57" s="1089"/>
      <c r="J57" s="1089"/>
      <c r="K57" s="1089"/>
      <c r="L57" s="1089"/>
      <c r="M57" s="1089"/>
      <c r="N57" s="1089"/>
      <c r="O57" s="1089"/>
      <c r="P57" s="1089"/>
      <c r="Q57" s="1089"/>
      <c r="R57" s="1089"/>
      <c r="S57" s="1089"/>
      <c r="T57" s="1091"/>
      <c r="U57" s="1091"/>
      <c r="V57" s="1091"/>
      <c r="W57" s="1091"/>
      <c r="X57" s="1091"/>
      <c r="Y57" s="1091"/>
      <c r="Z57" s="1091"/>
      <c r="AA57" s="1089"/>
      <c r="AB57" s="1089"/>
      <c r="AC57" s="1089"/>
      <c r="AD57" s="1089"/>
      <c r="AE57" s="1089"/>
      <c r="AF57" s="14"/>
      <c r="AG57" s="2"/>
      <c r="AH57" s="2"/>
    </row>
    <row r="58" spans="1:42" ht="21" customHeight="1" x14ac:dyDescent="0.2">
      <c r="A58" s="2"/>
      <c r="B58" s="2"/>
      <c r="C58" s="1101" t="s">
        <v>636</v>
      </c>
      <c r="D58" s="1061"/>
      <c r="E58" s="1061"/>
      <c r="F58" s="1061"/>
      <c r="G58" s="1061"/>
      <c r="H58" s="1061"/>
      <c r="I58" s="1061"/>
      <c r="J58" s="1168" t="s">
        <v>609</v>
      </c>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2"/>
      <c r="AH58" s="696"/>
      <c r="AI58" s="696"/>
      <c r="AJ58" s="696"/>
      <c r="AK58" s="696"/>
      <c r="AL58" s="696"/>
      <c r="AM58" s="696"/>
      <c r="AN58" s="696"/>
      <c r="AO58" s="696"/>
      <c r="AP58" s="696"/>
    </row>
    <row r="59" spans="1:42" ht="15.75" customHeight="1" x14ac:dyDescent="0.2">
      <c r="A59" s="2"/>
      <c r="B59" s="2"/>
      <c r="C59" s="1171" t="s">
        <v>264</v>
      </c>
      <c r="D59" s="2135" t="s">
        <v>37</v>
      </c>
      <c r="E59" s="2135"/>
      <c r="F59" s="2288" t="s">
        <v>91</v>
      </c>
      <c r="G59" s="2288"/>
      <c r="H59" s="2288"/>
      <c r="I59" s="2288"/>
      <c r="J59" s="2288"/>
      <c r="K59" s="2288"/>
      <c r="L59" s="2288"/>
      <c r="M59" s="2288" t="s">
        <v>92</v>
      </c>
      <c r="N59" s="2288"/>
      <c r="O59" s="2288"/>
      <c r="P59" s="2288"/>
      <c r="Q59" s="2288"/>
      <c r="R59" s="2288"/>
      <c r="S59" s="2135" t="s">
        <v>93</v>
      </c>
      <c r="T59" s="2135"/>
      <c r="U59" s="2135"/>
      <c r="V59" s="2289" t="s">
        <v>602</v>
      </c>
      <c r="W59" s="2289"/>
      <c r="X59" s="2289"/>
      <c r="Y59" s="2289"/>
      <c r="Z59" s="2"/>
      <c r="AA59" s="2"/>
      <c r="AB59" s="2"/>
      <c r="AC59" s="2"/>
      <c r="AD59" s="2"/>
      <c r="AE59" s="2"/>
      <c r="AF59" s="2"/>
      <c r="AG59" s="2"/>
      <c r="AH59" s="2"/>
      <c r="AI59" s="696"/>
      <c r="AJ59" s="696"/>
      <c r="AK59" s="696"/>
      <c r="AL59" s="696"/>
      <c r="AM59" s="696"/>
      <c r="AN59" s="696"/>
      <c r="AO59" s="696"/>
      <c r="AP59" s="696"/>
    </row>
    <row r="60" spans="1:42" ht="15.75" customHeight="1" x14ac:dyDescent="0.2">
      <c r="A60" s="2"/>
      <c r="B60" s="1305">
        <v>1</v>
      </c>
      <c r="C60" s="1124">
        <f>IF(B60&gt;AK$75+1,0,IF(AI76&gt;0,1,IF(OR(B60=AK$74+1,B60=AK$73+1,B60=AK$72+1,B60=AK$71+1,B60=AK$70+1),1,0)))</f>
        <v>1</v>
      </c>
      <c r="D60" s="2290" t="str">
        <f>AG60</f>
        <v/>
      </c>
      <c r="E60" s="2290"/>
      <c r="F60" s="2291"/>
      <c r="G60" s="2291"/>
      <c r="H60" s="2291"/>
      <c r="I60" s="2291"/>
      <c r="J60" s="2291"/>
      <c r="K60" s="2291"/>
      <c r="L60" s="2291"/>
      <c r="M60" s="2291"/>
      <c r="N60" s="2291"/>
      <c r="O60" s="2291"/>
      <c r="P60" s="2291"/>
      <c r="Q60" s="2291"/>
      <c r="R60" s="2291"/>
      <c r="S60" s="2171"/>
      <c r="T60" s="2171"/>
      <c r="U60" s="2171"/>
      <c r="V60" s="2276">
        <f>IF(D60&lt;&gt;D61,S60,0)</f>
        <v>0</v>
      </c>
      <c r="W60" s="2276"/>
      <c r="X60" s="2276"/>
      <c r="Y60" s="2276"/>
      <c r="Z60" s="1092" t="str">
        <f t="shared" ref="Z60:Z109" si="7">IF(V60=0,"",VLOOKUP(D60,$AH$70:$AJ$75,3,FALSE))</f>
        <v/>
      </c>
      <c r="AA60" s="1093"/>
      <c r="AB60" s="2"/>
      <c r="AC60" s="2"/>
      <c r="AD60" s="2"/>
      <c r="AE60" s="2"/>
      <c r="AF60" s="1094" t="str">
        <f>CONCATENATE(AL60,AM60)</f>
        <v/>
      </c>
      <c r="AG60" s="1305" t="str">
        <f>IF(B60&gt;AK$75,"",IF(B60&gt;AK$74,AH$75,IF(B60&gt;AK$73,AH$74,IF(B60&gt;AK$72,AH$73,IF(B60&gt;AK$71,AH$72,IF(B60&gt;AK$70,AH$71,IF(B60&gt;0,AH$70,"")))))))</f>
        <v/>
      </c>
      <c r="AH60" s="696"/>
      <c r="AI60" s="696"/>
      <c r="AJ60" s="696"/>
      <c r="AK60" s="696"/>
      <c r="AL60" s="1102" t="str">
        <f t="shared" ref="AL60:AL78" si="8">IF(Z60="","",IF(ISERROR(VLOOKUP(D60,$L$34:$N$36,3,FALSE)),"",IF(AND(V60&lt;&gt;0,VLOOKUP(D60,$L$34:$N$36,3,FALSE)=V60),"OK","ERR")))</f>
        <v/>
      </c>
      <c r="AM60" s="1102" t="str">
        <f>IF(Z60="","",IF(ISERROR(VLOOKUP(D60,$Z$34:$AB$36,3,FALSE)),"",IF(AND(V60&lt;&gt;0,VLOOKUP(D60,$Z$34:$AB$36,3,FALSE)=V60),"OK","ERR")))</f>
        <v/>
      </c>
      <c r="AN60" s="696"/>
      <c r="AO60" s="696"/>
      <c r="AP60" s="696"/>
    </row>
    <row r="61" spans="1:42" ht="15.75" customHeight="1" x14ac:dyDescent="0.2">
      <c r="A61" s="2"/>
      <c r="B61" s="1305">
        <v>2</v>
      </c>
      <c r="C61" s="1125">
        <f t="shared" ref="C61:C109" si="9">IF(B61&gt;AK$75,0,IF(OR(B61=AK$74+1,B61=AK$73+1,B61=AK$72+1,B61=AK$71+1,B61=AK$70+1),1,C60+1))</f>
        <v>0</v>
      </c>
      <c r="D61" s="2144" t="str">
        <f t="shared" ref="D61:D109" si="10">AG61</f>
        <v/>
      </c>
      <c r="E61" s="2144"/>
      <c r="F61" s="2145"/>
      <c r="G61" s="2145"/>
      <c r="H61" s="2145"/>
      <c r="I61" s="2145"/>
      <c r="J61" s="2145"/>
      <c r="K61" s="2145"/>
      <c r="L61" s="2145"/>
      <c r="M61" s="2145"/>
      <c r="N61" s="2145"/>
      <c r="O61" s="2145"/>
      <c r="P61" s="2145"/>
      <c r="Q61" s="2145"/>
      <c r="R61" s="2145"/>
      <c r="S61" s="2103"/>
      <c r="T61" s="2103"/>
      <c r="U61" s="2103"/>
      <c r="V61" s="2146">
        <f>IF(D61&lt;&gt;D62,SUMIF(D$60:E61,D61,S$60:U61),0)</f>
        <v>0</v>
      </c>
      <c r="W61" s="2146"/>
      <c r="X61" s="2146"/>
      <c r="Y61" s="2146"/>
      <c r="Z61" s="1092" t="str">
        <f t="shared" si="7"/>
        <v/>
      </c>
      <c r="AA61" s="1093"/>
      <c r="AB61" s="2"/>
      <c r="AC61" s="2"/>
      <c r="AD61" s="2"/>
      <c r="AE61" s="2"/>
      <c r="AF61" s="1094" t="str">
        <f t="shared" ref="AF61:AF109" si="11">CONCATENATE(AL61,AM61)</f>
        <v/>
      </c>
      <c r="AG61" s="1305" t="str">
        <f>IF(B61&gt;AK$75,"",IF(B61&gt;AK$74,AH$75,IF(B61&gt;AK$73,AH$74,IF(B61&gt;AK$72,AH$73,IF(B61&gt;AK$71,AH$72,IF(B61&gt;AK$70,AH$71,IF(B61&gt;0,AH$70,"")))))))</f>
        <v/>
      </c>
      <c r="AH61" s="1081" t="s">
        <v>513</v>
      </c>
      <c r="AI61" s="1081" t="s">
        <v>620</v>
      </c>
      <c r="AJ61" s="696"/>
      <c r="AK61" s="696"/>
      <c r="AL61" s="1102" t="str">
        <f t="shared" si="8"/>
        <v/>
      </c>
      <c r="AM61" s="1102" t="str">
        <f t="shared" ref="AM61:AM109" si="12">IF(Z61="","",IF(ISERROR(VLOOKUP(D61,$Z$34:$AB$36,3,FALSE)),"",IF(AND(V61&lt;&gt;0,VLOOKUP(D61,$Z$34:$AB$36,3,FALSE)=V61),"OK","ERR")))</f>
        <v/>
      </c>
      <c r="AN61" s="696"/>
      <c r="AO61" s="696"/>
      <c r="AP61" s="696"/>
    </row>
    <row r="62" spans="1:42" ht="15.75" customHeight="1" x14ac:dyDescent="0.2">
      <c r="A62" s="2"/>
      <c r="B62" s="1305">
        <v>3</v>
      </c>
      <c r="C62" s="1125">
        <f t="shared" si="9"/>
        <v>0</v>
      </c>
      <c r="D62" s="2144" t="str">
        <f t="shared" si="10"/>
        <v/>
      </c>
      <c r="E62" s="2144"/>
      <c r="F62" s="2145"/>
      <c r="G62" s="2145"/>
      <c r="H62" s="2145"/>
      <c r="I62" s="2145"/>
      <c r="J62" s="2145"/>
      <c r="K62" s="2145"/>
      <c r="L62" s="2145"/>
      <c r="M62" s="2145"/>
      <c r="N62" s="2145"/>
      <c r="O62" s="2145"/>
      <c r="P62" s="2145"/>
      <c r="Q62" s="2145"/>
      <c r="R62" s="2145"/>
      <c r="S62" s="2103"/>
      <c r="T62" s="2103"/>
      <c r="U62" s="2103"/>
      <c r="V62" s="2146">
        <f>IF(D62&lt;&gt;D63,SUMIF(D$60:E62,D62,S$60:U62),0)</f>
        <v>0</v>
      </c>
      <c r="W62" s="2146"/>
      <c r="X62" s="2146"/>
      <c r="Y62" s="2146"/>
      <c r="Z62" s="1092" t="str">
        <f t="shared" si="7"/>
        <v/>
      </c>
      <c r="AA62" s="1093"/>
      <c r="AB62" s="2"/>
      <c r="AC62" s="2"/>
      <c r="AD62" s="2"/>
      <c r="AE62" s="2"/>
      <c r="AF62" s="1094" t="str">
        <f t="shared" si="11"/>
        <v/>
      </c>
      <c r="AG62" s="1305" t="str">
        <f t="shared" ref="AG62:AG109" si="13">IF(B62&gt;AK$75,"",IF(B62&gt;AK$74,AH$75,IF(B62&gt;AK$73,AH$74,IF(B62&gt;AK$72,AH$73,IF(B62&gt;AK$71,AH$72,IF(B62&gt;AK$70,AH$71,IF(B62&gt;0,AH$70,"")))))))</f>
        <v/>
      </c>
      <c r="AH62" s="1081" t="s">
        <v>568</v>
      </c>
      <c r="AI62" s="1081" t="s">
        <v>621</v>
      </c>
      <c r="AJ62" s="696"/>
      <c r="AK62" s="696"/>
      <c r="AL62" s="1102" t="str">
        <f t="shared" si="8"/>
        <v/>
      </c>
      <c r="AM62" s="1102" t="str">
        <f t="shared" si="12"/>
        <v/>
      </c>
      <c r="AN62" s="696"/>
      <c r="AO62" s="696"/>
      <c r="AP62" s="696"/>
    </row>
    <row r="63" spans="1:42" ht="15.75" customHeight="1" x14ac:dyDescent="0.2">
      <c r="A63" s="2"/>
      <c r="B63" s="1305">
        <v>4</v>
      </c>
      <c r="C63" s="1125">
        <f t="shared" si="9"/>
        <v>0</v>
      </c>
      <c r="D63" s="2144" t="str">
        <f t="shared" si="10"/>
        <v/>
      </c>
      <c r="E63" s="2144"/>
      <c r="F63" s="2145"/>
      <c r="G63" s="2145"/>
      <c r="H63" s="2145"/>
      <c r="I63" s="2145"/>
      <c r="J63" s="2145"/>
      <c r="K63" s="2145"/>
      <c r="L63" s="2145"/>
      <c r="M63" s="2145"/>
      <c r="N63" s="2145"/>
      <c r="O63" s="2145"/>
      <c r="P63" s="2145"/>
      <c r="Q63" s="2145"/>
      <c r="R63" s="2145"/>
      <c r="S63" s="2103"/>
      <c r="T63" s="2103"/>
      <c r="U63" s="2103"/>
      <c r="V63" s="2146">
        <f>IF(D63&lt;&gt;D64,SUMIF(D$60:E63,D63,S$60:U63),0)</f>
        <v>0</v>
      </c>
      <c r="W63" s="2146"/>
      <c r="X63" s="2146"/>
      <c r="Y63" s="2146"/>
      <c r="Z63" s="1092" t="str">
        <f t="shared" si="7"/>
        <v/>
      </c>
      <c r="AA63" s="1093"/>
      <c r="AB63" s="2"/>
      <c r="AC63" s="2"/>
      <c r="AD63" s="2"/>
      <c r="AE63" s="2"/>
      <c r="AF63" s="1094" t="str">
        <f t="shared" si="11"/>
        <v/>
      </c>
      <c r="AG63" s="1305" t="str">
        <f t="shared" si="13"/>
        <v/>
      </c>
      <c r="AH63" s="1081" t="s">
        <v>615</v>
      </c>
      <c r="AI63" s="1081" t="s">
        <v>622</v>
      </c>
      <c r="AJ63" s="696"/>
      <c r="AK63" s="696"/>
      <c r="AL63" s="1102" t="str">
        <f t="shared" si="8"/>
        <v/>
      </c>
      <c r="AM63" s="1102" t="str">
        <f t="shared" si="12"/>
        <v/>
      </c>
      <c r="AN63" s="696"/>
      <c r="AO63" s="696"/>
      <c r="AP63" s="696"/>
    </row>
    <row r="64" spans="1:42" ht="15.75" customHeight="1" x14ac:dyDescent="0.2">
      <c r="A64" s="2"/>
      <c r="B64" s="1305">
        <v>5</v>
      </c>
      <c r="C64" s="1125">
        <f t="shared" si="9"/>
        <v>0</v>
      </c>
      <c r="D64" s="2144" t="str">
        <f t="shared" si="10"/>
        <v/>
      </c>
      <c r="E64" s="2144"/>
      <c r="F64" s="2145"/>
      <c r="G64" s="2145"/>
      <c r="H64" s="2145"/>
      <c r="I64" s="2145"/>
      <c r="J64" s="2145"/>
      <c r="K64" s="2145"/>
      <c r="L64" s="2145"/>
      <c r="M64" s="2145"/>
      <c r="N64" s="2145"/>
      <c r="O64" s="2145"/>
      <c r="P64" s="2145"/>
      <c r="Q64" s="2145"/>
      <c r="R64" s="2145"/>
      <c r="S64" s="2103"/>
      <c r="T64" s="2103"/>
      <c r="U64" s="2103"/>
      <c r="V64" s="2146">
        <f>IF(D64&lt;&gt;D65,SUMIF(D$60:E64,D64,S$60:U64),0)</f>
        <v>0</v>
      </c>
      <c r="W64" s="2146"/>
      <c r="X64" s="2146"/>
      <c r="Y64" s="2146"/>
      <c r="Z64" s="1092" t="str">
        <f t="shared" si="7"/>
        <v/>
      </c>
      <c r="AA64" s="1093"/>
      <c r="AB64" s="2"/>
      <c r="AC64" s="2"/>
      <c r="AD64" s="2"/>
      <c r="AE64" s="2"/>
      <c r="AF64" s="1094" t="str">
        <f t="shared" si="11"/>
        <v/>
      </c>
      <c r="AG64" s="1305" t="str">
        <f t="shared" si="13"/>
        <v/>
      </c>
      <c r="AH64" s="696"/>
      <c r="AI64" s="696"/>
      <c r="AJ64" s="696"/>
      <c r="AK64" s="696"/>
      <c r="AL64" s="1102" t="str">
        <f t="shared" si="8"/>
        <v/>
      </c>
      <c r="AM64" s="1102" t="str">
        <f t="shared" si="12"/>
        <v/>
      </c>
      <c r="AN64" s="696"/>
      <c r="AO64" s="696"/>
      <c r="AP64" s="696"/>
    </row>
    <row r="65" spans="1:42" ht="15.75" customHeight="1" x14ac:dyDescent="0.2">
      <c r="A65" s="2"/>
      <c r="B65" s="1305">
        <v>6</v>
      </c>
      <c r="C65" s="1125">
        <f t="shared" si="9"/>
        <v>0</v>
      </c>
      <c r="D65" s="2144" t="str">
        <f t="shared" si="10"/>
        <v/>
      </c>
      <c r="E65" s="2144"/>
      <c r="F65" s="2145"/>
      <c r="G65" s="2145"/>
      <c r="H65" s="2145"/>
      <c r="I65" s="2145"/>
      <c r="J65" s="2145"/>
      <c r="K65" s="2145"/>
      <c r="L65" s="2145"/>
      <c r="M65" s="2145"/>
      <c r="N65" s="2145"/>
      <c r="O65" s="2145"/>
      <c r="P65" s="2145"/>
      <c r="Q65" s="2145"/>
      <c r="R65" s="2145"/>
      <c r="S65" s="2103"/>
      <c r="T65" s="2103"/>
      <c r="U65" s="2103"/>
      <c r="V65" s="2146">
        <f>IF(D65&lt;&gt;D66,SUMIF(D$60:E65,D65,S$60:U65),0)</f>
        <v>0</v>
      </c>
      <c r="W65" s="2146"/>
      <c r="X65" s="2146"/>
      <c r="Y65" s="2146"/>
      <c r="Z65" s="1092" t="str">
        <f t="shared" si="7"/>
        <v/>
      </c>
      <c r="AA65" s="1093"/>
      <c r="AB65" s="2"/>
      <c r="AC65" s="2"/>
      <c r="AD65" s="2"/>
      <c r="AE65" s="2"/>
      <c r="AF65" s="1094" t="str">
        <f t="shared" si="11"/>
        <v/>
      </c>
      <c r="AG65" s="1305" t="str">
        <f t="shared" si="13"/>
        <v/>
      </c>
      <c r="AH65" s="696"/>
      <c r="AI65" s="696"/>
      <c r="AJ65" s="696"/>
      <c r="AK65" s="696"/>
      <c r="AL65" s="1102" t="str">
        <f t="shared" si="8"/>
        <v/>
      </c>
      <c r="AM65" s="1102" t="str">
        <f t="shared" si="12"/>
        <v/>
      </c>
      <c r="AN65" s="696"/>
      <c r="AO65" s="696"/>
      <c r="AP65" s="696"/>
    </row>
    <row r="66" spans="1:42" ht="15.75" customHeight="1" x14ac:dyDescent="0.2">
      <c r="A66" s="2"/>
      <c r="B66" s="1305">
        <v>7</v>
      </c>
      <c r="C66" s="1125">
        <f t="shared" si="9"/>
        <v>0</v>
      </c>
      <c r="D66" s="2144" t="str">
        <f t="shared" si="10"/>
        <v/>
      </c>
      <c r="E66" s="2144"/>
      <c r="F66" s="2145"/>
      <c r="G66" s="2145"/>
      <c r="H66" s="2145"/>
      <c r="I66" s="2145"/>
      <c r="J66" s="2145"/>
      <c r="K66" s="2145"/>
      <c r="L66" s="2145"/>
      <c r="M66" s="2145"/>
      <c r="N66" s="2145"/>
      <c r="O66" s="2145"/>
      <c r="P66" s="2145"/>
      <c r="Q66" s="2145"/>
      <c r="R66" s="2145"/>
      <c r="S66" s="2103"/>
      <c r="T66" s="2103"/>
      <c r="U66" s="2103"/>
      <c r="V66" s="2146">
        <f>IF(D66&lt;&gt;D67,SUMIF(D$60:E66,D66,S$60:U66),0)</f>
        <v>0</v>
      </c>
      <c r="W66" s="2146"/>
      <c r="X66" s="2146"/>
      <c r="Y66" s="2146"/>
      <c r="Z66" s="1092" t="str">
        <f t="shared" si="7"/>
        <v/>
      </c>
      <c r="AA66" s="1093"/>
      <c r="AB66" s="2"/>
      <c r="AC66" s="2"/>
      <c r="AD66" s="2"/>
      <c r="AE66" s="2"/>
      <c r="AF66" s="1094" t="str">
        <f t="shared" si="11"/>
        <v/>
      </c>
      <c r="AG66" s="1305" t="str">
        <f t="shared" si="13"/>
        <v/>
      </c>
      <c r="AH66" s="696"/>
      <c r="AI66" s="696"/>
      <c r="AJ66" s="696"/>
      <c r="AK66" s="696"/>
      <c r="AL66" s="1102" t="str">
        <f t="shared" si="8"/>
        <v/>
      </c>
      <c r="AM66" s="1102" t="str">
        <f t="shared" si="12"/>
        <v/>
      </c>
      <c r="AN66" s="696"/>
      <c r="AO66" s="696"/>
      <c r="AP66" s="696"/>
    </row>
    <row r="67" spans="1:42" ht="15.75" customHeight="1" x14ac:dyDescent="0.2">
      <c r="A67" s="2"/>
      <c r="B67" s="1305">
        <v>8</v>
      </c>
      <c r="C67" s="1125">
        <f t="shared" si="9"/>
        <v>0</v>
      </c>
      <c r="D67" s="2144" t="str">
        <f t="shared" si="10"/>
        <v/>
      </c>
      <c r="E67" s="2144"/>
      <c r="F67" s="2145"/>
      <c r="G67" s="2145"/>
      <c r="H67" s="2145"/>
      <c r="I67" s="2145"/>
      <c r="J67" s="2145"/>
      <c r="K67" s="2145"/>
      <c r="L67" s="2145"/>
      <c r="M67" s="2145"/>
      <c r="N67" s="2145"/>
      <c r="O67" s="2145"/>
      <c r="P67" s="2145"/>
      <c r="Q67" s="2145"/>
      <c r="R67" s="2145"/>
      <c r="S67" s="2103"/>
      <c r="T67" s="2103"/>
      <c r="U67" s="2103"/>
      <c r="V67" s="2146">
        <f>IF(D67&lt;&gt;D68,SUMIF(D$60:E67,D67,S$60:U67),0)</f>
        <v>0</v>
      </c>
      <c r="W67" s="2146"/>
      <c r="X67" s="2146"/>
      <c r="Y67" s="2146"/>
      <c r="Z67" s="1092" t="str">
        <f t="shared" si="7"/>
        <v/>
      </c>
      <c r="AA67" s="1093"/>
      <c r="AB67" s="2"/>
      <c r="AC67" s="2"/>
      <c r="AD67" s="2"/>
      <c r="AE67" s="2"/>
      <c r="AF67" s="1094" t="str">
        <f t="shared" si="11"/>
        <v/>
      </c>
      <c r="AG67" s="1305" t="str">
        <f t="shared" si="13"/>
        <v/>
      </c>
      <c r="AH67" s="696"/>
      <c r="AI67" s="696"/>
      <c r="AJ67" s="696"/>
      <c r="AK67" s="696"/>
      <c r="AL67" s="1102" t="str">
        <f t="shared" si="8"/>
        <v/>
      </c>
      <c r="AM67" s="1102" t="str">
        <f t="shared" si="12"/>
        <v/>
      </c>
      <c r="AN67" s="696"/>
      <c r="AO67" s="696"/>
      <c r="AP67" s="696"/>
    </row>
    <row r="68" spans="1:42" ht="15.75" customHeight="1" x14ac:dyDescent="0.2">
      <c r="A68" s="2"/>
      <c r="B68" s="1305">
        <v>9</v>
      </c>
      <c r="C68" s="1125">
        <f t="shared" si="9"/>
        <v>0</v>
      </c>
      <c r="D68" s="2144" t="str">
        <f t="shared" si="10"/>
        <v/>
      </c>
      <c r="E68" s="2144"/>
      <c r="F68" s="2145"/>
      <c r="G68" s="2145"/>
      <c r="H68" s="2145"/>
      <c r="I68" s="2145"/>
      <c r="J68" s="2145"/>
      <c r="K68" s="2145"/>
      <c r="L68" s="2145"/>
      <c r="M68" s="2145"/>
      <c r="N68" s="2145"/>
      <c r="O68" s="2145"/>
      <c r="P68" s="2145"/>
      <c r="Q68" s="2145"/>
      <c r="R68" s="2145"/>
      <c r="S68" s="2103"/>
      <c r="T68" s="2103"/>
      <c r="U68" s="2103"/>
      <c r="V68" s="2146">
        <f>IF(D68&lt;&gt;D69,SUMIF(D$60:E68,D68,S$60:U68),0)</f>
        <v>0</v>
      </c>
      <c r="W68" s="2146"/>
      <c r="X68" s="2146"/>
      <c r="Y68" s="2146"/>
      <c r="Z68" s="1092" t="str">
        <f t="shared" si="7"/>
        <v/>
      </c>
      <c r="AA68" s="1093"/>
      <c r="AB68" s="2"/>
      <c r="AC68" s="2"/>
      <c r="AD68" s="2"/>
      <c r="AE68" s="2"/>
      <c r="AF68" s="1094" t="str">
        <f t="shared" si="11"/>
        <v/>
      </c>
      <c r="AG68" s="1305" t="str">
        <f t="shared" si="13"/>
        <v/>
      </c>
      <c r="AH68" s="696"/>
      <c r="AI68" s="696"/>
      <c r="AJ68" s="696"/>
      <c r="AK68" s="696"/>
      <c r="AL68" s="1102" t="str">
        <f t="shared" si="8"/>
        <v/>
      </c>
      <c r="AM68" s="1102" t="str">
        <f t="shared" si="12"/>
        <v/>
      </c>
      <c r="AN68" s="696"/>
      <c r="AO68" s="696"/>
      <c r="AP68" s="696"/>
    </row>
    <row r="69" spans="1:42" ht="15.75" customHeight="1" x14ac:dyDescent="0.2">
      <c r="A69" s="2"/>
      <c r="B69" s="1305">
        <v>10</v>
      </c>
      <c r="C69" s="1125">
        <f t="shared" si="9"/>
        <v>0</v>
      </c>
      <c r="D69" s="2144" t="str">
        <f t="shared" si="10"/>
        <v/>
      </c>
      <c r="E69" s="2144"/>
      <c r="F69" s="2145"/>
      <c r="G69" s="2145"/>
      <c r="H69" s="2145"/>
      <c r="I69" s="2145"/>
      <c r="J69" s="2145"/>
      <c r="K69" s="2145"/>
      <c r="L69" s="2145"/>
      <c r="M69" s="2145"/>
      <c r="N69" s="2145"/>
      <c r="O69" s="2145"/>
      <c r="P69" s="2145"/>
      <c r="Q69" s="2145"/>
      <c r="R69" s="2145"/>
      <c r="S69" s="2103"/>
      <c r="T69" s="2103"/>
      <c r="U69" s="2103"/>
      <c r="V69" s="2146">
        <f>IF(D69&lt;&gt;D70,SUMIF(D$60:E69,D69,S$60:U69),0)</f>
        <v>0</v>
      </c>
      <c r="W69" s="2146"/>
      <c r="X69" s="2146"/>
      <c r="Y69" s="2146"/>
      <c r="Z69" s="1092" t="str">
        <f t="shared" si="7"/>
        <v/>
      </c>
      <c r="AA69" s="1093"/>
      <c r="AB69" s="2"/>
      <c r="AC69" s="2"/>
      <c r="AD69" s="2"/>
      <c r="AE69" s="2"/>
      <c r="AF69" s="1094" t="str">
        <f t="shared" si="11"/>
        <v/>
      </c>
      <c r="AG69" s="1305" t="str">
        <f t="shared" si="13"/>
        <v/>
      </c>
      <c r="AH69" s="696"/>
      <c r="AI69" s="696"/>
      <c r="AJ69" s="696"/>
      <c r="AK69" s="696"/>
      <c r="AL69" s="1102" t="str">
        <f t="shared" si="8"/>
        <v/>
      </c>
      <c r="AM69" s="1102" t="str">
        <f t="shared" si="12"/>
        <v/>
      </c>
      <c r="AN69" s="696"/>
      <c r="AO69" s="696"/>
      <c r="AP69" s="696"/>
    </row>
    <row r="70" spans="1:42" ht="15.75" customHeight="1" x14ac:dyDescent="0.2">
      <c r="A70" s="2"/>
      <c r="B70" s="1305">
        <v>11</v>
      </c>
      <c r="C70" s="1125">
        <f t="shared" si="9"/>
        <v>0</v>
      </c>
      <c r="D70" s="2144" t="str">
        <f t="shared" si="10"/>
        <v/>
      </c>
      <c r="E70" s="2144"/>
      <c r="F70" s="2145"/>
      <c r="G70" s="2145"/>
      <c r="H70" s="2145"/>
      <c r="I70" s="2145"/>
      <c r="J70" s="2145"/>
      <c r="K70" s="2145"/>
      <c r="L70" s="2145"/>
      <c r="M70" s="2145"/>
      <c r="N70" s="2145"/>
      <c r="O70" s="2145"/>
      <c r="P70" s="2145"/>
      <c r="Q70" s="2145"/>
      <c r="R70" s="2145"/>
      <c r="S70" s="2103"/>
      <c r="T70" s="2103"/>
      <c r="U70" s="2103"/>
      <c r="V70" s="2146">
        <f>IF(D70&lt;&gt;D71,SUMIF(D$60:E70,D70,S$60:U70),0)</f>
        <v>0</v>
      </c>
      <c r="W70" s="2146"/>
      <c r="X70" s="2146"/>
      <c r="Y70" s="2146"/>
      <c r="Z70" s="1092" t="str">
        <f t="shared" si="7"/>
        <v/>
      </c>
      <c r="AA70" s="1093"/>
      <c r="AB70" s="2"/>
      <c r="AC70" s="2"/>
      <c r="AD70" s="2"/>
      <c r="AE70" s="2"/>
      <c r="AF70" s="1094" t="str">
        <f t="shared" si="11"/>
        <v/>
      </c>
      <c r="AG70" s="1305" t="str">
        <f t="shared" si="13"/>
        <v/>
      </c>
      <c r="AH70" s="1081" t="str">
        <f>IF(L34="","",L34)</f>
        <v/>
      </c>
      <c r="AI70" s="1095">
        <f>IF(R34="",0,R34)</f>
        <v>0</v>
      </c>
      <c r="AJ70" s="1116">
        <f>D34</f>
        <v>0</v>
      </c>
      <c r="AK70" s="1117">
        <f>SUM(AI$70:AI70)</f>
        <v>0</v>
      </c>
      <c r="AL70" s="1102" t="str">
        <f t="shared" si="8"/>
        <v/>
      </c>
      <c r="AM70" s="1102" t="str">
        <f t="shared" si="12"/>
        <v/>
      </c>
      <c r="AN70" s="696"/>
      <c r="AO70" s="696"/>
      <c r="AP70" s="696"/>
    </row>
    <row r="71" spans="1:42" ht="15.75" customHeight="1" x14ac:dyDescent="0.2">
      <c r="A71" s="2"/>
      <c r="B71" s="1305">
        <v>12</v>
      </c>
      <c r="C71" s="1125">
        <f t="shared" si="9"/>
        <v>0</v>
      </c>
      <c r="D71" s="2144" t="str">
        <f t="shared" si="10"/>
        <v/>
      </c>
      <c r="E71" s="2144"/>
      <c r="F71" s="2145"/>
      <c r="G71" s="2145"/>
      <c r="H71" s="2145"/>
      <c r="I71" s="2145"/>
      <c r="J71" s="2145"/>
      <c r="K71" s="2145"/>
      <c r="L71" s="2145"/>
      <c r="M71" s="2145"/>
      <c r="N71" s="2145"/>
      <c r="O71" s="2145"/>
      <c r="P71" s="2145"/>
      <c r="Q71" s="2145"/>
      <c r="R71" s="2145"/>
      <c r="S71" s="2103"/>
      <c r="T71" s="2103"/>
      <c r="U71" s="2103"/>
      <c r="V71" s="2146">
        <f>IF(D71&lt;&gt;D72,SUMIF(D$60:E71,D71,S$60:U71),0)</f>
        <v>0</v>
      </c>
      <c r="W71" s="2146"/>
      <c r="X71" s="2146"/>
      <c r="Y71" s="2146"/>
      <c r="Z71" s="1092" t="str">
        <f t="shared" si="7"/>
        <v/>
      </c>
      <c r="AA71" s="1093"/>
      <c r="AB71" s="2"/>
      <c r="AC71" s="2"/>
      <c r="AD71" s="2"/>
      <c r="AE71" s="2"/>
      <c r="AF71" s="1094" t="str">
        <f t="shared" si="11"/>
        <v/>
      </c>
      <c r="AG71" s="1305" t="str">
        <f t="shared" si="13"/>
        <v/>
      </c>
      <c r="AH71" s="1081" t="str">
        <f>IF(L35="","",L35)</f>
        <v/>
      </c>
      <c r="AI71" s="1095">
        <f>IF(R35="",0,R35)</f>
        <v>0</v>
      </c>
      <c r="AJ71" s="1081">
        <f>D35</f>
        <v>0</v>
      </c>
      <c r="AK71" s="1117">
        <f>SUM(AI$70:AI71)</f>
        <v>0</v>
      </c>
      <c r="AL71" s="1102" t="str">
        <f t="shared" si="8"/>
        <v/>
      </c>
      <c r="AM71" s="1102" t="str">
        <f t="shared" si="12"/>
        <v/>
      </c>
      <c r="AN71" s="696"/>
      <c r="AO71" s="696"/>
      <c r="AP71" s="696"/>
    </row>
    <row r="72" spans="1:42" ht="15.75" customHeight="1" x14ac:dyDescent="0.2">
      <c r="A72" s="2"/>
      <c r="B72" s="1305">
        <v>13</v>
      </c>
      <c r="C72" s="1125">
        <f t="shared" si="9"/>
        <v>0</v>
      </c>
      <c r="D72" s="2144" t="str">
        <f t="shared" si="10"/>
        <v/>
      </c>
      <c r="E72" s="2144"/>
      <c r="F72" s="2145"/>
      <c r="G72" s="2145"/>
      <c r="H72" s="2145"/>
      <c r="I72" s="2145"/>
      <c r="J72" s="2145"/>
      <c r="K72" s="2145"/>
      <c r="L72" s="2145"/>
      <c r="M72" s="2145"/>
      <c r="N72" s="2145"/>
      <c r="O72" s="2145"/>
      <c r="P72" s="2145"/>
      <c r="Q72" s="2145"/>
      <c r="R72" s="2145"/>
      <c r="S72" s="2103"/>
      <c r="T72" s="2103"/>
      <c r="U72" s="2103"/>
      <c r="V72" s="2146">
        <f>IF(D72&lt;&gt;D73,SUMIF(D$60:E72,D72,S$60:U72),0)</f>
        <v>0</v>
      </c>
      <c r="W72" s="2146"/>
      <c r="X72" s="2146"/>
      <c r="Y72" s="2146"/>
      <c r="Z72" s="1092" t="str">
        <f t="shared" si="7"/>
        <v/>
      </c>
      <c r="AA72" s="1093"/>
      <c r="AB72" s="2"/>
      <c r="AC72" s="2"/>
      <c r="AD72" s="2"/>
      <c r="AE72" s="2"/>
      <c r="AF72" s="1094" t="str">
        <f t="shared" si="11"/>
        <v/>
      </c>
      <c r="AG72" s="1305" t="str">
        <f t="shared" si="13"/>
        <v/>
      </c>
      <c r="AH72" s="1081" t="str">
        <f>IF(L36="","",L36)</f>
        <v/>
      </c>
      <c r="AI72" s="1095">
        <f>IF(R36="",0,R36)</f>
        <v>0</v>
      </c>
      <c r="AJ72" s="1081">
        <f>D36</f>
        <v>0</v>
      </c>
      <c r="AK72" s="1117">
        <f>SUM(AI$70:AI72)</f>
        <v>0</v>
      </c>
      <c r="AL72" s="1102" t="str">
        <f t="shared" si="8"/>
        <v/>
      </c>
      <c r="AM72" s="1102" t="str">
        <f t="shared" si="12"/>
        <v/>
      </c>
      <c r="AN72" s="696"/>
      <c r="AO72" s="696"/>
      <c r="AP72" s="696"/>
    </row>
    <row r="73" spans="1:42" ht="15.75" customHeight="1" x14ac:dyDescent="0.2">
      <c r="A73" s="2"/>
      <c r="B73" s="1305">
        <v>14</v>
      </c>
      <c r="C73" s="1125">
        <f t="shared" si="9"/>
        <v>0</v>
      </c>
      <c r="D73" s="2144" t="str">
        <f t="shared" si="10"/>
        <v/>
      </c>
      <c r="E73" s="2144"/>
      <c r="F73" s="2145"/>
      <c r="G73" s="2145"/>
      <c r="H73" s="2145"/>
      <c r="I73" s="2145"/>
      <c r="J73" s="2145"/>
      <c r="K73" s="2145"/>
      <c r="L73" s="2145"/>
      <c r="M73" s="2145"/>
      <c r="N73" s="2145"/>
      <c r="O73" s="2145"/>
      <c r="P73" s="2145"/>
      <c r="Q73" s="2145"/>
      <c r="R73" s="2145"/>
      <c r="S73" s="2103"/>
      <c r="T73" s="2103"/>
      <c r="U73" s="2103"/>
      <c r="V73" s="2146">
        <f>IF(D73&lt;&gt;D74,SUMIF(D$60:E73,D73,S$60:U73),0)</f>
        <v>0</v>
      </c>
      <c r="W73" s="2146"/>
      <c r="X73" s="2146"/>
      <c r="Y73" s="2146"/>
      <c r="Z73" s="1092" t="str">
        <f t="shared" si="7"/>
        <v/>
      </c>
      <c r="AA73" s="1093"/>
      <c r="AB73" s="2"/>
      <c r="AC73" s="2"/>
      <c r="AD73" s="2"/>
      <c r="AE73" s="2"/>
      <c r="AF73" s="1094" t="str">
        <f t="shared" si="11"/>
        <v/>
      </c>
      <c r="AG73" s="1305" t="str">
        <f t="shared" si="13"/>
        <v/>
      </c>
      <c r="AH73" s="1081" t="str">
        <f>IF(Z34="","",Z34)</f>
        <v>.</v>
      </c>
      <c r="AI73" s="1095">
        <f>IF(AF34="",0,AF34)</f>
        <v>0</v>
      </c>
      <c r="AJ73" s="1116">
        <f>T34</f>
        <v>0</v>
      </c>
      <c r="AK73" s="1117">
        <f>SUM(AI$70:AI73)</f>
        <v>0</v>
      </c>
      <c r="AL73" s="1102" t="str">
        <f t="shared" si="8"/>
        <v/>
      </c>
      <c r="AM73" s="1102" t="str">
        <f t="shared" si="12"/>
        <v/>
      </c>
      <c r="AN73" s="696"/>
      <c r="AO73" s="696"/>
      <c r="AP73" s="696"/>
    </row>
    <row r="74" spans="1:42" ht="15.75" customHeight="1" x14ac:dyDescent="0.2">
      <c r="A74" s="2"/>
      <c r="B74" s="1305">
        <v>15</v>
      </c>
      <c r="C74" s="1125">
        <f t="shared" si="9"/>
        <v>0</v>
      </c>
      <c r="D74" s="2144" t="str">
        <f t="shared" si="10"/>
        <v/>
      </c>
      <c r="E74" s="2144"/>
      <c r="F74" s="2145"/>
      <c r="G74" s="2145"/>
      <c r="H74" s="2145"/>
      <c r="I74" s="2145"/>
      <c r="J74" s="2145"/>
      <c r="K74" s="2145"/>
      <c r="L74" s="2145"/>
      <c r="M74" s="2145"/>
      <c r="N74" s="2145"/>
      <c r="O74" s="2145"/>
      <c r="P74" s="2145"/>
      <c r="Q74" s="2145"/>
      <c r="R74" s="2145"/>
      <c r="S74" s="2103"/>
      <c r="T74" s="2103"/>
      <c r="U74" s="2103"/>
      <c r="V74" s="2146">
        <f>IF(D74&lt;&gt;D75,SUMIF(D$60:E74,D74,S$60:U74),0)</f>
        <v>0</v>
      </c>
      <c r="W74" s="2146"/>
      <c r="X74" s="2146"/>
      <c r="Y74" s="2146"/>
      <c r="Z74" s="1092" t="str">
        <f t="shared" si="7"/>
        <v/>
      </c>
      <c r="AA74" s="1093"/>
      <c r="AB74" s="2"/>
      <c r="AC74" s="2"/>
      <c r="AD74" s="2"/>
      <c r="AE74" s="2"/>
      <c r="AF74" s="1094" t="str">
        <f t="shared" si="11"/>
        <v/>
      </c>
      <c r="AG74" s="1305" t="str">
        <f t="shared" si="13"/>
        <v/>
      </c>
      <c r="AH74" s="1081" t="str">
        <f>IF(Z35="","",Z35)</f>
        <v>.</v>
      </c>
      <c r="AI74" s="1095">
        <f>IF(AF35="",0,AF35)</f>
        <v>0</v>
      </c>
      <c r="AJ74" s="1116">
        <f>T35</f>
        <v>0</v>
      </c>
      <c r="AK74" s="1117">
        <f>SUM(AI$70:AI74)</f>
        <v>0</v>
      </c>
      <c r="AL74" s="1102" t="str">
        <f t="shared" si="8"/>
        <v/>
      </c>
      <c r="AM74" s="1102" t="str">
        <f t="shared" si="12"/>
        <v/>
      </c>
      <c r="AN74" s="696"/>
      <c r="AO74" s="696"/>
      <c r="AP74" s="696"/>
    </row>
    <row r="75" spans="1:42" ht="15.75" customHeight="1" x14ac:dyDescent="0.2">
      <c r="A75" s="2"/>
      <c r="B75" s="1305">
        <v>16</v>
      </c>
      <c r="C75" s="1125">
        <f t="shared" si="9"/>
        <v>0</v>
      </c>
      <c r="D75" s="2144" t="str">
        <f t="shared" si="10"/>
        <v/>
      </c>
      <c r="E75" s="2144"/>
      <c r="F75" s="2145"/>
      <c r="G75" s="2145"/>
      <c r="H75" s="2145"/>
      <c r="I75" s="2145"/>
      <c r="J75" s="2145"/>
      <c r="K75" s="2145"/>
      <c r="L75" s="2145"/>
      <c r="M75" s="2145"/>
      <c r="N75" s="2145"/>
      <c r="O75" s="2145"/>
      <c r="P75" s="2145"/>
      <c r="Q75" s="2145"/>
      <c r="R75" s="2145"/>
      <c r="S75" s="2103"/>
      <c r="T75" s="2103"/>
      <c r="U75" s="2103"/>
      <c r="V75" s="2146">
        <f>IF(D75&lt;&gt;D76,SUMIF(D$60:E75,D75,S$60:U75),0)</f>
        <v>0</v>
      </c>
      <c r="W75" s="2146"/>
      <c r="X75" s="2146"/>
      <c r="Y75" s="2146"/>
      <c r="Z75" s="1092" t="str">
        <f t="shared" si="7"/>
        <v/>
      </c>
      <c r="AA75" s="1093"/>
      <c r="AB75" s="2"/>
      <c r="AC75" s="2"/>
      <c r="AD75" s="2"/>
      <c r="AE75" s="2"/>
      <c r="AF75" s="1094" t="str">
        <f t="shared" si="11"/>
        <v/>
      </c>
      <c r="AG75" s="1305" t="str">
        <f t="shared" si="13"/>
        <v/>
      </c>
      <c r="AH75" s="1081" t="str">
        <f>IF(Z36="","",Z36)</f>
        <v>.</v>
      </c>
      <c r="AI75" s="1095">
        <f>IF(AF36="",0,AF36)</f>
        <v>0</v>
      </c>
      <c r="AJ75" s="1116">
        <f>T36</f>
        <v>0</v>
      </c>
      <c r="AK75" s="1117">
        <f>SUM(AI$70:AI75)</f>
        <v>0</v>
      </c>
      <c r="AL75" s="1102" t="str">
        <f t="shared" si="8"/>
        <v/>
      </c>
      <c r="AM75" s="1102" t="str">
        <f t="shared" si="12"/>
        <v/>
      </c>
      <c r="AN75" s="696"/>
      <c r="AO75" s="696"/>
      <c r="AP75" s="696"/>
    </row>
    <row r="76" spans="1:42" ht="15.75" customHeight="1" x14ac:dyDescent="0.2">
      <c r="A76" s="2"/>
      <c r="B76" s="1305">
        <v>17</v>
      </c>
      <c r="C76" s="1125">
        <f t="shared" si="9"/>
        <v>0</v>
      </c>
      <c r="D76" s="2144" t="str">
        <f t="shared" si="10"/>
        <v/>
      </c>
      <c r="E76" s="2144"/>
      <c r="F76" s="2145"/>
      <c r="G76" s="2145"/>
      <c r="H76" s="2145"/>
      <c r="I76" s="2145"/>
      <c r="J76" s="2145"/>
      <c r="K76" s="2145"/>
      <c r="L76" s="2145"/>
      <c r="M76" s="2145"/>
      <c r="N76" s="2145"/>
      <c r="O76" s="2145"/>
      <c r="P76" s="2145"/>
      <c r="Q76" s="2145"/>
      <c r="R76" s="2145"/>
      <c r="S76" s="2103"/>
      <c r="T76" s="2103"/>
      <c r="U76" s="2103"/>
      <c r="V76" s="2146">
        <f>IF(D76&lt;&gt;D77,SUMIF(D$60:E76,D76,S$60:U76),0)</f>
        <v>0</v>
      </c>
      <c r="W76" s="2146"/>
      <c r="X76" s="2146"/>
      <c r="Y76" s="2146"/>
      <c r="Z76" s="1092" t="str">
        <f t="shared" si="7"/>
        <v/>
      </c>
      <c r="AA76" s="1093"/>
      <c r="AB76" s="2"/>
      <c r="AC76" s="2"/>
      <c r="AD76" s="2"/>
      <c r="AE76" s="2"/>
      <c r="AF76" s="1094" t="str">
        <f t="shared" si="11"/>
        <v/>
      </c>
      <c r="AG76" s="1305" t="str">
        <f t="shared" si="13"/>
        <v/>
      </c>
      <c r="AH76" s="2"/>
      <c r="AI76" s="1095">
        <f>SUM(AI70:AI75)</f>
        <v>0</v>
      </c>
      <c r="AJ76" s="696"/>
      <c r="AK76" s="696"/>
      <c r="AL76" s="1102" t="str">
        <f t="shared" si="8"/>
        <v/>
      </c>
      <c r="AM76" s="1102" t="str">
        <f t="shared" si="12"/>
        <v/>
      </c>
      <c r="AN76" s="696"/>
      <c r="AO76" s="696"/>
      <c r="AP76" s="696"/>
    </row>
    <row r="77" spans="1:42" ht="15.75" customHeight="1" x14ac:dyDescent="0.2">
      <c r="A77" s="2"/>
      <c r="B77" s="1305">
        <v>18</v>
      </c>
      <c r="C77" s="1125">
        <f t="shared" si="9"/>
        <v>0</v>
      </c>
      <c r="D77" s="2144" t="str">
        <f t="shared" si="10"/>
        <v/>
      </c>
      <c r="E77" s="2144"/>
      <c r="F77" s="2145"/>
      <c r="G77" s="2145"/>
      <c r="H77" s="2145"/>
      <c r="I77" s="2145"/>
      <c r="J77" s="2145"/>
      <c r="K77" s="2145"/>
      <c r="L77" s="2145"/>
      <c r="M77" s="2145"/>
      <c r="N77" s="2145"/>
      <c r="O77" s="2145"/>
      <c r="P77" s="2145"/>
      <c r="Q77" s="2145"/>
      <c r="R77" s="2145"/>
      <c r="S77" s="2103"/>
      <c r="T77" s="2103"/>
      <c r="U77" s="2103"/>
      <c r="V77" s="2146">
        <f>IF(D77&lt;&gt;D78,SUMIF(D$60:E77,D77,S$60:U77),0)</f>
        <v>0</v>
      </c>
      <c r="W77" s="2146"/>
      <c r="X77" s="2146"/>
      <c r="Y77" s="2146"/>
      <c r="Z77" s="1092" t="str">
        <f t="shared" si="7"/>
        <v/>
      </c>
      <c r="AA77" s="1093"/>
      <c r="AB77" s="2"/>
      <c r="AC77" s="2"/>
      <c r="AD77" s="2"/>
      <c r="AE77" s="2"/>
      <c r="AF77" s="1094" t="str">
        <f t="shared" si="11"/>
        <v/>
      </c>
      <c r="AG77" s="1305" t="str">
        <f t="shared" si="13"/>
        <v/>
      </c>
      <c r="AH77" s="2"/>
      <c r="AI77" s="2"/>
      <c r="AJ77" s="696"/>
      <c r="AK77" s="696"/>
      <c r="AL77" s="1102" t="str">
        <f t="shared" si="8"/>
        <v/>
      </c>
      <c r="AM77" s="1102" t="str">
        <f t="shared" si="12"/>
        <v/>
      </c>
      <c r="AN77" s="1118">
        <f>IF(AA2="",0,VLOOKUP(AA2,AH79:AI90,2,FALSE))</f>
        <v>1</v>
      </c>
      <c r="AO77" s="1119">
        <f>IF(AA2="",0,(DATE(E178,VLOOKUP(AA2,AH79:AI90,2,FALSE)+1,1))-1)</f>
        <v>45322</v>
      </c>
      <c r="AP77" s="696"/>
    </row>
    <row r="78" spans="1:42" ht="15.75" customHeight="1" x14ac:dyDescent="0.2">
      <c r="A78" s="2"/>
      <c r="B78" s="1305">
        <v>19</v>
      </c>
      <c r="C78" s="1125">
        <f t="shared" si="9"/>
        <v>0</v>
      </c>
      <c r="D78" s="2144" t="str">
        <f t="shared" si="10"/>
        <v/>
      </c>
      <c r="E78" s="2144"/>
      <c r="F78" s="2145"/>
      <c r="G78" s="2145"/>
      <c r="H78" s="2145"/>
      <c r="I78" s="2145"/>
      <c r="J78" s="2145"/>
      <c r="K78" s="2145"/>
      <c r="L78" s="2145"/>
      <c r="M78" s="2145"/>
      <c r="N78" s="2145"/>
      <c r="O78" s="2145"/>
      <c r="P78" s="2145"/>
      <c r="Q78" s="2145"/>
      <c r="R78" s="2145"/>
      <c r="S78" s="2103"/>
      <c r="T78" s="2103"/>
      <c r="U78" s="2103"/>
      <c r="V78" s="2146">
        <f>IF(D78&lt;&gt;D79,SUMIF(D$60:E78,D78,S$60:U78),0)</f>
        <v>0</v>
      </c>
      <c r="W78" s="2146"/>
      <c r="X78" s="2146"/>
      <c r="Y78" s="2146"/>
      <c r="Z78" s="1092" t="str">
        <f t="shared" si="7"/>
        <v/>
      </c>
      <c r="AA78" s="1093"/>
      <c r="AB78" s="2"/>
      <c r="AC78" s="2"/>
      <c r="AD78" s="2"/>
      <c r="AE78" s="2"/>
      <c r="AF78" s="1094" t="str">
        <f t="shared" si="11"/>
        <v/>
      </c>
      <c r="AG78" s="1305" t="str">
        <f t="shared" si="13"/>
        <v/>
      </c>
      <c r="AH78" s="2"/>
      <c r="AI78" s="2"/>
      <c r="AJ78" s="696"/>
      <c r="AK78" s="696"/>
      <c r="AL78" s="1102" t="str">
        <f t="shared" si="8"/>
        <v/>
      </c>
      <c r="AM78" s="1102" t="str">
        <f t="shared" si="12"/>
        <v/>
      </c>
      <c r="AN78" s="1120">
        <f>DAY(AO77)</f>
        <v>31</v>
      </c>
      <c r="AO78" s="696"/>
      <c r="AP78" s="696"/>
    </row>
    <row r="79" spans="1:42" ht="15.75" customHeight="1" x14ac:dyDescent="0.2">
      <c r="A79" s="2"/>
      <c r="B79" s="1305">
        <v>20</v>
      </c>
      <c r="C79" s="1125">
        <f t="shared" si="9"/>
        <v>0</v>
      </c>
      <c r="D79" s="2144" t="str">
        <f t="shared" si="10"/>
        <v/>
      </c>
      <c r="E79" s="2144"/>
      <c r="F79" s="2145"/>
      <c r="G79" s="2145"/>
      <c r="H79" s="2145"/>
      <c r="I79" s="2145"/>
      <c r="J79" s="2145"/>
      <c r="K79" s="2145"/>
      <c r="L79" s="2145"/>
      <c r="M79" s="2145"/>
      <c r="N79" s="2145"/>
      <c r="O79" s="2145"/>
      <c r="P79" s="2145"/>
      <c r="Q79" s="2145"/>
      <c r="R79" s="2145"/>
      <c r="S79" s="2103"/>
      <c r="T79" s="2103"/>
      <c r="U79" s="2103"/>
      <c r="V79" s="2146">
        <f>IF(D79&lt;&gt;D80,SUMIF(D$60:E79,D79,S$60:U79),0)</f>
        <v>0</v>
      </c>
      <c r="W79" s="2146"/>
      <c r="X79" s="2146"/>
      <c r="Y79" s="2146"/>
      <c r="Z79" s="1092" t="str">
        <f t="shared" si="7"/>
        <v/>
      </c>
      <c r="AA79" s="1093"/>
      <c r="AB79" s="2"/>
      <c r="AC79" s="2"/>
      <c r="AD79" s="2"/>
      <c r="AE79" s="2"/>
      <c r="AF79" s="1094" t="str">
        <f t="shared" si="11"/>
        <v/>
      </c>
      <c r="AG79" s="1305" t="str">
        <f t="shared" si="13"/>
        <v/>
      </c>
      <c r="AH79" s="1081" t="str">
        <f>UPPER(IMPOSTAZIONI!C154)</f>
        <v>GENNAIO</v>
      </c>
      <c r="AI79" s="1092">
        <v>1</v>
      </c>
      <c r="AJ79" s="1121" t="str">
        <f>VLOOKUP(DATE($E$178,AI79,1),VERIFICA!$H$113:$I$478,2,FALSE)</f>
        <v/>
      </c>
      <c r="AK79" s="696"/>
      <c r="AL79" s="1102" t="str">
        <f>IF(Z79="","",IF(ISERROR(VLOOKUP(D79,$L$34:$N$36,3,FALSE)),"",IF(AND(V79&lt;&gt;0,VLOOKUP(D79,$L$34:$N$36,3,FALSE)=V79),"OK","ERR")))</f>
        <v/>
      </c>
      <c r="AM79" s="1102" t="str">
        <f t="shared" si="12"/>
        <v/>
      </c>
      <c r="AN79" s="1120">
        <f>IF(AN78&gt;0,1,0)</f>
        <v>1</v>
      </c>
      <c r="AO79" s="1122">
        <f t="shared" ref="AO79:AO109" si="14">IF(AN79=0,"",DATE($E$178,$AN$77,AN79))</f>
        <v>45292</v>
      </c>
      <c r="AP79" s="696"/>
    </row>
    <row r="80" spans="1:42" ht="15.75" customHeight="1" x14ac:dyDescent="0.2">
      <c r="A80" s="2"/>
      <c r="B80" s="1305">
        <v>21</v>
      </c>
      <c r="C80" s="1125">
        <f t="shared" si="9"/>
        <v>0</v>
      </c>
      <c r="D80" s="2144" t="str">
        <f t="shared" si="10"/>
        <v/>
      </c>
      <c r="E80" s="2144"/>
      <c r="F80" s="2145"/>
      <c r="G80" s="2145"/>
      <c r="H80" s="2145"/>
      <c r="I80" s="2145"/>
      <c r="J80" s="2145"/>
      <c r="K80" s="2145"/>
      <c r="L80" s="2145"/>
      <c r="M80" s="2145"/>
      <c r="N80" s="2145"/>
      <c r="O80" s="2145"/>
      <c r="P80" s="2145"/>
      <c r="Q80" s="2145"/>
      <c r="R80" s="2145"/>
      <c r="S80" s="2103"/>
      <c r="T80" s="2103"/>
      <c r="U80" s="2103"/>
      <c r="V80" s="2146">
        <f>IF(D80&lt;&gt;D81,SUMIF(D$60:E80,D80,S$60:U80),0)</f>
        <v>0</v>
      </c>
      <c r="W80" s="2146"/>
      <c r="X80" s="2146"/>
      <c r="Y80" s="2146"/>
      <c r="Z80" s="1092" t="str">
        <f t="shared" si="7"/>
        <v/>
      </c>
      <c r="AA80" s="1093"/>
      <c r="AB80" s="2"/>
      <c r="AC80" s="2"/>
      <c r="AD80" s="2"/>
      <c r="AE80" s="2"/>
      <c r="AF80" s="1094" t="str">
        <f t="shared" si="11"/>
        <v/>
      </c>
      <c r="AG80" s="1305" t="str">
        <f t="shared" si="13"/>
        <v/>
      </c>
      <c r="AH80" s="1081" t="str">
        <f>UPPER(IMPOSTAZIONI!C155)</f>
        <v>FEBBRAIO</v>
      </c>
      <c r="AI80" s="1092">
        <v>2</v>
      </c>
      <c r="AJ80" s="1121" t="str">
        <f>VLOOKUP(DATE($E$178,AI80,1),VERIFICA!$H$113:$I$478,2,FALSE)</f>
        <v/>
      </c>
      <c r="AK80" s="696"/>
      <c r="AL80" s="1102" t="str">
        <f t="shared" ref="AL80:AL109" si="15">IF(Z80="","",IF(ISERROR(VLOOKUP(D80,$L$34:$N$36,3,FALSE)),"",IF(AND(V80&lt;&gt;0,VLOOKUP(D80,$L$34:$N$36,3,FALSE)=V80),"OK","ERR")))</f>
        <v/>
      </c>
      <c r="AM80" s="1102" t="str">
        <f t="shared" si="12"/>
        <v/>
      </c>
      <c r="AN80" s="1065">
        <f>IF(AN79=0,0,IF(AN79+1&lt;=AN$78,AN79+1,0))</f>
        <v>2</v>
      </c>
      <c r="AO80" s="1122">
        <f t="shared" si="14"/>
        <v>45293</v>
      </c>
      <c r="AP80" s="696"/>
    </row>
    <row r="81" spans="1:42" ht="15.75" customHeight="1" x14ac:dyDescent="0.2">
      <c r="A81" s="2"/>
      <c r="B81" s="1305">
        <v>22</v>
      </c>
      <c r="C81" s="1125">
        <f t="shared" si="9"/>
        <v>0</v>
      </c>
      <c r="D81" s="2144" t="str">
        <f t="shared" si="10"/>
        <v/>
      </c>
      <c r="E81" s="2144"/>
      <c r="F81" s="2145"/>
      <c r="G81" s="2145"/>
      <c r="H81" s="2145"/>
      <c r="I81" s="2145"/>
      <c r="J81" s="2145"/>
      <c r="K81" s="2145"/>
      <c r="L81" s="2145"/>
      <c r="M81" s="2145"/>
      <c r="N81" s="2145"/>
      <c r="O81" s="2145"/>
      <c r="P81" s="2145"/>
      <c r="Q81" s="2145"/>
      <c r="R81" s="2145"/>
      <c r="S81" s="2103"/>
      <c r="T81" s="2103"/>
      <c r="U81" s="2103"/>
      <c r="V81" s="2146">
        <f>IF(D81&lt;&gt;D82,SUMIF(D$60:E81,D81,S$60:U81),0)</f>
        <v>0</v>
      </c>
      <c r="W81" s="2146"/>
      <c r="X81" s="2146"/>
      <c r="Y81" s="2146"/>
      <c r="Z81" s="1092" t="str">
        <f t="shared" si="7"/>
        <v/>
      </c>
      <c r="AA81" s="1093"/>
      <c r="AB81" s="2"/>
      <c r="AC81" s="2"/>
      <c r="AD81" s="2"/>
      <c r="AE81" s="2"/>
      <c r="AF81" s="1094" t="str">
        <f t="shared" si="11"/>
        <v/>
      </c>
      <c r="AG81" s="1305" t="str">
        <f t="shared" si="13"/>
        <v/>
      </c>
      <c r="AH81" s="1081" t="str">
        <f>UPPER(IMPOSTAZIONI!C156)</f>
        <v>MARZO</v>
      </c>
      <c r="AI81" s="1092">
        <v>3</v>
      </c>
      <c r="AJ81" s="1121" t="str">
        <f>VLOOKUP(DATE($E$178,AI81,1),VERIFICA!$H$113:$I$478,2,FALSE)</f>
        <v/>
      </c>
      <c r="AK81" s="696"/>
      <c r="AL81" s="1102" t="str">
        <f t="shared" si="15"/>
        <v/>
      </c>
      <c r="AM81" s="1102" t="str">
        <f t="shared" si="12"/>
        <v/>
      </c>
      <c r="AN81" s="1065">
        <f t="shared" ref="AN81:AN109" si="16">IF(AN80=0,0,IF(AN80+1&lt;=AN$78,AN80+1,0))</f>
        <v>3</v>
      </c>
      <c r="AO81" s="1122">
        <f t="shared" si="14"/>
        <v>45294</v>
      </c>
      <c r="AP81" s="696"/>
    </row>
    <row r="82" spans="1:42" ht="15.75" customHeight="1" x14ac:dyDescent="0.2">
      <c r="A82" s="2"/>
      <c r="B82" s="1305">
        <v>23</v>
      </c>
      <c r="C82" s="1125">
        <f t="shared" si="9"/>
        <v>0</v>
      </c>
      <c r="D82" s="2144" t="str">
        <f t="shared" si="10"/>
        <v/>
      </c>
      <c r="E82" s="2144"/>
      <c r="F82" s="2145"/>
      <c r="G82" s="2145"/>
      <c r="H82" s="2145"/>
      <c r="I82" s="2145"/>
      <c r="J82" s="2145"/>
      <c r="K82" s="2145"/>
      <c r="L82" s="2145"/>
      <c r="M82" s="2145"/>
      <c r="N82" s="2145"/>
      <c r="O82" s="2145"/>
      <c r="P82" s="2145"/>
      <c r="Q82" s="2145"/>
      <c r="R82" s="2145"/>
      <c r="S82" s="2103"/>
      <c r="T82" s="2103"/>
      <c r="U82" s="2103"/>
      <c r="V82" s="2146">
        <f>IF(D82&lt;&gt;D83,SUMIF(D$60:E82,D82,S$60:U82),0)</f>
        <v>0</v>
      </c>
      <c r="W82" s="2146"/>
      <c r="X82" s="2146"/>
      <c r="Y82" s="2146"/>
      <c r="Z82" s="1092" t="str">
        <f t="shared" si="7"/>
        <v/>
      </c>
      <c r="AA82" s="1093"/>
      <c r="AB82" s="2"/>
      <c r="AC82" s="2"/>
      <c r="AD82" s="2"/>
      <c r="AE82" s="2"/>
      <c r="AF82" s="1094" t="str">
        <f t="shared" si="11"/>
        <v/>
      </c>
      <c r="AG82" s="1305" t="str">
        <f t="shared" si="13"/>
        <v/>
      </c>
      <c r="AH82" s="1081" t="str">
        <f>UPPER(IMPOSTAZIONI!C157)</f>
        <v>APRILE</v>
      </c>
      <c r="AI82" s="1092">
        <v>4</v>
      </c>
      <c r="AJ82" s="1121" t="str">
        <f>VLOOKUP(DATE($E$178,AI82,1),VERIFICA!$H$113:$I$478,2,FALSE)</f>
        <v>Disattivato</v>
      </c>
      <c r="AK82" s="696"/>
      <c r="AL82" s="1102" t="str">
        <f t="shared" si="15"/>
        <v/>
      </c>
      <c r="AM82" s="1102" t="str">
        <f t="shared" si="12"/>
        <v/>
      </c>
      <c r="AN82" s="1065">
        <f t="shared" si="16"/>
        <v>4</v>
      </c>
      <c r="AO82" s="1122">
        <f t="shared" si="14"/>
        <v>45295</v>
      </c>
      <c r="AP82" s="696"/>
    </row>
    <row r="83" spans="1:42" ht="15.75" customHeight="1" x14ac:dyDescent="0.2">
      <c r="A83" s="2"/>
      <c r="B83" s="1305">
        <v>24</v>
      </c>
      <c r="C83" s="1125">
        <f t="shared" si="9"/>
        <v>0</v>
      </c>
      <c r="D83" s="2144" t="str">
        <f t="shared" si="10"/>
        <v/>
      </c>
      <c r="E83" s="2144"/>
      <c r="F83" s="2145"/>
      <c r="G83" s="2145"/>
      <c r="H83" s="2145"/>
      <c r="I83" s="2145"/>
      <c r="J83" s="2145"/>
      <c r="K83" s="2145"/>
      <c r="L83" s="2145"/>
      <c r="M83" s="2145"/>
      <c r="N83" s="2145"/>
      <c r="O83" s="2145"/>
      <c r="P83" s="2145"/>
      <c r="Q83" s="2145"/>
      <c r="R83" s="2145"/>
      <c r="S83" s="2103"/>
      <c r="T83" s="2103"/>
      <c r="U83" s="2103"/>
      <c r="V83" s="2146">
        <f>IF(D83&lt;&gt;D84,SUMIF(D$60:E83,D83,S$60:U83),0)</f>
        <v>0</v>
      </c>
      <c r="W83" s="2146"/>
      <c r="X83" s="2146"/>
      <c r="Y83" s="2146"/>
      <c r="Z83" s="1092" t="str">
        <f t="shared" si="7"/>
        <v/>
      </c>
      <c r="AA83" s="1093"/>
      <c r="AB83" s="2"/>
      <c r="AC83" s="2"/>
      <c r="AD83" s="2"/>
      <c r="AE83" s="2"/>
      <c r="AF83" s="1094" t="str">
        <f t="shared" si="11"/>
        <v/>
      </c>
      <c r="AG83" s="1305" t="str">
        <f t="shared" si="13"/>
        <v/>
      </c>
      <c r="AH83" s="1081" t="str">
        <f>UPPER(IMPOSTAZIONI!C158)</f>
        <v>MAGGIO</v>
      </c>
      <c r="AI83" s="1092">
        <v>5</v>
      </c>
      <c r="AJ83" s="1121" t="str">
        <f>VLOOKUP(DATE($E$178,AI83,1),VERIFICA!$H$113:$I$478,2,FALSE)</f>
        <v>Disattivato</v>
      </c>
      <c r="AK83" s="696"/>
      <c r="AL83" s="1102" t="str">
        <f t="shared" si="15"/>
        <v/>
      </c>
      <c r="AM83" s="1102" t="str">
        <f t="shared" si="12"/>
        <v/>
      </c>
      <c r="AN83" s="1065">
        <f t="shared" si="16"/>
        <v>5</v>
      </c>
      <c r="AO83" s="1122">
        <f t="shared" si="14"/>
        <v>45296</v>
      </c>
      <c r="AP83" s="696"/>
    </row>
    <row r="84" spans="1:42" ht="15.75" customHeight="1" x14ac:dyDescent="0.2">
      <c r="A84" s="2"/>
      <c r="B84" s="1305">
        <v>25</v>
      </c>
      <c r="C84" s="1125">
        <f t="shared" si="9"/>
        <v>0</v>
      </c>
      <c r="D84" s="2144" t="str">
        <f t="shared" si="10"/>
        <v/>
      </c>
      <c r="E84" s="2144"/>
      <c r="F84" s="2145"/>
      <c r="G84" s="2145"/>
      <c r="H84" s="2145"/>
      <c r="I84" s="2145"/>
      <c r="J84" s="2145"/>
      <c r="K84" s="2145"/>
      <c r="L84" s="2145"/>
      <c r="M84" s="2145"/>
      <c r="N84" s="2145"/>
      <c r="O84" s="2145"/>
      <c r="P84" s="2145"/>
      <c r="Q84" s="2145"/>
      <c r="R84" s="2145"/>
      <c r="S84" s="2103"/>
      <c r="T84" s="2103"/>
      <c r="U84" s="2103"/>
      <c r="V84" s="2146">
        <f>IF(D84&lt;&gt;D85,SUMIF(D$60:E84,D84,S$60:U84),0)</f>
        <v>0</v>
      </c>
      <c r="W84" s="2146"/>
      <c r="X84" s="2146"/>
      <c r="Y84" s="2146"/>
      <c r="Z84" s="1092" t="str">
        <f t="shared" si="7"/>
        <v/>
      </c>
      <c r="AA84" s="1093"/>
      <c r="AB84" s="2"/>
      <c r="AC84" s="2"/>
      <c r="AD84" s="2"/>
      <c r="AE84" s="2"/>
      <c r="AF84" s="1094" t="str">
        <f t="shared" si="11"/>
        <v/>
      </c>
      <c r="AG84" s="1305" t="str">
        <f t="shared" si="13"/>
        <v/>
      </c>
      <c r="AH84" s="1081" t="str">
        <f>UPPER(IMPOSTAZIONI!C159)</f>
        <v>GIUGNO</v>
      </c>
      <c r="AI84" s="1092">
        <v>6</v>
      </c>
      <c r="AJ84" s="1121" t="str">
        <f>VLOOKUP(DATE($E$178,AI84,1),VERIFICA!$H$113:$I$478,2,FALSE)</f>
        <v>Disattivato</v>
      </c>
      <c r="AK84" s="696"/>
      <c r="AL84" s="1102" t="str">
        <f t="shared" si="15"/>
        <v/>
      </c>
      <c r="AM84" s="1102" t="str">
        <f t="shared" si="12"/>
        <v/>
      </c>
      <c r="AN84" s="1065">
        <f t="shared" si="16"/>
        <v>6</v>
      </c>
      <c r="AO84" s="1122">
        <f t="shared" si="14"/>
        <v>45297</v>
      </c>
      <c r="AP84" s="696"/>
    </row>
    <row r="85" spans="1:42" ht="15.75" customHeight="1" x14ac:dyDescent="0.2">
      <c r="A85" s="2"/>
      <c r="B85" s="1305">
        <v>26</v>
      </c>
      <c r="C85" s="1125">
        <f t="shared" si="9"/>
        <v>0</v>
      </c>
      <c r="D85" s="2144" t="str">
        <f t="shared" si="10"/>
        <v/>
      </c>
      <c r="E85" s="2144"/>
      <c r="F85" s="2145"/>
      <c r="G85" s="2145"/>
      <c r="H85" s="2145"/>
      <c r="I85" s="2145"/>
      <c r="J85" s="2145"/>
      <c r="K85" s="2145"/>
      <c r="L85" s="2145"/>
      <c r="M85" s="2145"/>
      <c r="N85" s="2145"/>
      <c r="O85" s="2145"/>
      <c r="P85" s="2145"/>
      <c r="Q85" s="2145"/>
      <c r="R85" s="2145"/>
      <c r="S85" s="2103"/>
      <c r="T85" s="2103"/>
      <c r="U85" s="2103"/>
      <c r="V85" s="2146">
        <f>IF(D85&lt;&gt;D86,SUMIF(D$60:E85,D85,S$60:U85),0)</f>
        <v>0</v>
      </c>
      <c r="W85" s="2146"/>
      <c r="X85" s="2146"/>
      <c r="Y85" s="2146"/>
      <c r="Z85" s="1092" t="str">
        <f t="shared" si="7"/>
        <v/>
      </c>
      <c r="AA85" s="1093"/>
      <c r="AB85" s="2"/>
      <c r="AC85" s="2"/>
      <c r="AD85" s="2"/>
      <c r="AE85" s="2"/>
      <c r="AF85" s="1094" t="str">
        <f t="shared" si="11"/>
        <v/>
      </c>
      <c r="AG85" s="1305" t="str">
        <f t="shared" si="13"/>
        <v/>
      </c>
      <c r="AH85" s="1081" t="str">
        <f>UPPER(IMPOSTAZIONI!C160)</f>
        <v>LUGLIO</v>
      </c>
      <c r="AI85" s="1092">
        <v>7</v>
      </c>
      <c r="AJ85" s="1121" t="str">
        <f>VLOOKUP(DATE($E$178,AI85,1),VERIFICA!$H$113:$I$478,2,FALSE)</f>
        <v>Disattivato</v>
      </c>
      <c r="AK85" s="696"/>
      <c r="AL85" s="1102" t="str">
        <f t="shared" si="15"/>
        <v/>
      </c>
      <c r="AM85" s="1102" t="str">
        <f t="shared" si="12"/>
        <v/>
      </c>
      <c r="AN85" s="1065">
        <f t="shared" si="16"/>
        <v>7</v>
      </c>
      <c r="AO85" s="1122">
        <f t="shared" si="14"/>
        <v>45298</v>
      </c>
      <c r="AP85" s="696"/>
    </row>
    <row r="86" spans="1:42" ht="15.75" customHeight="1" x14ac:dyDescent="0.2">
      <c r="A86" s="2"/>
      <c r="B86" s="1305">
        <v>27</v>
      </c>
      <c r="C86" s="1125">
        <f t="shared" si="9"/>
        <v>0</v>
      </c>
      <c r="D86" s="2144" t="str">
        <f t="shared" si="10"/>
        <v/>
      </c>
      <c r="E86" s="2144"/>
      <c r="F86" s="2145"/>
      <c r="G86" s="2145"/>
      <c r="H86" s="2145"/>
      <c r="I86" s="2145"/>
      <c r="J86" s="2145"/>
      <c r="K86" s="2145"/>
      <c r="L86" s="2145"/>
      <c r="M86" s="2145"/>
      <c r="N86" s="2145"/>
      <c r="O86" s="2145"/>
      <c r="P86" s="2145"/>
      <c r="Q86" s="2145"/>
      <c r="R86" s="2145"/>
      <c r="S86" s="2103"/>
      <c r="T86" s="2103"/>
      <c r="U86" s="2103"/>
      <c r="V86" s="2146">
        <f>IF(D86&lt;&gt;D87,SUMIF(D$60:E86,D86,S$60:U86),0)</f>
        <v>0</v>
      </c>
      <c r="W86" s="2146"/>
      <c r="X86" s="2146"/>
      <c r="Y86" s="2146"/>
      <c r="Z86" s="1092" t="str">
        <f t="shared" si="7"/>
        <v/>
      </c>
      <c r="AA86" s="1093"/>
      <c r="AB86" s="2"/>
      <c r="AC86" s="2"/>
      <c r="AD86" s="2"/>
      <c r="AE86" s="2"/>
      <c r="AF86" s="1094" t="str">
        <f t="shared" si="11"/>
        <v/>
      </c>
      <c r="AG86" s="1305" t="str">
        <f t="shared" si="13"/>
        <v/>
      </c>
      <c r="AH86" s="1081" t="str">
        <f>UPPER(IMPOSTAZIONI!C161)</f>
        <v>AGOSTO</v>
      </c>
      <c r="AI86" s="1092">
        <v>8</v>
      </c>
      <c r="AJ86" s="1121" t="str">
        <f>VLOOKUP(DATE($E$178,AI86,1),VERIFICA!$H$113:$I$478,2,FALSE)</f>
        <v>Disattivato</v>
      </c>
      <c r="AK86" s="696"/>
      <c r="AL86" s="1102" t="str">
        <f t="shared" si="15"/>
        <v/>
      </c>
      <c r="AM86" s="1102" t="str">
        <f t="shared" si="12"/>
        <v/>
      </c>
      <c r="AN86" s="1065">
        <f t="shared" si="16"/>
        <v>8</v>
      </c>
      <c r="AO86" s="1122">
        <f t="shared" si="14"/>
        <v>45299</v>
      </c>
      <c r="AP86" s="696"/>
    </row>
    <row r="87" spans="1:42" ht="15.75" customHeight="1" x14ac:dyDescent="0.2">
      <c r="A87" s="2"/>
      <c r="B87" s="1305">
        <v>28</v>
      </c>
      <c r="C87" s="1125">
        <f t="shared" si="9"/>
        <v>0</v>
      </c>
      <c r="D87" s="2144" t="str">
        <f t="shared" si="10"/>
        <v/>
      </c>
      <c r="E87" s="2144"/>
      <c r="F87" s="2145"/>
      <c r="G87" s="2145"/>
      <c r="H87" s="2145"/>
      <c r="I87" s="2145"/>
      <c r="J87" s="2145"/>
      <c r="K87" s="2145"/>
      <c r="L87" s="2145"/>
      <c r="M87" s="2145"/>
      <c r="N87" s="2145"/>
      <c r="O87" s="2145"/>
      <c r="P87" s="2145"/>
      <c r="Q87" s="2145"/>
      <c r="R87" s="2145"/>
      <c r="S87" s="2103"/>
      <c r="T87" s="2103"/>
      <c r="U87" s="2103"/>
      <c r="V87" s="2146">
        <f>IF(D87&lt;&gt;D88,SUMIF(D$60:E87,D87,S$60:U87),0)</f>
        <v>0</v>
      </c>
      <c r="W87" s="2146"/>
      <c r="X87" s="2146"/>
      <c r="Y87" s="2146"/>
      <c r="Z87" s="1092" t="str">
        <f t="shared" si="7"/>
        <v/>
      </c>
      <c r="AA87" s="1093"/>
      <c r="AB87" s="2"/>
      <c r="AC87" s="2"/>
      <c r="AD87" s="2"/>
      <c r="AE87" s="2"/>
      <c r="AF87" s="1094" t="str">
        <f t="shared" si="11"/>
        <v/>
      </c>
      <c r="AG87" s="1305" t="str">
        <f t="shared" si="13"/>
        <v/>
      </c>
      <c r="AH87" s="1081" t="str">
        <f>UPPER(IMPOSTAZIONI!C162)</f>
        <v>SETTEMBRE</v>
      </c>
      <c r="AI87" s="1092">
        <v>9</v>
      </c>
      <c r="AJ87" s="1121" t="str">
        <f>VLOOKUP(DATE($E$178,AI87,1),VERIFICA!$H$113:$I$478,2,FALSE)</f>
        <v>Disattivato</v>
      </c>
      <c r="AK87" s="696"/>
      <c r="AL87" s="1102" t="str">
        <f t="shared" si="15"/>
        <v/>
      </c>
      <c r="AM87" s="1102" t="str">
        <f t="shared" si="12"/>
        <v/>
      </c>
      <c r="AN87" s="1065">
        <f t="shared" si="16"/>
        <v>9</v>
      </c>
      <c r="AO87" s="1122">
        <f t="shared" si="14"/>
        <v>45300</v>
      </c>
      <c r="AP87" s="696"/>
    </row>
    <row r="88" spans="1:42" ht="15.75" customHeight="1" x14ac:dyDescent="0.2">
      <c r="A88" s="2"/>
      <c r="B88" s="1305">
        <v>29</v>
      </c>
      <c r="C88" s="1125">
        <f t="shared" si="9"/>
        <v>0</v>
      </c>
      <c r="D88" s="2144" t="str">
        <f t="shared" si="10"/>
        <v/>
      </c>
      <c r="E88" s="2144"/>
      <c r="F88" s="2145"/>
      <c r="G88" s="2145"/>
      <c r="H88" s="2145"/>
      <c r="I88" s="2145"/>
      <c r="J88" s="2145"/>
      <c r="K88" s="2145"/>
      <c r="L88" s="2145"/>
      <c r="M88" s="2145"/>
      <c r="N88" s="2145"/>
      <c r="O88" s="2145"/>
      <c r="P88" s="2145"/>
      <c r="Q88" s="2145"/>
      <c r="R88" s="2145"/>
      <c r="S88" s="2103"/>
      <c r="T88" s="2103"/>
      <c r="U88" s="2103"/>
      <c r="V88" s="2146">
        <f>IF(D88&lt;&gt;D89,SUMIF(D$60:E88,D88,S$60:U88),0)</f>
        <v>0</v>
      </c>
      <c r="W88" s="2146"/>
      <c r="X88" s="2146"/>
      <c r="Y88" s="2146"/>
      <c r="Z88" s="1092" t="str">
        <f t="shared" si="7"/>
        <v/>
      </c>
      <c r="AA88" s="1093"/>
      <c r="AB88" s="2"/>
      <c r="AC88" s="2"/>
      <c r="AD88" s="2"/>
      <c r="AE88" s="2"/>
      <c r="AF88" s="1094" t="str">
        <f t="shared" si="11"/>
        <v/>
      </c>
      <c r="AG88" s="1305" t="str">
        <f t="shared" si="13"/>
        <v/>
      </c>
      <c r="AH88" s="1081" t="str">
        <f>UPPER(IMPOSTAZIONI!C163)</f>
        <v>OTTOBRE</v>
      </c>
      <c r="AI88" s="1092">
        <v>10</v>
      </c>
      <c r="AJ88" s="1121" t="str">
        <f>VLOOKUP(DATE($E$178,AI88,1),VERIFICA!$H$113:$I$478,2,FALSE)</f>
        <v>Disattivato</v>
      </c>
      <c r="AK88" s="696"/>
      <c r="AL88" s="1102" t="str">
        <f t="shared" si="15"/>
        <v/>
      </c>
      <c r="AM88" s="1102" t="str">
        <f t="shared" si="12"/>
        <v/>
      </c>
      <c r="AN88" s="1065">
        <f t="shared" si="16"/>
        <v>10</v>
      </c>
      <c r="AO88" s="1122">
        <f t="shared" si="14"/>
        <v>45301</v>
      </c>
      <c r="AP88" s="696"/>
    </row>
    <row r="89" spans="1:42" ht="15.75" customHeight="1" x14ac:dyDescent="0.2">
      <c r="A89" s="2"/>
      <c r="B89" s="1305">
        <v>30</v>
      </c>
      <c r="C89" s="1125">
        <f t="shared" si="9"/>
        <v>0</v>
      </c>
      <c r="D89" s="2144" t="str">
        <f t="shared" si="10"/>
        <v/>
      </c>
      <c r="E89" s="2144"/>
      <c r="F89" s="2145"/>
      <c r="G89" s="2145"/>
      <c r="H89" s="2145"/>
      <c r="I89" s="2145"/>
      <c r="J89" s="2145"/>
      <c r="K89" s="2145"/>
      <c r="L89" s="2145"/>
      <c r="M89" s="2145"/>
      <c r="N89" s="2145"/>
      <c r="O89" s="2145"/>
      <c r="P89" s="2145"/>
      <c r="Q89" s="2145"/>
      <c r="R89" s="2145"/>
      <c r="S89" s="2103"/>
      <c r="T89" s="2103"/>
      <c r="U89" s="2103"/>
      <c r="V89" s="2146">
        <f>IF(D89&lt;&gt;D90,SUMIF(D$60:E89,D89,S$60:U89),0)</f>
        <v>0</v>
      </c>
      <c r="W89" s="2146"/>
      <c r="X89" s="2146"/>
      <c r="Y89" s="2146"/>
      <c r="Z89" s="1092" t="str">
        <f t="shared" si="7"/>
        <v/>
      </c>
      <c r="AA89" s="1093"/>
      <c r="AB89" s="2"/>
      <c r="AC89" s="2"/>
      <c r="AD89" s="2"/>
      <c r="AE89" s="2"/>
      <c r="AF89" s="1094" t="str">
        <f t="shared" si="11"/>
        <v/>
      </c>
      <c r="AG89" s="1305" t="str">
        <f t="shared" si="13"/>
        <v/>
      </c>
      <c r="AH89" s="1081" t="str">
        <f>UPPER(IMPOSTAZIONI!C164)</f>
        <v>NOVEMBRE</v>
      </c>
      <c r="AI89" s="1092">
        <v>11</v>
      </c>
      <c r="AJ89" s="1121" t="str">
        <f>VLOOKUP(DATE($E$178,AI89,1),VERIFICA!$H$113:$I$478,2,FALSE)</f>
        <v>Disattivato</v>
      </c>
      <c r="AK89" s="696"/>
      <c r="AL89" s="1102" t="str">
        <f t="shared" si="15"/>
        <v/>
      </c>
      <c r="AM89" s="1102" t="str">
        <f t="shared" si="12"/>
        <v/>
      </c>
      <c r="AN89" s="1065">
        <f t="shared" si="16"/>
        <v>11</v>
      </c>
      <c r="AO89" s="1122">
        <f t="shared" si="14"/>
        <v>45302</v>
      </c>
      <c r="AP89" s="696"/>
    </row>
    <row r="90" spans="1:42" ht="15.75" customHeight="1" x14ac:dyDescent="0.2">
      <c r="A90" s="2"/>
      <c r="B90" s="1305">
        <v>31</v>
      </c>
      <c r="C90" s="1125">
        <f t="shared" si="9"/>
        <v>0</v>
      </c>
      <c r="D90" s="2144" t="str">
        <f t="shared" si="10"/>
        <v/>
      </c>
      <c r="E90" s="2144"/>
      <c r="F90" s="2145"/>
      <c r="G90" s="2145"/>
      <c r="H90" s="2145"/>
      <c r="I90" s="2145"/>
      <c r="J90" s="2145"/>
      <c r="K90" s="2145"/>
      <c r="L90" s="2145"/>
      <c r="M90" s="2145"/>
      <c r="N90" s="2145"/>
      <c r="O90" s="2145"/>
      <c r="P90" s="2145"/>
      <c r="Q90" s="2145"/>
      <c r="R90" s="2145"/>
      <c r="S90" s="2103"/>
      <c r="T90" s="2103"/>
      <c r="U90" s="2103"/>
      <c r="V90" s="2146">
        <f>IF(D90&lt;&gt;D91,SUMIF(D$60:E90,D90,S$60:U90),0)</f>
        <v>0</v>
      </c>
      <c r="W90" s="2146"/>
      <c r="X90" s="2146"/>
      <c r="Y90" s="2146"/>
      <c r="Z90" s="1092" t="str">
        <f t="shared" si="7"/>
        <v/>
      </c>
      <c r="AA90" s="1093"/>
      <c r="AB90" s="2"/>
      <c r="AC90" s="2"/>
      <c r="AD90" s="2"/>
      <c r="AE90" s="2"/>
      <c r="AF90" s="1094" t="str">
        <f t="shared" si="11"/>
        <v/>
      </c>
      <c r="AG90" s="1305" t="str">
        <f t="shared" si="13"/>
        <v/>
      </c>
      <c r="AH90" s="1081" t="str">
        <f>UPPER(IMPOSTAZIONI!C165)</f>
        <v>DICEMBRE</v>
      </c>
      <c r="AI90" s="1092">
        <v>12</v>
      </c>
      <c r="AJ90" s="1121" t="str">
        <f>VLOOKUP(DATE($E$178,AI90,1),VERIFICA!$H$113:$I$478,2,FALSE)</f>
        <v>Disattivato</v>
      </c>
      <c r="AK90" s="696"/>
      <c r="AL90" s="1102" t="str">
        <f t="shared" si="15"/>
        <v/>
      </c>
      <c r="AM90" s="1102" t="str">
        <f t="shared" si="12"/>
        <v/>
      </c>
      <c r="AN90" s="1065">
        <f t="shared" si="16"/>
        <v>12</v>
      </c>
      <c r="AO90" s="1122">
        <f t="shared" si="14"/>
        <v>45303</v>
      </c>
      <c r="AP90" s="696"/>
    </row>
    <row r="91" spans="1:42" ht="15.75" customHeight="1" x14ac:dyDescent="0.2">
      <c r="A91" s="2"/>
      <c r="B91" s="1305">
        <v>32</v>
      </c>
      <c r="C91" s="1125">
        <f t="shared" si="9"/>
        <v>0</v>
      </c>
      <c r="D91" s="2144" t="str">
        <f t="shared" si="10"/>
        <v/>
      </c>
      <c r="E91" s="2144"/>
      <c r="F91" s="2145"/>
      <c r="G91" s="2145"/>
      <c r="H91" s="2145"/>
      <c r="I91" s="2145"/>
      <c r="J91" s="2145"/>
      <c r="K91" s="2145"/>
      <c r="L91" s="2145"/>
      <c r="M91" s="2145"/>
      <c r="N91" s="2145"/>
      <c r="O91" s="2145"/>
      <c r="P91" s="2145"/>
      <c r="Q91" s="2145"/>
      <c r="R91" s="2145"/>
      <c r="S91" s="2103"/>
      <c r="T91" s="2103"/>
      <c r="U91" s="2103"/>
      <c r="V91" s="2146">
        <f>IF(D91&lt;&gt;D92,SUMIF(D$60:E91,D91,S$60:U91),0)</f>
        <v>0</v>
      </c>
      <c r="W91" s="2146"/>
      <c r="X91" s="2146"/>
      <c r="Y91" s="2146"/>
      <c r="Z91" s="1092" t="str">
        <f t="shared" si="7"/>
        <v/>
      </c>
      <c r="AA91" s="1093"/>
      <c r="AB91" s="2"/>
      <c r="AC91" s="2"/>
      <c r="AD91" s="2"/>
      <c r="AE91" s="2"/>
      <c r="AF91" s="1094" t="str">
        <f t="shared" si="11"/>
        <v/>
      </c>
      <c r="AG91" s="1305" t="str">
        <f t="shared" si="13"/>
        <v/>
      </c>
      <c r="AH91" s="2"/>
      <c r="AI91" s="2"/>
      <c r="AJ91" s="696"/>
      <c r="AK91" s="696"/>
      <c r="AL91" s="1102" t="str">
        <f t="shared" si="15"/>
        <v/>
      </c>
      <c r="AM91" s="1102" t="str">
        <f t="shared" si="12"/>
        <v/>
      </c>
      <c r="AN91" s="1065">
        <f t="shared" si="16"/>
        <v>13</v>
      </c>
      <c r="AO91" s="1122">
        <f t="shared" si="14"/>
        <v>45304</v>
      </c>
      <c r="AP91" s="696"/>
    </row>
    <row r="92" spans="1:42" ht="15.75" customHeight="1" x14ac:dyDescent="0.2">
      <c r="A92" s="2"/>
      <c r="B92" s="1305">
        <v>33</v>
      </c>
      <c r="C92" s="1125">
        <f t="shared" si="9"/>
        <v>0</v>
      </c>
      <c r="D92" s="2144" t="str">
        <f t="shared" si="10"/>
        <v/>
      </c>
      <c r="E92" s="2144"/>
      <c r="F92" s="2145"/>
      <c r="G92" s="2145"/>
      <c r="H92" s="2145"/>
      <c r="I92" s="2145"/>
      <c r="J92" s="2145"/>
      <c r="K92" s="2145"/>
      <c r="L92" s="2145"/>
      <c r="M92" s="2145"/>
      <c r="N92" s="2145"/>
      <c r="O92" s="2145"/>
      <c r="P92" s="2145"/>
      <c r="Q92" s="2145"/>
      <c r="R92" s="2145"/>
      <c r="S92" s="2103"/>
      <c r="T92" s="2103"/>
      <c r="U92" s="2103"/>
      <c r="V92" s="2146">
        <f>IF(D92&lt;&gt;D93,SUMIF(D$60:E92,D92,S$60:U92),0)</f>
        <v>0</v>
      </c>
      <c r="W92" s="2146"/>
      <c r="X92" s="2146"/>
      <c r="Y92" s="2146"/>
      <c r="Z92" s="1092" t="str">
        <f t="shared" si="7"/>
        <v/>
      </c>
      <c r="AA92" s="1093"/>
      <c r="AB92" s="2"/>
      <c r="AC92" s="2"/>
      <c r="AD92" s="2"/>
      <c r="AE92" s="2"/>
      <c r="AF92" s="1094" t="str">
        <f t="shared" si="11"/>
        <v/>
      </c>
      <c r="AG92" s="1305" t="str">
        <f t="shared" si="13"/>
        <v/>
      </c>
      <c r="AH92" s="2"/>
      <c r="AI92" s="2"/>
      <c r="AJ92" s="2"/>
      <c r="AK92" s="696"/>
      <c r="AL92" s="1102" t="str">
        <f t="shared" si="15"/>
        <v/>
      </c>
      <c r="AM92" s="1102" t="str">
        <f t="shared" si="12"/>
        <v/>
      </c>
      <c r="AN92" s="1065">
        <f t="shared" si="16"/>
        <v>14</v>
      </c>
      <c r="AO92" s="1122">
        <f t="shared" si="14"/>
        <v>45305</v>
      </c>
      <c r="AP92" s="696"/>
    </row>
    <row r="93" spans="1:42" ht="15.75" customHeight="1" x14ac:dyDescent="0.2">
      <c r="A93" s="2"/>
      <c r="B93" s="1305">
        <v>34</v>
      </c>
      <c r="C93" s="1125">
        <f t="shared" si="9"/>
        <v>0</v>
      </c>
      <c r="D93" s="2144" t="str">
        <f t="shared" si="10"/>
        <v/>
      </c>
      <c r="E93" s="2144"/>
      <c r="F93" s="2145"/>
      <c r="G93" s="2145"/>
      <c r="H93" s="2145"/>
      <c r="I93" s="2145"/>
      <c r="J93" s="2145"/>
      <c r="K93" s="2145"/>
      <c r="L93" s="2145"/>
      <c r="M93" s="2145"/>
      <c r="N93" s="2145"/>
      <c r="O93" s="2145"/>
      <c r="P93" s="2145"/>
      <c r="Q93" s="2145"/>
      <c r="R93" s="2145"/>
      <c r="S93" s="2103"/>
      <c r="T93" s="2103"/>
      <c r="U93" s="2103"/>
      <c r="V93" s="2146">
        <f>IF(D93&lt;&gt;D94,SUMIF(D$60:E93,D93,S$60:U93),0)</f>
        <v>0</v>
      </c>
      <c r="W93" s="2146"/>
      <c r="X93" s="2146"/>
      <c r="Y93" s="2146"/>
      <c r="Z93" s="1092" t="str">
        <f t="shared" si="7"/>
        <v/>
      </c>
      <c r="AA93" s="1093"/>
      <c r="AB93" s="2"/>
      <c r="AC93" s="2"/>
      <c r="AD93" s="2"/>
      <c r="AE93" s="2"/>
      <c r="AF93" s="1094" t="str">
        <f t="shared" si="11"/>
        <v/>
      </c>
      <c r="AG93" s="1305" t="str">
        <f t="shared" si="13"/>
        <v/>
      </c>
      <c r="AH93" s="2"/>
      <c r="AI93" s="2"/>
      <c r="AJ93" s="696"/>
      <c r="AK93" s="696"/>
      <c r="AL93" s="1102" t="str">
        <f t="shared" si="15"/>
        <v/>
      </c>
      <c r="AM93" s="1102" t="str">
        <f t="shared" si="12"/>
        <v/>
      </c>
      <c r="AN93" s="1065">
        <f t="shared" si="16"/>
        <v>15</v>
      </c>
      <c r="AO93" s="1122">
        <f t="shared" si="14"/>
        <v>45306</v>
      </c>
      <c r="AP93" s="696"/>
    </row>
    <row r="94" spans="1:42" ht="15.75" customHeight="1" x14ac:dyDescent="0.2">
      <c r="A94" s="2"/>
      <c r="B94" s="1305">
        <v>35</v>
      </c>
      <c r="C94" s="1125">
        <f t="shared" si="9"/>
        <v>0</v>
      </c>
      <c r="D94" s="2144" t="str">
        <f t="shared" si="10"/>
        <v/>
      </c>
      <c r="E94" s="2144"/>
      <c r="F94" s="2145"/>
      <c r="G94" s="2145"/>
      <c r="H94" s="2145"/>
      <c r="I94" s="2145"/>
      <c r="J94" s="2145"/>
      <c r="K94" s="2145"/>
      <c r="L94" s="2145"/>
      <c r="M94" s="2145"/>
      <c r="N94" s="2145"/>
      <c r="O94" s="2145"/>
      <c r="P94" s="2145"/>
      <c r="Q94" s="2145"/>
      <c r="R94" s="2145"/>
      <c r="S94" s="2103"/>
      <c r="T94" s="2103"/>
      <c r="U94" s="2103"/>
      <c r="V94" s="2146">
        <f>IF(D94&lt;&gt;D95,SUMIF(D$60:E94,D94,S$60:U94),0)</f>
        <v>0</v>
      </c>
      <c r="W94" s="2146"/>
      <c r="X94" s="2146"/>
      <c r="Y94" s="2146"/>
      <c r="Z94" s="1092" t="str">
        <f t="shared" si="7"/>
        <v/>
      </c>
      <c r="AA94" s="1093"/>
      <c r="AB94" s="2"/>
      <c r="AC94" s="2"/>
      <c r="AD94" s="2"/>
      <c r="AE94" s="2"/>
      <c r="AF94" s="1094" t="str">
        <f t="shared" si="11"/>
        <v/>
      </c>
      <c r="AG94" s="1305" t="str">
        <f t="shared" si="13"/>
        <v/>
      </c>
      <c r="AH94" s="2"/>
      <c r="AI94" s="2"/>
      <c r="AJ94" s="696"/>
      <c r="AK94" s="696"/>
      <c r="AL94" s="1102" t="str">
        <f t="shared" si="15"/>
        <v/>
      </c>
      <c r="AM94" s="1102" t="str">
        <f t="shared" si="12"/>
        <v/>
      </c>
      <c r="AN94" s="1065">
        <f t="shared" si="16"/>
        <v>16</v>
      </c>
      <c r="AO94" s="1122">
        <f t="shared" si="14"/>
        <v>45307</v>
      </c>
      <c r="AP94" s="696"/>
    </row>
    <row r="95" spans="1:42" ht="15.75" customHeight="1" x14ac:dyDescent="0.2">
      <c r="A95" s="2"/>
      <c r="B95" s="1305">
        <v>36</v>
      </c>
      <c r="C95" s="1125">
        <f t="shared" si="9"/>
        <v>0</v>
      </c>
      <c r="D95" s="2144" t="str">
        <f t="shared" si="10"/>
        <v/>
      </c>
      <c r="E95" s="2144"/>
      <c r="F95" s="2145"/>
      <c r="G95" s="2145"/>
      <c r="H95" s="2145"/>
      <c r="I95" s="2145"/>
      <c r="J95" s="2145"/>
      <c r="K95" s="2145"/>
      <c r="L95" s="2145"/>
      <c r="M95" s="2145"/>
      <c r="N95" s="2145"/>
      <c r="O95" s="2145"/>
      <c r="P95" s="2145"/>
      <c r="Q95" s="2145"/>
      <c r="R95" s="2145"/>
      <c r="S95" s="2103"/>
      <c r="T95" s="2103"/>
      <c r="U95" s="2103"/>
      <c r="V95" s="2132">
        <f>IF(D95&lt;&gt;D96,SUMIF(D$60:E95,D95,S$60:U95),0)</f>
        <v>0</v>
      </c>
      <c r="W95" s="2132"/>
      <c r="X95" s="2132"/>
      <c r="Y95" s="2132"/>
      <c r="Z95" s="1092" t="str">
        <f t="shared" si="7"/>
        <v/>
      </c>
      <c r="AA95" s="1093"/>
      <c r="AB95" s="2"/>
      <c r="AC95" s="2"/>
      <c r="AD95" s="2"/>
      <c r="AE95" s="2"/>
      <c r="AF95" s="1094" t="str">
        <f t="shared" si="11"/>
        <v/>
      </c>
      <c r="AG95" s="1305" t="str">
        <f t="shared" si="13"/>
        <v/>
      </c>
      <c r="AH95" s="2"/>
      <c r="AI95" s="2"/>
      <c r="AJ95" s="696"/>
      <c r="AK95" s="696"/>
      <c r="AL95" s="1102" t="str">
        <f t="shared" si="15"/>
        <v/>
      </c>
      <c r="AM95" s="1102" t="str">
        <f t="shared" si="12"/>
        <v/>
      </c>
      <c r="AN95" s="1065">
        <f t="shared" si="16"/>
        <v>17</v>
      </c>
      <c r="AO95" s="1122">
        <f t="shared" si="14"/>
        <v>45308</v>
      </c>
      <c r="AP95" s="696"/>
    </row>
    <row r="96" spans="1:42" ht="15.75" customHeight="1" x14ac:dyDescent="0.2">
      <c r="A96" s="2"/>
      <c r="B96" s="1305">
        <v>37</v>
      </c>
      <c r="C96" s="1125">
        <f t="shared" si="9"/>
        <v>0</v>
      </c>
      <c r="D96" s="2144" t="str">
        <f t="shared" si="10"/>
        <v/>
      </c>
      <c r="E96" s="2144"/>
      <c r="F96" s="2145"/>
      <c r="G96" s="2145"/>
      <c r="H96" s="2145"/>
      <c r="I96" s="2145"/>
      <c r="J96" s="2145"/>
      <c r="K96" s="2145"/>
      <c r="L96" s="2145"/>
      <c r="M96" s="2145"/>
      <c r="N96" s="2145"/>
      <c r="O96" s="2145"/>
      <c r="P96" s="2145"/>
      <c r="Q96" s="2145"/>
      <c r="R96" s="2145"/>
      <c r="S96" s="2103"/>
      <c r="T96" s="2103"/>
      <c r="U96" s="2103"/>
      <c r="V96" s="2132">
        <f>IF(D96&lt;&gt;D97,SUMIF(D$60:E96,D96,S$60:U96),0)</f>
        <v>0</v>
      </c>
      <c r="W96" s="2132"/>
      <c r="X96" s="2132"/>
      <c r="Y96" s="2132"/>
      <c r="Z96" s="1092" t="str">
        <f t="shared" si="7"/>
        <v/>
      </c>
      <c r="AA96" s="1093"/>
      <c r="AB96" s="2"/>
      <c r="AC96" s="2"/>
      <c r="AD96" s="2"/>
      <c r="AE96" s="2"/>
      <c r="AF96" s="1094" t="str">
        <f t="shared" si="11"/>
        <v/>
      </c>
      <c r="AG96" s="1305" t="str">
        <f t="shared" si="13"/>
        <v/>
      </c>
      <c r="AH96" s="2"/>
      <c r="AI96" s="2"/>
      <c r="AJ96" s="696"/>
      <c r="AK96" s="696"/>
      <c r="AL96" s="1102" t="str">
        <f t="shared" si="15"/>
        <v/>
      </c>
      <c r="AM96" s="1102" t="str">
        <f t="shared" si="12"/>
        <v/>
      </c>
      <c r="AN96" s="1065">
        <f t="shared" si="16"/>
        <v>18</v>
      </c>
      <c r="AO96" s="1122">
        <f t="shared" si="14"/>
        <v>45309</v>
      </c>
      <c r="AP96" s="696"/>
    </row>
    <row r="97" spans="1:42" ht="15.75" customHeight="1" x14ac:dyDescent="0.2">
      <c r="A97" s="2"/>
      <c r="B97" s="1305">
        <v>38</v>
      </c>
      <c r="C97" s="1125">
        <f t="shared" si="9"/>
        <v>0</v>
      </c>
      <c r="D97" s="2144" t="str">
        <f t="shared" si="10"/>
        <v/>
      </c>
      <c r="E97" s="2144"/>
      <c r="F97" s="2145"/>
      <c r="G97" s="2145"/>
      <c r="H97" s="2145"/>
      <c r="I97" s="2145"/>
      <c r="J97" s="2145"/>
      <c r="K97" s="2145"/>
      <c r="L97" s="2145"/>
      <c r="M97" s="2145"/>
      <c r="N97" s="2145"/>
      <c r="O97" s="2145"/>
      <c r="P97" s="2145"/>
      <c r="Q97" s="2145"/>
      <c r="R97" s="2145"/>
      <c r="S97" s="2103"/>
      <c r="T97" s="2103"/>
      <c r="U97" s="2103"/>
      <c r="V97" s="2132">
        <f>IF(D97&lt;&gt;D98,SUMIF(D$60:E97,D97,S$60:U97),0)</f>
        <v>0</v>
      </c>
      <c r="W97" s="2132"/>
      <c r="X97" s="2132"/>
      <c r="Y97" s="2132"/>
      <c r="Z97" s="1092" t="str">
        <f t="shared" si="7"/>
        <v/>
      </c>
      <c r="AA97" s="1093"/>
      <c r="AB97" s="2"/>
      <c r="AC97" s="2"/>
      <c r="AD97" s="2"/>
      <c r="AE97" s="2"/>
      <c r="AF97" s="1094" t="str">
        <f t="shared" si="11"/>
        <v/>
      </c>
      <c r="AG97" s="1305" t="str">
        <f t="shared" si="13"/>
        <v/>
      </c>
      <c r="AH97" s="2"/>
      <c r="AI97" s="2"/>
      <c r="AJ97" s="696"/>
      <c r="AK97" s="696"/>
      <c r="AL97" s="1102" t="str">
        <f t="shared" si="15"/>
        <v/>
      </c>
      <c r="AM97" s="1102" t="str">
        <f t="shared" si="12"/>
        <v/>
      </c>
      <c r="AN97" s="1065">
        <f t="shared" si="16"/>
        <v>19</v>
      </c>
      <c r="AO97" s="1122">
        <f t="shared" si="14"/>
        <v>45310</v>
      </c>
      <c r="AP97" s="696"/>
    </row>
    <row r="98" spans="1:42" ht="15.75" customHeight="1" x14ac:dyDescent="0.2">
      <c r="A98" s="2"/>
      <c r="B98" s="1305">
        <v>39</v>
      </c>
      <c r="C98" s="1125">
        <f t="shared" si="9"/>
        <v>0</v>
      </c>
      <c r="D98" s="2144" t="str">
        <f t="shared" si="10"/>
        <v/>
      </c>
      <c r="E98" s="2144"/>
      <c r="F98" s="2145"/>
      <c r="G98" s="2145"/>
      <c r="H98" s="2145"/>
      <c r="I98" s="2145"/>
      <c r="J98" s="2145"/>
      <c r="K98" s="2145"/>
      <c r="L98" s="2145"/>
      <c r="M98" s="2145"/>
      <c r="N98" s="2145"/>
      <c r="O98" s="2145"/>
      <c r="P98" s="2145"/>
      <c r="Q98" s="2145"/>
      <c r="R98" s="2145"/>
      <c r="S98" s="2103"/>
      <c r="T98" s="2103"/>
      <c r="U98" s="2103"/>
      <c r="V98" s="2132">
        <f>IF(D98&lt;&gt;D99,SUMIF(D$60:E98,D98,S$60:U98),0)</f>
        <v>0</v>
      </c>
      <c r="W98" s="2132"/>
      <c r="X98" s="2132"/>
      <c r="Y98" s="2132"/>
      <c r="Z98" s="1092" t="str">
        <f t="shared" si="7"/>
        <v/>
      </c>
      <c r="AA98" s="1093"/>
      <c r="AB98" s="2"/>
      <c r="AC98" s="2"/>
      <c r="AD98" s="2"/>
      <c r="AE98" s="2"/>
      <c r="AF98" s="1094" t="str">
        <f t="shared" si="11"/>
        <v/>
      </c>
      <c r="AG98" s="1305" t="str">
        <f t="shared" si="13"/>
        <v/>
      </c>
      <c r="AH98" s="2"/>
      <c r="AI98" s="2"/>
      <c r="AJ98" s="696"/>
      <c r="AK98" s="696"/>
      <c r="AL98" s="1102" t="str">
        <f t="shared" si="15"/>
        <v/>
      </c>
      <c r="AM98" s="1102" t="str">
        <f t="shared" si="12"/>
        <v/>
      </c>
      <c r="AN98" s="1065">
        <f t="shared" si="16"/>
        <v>20</v>
      </c>
      <c r="AO98" s="1122">
        <f t="shared" si="14"/>
        <v>45311</v>
      </c>
      <c r="AP98" s="696"/>
    </row>
    <row r="99" spans="1:42" ht="15.75" customHeight="1" x14ac:dyDescent="0.2">
      <c r="A99" s="2"/>
      <c r="B99" s="1305">
        <v>40</v>
      </c>
      <c r="C99" s="1125">
        <f t="shared" si="9"/>
        <v>0</v>
      </c>
      <c r="D99" s="2144" t="str">
        <f t="shared" si="10"/>
        <v/>
      </c>
      <c r="E99" s="2144"/>
      <c r="F99" s="2145"/>
      <c r="G99" s="2145"/>
      <c r="H99" s="2145"/>
      <c r="I99" s="2145"/>
      <c r="J99" s="2145"/>
      <c r="K99" s="2145"/>
      <c r="L99" s="2145"/>
      <c r="M99" s="2145"/>
      <c r="N99" s="2145"/>
      <c r="O99" s="2145"/>
      <c r="P99" s="2145"/>
      <c r="Q99" s="2145"/>
      <c r="R99" s="2145"/>
      <c r="S99" s="2103"/>
      <c r="T99" s="2103"/>
      <c r="U99" s="2103"/>
      <c r="V99" s="2132">
        <f>IF(D99&lt;&gt;D100,SUMIF(D$60:E99,D99,S$60:U99),0)</f>
        <v>0</v>
      </c>
      <c r="W99" s="2132"/>
      <c r="X99" s="2132"/>
      <c r="Y99" s="2132"/>
      <c r="Z99" s="1092" t="str">
        <f t="shared" si="7"/>
        <v/>
      </c>
      <c r="AA99" s="1093"/>
      <c r="AB99" s="2"/>
      <c r="AC99" s="2"/>
      <c r="AD99" s="2"/>
      <c r="AE99" s="2"/>
      <c r="AF99" s="1094" t="str">
        <f t="shared" si="11"/>
        <v/>
      </c>
      <c r="AG99" s="1305" t="str">
        <f t="shared" si="13"/>
        <v/>
      </c>
      <c r="AH99" s="2"/>
      <c r="AI99" s="2"/>
      <c r="AJ99" s="696"/>
      <c r="AK99" s="696"/>
      <c r="AL99" s="1102" t="str">
        <f t="shared" si="15"/>
        <v/>
      </c>
      <c r="AM99" s="1102" t="str">
        <f t="shared" si="12"/>
        <v/>
      </c>
      <c r="AN99" s="1065">
        <f t="shared" si="16"/>
        <v>21</v>
      </c>
      <c r="AO99" s="1122">
        <f t="shared" si="14"/>
        <v>45312</v>
      </c>
      <c r="AP99" s="696"/>
    </row>
    <row r="100" spans="1:42" ht="15.75" customHeight="1" x14ac:dyDescent="0.2">
      <c r="A100" s="2"/>
      <c r="B100" s="1305">
        <v>41</v>
      </c>
      <c r="C100" s="1125">
        <f t="shared" si="9"/>
        <v>0</v>
      </c>
      <c r="D100" s="2144" t="str">
        <f t="shared" si="10"/>
        <v/>
      </c>
      <c r="E100" s="2144"/>
      <c r="F100" s="2145"/>
      <c r="G100" s="2145"/>
      <c r="H100" s="2145"/>
      <c r="I100" s="2145"/>
      <c r="J100" s="2145"/>
      <c r="K100" s="2145"/>
      <c r="L100" s="2145"/>
      <c r="M100" s="2145"/>
      <c r="N100" s="2145"/>
      <c r="O100" s="2145"/>
      <c r="P100" s="2145"/>
      <c r="Q100" s="2145"/>
      <c r="R100" s="2145"/>
      <c r="S100" s="2103"/>
      <c r="T100" s="2103"/>
      <c r="U100" s="2103"/>
      <c r="V100" s="2132">
        <f>IF(D100&lt;&gt;D101,SUMIF(D$60:E100,D100,S$60:U100),0)</f>
        <v>0</v>
      </c>
      <c r="W100" s="2132"/>
      <c r="X100" s="2132"/>
      <c r="Y100" s="2132"/>
      <c r="Z100" s="1092" t="str">
        <f t="shared" si="7"/>
        <v/>
      </c>
      <c r="AA100" s="1093"/>
      <c r="AB100" s="2"/>
      <c r="AC100" s="2"/>
      <c r="AD100" s="2"/>
      <c r="AE100" s="2"/>
      <c r="AF100" s="1094" t="str">
        <f t="shared" si="11"/>
        <v/>
      </c>
      <c r="AG100" s="1305" t="str">
        <f t="shared" si="13"/>
        <v/>
      </c>
      <c r="AH100" s="2"/>
      <c r="AI100" s="2"/>
      <c r="AJ100" s="696"/>
      <c r="AK100" s="696"/>
      <c r="AL100" s="1102" t="str">
        <f t="shared" si="15"/>
        <v/>
      </c>
      <c r="AM100" s="1102" t="str">
        <f t="shared" si="12"/>
        <v/>
      </c>
      <c r="AN100" s="1065">
        <f t="shared" si="16"/>
        <v>22</v>
      </c>
      <c r="AO100" s="1122">
        <f t="shared" si="14"/>
        <v>45313</v>
      </c>
      <c r="AP100" s="696"/>
    </row>
    <row r="101" spans="1:42" ht="15.75" customHeight="1" x14ac:dyDescent="0.2">
      <c r="A101" s="2"/>
      <c r="B101" s="1305">
        <v>42</v>
      </c>
      <c r="C101" s="1125">
        <f t="shared" si="9"/>
        <v>0</v>
      </c>
      <c r="D101" s="2144" t="str">
        <f t="shared" si="10"/>
        <v/>
      </c>
      <c r="E101" s="2144"/>
      <c r="F101" s="2145"/>
      <c r="G101" s="2145"/>
      <c r="H101" s="2145"/>
      <c r="I101" s="2145"/>
      <c r="J101" s="2145"/>
      <c r="K101" s="2145"/>
      <c r="L101" s="2145"/>
      <c r="M101" s="2145"/>
      <c r="N101" s="2145"/>
      <c r="O101" s="2145"/>
      <c r="P101" s="2145"/>
      <c r="Q101" s="2145"/>
      <c r="R101" s="2145"/>
      <c r="S101" s="2103"/>
      <c r="T101" s="2103"/>
      <c r="U101" s="2103"/>
      <c r="V101" s="2132">
        <f>IF(D101&lt;&gt;D102,SUMIF(D$60:E101,D101,S$60:U101),0)</f>
        <v>0</v>
      </c>
      <c r="W101" s="2132"/>
      <c r="X101" s="2132"/>
      <c r="Y101" s="2132"/>
      <c r="Z101" s="1092" t="str">
        <f t="shared" si="7"/>
        <v/>
      </c>
      <c r="AA101" s="1093"/>
      <c r="AB101" s="2"/>
      <c r="AC101" s="2"/>
      <c r="AD101" s="2"/>
      <c r="AE101" s="2"/>
      <c r="AF101" s="1094" t="str">
        <f t="shared" si="11"/>
        <v/>
      </c>
      <c r="AG101" s="1305" t="str">
        <f t="shared" si="13"/>
        <v/>
      </c>
      <c r="AH101" s="2"/>
      <c r="AI101" s="2"/>
      <c r="AJ101" s="696"/>
      <c r="AK101" s="696"/>
      <c r="AL101" s="1102" t="str">
        <f t="shared" si="15"/>
        <v/>
      </c>
      <c r="AM101" s="1102" t="str">
        <f t="shared" si="12"/>
        <v/>
      </c>
      <c r="AN101" s="1065">
        <f t="shared" si="16"/>
        <v>23</v>
      </c>
      <c r="AO101" s="1122">
        <f t="shared" si="14"/>
        <v>45314</v>
      </c>
      <c r="AP101" s="696"/>
    </row>
    <row r="102" spans="1:42" ht="15.75" customHeight="1" x14ac:dyDescent="0.2">
      <c r="A102" s="2"/>
      <c r="B102" s="1305">
        <v>43</v>
      </c>
      <c r="C102" s="1125">
        <f t="shared" si="9"/>
        <v>0</v>
      </c>
      <c r="D102" s="2144" t="str">
        <f t="shared" si="10"/>
        <v/>
      </c>
      <c r="E102" s="2144"/>
      <c r="F102" s="2145"/>
      <c r="G102" s="2145"/>
      <c r="H102" s="2145"/>
      <c r="I102" s="2145"/>
      <c r="J102" s="2145"/>
      <c r="K102" s="2145"/>
      <c r="L102" s="2145"/>
      <c r="M102" s="2145"/>
      <c r="N102" s="2145"/>
      <c r="O102" s="2145"/>
      <c r="P102" s="2145"/>
      <c r="Q102" s="2145"/>
      <c r="R102" s="2145"/>
      <c r="S102" s="2103"/>
      <c r="T102" s="2103"/>
      <c r="U102" s="2103"/>
      <c r="V102" s="2132">
        <f>IF(D102&lt;&gt;D103,SUMIF(D$60:E102,D102,S$60:U102),0)</f>
        <v>0</v>
      </c>
      <c r="W102" s="2132"/>
      <c r="X102" s="2132"/>
      <c r="Y102" s="2132"/>
      <c r="Z102" s="1092" t="str">
        <f t="shared" si="7"/>
        <v/>
      </c>
      <c r="AA102" s="1093"/>
      <c r="AB102" s="2"/>
      <c r="AC102" s="2"/>
      <c r="AD102" s="2"/>
      <c r="AE102" s="2"/>
      <c r="AF102" s="1094" t="str">
        <f t="shared" si="11"/>
        <v/>
      </c>
      <c r="AG102" s="1305" t="str">
        <f t="shared" si="13"/>
        <v/>
      </c>
      <c r="AH102" s="2"/>
      <c r="AI102" s="2"/>
      <c r="AJ102" s="696"/>
      <c r="AK102" s="696"/>
      <c r="AL102" s="1102" t="str">
        <f t="shared" si="15"/>
        <v/>
      </c>
      <c r="AM102" s="1102" t="str">
        <f t="shared" si="12"/>
        <v/>
      </c>
      <c r="AN102" s="1065">
        <f t="shared" si="16"/>
        <v>24</v>
      </c>
      <c r="AO102" s="1122">
        <f t="shared" si="14"/>
        <v>45315</v>
      </c>
      <c r="AP102" s="696"/>
    </row>
    <row r="103" spans="1:42" ht="15.75" customHeight="1" x14ac:dyDescent="0.2">
      <c r="A103" s="2"/>
      <c r="B103" s="1305">
        <v>44</v>
      </c>
      <c r="C103" s="1125">
        <f t="shared" si="9"/>
        <v>0</v>
      </c>
      <c r="D103" s="2144" t="str">
        <f t="shared" si="10"/>
        <v/>
      </c>
      <c r="E103" s="2144"/>
      <c r="F103" s="2145"/>
      <c r="G103" s="2145"/>
      <c r="H103" s="2145"/>
      <c r="I103" s="2145"/>
      <c r="J103" s="2145"/>
      <c r="K103" s="2145"/>
      <c r="L103" s="2145"/>
      <c r="M103" s="2145"/>
      <c r="N103" s="2145"/>
      <c r="O103" s="2145"/>
      <c r="P103" s="2145"/>
      <c r="Q103" s="2145"/>
      <c r="R103" s="2145"/>
      <c r="S103" s="2103"/>
      <c r="T103" s="2103"/>
      <c r="U103" s="2103"/>
      <c r="V103" s="2132">
        <f>IF(D103&lt;&gt;D104,SUMIF(D$60:E103,D103,S$60:U103),0)</f>
        <v>0</v>
      </c>
      <c r="W103" s="2132"/>
      <c r="X103" s="2132"/>
      <c r="Y103" s="2132"/>
      <c r="Z103" s="1092" t="str">
        <f t="shared" si="7"/>
        <v/>
      </c>
      <c r="AA103" s="1093"/>
      <c r="AB103" s="2"/>
      <c r="AC103" s="2"/>
      <c r="AD103" s="2"/>
      <c r="AE103" s="2"/>
      <c r="AF103" s="1094" t="str">
        <f t="shared" si="11"/>
        <v/>
      </c>
      <c r="AG103" s="1305" t="str">
        <f t="shared" si="13"/>
        <v/>
      </c>
      <c r="AH103" s="2"/>
      <c r="AI103" s="2"/>
      <c r="AJ103" s="696"/>
      <c r="AK103" s="696"/>
      <c r="AL103" s="1102" t="str">
        <f t="shared" si="15"/>
        <v/>
      </c>
      <c r="AM103" s="1102" t="str">
        <f t="shared" si="12"/>
        <v/>
      </c>
      <c r="AN103" s="1065">
        <f t="shared" si="16"/>
        <v>25</v>
      </c>
      <c r="AO103" s="1122">
        <f t="shared" si="14"/>
        <v>45316</v>
      </c>
      <c r="AP103" s="696"/>
    </row>
    <row r="104" spans="1:42" ht="15.75" customHeight="1" x14ac:dyDescent="0.2">
      <c r="A104" s="2"/>
      <c r="B104" s="1305">
        <v>45</v>
      </c>
      <c r="C104" s="1125">
        <f t="shared" si="9"/>
        <v>0</v>
      </c>
      <c r="D104" s="2144" t="str">
        <f t="shared" si="10"/>
        <v/>
      </c>
      <c r="E104" s="2144"/>
      <c r="F104" s="2145"/>
      <c r="G104" s="2145"/>
      <c r="H104" s="2145"/>
      <c r="I104" s="2145"/>
      <c r="J104" s="2145"/>
      <c r="K104" s="2145"/>
      <c r="L104" s="2145"/>
      <c r="M104" s="2145"/>
      <c r="N104" s="2145"/>
      <c r="O104" s="2145"/>
      <c r="P104" s="2145"/>
      <c r="Q104" s="2145"/>
      <c r="R104" s="2145"/>
      <c r="S104" s="2103"/>
      <c r="T104" s="2103"/>
      <c r="U104" s="2103"/>
      <c r="V104" s="2132">
        <f>IF(D104&lt;&gt;D105,SUMIF(D$60:E104,D104,S$60:U104),0)</f>
        <v>0</v>
      </c>
      <c r="W104" s="2132"/>
      <c r="X104" s="2132"/>
      <c r="Y104" s="2132"/>
      <c r="Z104" s="1092" t="str">
        <f t="shared" si="7"/>
        <v/>
      </c>
      <c r="AA104" s="1093"/>
      <c r="AB104" s="2"/>
      <c r="AC104" s="2"/>
      <c r="AD104" s="2"/>
      <c r="AE104" s="2"/>
      <c r="AF104" s="1094" t="str">
        <f t="shared" si="11"/>
        <v/>
      </c>
      <c r="AG104" s="1305" t="str">
        <f t="shared" si="13"/>
        <v/>
      </c>
      <c r="AH104" s="2"/>
      <c r="AI104" s="2"/>
      <c r="AJ104" s="696"/>
      <c r="AK104" s="696"/>
      <c r="AL104" s="1102" t="str">
        <f t="shared" si="15"/>
        <v/>
      </c>
      <c r="AM104" s="1102" t="str">
        <f t="shared" si="12"/>
        <v/>
      </c>
      <c r="AN104" s="1065">
        <f t="shared" si="16"/>
        <v>26</v>
      </c>
      <c r="AO104" s="1122">
        <f t="shared" si="14"/>
        <v>45317</v>
      </c>
      <c r="AP104" s="696"/>
    </row>
    <row r="105" spans="1:42" ht="15.75" customHeight="1" x14ac:dyDescent="0.2">
      <c r="A105" s="2"/>
      <c r="B105" s="1305">
        <v>46</v>
      </c>
      <c r="C105" s="1125">
        <f t="shared" si="9"/>
        <v>0</v>
      </c>
      <c r="D105" s="2144" t="str">
        <f t="shared" si="10"/>
        <v/>
      </c>
      <c r="E105" s="2144"/>
      <c r="F105" s="2145"/>
      <c r="G105" s="2145"/>
      <c r="H105" s="2145"/>
      <c r="I105" s="2145"/>
      <c r="J105" s="2145"/>
      <c r="K105" s="2145"/>
      <c r="L105" s="2145"/>
      <c r="M105" s="2145"/>
      <c r="N105" s="2145"/>
      <c r="O105" s="2145"/>
      <c r="P105" s="2145"/>
      <c r="Q105" s="2145"/>
      <c r="R105" s="2145"/>
      <c r="S105" s="2103"/>
      <c r="T105" s="2103"/>
      <c r="U105" s="2103"/>
      <c r="V105" s="2132">
        <f>IF(D105&lt;&gt;D106,SUMIF(D$60:E105,D105,S$60:U105),0)</f>
        <v>0</v>
      </c>
      <c r="W105" s="2132"/>
      <c r="X105" s="2132"/>
      <c r="Y105" s="2132"/>
      <c r="Z105" s="1092" t="str">
        <f t="shared" si="7"/>
        <v/>
      </c>
      <c r="AA105" s="1093"/>
      <c r="AB105" s="2"/>
      <c r="AC105" s="2"/>
      <c r="AD105" s="2"/>
      <c r="AE105" s="2"/>
      <c r="AF105" s="1094" t="str">
        <f t="shared" si="11"/>
        <v/>
      </c>
      <c r="AG105" s="1305" t="str">
        <f t="shared" si="13"/>
        <v/>
      </c>
      <c r="AH105" s="2"/>
      <c r="AI105" s="2"/>
      <c r="AJ105" s="696"/>
      <c r="AK105" s="696"/>
      <c r="AL105" s="1102" t="str">
        <f t="shared" si="15"/>
        <v/>
      </c>
      <c r="AM105" s="1102" t="str">
        <f t="shared" si="12"/>
        <v/>
      </c>
      <c r="AN105" s="1065">
        <f t="shared" si="16"/>
        <v>27</v>
      </c>
      <c r="AO105" s="1122">
        <f t="shared" si="14"/>
        <v>45318</v>
      </c>
      <c r="AP105" s="696"/>
    </row>
    <row r="106" spans="1:42" ht="15.75" customHeight="1" x14ac:dyDescent="0.2">
      <c r="A106" s="2"/>
      <c r="B106" s="1305">
        <v>47</v>
      </c>
      <c r="C106" s="1125">
        <f t="shared" si="9"/>
        <v>0</v>
      </c>
      <c r="D106" s="2144" t="str">
        <f t="shared" si="10"/>
        <v/>
      </c>
      <c r="E106" s="2144"/>
      <c r="F106" s="2145"/>
      <c r="G106" s="2145"/>
      <c r="H106" s="2145"/>
      <c r="I106" s="2145"/>
      <c r="J106" s="2145"/>
      <c r="K106" s="2145"/>
      <c r="L106" s="2145"/>
      <c r="M106" s="2145"/>
      <c r="N106" s="2145"/>
      <c r="O106" s="2145"/>
      <c r="P106" s="2145"/>
      <c r="Q106" s="2145"/>
      <c r="R106" s="2145"/>
      <c r="S106" s="2103"/>
      <c r="T106" s="2103"/>
      <c r="U106" s="2103"/>
      <c r="V106" s="2132">
        <f>IF(D106&lt;&gt;D107,SUMIF(D$60:E106,D106,S$60:U106),0)</f>
        <v>0</v>
      </c>
      <c r="W106" s="2132"/>
      <c r="X106" s="2132"/>
      <c r="Y106" s="2132"/>
      <c r="Z106" s="1092" t="str">
        <f t="shared" si="7"/>
        <v/>
      </c>
      <c r="AA106" s="1093"/>
      <c r="AB106" s="2"/>
      <c r="AC106" s="2"/>
      <c r="AD106" s="2"/>
      <c r="AE106" s="2"/>
      <c r="AF106" s="1094" t="str">
        <f t="shared" si="11"/>
        <v/>
      </c>
      <c r="AG106" s="1305" t="str">
        <f t="shared" si="13"/>
        <v/>
      </c>
      <c r="AH106" s="2"/>
      <c r="AI106" s="2"/>
      <c r="AJ106" s="696"/>
      <c r="AK106" s="696"/>
      <c r="AL106" s="1102" t="str">
        <f t="shared" si="15"/>
        <v/>
      </c>
      <c r="AM106" s="1102" t="str">
        <f t="shared" si="12"/>
        <v/>
      </c>
      <c r="AN106" s="1065">
        <f t="shared" si="16"/>
        <v>28</v>
      </c>
      <c r="AO106" s="1122">
        <f t="shared" si="14"/>
        <v>45319</v>
      </c>
      <c r="AP106" s="696"/>
    </row>
    <row r="107" spans="1:42" ht="15.75" customHeight="1" x14ac:dyDescent="0.2">
      <c r="A107" s="2"/>
      <c r="B107" s="1305">
        <v>48</v>
      </c>
      <c r="C107" s="1125">
        <f t="shared" si="9"/>
        <v>0</v>
      </c>
      <c r="D107" s="2144" t="str">
        <f t="shared" si="10"/>
        <v/>
      </c>
      <c r="E107" s="2144"/>
      <c r="F107" s="2145"/>
      <c r="G107" s="2145"/>
      <c r="H107" s="2145"/>
      <c r="I107" s="2145"/>
      <c r="J107" s="2145"/>
      <c r="K107" s="2145"/>
      <c r="L107" s="2145"/>
      <c r="M107" s="2145"/>
      <c r="N107" s="2145"/>
      <c r="O107" s="2145"/>
      <c r="P107" s="2145"/>
      <c r="Q107" s="2145"/>
      <c r="R107" s="2145"/>
      <c r="S107" s="2103"/>
      <c r="T107" s="2103"/>
      <c r="U107" s="2103"/>
      <c r="V107" s="2132">
        <f>IF(D107&lt;&gt;D108,SUMIF(D$60:E107,D107,S$60:U107),0)</f>
        <v>0</v>
      </c>
      <c r="W107" s="2132"/>
      <c r="X107" s="2132"/>
      <c r="Y107" s="2132"/>
      <c r="Z107" s="1092" t="str">
        <f t="shared" si="7"/>
        <v/>
      </c>
      <c r="AA107" s="1093"/>
      <c r="AB107" s="2"/>
      <c r="AC107" s="2"/>
      <c r="AD107" s="2"/>
      <c r="AE107" s="2"/>
      <c r="AF107" s="1094" t="str">
        <f t="shared" si="11"/>
        <v/>
      </c>
      <c r="AG107" s="1305" t="str">
        <f t="shared" si="13"/>
        <v/>
      </c>
      <c r="AH107" s="2"/>
      <c r="AI107" s="2"/>
      <c r="AJ107" s="696"/>
      <c r="AK107" s="696"/>
      <c r="AL107" s="1102" t="str">
        <f t="shared" si="15"/>
        <v/>
      </c>
      <c r="AM107" s="1102" t="str">
        <f t="shared" si="12"/>
        <v/>
      </c>
      <c r="AN107" s="1065">
        <f t="shared" si="16"/>
        <v>29</v>
      </c>
      <c r="AO107" s="1122">
        <f t="shared" si="14"/>
        <v>45320</v>
      </c>
      <c r="AP107" s="696"/>
    </row>
    <row r="108" spans="1:42" ht="15.75" customHeight="1" x14ac:dyDescent="0.2">
      <c r="A108" s="2"/>
      <c r="B108" s="1305">
        <v>49</v>
      </c>
      <c r="C108" s="1125">
        <f t="shared" si="9"/>
        <v>0</v>
      </c>
      <c r="D108" s="2144" t="str">
        <f t="shared" si="10"/>
        <v/>
      </c>
      <c r="E108" s="2144"/>
      <c r="F108" s="2145"/>
      <c r="G108" s="2145"/>
      <c r="H108" s="2145"/>
      <c r="I108" s="2145"/>
      <c r="J108" s="2145"/>
      <c r="K108" s="2145"/>
      <c r="L108" s="2145"/>
      <c r="M108" s="2145"/>
      <c r="N108" s="2145"/>
      <c r="O108" s="2145"/>
      <c r="P108" s="2145"/>
      <c r="Q108" s="2145"/>
      <c r="R108" s="2145"/>
      <c r="S108" s="2103"/>
      <c r="T108" s="2103"/>
      <c r="U108" s="2103"/>
      <c r="V108" s="2132">
        <f>IF(D108&lt;&gt;D109,SUMIF(D$60:E108,D108,S$60:U108),0)</f>
        <v>0</v>
      </c>
      <c r="W108" s="2132"/>
      <c r="X108" s="2132"/>
      <c r="Y108" s="2132"/>
      <c r="Z108" s="1092" t="str">
        <f t="shared" si="7"/>
        <v/>
      </c>
      <c r="AA108" s="1093"/>
      <c r="AB108" s="2"/>
      <c r="AC108" s="2"/>
      <c r="AD108" s="2"/>
      <c r="AE108" s="2"/>
      <c r="AF108" s="1094" t="str">
        <f t="shared" si="11"/>
        <v/>
      </c>
      <c r="AG108" s="1305" t="str">
        <f t="shared" si="13"/>
        <v/>
      </c>
      <c r="AH108" s="2"/>
      <c r="AI108" s="2"/>
      <c r="AJ108" s="696"/>
      <c r="AK108" s="696"/>
      <c r="AL108" s="1102" t="str">
        <f t="shared" si="15"/>
        <v/>
      </c>
      <c r="AM108" s="1102" t="str">
        <f t="shared" si="12"/>
        <v/>
      </c>
      <c r="AN108" s="1065">
        <f t="shared" si="16"/>
        <v>30</v>
      </c>
      <c r="AO108" s="1122">
        <f t="shared" si="14"/>
        <v>45321</v>
      </c>
      <c r="AP108" s="696"/>
    </row>
    <row r="109" spans="1:42" ht="15.75" customHeight="1" x14ac:dyDescent="0.2">
      <c r="A109" s="2"/>
      <c r="B109" s="1305">
        <v>50</v>
      </c>
      <c r="C109" s="1125">
        <f t="shared" si="9"/>
        <v>0</v>
      </c>
      <c r="D109" s="2144" t="str">
        <f t="shared" si="10"/>
        <v/>
      </c>
      <c r="E109" s="2144"/>
      <c r="F109" s="2145"/>
      <c r="G109" s="2145"/>
      <c r="H109" s="2145"/>
      <c r="I109" s="2145"/>
      <c r="J109" s="2145"/>
      <c r="K109" s="2145"/>
      <c r="L109" s="2145"/>
      <c r="M109" s="2145"/>
      <c r="N109" s="2145"/>
      <c r="O109" s="2145"/>
      <c r="P109" s="2145"/>
      <c r="Q109" s="2145"/>
      <c r="R109" s="2145"/>
      <c r="S109" s="2103"/>
      <c r="T109" s="2103"/>
      <c r="U109" s="2103"/>
      <c r="V109" s="2132">
        <f>IF(D109&lt;&gt;D110,SUMIF(D$60:E109,D109,S$60:U109),0)</f>
        <v>0</v>
      </c>
      <c r="W109" s="2132"/>
      <c r="X109" s="2132"/>
      <c r="Y109" s="2132"/>
      <c r="Z109" s="1092" t="str">
        <f t="shared" si="7"/>
        <v/>
      </c>
      <c r="AA109" s="1093"/>
      <c r="AB109" s="2"/>
      <c r="AC109" s="2"/>
      <c r="AD109" s="2"/>
      <c r="AE109" s="2"/>
      <c r="AF109" s="1094" t="str">
        <f t="shared" si="11"/>
        <v/>
      </c>
      <c r="AG109" s="1305" t="str">
        <f t="shared" si="13"/>
        <v/>
      </c>
      <c r="AH109" s="2"/>
      <c r="AI109" s="2"/>
      <c r="AJ109" s="696"/>
      <c r="AK109" s="696"/>
      <c r="AL109" s="1102" t="str">
        <f t="shared" si="15"/>
        <v/>
      </c>
      <c r="AM109" s="1102" t="str">
        <f t="shared" si="12"/>
        <v/>
      </c>
      <c r="AN109" s="1065">
        <f t="shared" si="16"/>
        <v>31</v>
      </c>
      <c r="AO109" s="1122">
        <f t="shared" si="14"/>
        <v>45322</v>
      </c>
      <c r="AP109" s="696"/>
    </row>
    <row r="110" spans="1:42" ht="9" customHeight="1" x14ac:dyDescent="0.2">
      <c r="A110" s="2"/>
      <c r="B110" s="2"/>
      <c r="C110" s="1366">
        <f>IF(B109=AI76,0,1)</f>
        <v>1</v>
      </c>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1096"/>
      <c r="AB110" s="2"/>
      <c r="AC110" s="2"/>
      <c r="AD110" s="2"/>
      <c r="AE110" s="2"/>
      <c r="AF110" s="2"/>
      <c r="AG110" s="2"/>
      <c r="AH110" s="2"/>
      <c r="AI110" s="2"/>
      <c r="AJ110" s="696"/>
      <c r="AK110" s="696"/>
      <c r="AL110" s="696"/>
      <c r="AM110" s="696"/>
      <c r="AN110" s="696"/>
      <c r="AO110" s="696"/>
      <c r="AP110" s="696"/>
    </row>
    <row r="111" spans="1:42" ht="15.75" customHeight="1" x14ac:dyDescent="0.2">
      <c r="A111" s="2"/>
      <c r="B111" s="2"/>
      <c r="C111" s="373"/>
      <c r="D111" s="373"/>
      <c r="E111" s="373"/>
      <c r="F111" s="373"/>
      <c r="G111" s="373"/>
      <c r="H111" s="373"/>
      <c r="I111" s="373"/>
      <c r="J111" s="373"/>
      <c r="K111" s="373"/>
      <c r="L111" s="1165"/>
      <c r="M111" s="1097"/>
      <c r="N111" s="1097"/>
      <c r="O111" s="1097"/>
      <c r="P111" s="1097"/>
      <c r="Q111" s="1097"/>
      <c r="R111" s="1097"/>
      <c r="S111" s="1097"/>
      <c r="T111" s="1166" t="s">
        <v>634</v>
      </c>
      <c r="U111" s="1098" t="str">
        <f>IMPOSTAZIONI!M82</f>
        <v>EUR</v>
      </c>
      <c r="V111" s="2133">
        <f>IF(OR($C$8=0,$C$7=0,$C$8&lt;&gt;$C$7),0,SUM(V60:Y109))</f>
        <v>0</v>
      </c>
      <c r="W111" s="2133"/>
      <c r="X111" s="2133"/>
      <c r="Y111" s="2133"/>
      <c r="Z111" s="1099"/>
      <c r="AA111" s="1099"/>
      <c r="AB111" s="1099"/>
      <c r="AC111" s="268"/>
      <c r="AD111" s="1096"/>
      <c r="AE111" s="1096"/>
      <c r="AF111" s="1096"/>
      <c r="AG111" s="696"/>
      <c r="AH111" s="2"/>
      <c r="AI111" s="2"/>
      <c r="AJ111" s="696"/>
      <c r="AK111" s="696"/>
      <c r="AL111" s="696"/>
      <c r="AM111" s="696"/>
      <c r="AN111" s="696"/>
      <c r="AO111" s="696"/>
      <c r="AP111" s="696"/>
    </row>
    <row r="112" spans="1:42" ht="9" customHeight="1" x14ac:dyDescent="0.2">
      <c r="A112" s="2"/>
      <c r="B112" s="2"/>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1096"/>
      <c r="AF112" s="2"/>
      <c r="AG112" s="2"/>
      <c r="AH112" s="2"/>
      <c r="AI112" s="2"/>
      <c r="AJ112" s="696"/>
      <c r="AK112" s="696"/>
      <c r="AL112" s="696"/>
      <c r="AM112" s="696"/>
      <c r="AN112" s="696"/>
      <c r="AO112" s="696"/>
      <c r="AP112" s="696"/>
    </row>
    <row r="113" spans="1:42" ht="22.5" customHeight="1" x14ac:dyDescent="0.2">
      <c r="A113" s="2"/>
      <c r="B113" s="304" t="str">
        <f>B172</f>
        <v>www.marcopiccoli.it - Registro Contabile Giornaliero 6.0.7 - per EXCEL .xlsm</v>
      </c>
      <c r="C113" s="2"/>
      <c r="D113" s="2"/>
      <c r="E113" s="2"/>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696"/>
      <c r="AF113" s="375" t="str">
        <f>IF(Presentazione!$J$173=Presentazione!$K$95,CONCATENATE(Presentazione!$F$89,"   -   ","P.I./C.F ",Presentazione!$K$91),Presentazione!$I$165)</f>
        <v>Sistema attivato dal 01/01 al 31/03. Modifica il trimestre dal foglio Presentazione.</v>
      </c>
      <c r="AG113" s="2"/>
      <c r="AH113" s="2"/>
      <c r="AI113" s="2"/>
      <c r="AJ113" s="2"/>
      <c r="AK113" s="2"/>
      <c r="AL113" s="2"/>
      <c r="AM113" s="2"/>
      <c r="AN113" s="696"/>
      <c r="AO113" s="2"/>
      <c r="AP113" s="2"/>
    </row>
    <row r="114" spans="1:42" ht="18" customHeight="1" x14ac:dyDescent="0.2">
      <c r="A114" s="696"/>
      <c r="B114" s="696"/>
      <c r="C114" s="696"/>
      <c r="D114" s="696"/>
      <c r="E114" s="696"/>
      <c r="F114" s="696"/>
      <c r="G114" s="696"/>
      <c r="H114" s="696"/>
      <c r="I114" s="696"/>
      <c r="J114" s="696"/>
      <c r="K114" s="696"/>
      <c r="L114" s="696"/>
      <c r="M114" s="696"/>
      <c r="N114" s="696"/>
      <c r="O114" s="696"/>
      <c r="P114" s="696"/>
      <c r="Q114" s="696"/>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row>
    <row r="115" spans="1:42" ht="21" customHeight="1" x14ac:dyDescent="0.2">
      <c r="A115" s="2"/>
      <c r="B115" s="2"/>
      <c r="C115" s="1101" t="s">
        <v>628</v>
      </c>
      <c r="D115" s="1061"/>
      <c r="E115" s="1061"/>
      <c r="F115" s="1061"/>
      <c r="G115" s="1061"/>
      <c r="H115" s="1061"/>
      <c r="I115" s="1061"/>
      <c r="J115" s="1061"/>
      <c r="K115" s="1061"/>
      <c r="L115" s="1061"/>
      <c r="M115" s="1061"/>
      <c r="N115" s="1061"/>
      <c r="O115" s="1061"/>
      <c r="P115" s="1061"/>
      <c r="Q115" s="1061"/>
      <c r="R115" s="1061"/>
      <c r="S115" s="1061"/>
      <c r="T115" s="1061"/>
      <c r="U115" s="1061"/>
      <c r="V115" s="1061"/>
      <c r="W115" s="1061"/>
      <c r="X115" s="1061"/>
      <c r="Y115" s="1061"/>
      <c r="Z115" s="1061"/>
      <c r="AA115" s="1061"/>
      <c r="AB115" s="1061"/>
      <c r="AC115" s="1061"/>
      <c r="AD115" s="1061"/>
      <c r="AE115" s="1061"/>
      <c r="AF115" s="1061"/>
      <c r="AG115" s="696"/>
      <c r="AH115" s="696"/>
      <c r="AI115" s="696"/>
      <c r="AJ115" s="696"/>
      <c r="AK115" s="696"/>
      <c r="AL115" s="696"/>
      <c r="AM115" s="696"/>
      <c r="AN115" s="696"/>
    </row>
    <row r="116" spans="1:42" ht="18" customHeight="1" x14ac:dyDescent="0.2">
      <c r="A116" s="2"/>
      <c r="B116" s="2"/>
      <c r="C116" s="268"/>
      <c r="D116" s="268"/>
      <c r="E116" s="2117" t="s">
        <v>603</v>
      </c>
      <c r="F116" s="2117"/>
      <c r="G116" s="2117"/>
      <c r="H116" s="2117"/>
      <c r="I116" s="2117" t="s">
        <v>604</v>
      </c>
      <c r="J116" s="2117"/>
      <c r="K116" s="2117"/>
      <c r="L116" s="2117"/>
      <c r="M116" s="1061"/>
      <c r="N116" s="2117" t="s">
        <v>605</v>
      </c>
      <c r="O116" s="2117"/>
      <c r="P116" s="2117"/>
      <c r="Q116" s="2117"/>
      <c r="R116" s="696"/>
      <c r="S116" s="696"/>
      <c r="T116" s="696"/>
      <c r="U116" s="696"/>
      <c r="V116" s="696"/>
      <c r="W116" s="696"/>
      <c r="X116" s="696"/>
      <c r="Y116" s="696"/>
      <c r="Z116" s="696"/>
      <c r="AA116" s="696"/>
      <c r="AB116" s="696"/>
      <c r="AC116" s="696"/>
      <c r="AD116" s="268"/>
      <c r="AE116" s="1096"/>
      <c r="AF116" s="2"/>
      <c r="AG116" s="696"/>
      <c r="AH116" s="696"/>
      <c r="AI116" s="696"/>
      <c r="AJ116" s="696"/>
      <c r="AK116" s="696"/>
      <c r="AL116" s="696"/>
      <c r="AM116" s="696"/>
      <c r="AN116" s="696"/>
    </row>
    <row r="117" spans="1:42" ht="18" customHeight="1" x14ac:dyDescent="0.2">
      <c r="A117" s="2"/>
      <c r="B117" s="2"/>
      <c r="C117" s="268"/>
      <c r="D117" s="268"/>
      <c r="E117" s="2118">
        <f>SUMIF(D14:AE14,CONCATENATE(W557,W560),D10:AE10)</f>
        <v>0</v>
      </c>
      <c r="F117" s="2119"/>
      <c r="G117" s="2119"/>
      <c r="H117" s="2119"/>
      <c r="I117" s="2120">
        <f>SUMIF(D14:AE14,CONCATENATE(W558,W560),D10:AE10)</f>
        <v>0</v>
      </c>
      <c r="J117" s="2119"/>
      <c r="K117" s="2119"/>
      <c r="L117" s="2121"/>
      <c r="M117" s="1103"/>
      <c r="N117" s="2122">
        <f>E117-I117</f>
        <v>0</v>
      </c>
      <c r="O117" s="2123"/>
      <c r="P117" s="2123"/>
      <c r="Q117" s="2124"/>
      <c r="R117" s="696"/>
      <c r="S117" s="696"/>
      <c r="T117" s="696"/>
      <c r="U117" s="696"/>
      <c r="V117" s="1104"/>
      <c r="W117" s="1105" t="str">
        <f>T40</f>
        <v>Quadratura EXTRA, per totali</v>
      </c>
      <c r="X117" s="696"/>
      <c r="Y117" s="696"/>
      <c r="Z117" s="696"/>
      <c r="AA117" s="696"/>
      <c r="AB117" s="696"/>
      <c r="AC117" s="696"/>
      <c r="AD117" s="268"/>
      <c r="AE117" s="1167" t="s">
        <v>633</v>
      </c>
      <c r="AF117" s="2"/>
      <c r="AG117" s="696"/>
      <c r="AH117" s="696"/>
      <c r="AI117" s="696"/>
      <c r="AJ117" s="696"/>
      <c r="AK117" s="696"/>
      <c r="AL117" s="696"/>
      <c r="AM117" s="696"/>
      <c r="AN117" s="696"/>
    </row>
    <row r="118" spans="1:42" ht="4.5" customHeight="1" x14ac:dyDescent="0.2">
      <c r="A118" s="2"/>
      <c r="B118" s="2"/>
      <c r="C118" s="268"/>
      <c r="D118" s="268"/>
      <c r="E118" s="268"/>
      <c r="F118" s="268"/>
      <c r="G118" s="268"/>
      <c r="H118" s="268"/>
      <c r="I118" s="268"/>
      <c r="J118" s="268"/>
      <c r="K118" s="1100"/>
      <c r="L118" s="1100"/>
      <c r="M118" s="696"/>
      <c r="N118" s="696"/>
      <c r="O118" s="696"/>
      <c r="P118" s="696"/>
      <c r="Q118" s="696"/>
      <c r="R118" s="696"/>
      <c r="S118" s="696"/>
      <c r="T118" s="696"/>
      <c r="U118" s="696"/>
      <c r="V118" s="1104"/>
      <c r="W118" s="1106"/>
      <c r="X118" s="696"/>
      <c r="Y118" s="696"/>
      <c r="Z118" s="696"/>
      <c r="AA118" s="696"/>
      <c r="AB118" s="696"/>
      <c r="AC118" s="696"/>
      <c r="AD118" s="268"/>
      <c r="AE118" s="1096"/>
      <c r="AF118" s="2"/>
      <c r="AG118" s="696"/>
      <c r="AH118" s="696"/>
      <c r="AI118" s="696"/>
      <c r="AJ118" s="696"/>
      <c r="AK118" s="696"/>
      <c r="AL118" s="696"/>
      <c r="AM118" s="696"/>
      <c r="AN118" s="696"/>
    </row>
    <row r="119" spans="1:42" ht="18" customHeight="1" x14ac:dyDescent="0.2">
      <c r="A119" s="2"/>
      <c r="B119" s="2"/>
      <c r="C119" s="268"/>
      <c r="D119" s="268"/>
      <c r="E119" s="2125" t="s">
        <v>606</v>
      </c>
      <c r="F119" s="2125"/>
      <c r="G119" s="2125"/>
      <c r="H119" s="2126"/>
      <c r="I119" s="2127">
        <f>SUMIF(D14:AE14,W560,D10:AE10)</f>
        <v>0</v>
      </c>
      <c r="J119" s="2128"/>
      <c r="K119" s="2128"/>
      <c r="L119" s="2129"/>
      <c r="M119" s="1107"/>
      <c r="N119" s="2127">
        <f>I119+N117</f>
        <v>0</v>
      </c>
      <c r="O119" s="2128"/>
      <c r="P119" s="2128"/>
      <c r="Q119" s="2129"/>
      <c r="R119" s="2130" t="s">
        <v>607</v>
      </c>
      <c r="S119" s="2131"/>
      <c r="T119" s="2131"/>
      <c r="U119" s="696"/>
      <c r="V119" s="1104"/>
      <c r="W119" s="1108" t="s">
        <v>608</v>
      </c>
      <c r="X119" s="696"/>
      <c r="Y119" s="696"/>
      <c r="Z119" s="696"/>
      <c r="AA119" s="696"/>
      <c r="AB119" s="1109"/>
      <c r="AC119" s="2127">
        <f>IF(OR($C$8=0,$C$7=0,$C$8&lt;&gt;$C$7),0,AB41)</f>
        <v>0</v>
      </c>
      <c r="AD119" s="2128"/>
      <c r="AE119" s="2129"/>
      <c r="AF119" s="2"/>
      <c r="AG119" s="696"/>
      <c r="AH119" s="696"/>
      <c r="AI119" s="696"/>
      <c r="AJ119" s="696"/>
      <c r="AK119" s="696"/>
      <c r="AL119" s="696"/>
      <c r="AM119" s="696"/>
      <c r="AN119" s="696"/>
    </row>
    <row r="120" spans="1:42" ht="18" customHeight="1" x14ac:dyDescent="0.2">
      <c r="A120" s="2"/>
      <c r="B120" s="2"/>
      <c r="C120" s="268"/>
      <c r="D120" s="268"/>
      <c r="E120" s="268"/>
      <c r="F120" s="268"/>
      <c r="G120" s="268"/>
      <c r="H120" s="268"/>
      <c r="I120" s="268"/>
      <c r="J120" s="268"/>
      <c r="K120" s="1100"/>
      <c r="L120" s="1100"/>
      <c r="M120" s="696"/>
      <c r="N120" s="696"/>
      <c r="O120" s="696"/>
      <c r="P120" s="696"/>
      <c r="Q120" s="696"/>
      <c r="R120" s="696"/>
      <c r="S120" s="696"/>
      <c r="T120" s="696"/>
      <c r="U120" s="696"/>
      <c r="V120" s="1104"/>
      <c r="W120" s="1110" t="s">
        <v>609</v>
      </c>
      <c r="X120" s="696"/>
      <c r="Y120" s="696"/>
      <c r="Z120" s="696"/>
      <c r="AA120" s="696"/>
      <c r="AB120" s="696"/>
      <c r="AC120" s="696"/>
      <c r="AD120" s="268"/>
      <c r="AE120" s="1096"/>
      <c r="AF120" s="2"/>
      <c r="AG120" s="696"/>
      <c r="AH120" s="696"/>
      <c r="AI120" s="696"/>
      <c r="AJ120" s="696"/>
      <c r="AK120" s="696"/>
      <c r="AL120" s="696"/>
      <c r="AM120" s="696"/>
      <c r="AN120" s="696"/>
    </row>
    <row r="121" spans="1:42" ht="15.75" customHeight="1" x14ac:dyDescent="0.2">
      <c r="A121" s="2"/>
      <c r="B121" s="2"/>
      <c r="C121" s="1171" t="s">
        <v>264</v>
      </c>
      <c r="D121" s="2134" t="s">
        <v>610</v>
      </c>
      <c r="E121" s="2134"/>
      <c r="F121" s="2134"/>
      <c r="G121" s="2134"/>
      <c r="H121" s="2134"/>
      <c r="I121" s="2134"/>
      <c r="J121" s="2134"/>
      <c r="K121" s="2134"/>
      <c r="L121" s="2134"/>
      <c r="M121" s="2134"/>
      <c r="N121" s="2134"/>
      <c r="O121" s="2135" t="s">
        <v>611</v>
      </c>
      <c r="P121" s="2135"/>
      <c r="Q121" s="2135"/>
      <c r="R121" s="2135" t="s">
        <v>612</v>
      </c>
      <c r="S121" s="2135"/>
      <c r="T121" s="2135"/>
      <c r="U121" s="696"/>
      <c r="V121" s="1104"/>
      <c r="W121" s="696"/>
      <c r="X121" s="696"/>
      <c r="Y121" s="696"/>
      <c r="Z121" s="696"/>
      <c r="AA121" s="696"/>
      <c r="AB121" s="696"/>
      <c r="AC121" s="268"/>
      <c r="AD121" s="1096"/>
      <c r="AE121" s="2"/>
      <c r="AF121" s="2"/>
      <c r="AG121" s="696"/>
      <c r="AH121" s="696"/>
      <c r="AI121" s="696"/>
      <c r="AJ121" s="696"/>
      <c r="AK121" s="696"/>
      <c r="AL121" s="696"/>
      <c r="AM121" s="696"/>
      <c r="AN121" s="696"/>
    </row>
    <row r="122" spans="1:42" ht="15.75" customHeight="1" x14ac:dyDescent="0.2">
      <c r="A122" s="2"/>
      <c r="B122" s="2"/>
      <c r="C122" s="1156">
        <v>1</v>
      </c>
      <c r="D122" s="2136"/>
      <c r="E122" s="2136"/>
      <c r="F122" s="2136"/>
      <c r="G122" s="2136"/>
      <c r="H122" s="2136"/>
      <c r="I122" s="2136"/>
      <c r="J122" s="2136"/>
      <c r="K122" s="2136"/>
      <c r="L122" s="2136"/>
      <c r="M122" s="2136"/>
      <c r="N122" s="2137"/>
      <c r="O122" s="2138"/>
      <c r="P122" s="2139"/>
      <c r="Q122" s="2140"/>
      <c r="R122" s="2141">
        <f>IF(O122&lt;&gt;0,N119-O122,0)</f>
        <v>0</v>
      </c>
      <c r="S122" s="2142"/>
      <c r="T122" s="2143"/>
      <c r="U122" s="696"/>
      <c r="V122" s="1111">
        <f>IF(AK122&gt;AJ$131+1,0,IF(AI132&gt;0,1,IF(OR(AK122=AJ$130+1,AK122=AJ$129+1,AK122=AJ$128+1,AK122=AJ$127+1,AK122=AJ$126+1),1,0)))</f>
        <v>1</v>
      </c>
      <c r="W122" s="1177" t="str">
        <f>IF(AK122&gt;$AJ$131,"",IF(AK122&gt;$AJ$130,AH$131,IF(AK122&gt;$AJ$129,AH$130,IF(AK122&gt;$AJ$128,AH$129,IF(AK122&gt;$AJ$127,AH$128,IF(AK122&gt;$AJ$126,AH$127,IF(AK122&gt;0,AH$126,"")))))))</f>
        <v/>
      </c>
      <c r="X122" s="2111"/>
      <c r="Y122" s="2112"/>
      <c r="Z122" s="2112"/>
      <c r="AA122" s="2112"/>
      <c r="AB122" s="2113"/>
      <c r="AC122" s="2102"/>
      <c r="AD122" s="2103"/>
      <c r="AE122" s="2104"/>
      <c r="AF122" s="1094" t="str">
        <f>AL122</f>
        <v/>
      </c>
      <c r="AG122" s="2"/>
      <c r="AH122" s="2"/>
      <c r="AI122" s="2"/>
      <c r="AJ122" s="2"/>
      <c r="AK122" s="1129">
        <v>1</v>
      </c>
      <c r="AL122" s="1102" t="str">
        <f>IF(OR(W122="",AM122=0),"",IF(AND(AM122&lt;&gt;0,VLOOKUP(W122,$AA$42:$AB$47,2,FALSE)=AM122),"OK","ERR"))</f>
        <v/>
      </c>
      <c r="AM122" s="1130">
        <f>IF(W122="",0,IF(V122=0,0,IF(OR(V123=0,V123=1),SUMIF(W$122:W122,W122,AC$122:AC122),0)))</f>
        <v>0</v>
      </c>
      <c r="AN122" s="696"/>
    </row>
    <row r="123" spans="1:42" ht="15.75" customHeight="1" x14ac:dyDescent="0.2">
      <c r="A123" s="2"/>
      <c r="B123" s="2"/>
      <c r="C123" s="1157">
        <v>2</v>
      </c>
      <c r="D123" s="2114"/>
      <c r="E123" s="2114"/>
      <c r="F123" s="2114"/>
      <c r="G123" s="2114"/>
      <c r="H123" s="2114"/>
      <c r="I123" s="2114"/>
      <c r="J123" s="2114"/>
      <c r="K123" s="2114"/>
      <c r="L123" s="2114"/>
      <c r="M123" s="2114"/>
      <c r="N123" s="2115"/>
      <c r="O123" s="2099"/>
      <c r="P123" s="2100"/>
      <c r="Q123" s="2101"/>
      <c r="R123" s="2108">
        <f>IF(O123&lt;&gt;0,N$119-SUM(O$122:O123),0)</f>
        <v>0</v>
      </c>
      <c r="S123" s="2109"/>
      <c r="T123" s="2110"/>
      <c r="U123" s="696"/>
      <c r="V123" s="1111">
        <f t="shared" ref="V123:V169" si="17">IF(AK123&gt;AJ$131,0,IF(OR(AK123=AJ$130+1,AK123=AJ$129+1,AK123=AJ$128+1,AK123=AJ$127+1,AK123=AJ$126+1),1,V122+1))</f>
        <v>0</v>
      </c>
      <c r="W123" s="1177" t="str">
        <f t="shared" ref="W123:W169" si="18">IF(AK123&gt;$AJ$131,"",IF(AK123&gt;$AJ$130,AH$131,IF(AK123&gt;$AJ$129,AH$130,IF(AK123&gt;$AJ$128,AH$129,IF(AK123&gt;$AJ$127,AH$128,IF(AK123&gt;$AJ$126,AH$127,IF(AK123&gt;0,AH$126,"")))))))</f>
        <v/>
      </c>
      <c r="X123" s="2111"/>
      <c r="Y123" s="2112"/>
      <c r="Z123" s="2112"/>
      <c r="AA123" s="2112"/>
      <c r="AB123" s="2113"/>
      <c r="AC123" s="2102"/>
      <c r="AD123" s="2103"/>
      <c r="AE123" s="2104"/>
      <c r="AF123" s="1094" t="str">
        <f t="shared" ref="AF123:AF169" si="19">AL123</f>
        <v/>
      </c>
      <c r="AG123" s="2"/>
      <c r="AH123" s="2"/>
      <c r="AI123" s="2"/>
      <c r="AJ123" s="2"/>
      <c r="AK123" s="1129">
        <v>2</v>
      </c>
      <c r="AL123" s="1102" t="str">
        <f t="shared" ref="AL123:AL169" si="20">IF(OR(W123="",AM123=0),"",IF(AND(AM123&lt;&gt;0,VLOOKUP(W123,$AA$42:$AB$47,2,FALSE)=AM123),"OK","ERR"))</f>
        <v/>
      </c>
      <c r="AM123" s="1130">
        <f>IF(W123="",0,IF(V123=0,0,IF(OR(V124=0,V124=1),SUMIF(W$122:W123,W123,AC$122:AC123),0)))</f>
        <v>0</v>
      </c>
      <c r="AN123" s="696"/>
    </row>
    <row r="124" spans="1:42" ht="15.75" customHeight="1" x14ac:dyDescent="0.2">
      <c r="A124" s="2"/>
      <c r="B124" s="2"/>
      <c r="C124" s="1157">
        <v>3</v>
      </c>
      <c r="D124" s="2114"/>
      <c r="E124" s="2114"/>
      <c r="F124" s="2114"/>
      <c r="G124" s="2114"/>
      <c r="H124" s="2114"/>
      <c r="I124" s="2114"/>
      <c r="J124" s="2114"/>
      <c r="K124" s="2114"/>
      <c r="L124" s="2114"/>
      <c r="M124" s="2114"/>
      <c r="N124" s="2115"/>
      <c r="O124" s="2099"/>
      <c r="P124" s="2100"/>
      <c r="Q124" s="2101"/>
      <c r="R124" s="2108">
        <f>IF(O124&lt;&gt;0,N$119-SUM(O$122:O124),0)</f>
        <v>0</v>
      </c>
      <c r="S124" s="2109"/>
      <c r="T124" s="2110"/>
      <c r="U124" s="696"/>
      <c r="V124" s="1111">
        <f t="shared" si="17"/>
        <v>0</v>
      </c>
      <c r="W124" s="1177" t="str">
        <f t="shared" si="18"/>
        <v/>
      </c>
      <c r="X124" s="2111"/>
      <c r="Y124" s="2112"/>
      <c r="Z124" s="2112"/>
      <c r="AA124" s="2112"/>
      <c r="AB124" s="2113"/>
      <c r="AC124" s="2102"/>
      <c r="AD124" s="2103"/>
      <c r="AE124" s="2104"/>
      <c r="AF124" s="1094" t="str">
        <f t="shared" si="19"/>
        <v/>
      </c>
      <c r="AG124" s="2"/>
      <c r="AH124" s="2"/>
      <c r="AI124" s="2"/>
      <c r="AJ124" s="2"/>
      <c r="AK124" s="1129">
        <v>3</v>
      </c>
      <c r="AL124" s="1102" t="str">
        <f t="shared" si="20"/>
        <v/>
      </c>
      <c r="AM124" s="1130">
        <f>IF(W124="",0,IF(V124=0,0,IF(OR(V125=0,V125=1),SUMIF(W$122:W124,W124,AC$122:AC124),0)))</f>
        <v>0</v>
      </c>
      <c r="AN124" s="696"/>
    </row>
    <row r="125" spans="1:42" ht="15.75" customHeight="1" x14ac:dyDescent="0.2">
      <c r="A125" s="2"/>
      <c r="B125" s="2"/>
      <c r="C125" s="1157">
        <v>4</v>
      </c>
      <c r="D125" s="2114"/>
      <c r="E125" s="2114"/>
      <c r="F125" s="2114"/>
      <c r="G125" s="2114"/>
      <c r="H125" s="2114"/>
      <c r="I125" s="2114"/>
      <c r="J125" s="2114"/>
      <c r="K125" s="2114"/>
      <c r="L125" s="2114"/>
      <c r="M125" s="2114"/>
      <c r="N125" s="2115"/>
      <c r="O125" s="2099"/>
      <c r="P125" s="2100"/>
      <c r="Q125" s="2101"/>
      <c r="R125" s="2108">
        <f>IF(O125&lt;&gt;0,N$119-SUM(O$122:O125),0)</f>
        <v>0</v>
      </c>
      <c r="S125" s="2109"/>
      <c r="T125" s="2110"/>
      <c r="U125" s="696"/>
      <c r="V125" s="1111">
        <f t="shared" si="17"/>
        <v>0</v>
      </c>
      <c r="W125" s="1177" t="str">
        <f t="shared" si="18"/>
        <v/>
      </c>
      <c r="X125" s="2111"/>
      <c r="Y125" s="2112"/>
      <c r="Z125" s="2112"/>
      <c r="AA125" s="2112"/>
      <c r="AB125" s="2113"/>
      <c r="AC125" s="2102"/>
      <c r="AD125" s="2103"/>
      <c r="AE125" s="2104"/>
      <c r="AF125" s="1094" t="str">
        <f t="shared" si="19"/>
        <v/>
      </c>
      <c r="AG125" s="2"/>
      <c r="AH125" s="2"/>
      <c r="AI125" s="2"/>
      <c r="AJ125" s="2"/>
      <c r="AK125" s="1129">
        <v>4</v>
      </c>
      <c r="AL125" s="1102" t="str">
        <f t="shared" si="20"/>
        <v/>
      </c>
      <c r="AM125" s="1130">
        <f>IF(W125="",0,IF(V125=0,0,IF(OR(V126=0,V126=1),SUMIF(W$122:W125,W125,AC$122:AC125),0)))</f>
        <v>0</v>
      </c>
      <c r="AN125" s="696"/>
    </row>
    <row r="126" spans="1:42" ht="15.75" customHeight="1" x14ac:dyDescent="0.2">
      <c r="A126" s="2"/>
      <c r="B126" s="2"/>
      <c r="C126" s="1157">
        <v>5</v>
      </c>
      <c r="D126" s="2114"/>
      <c r="E126" s="2114"/>
      <c r="F126" s="2114"/>
      <c r="G126" s="2114"/>
      <c r="H126" s="2114"/>
      <c r="I126" s="2114"/>
      <c r="J126" s="2114"/>
      <c r="K126" s="2114"/>
      <c r="L126" s="2114"/>
      <c r="M126" s="2114"/>
      <c r="N126" s="2115"/>
      <c r="O126" s="2099"/>
      <c r="P126" s="2100"/>
      <c r="Q126" s="2101"/>
      <c r="R126" s="2108">
        <f>IF(O126&lt;&gt;0,N$119-SUM(O$122:O126),0)</f>
        <v>0</v>
      </c>
      <c r="S126" s="2109"/>
      <c r="T126" s="2110"/>
      <c r="U126" s="696"/>
      <c r="V126" s="1111">
        <f t="shared" si="17"/>
        <v>0</v>
      </c>
      <c r="W126" s="1177" t="str">
        <f t="shared" si="18"/>
        <v/>
      </c>
      <c r="X126" s="2111"/>
      <c r="Y126" s="2112"/>
      <c r="Z126" s="2112"/>
      <c r="AA126" s="2112"/>
      <c r="AB126" s="2113"/>
      <c r="AC126" s="2102"/>
      <c r="AD126" s="2103"/>
      <c r="AE126" s="2104"/>
      <c r="AF126" s="1094" t="str">
        <f t="shared" si="19"/>
        <v/>
      </c>
      <c r="AG126" s="2"/>
      <c r="AH126" s="1081" t="str">
        <f t="shared" ref="AH126:AH131" si="21">IF(AA42="","",AA42)</f>
        <v>I</v>
      </c>
      <c r="AI126" s="1095">
        <f t="shared" ref="AI126:AI131" si="22">IF(AF42="",0,AF42)</f>
        <v>0</v>
      </c>
      <c r="AJ126" s="1117">
        <f>SUM(AI$126:AI126)</f>
        <v>0</v>
      </c>
      <c r="AK126" s="1129">
        <v>5</v>
      </c>
      <c r="AL126" s="1102" t="str">
        <f t="shared" si="20"/>
        <v/>
      </c>
      <c r="AM126" s="1130">
        <f>IF(W126="",0,IF(V126=0,0,IF(OR(V127=0,V127=1),SUMIF(W$122:W126,W126,AC$122:AC126),0)))</f>
        <v>0</v>
      </c>
      <c r="AN126" s="696"/>
    </row>
    <row r="127" spans="1:42" ht="15.75" customHeight="1" x14ac:dyDescent="0.2">
      <c r="A127" s="2"/>
      <c r="B127" s="2"/>
      <c r="C127" s="1157">
        <v>6</v>
      </c>
      <c r="D127" s="2114"/>
      <c r="E127" s="2114"/>
      <c r="F127" s="2114"/>
      <c r="G127" s="2114"/>
      <c r="H127" s="2114"/>
      <c r="I127" s="2114"/>
      <c r="J127" s="2114"/>
      <c r="K127" s="2114"/>
      <c r="L127" s="2114"/>
      <c r="M127" s="2114"/>
      <c r="N127" s="2115"/>
      <c r="O127" s="2099"/>
      <c r="P127" s="2100"/>
      <c r="Q127" s="2101"/>
      <c r="R127" s="2108">
        <f>IF(O127&lt;&gt;0,N$119-SUM(O$122:O127),0)</f>
        <v>0</v>
      </c>
      <c r="S127" s="2109"/>
      <c r="T127" s="2110"/>
      <c r="U127" s="696"/>
      <c r="V127" s="1111">
        <f t="shared" si="17"/>
        <v>0</v>
      </c>
      <c r="W127" s="1177" t="str">
        <f t="shared" si="18"/>
        <v/>
      </c>
      <c r="X127" s="2111"/>
      <c r="Y127" s="2112"/>
      <c r="Z127" s="2112"/>
      <c r="AA127" s="2112"/>
      <c r="AB127" s="2113"/>
      <c r="AC127" s="2102"/>
      <c r="AD127" s="2103"/>
      <c r="AE127" s="2104"/>
      <c r="AF127" s="1094" t="str">
        <f t="shared" si="19"/>
        <v/>
      </c>
      <c r="AG127" s="2"/>
      <c r="AH127" s="1081" t="str">
        <f t="shared" si="21"/>
        <v>II</v>
      </c>
      <c r="AI127" s="1095">
        <f t="shared" si="22"/>
        <v>0</v>
      </c>
      <c r="AJ127" s="1117">
        <f>SUM(AI$126:AI127)</f>
        <v>0</v>
      </c>
      <c r="AK127" s="1129">
        <v>6</v>
      </c>
      <c r="AL127" s="1102" t="str">
        <f t="shared" si="20"/>
        <v/>
      </c>
      <c r="AM127" s="1130">
        <f>IF(W127="",0,IF(V127=0,0,IF(OR(V128=0,V128=1),SUMIF(W$122:W127,W127,AC$122:AC127),0)))</f>
        <v>0</v>
      </c>
      <c r="AN127" s="696"/>
    </row>
    <row r="128" spans="1:42" ht="15.75" customHeight="1" x14ac:dyDescent="0.2">
      <c r="A128" s="2"/>
      <c r="B128" s="2"/>
      <c r="C128" s="1157">
        <v>7</v>
      </c>
      <c r="D128" s="2114"/>
      <c r="E128" s="2114"/>
      <c r="F128" s="2114"/>
      <c r="G128" s="2114"/>
      <c r="H128" s="2114"/>
      <c r="I128" s="2114"/>
      <c r="J128" s="2114"/>
      <c r="K128" s="2114"/>
      <c r="L128" s="2114"/>
      <c r="M128" s="2114"/>
      <c r="N128" s="2115"/>
      <c r="O128" s="2099"/>
      <c r="P128" s="2100"/>
      <c r="Q128" s="2101"/>
      <c r="R128" s="2108">
        <f>IF(O128&lt;&gt;0,N$119-SUM(O$122:O128),0)</f>
        <v>0</v>
      </c>
      <c r="S128" s="2109"/>
      <c r="T128" s="2110"/>
      <c r="U128" s="696"/>
      <c r="V128" s="1111">
        <f t="shared" si="17"/>
        <v>0</v>
      </c>
      <c r="W128" s="1177" t="str">
        <f t="shared" si="18"/>
        <v/>
      </c>
      <c r="X128" s="2111"/>
      <c r="Y128" s="2112"/>
      <c r="Z128" s="2112"/>
      <c r="AA128" s="2112"/>
      <c r="AB128" s="2113"/>
      <c r="AC128" s="2102"/>
      <c r="AD128" s="2103"/>
      <c r="AE128" s="2104"/>
      <c r="AF128" s="1094" t="str">
        <f t="shared" si="19"/>
        <v/>
      </c>
      <c r="AG128" s="2"/>
      <c r="AH128" s="1081" t="str">
        <f t="shared" si="21"/>
        <v>III</v>
      </c>
      <c r="AI128" s="1095">
        <f t="shared" si="22"/>
        <v>0</v>
      </c>
      <c r="AJ128" s="1117">
        <f>SUM(AI$126:AI128)</f>
        <v>0</v>
      </c>
      <c r="AK128" s="1129">
        <v>7</v>
      </c>
      <c r="AL128" s="1102" t="str">
        <f t="shared" si="20"/>
        <v/>
      </c>
      <c r="AM128" s="1130">
        <f>IF(W128="",0,IF(V128=0,0,IF(OR(V129=0,V129=1),SUMIF(W$122:W128,W128,AC$122:AC128),0)))</f>
        <v>0</v>
      </c>
      <c r="AN128" s="696"/>
    </row>
    <row r="129" spans="1:40" ht="15.75" customHeight="1" x14ac:dyDescent="0.2">
      <c r="A129" s="2"/>
      <c r="B129" s="2"/>
      <c r="C129" s="1157">
        <v>8</v>
      </c>
      <c r="D129" s="2114"/>
      <c r="E129" s="2114"/>
      <c r="F129" s="2114"/>
      <c r="G129" s="2114"/>
      <c r="H129" s="2114"/>
      <c r="I129" s="2114"/>
      <c r="J129" s="2114"/>
      <c r="K129" s="2114"/>
      <c r="L129" s="2114"/>
      <c r="M129" s="2114"/>
      <c r="N129" s="2115"/>
      <c r="O129" s="2099"/>
      <c r="P129" s="2100"/>
      <c r="Q129" s="2101"/>
      <c r="R129" s="2108">
        <f>IF(O129&lt;&gt;0,N$119-SUM(O$122:O129),0)</f>
        <v>0</v>
      </c>
      <c r="S129" s="2109"/>
      <c r="T129" s="2110"/>
      <c r="U129" s="696"/>
      <c r="V129" s="1111">
        <f t="shared" si="17"/>
        <v>0</v>
      </c>
      <c r="W129" s="1177" t="str">
        <f t="shared" si="18"/>
        <v/>
      </c>
      <c r="X129" s="2111"/>
      <c r="Y129" s="2112"/>
      <c r="Z129" s="2112"/>
      <c r="AA129" s="2112"/>
      <c r="AB129" s="2113"/>
      <c r="AC129" s="2102"/>
      <c r="AD129" s="2103"/>
      <c r="AE129" s="2104"/>
      <c r="AF129" s="1094" t="str">
        <f t="shared" si="19"/>
        <v/>
      </c>
      <c r="AG129" s="2"/>
      <c r="AH129" s="1081" t="str">
        <f t="shared" si="21"/>
        <v>IV</v>
      </c>
      <c r="AI129" s="1095">
        <f t="shared" si="22"/>
        <v>0</v>
      </c>
      <c r="AJ129" s="1117">
        <f>SUM(AI$126:AI129)</f>
        <v>0</v>
      </c>
      <c r="AK129" s="1129">
        <v>8</v>
      </c>
      <c r="AL129" s="1102" t="str">
        <f t="shared" si="20"/>
        <v/>
      </c>
      <c r="AM129" s="1130">
        <f>IF(W129="",0,IF(V129=0,0,IF(OR(V130=0,V130=1),SUMIF(W$122:W129,W129,AC$122:AC129),0)))</f>
        <v>0</v>
      </c>
      <c r="AN129" s="696"/>
    </row>
    <row r="130" spans="1:40" ht="15.75" customHeight="1" x14ac:dyDescent="0.2">
      <c r="A130" s="2"/>
      <c r="B130" s="2"/>
      <c r="C130" s="1157">
        <v>9</v>
      </c>
      <c r="D130" s="2114"/>
      <c r="E130" s="2114"/>
      <c r="F130" s="2114"/>
      <c r="G130" s="2114"/>
      <c r="H130" s="2114"/>
      <c r="I130" s="2114"/>
      <c r="J130" s="2114"/>
      <c r="K130" s="2114"/>
      <c r="L130" s="2114"/>
      <c r="M130" s="2114"/>
      <c r="N130" s="2115"/>
      <c r="O130" s="2099"/>
      <c r="P130" s="2100"/>
      <c r="Q130" s="2101"/>
      <c r="R130" s="2108">
        <f>IF(O130&lt;&gt;0,N$119-SUM(O$122:O130),0)</f>
        <v>0</v>
      </c>
      <c r="S130" s="2109"/>
      <c r="T130" s="2110"/>
      <c r="U130" s="696"/>
      <c r="V130" s="1111">
        <f t="shared" si="17"/>
        <v>0</v>
      </c>
      <c r="W130" s="1177" t="str">
        <f t="shared" si="18"/>
        <v/>
      </c>
      <c r="X130" s="2111"/>
      <c r="Y130" s="2112"/>
      <c r="Z130" s="2112"/>
      <c r="AA130" s="2112"/>
      <c r="AB130" s="2113"/>
      <c r="AC130" s="2102"/>
      <c r="AD130" s="2103"/>
      <c r="AE130" s="2104"/>
      <c r="AF130" s="1094" t="str">
        <f t="shared" si="19"/>
        <v/>
      </c>
      <c r="AG130" s="2"/>
      <c r="AH130" s="1081" t="str">
        <f t="shared" si="21"/>
        <v>V</v>
      </c>
      <c r="AI130" s="1095">
        <f t="shared" si="22"/>
        <v>0</v>
      </c>
      <c r="AJ130" s="1117">
        <f>SUM(AI$126:AI130)</f>
        <v>0</v>
      </c>
      <c r="AK130" s="1129">
        <v>9</v>
      </c>
      <c r="AL130" s="1102" t="str">
        <f t="shared" si="20"/>
        <v/>
      </c>
      <c r="AM130" s="1130">
        <f>IF(W130="",0,IF(V130=0,0,IF(OR(V131=0,V131=1),SUMIF(W$122:W130,W130,AC$122:AC130),0)))</f>
        <v>0</v>
      </c>
      <c r="AN130" s="696"/>
    </row>
    <row r="131" spans="1:40" ht="15.75" customHeight="1" x14ac:dyDescent="0.2">
      <c r="A131" s="2"/>
      <c r="B131" s="2"/>
      <c r="C131" s="1157">
        <v>10</v>
      </c>
      <c r="D131" s="2114"/>
      <c r="E131" s="2114"/>
      <c r="F131" s="2114"/>
      <c r="G131" s="2114"/>
      <c r="H131" s="2114"/>
      <c r="I131" s="2114"/>
      <c r="J131" s="2114"/>
      <c r="K131" s="2114"/>
      <c r="L131" s="2114"/>
      <c r="M131" s="2114"/>
      <c r="N131" s="2115"/>
      <c r="O131" s="2099"/>
      <c r="P131" s="2100"/>
      <c r="Q131" s="2101"/>
      <c r="R131" s="2108">
        <f>IF(O131&lt;&gt;0,N$119-SUM(O$122:O131),0)</f>
        <v>0</v>
      </c>
      <c r="S131" s="2109"/>
      <c r="T131" s="2110"/>
      <c r="U131" s="696"/>
      <c r="V131" s="1111">
        <f t="shared" si="17"/>
        <v>0</v>
      </c>
      <c r="W131" s="1177" t="str">
        <f t="shared" si="18"/>
        <v/>
      </c>
      <c r="X131" s="2111"/>
      <c r="Y131" s="2112"/>
      <c r="Z131" s="2112"/>
      <c r="AA131" s="2112"/>
      <c r="AB131" s="2113"/>
      <c r="AC131" s="2102"/>
      <c r="AD131" s="2103"/>
      <c r="AE131" s="2104"/>
      <c r="AF131" s="1094" t="str">
        <f t="shared" si="19"/>
        <v/>
      </c>
      <c r="AG131" s="2"/>
      <c r="AH131" s="1081" t="str">
        <f t="shared" si="21"/>
        <v>VI</v>
      </c>
      <c r="AI131" s="1095">
        <f t="shared" si="22"/>
        <v>0</v>
      </c>
      <c r="AJ131" s="1117">
        <f>SUM(AI$126:AI131)</f>
        <v>0</v>
      </c>
      <c r="AK131" s="1129">
        <v>10</v>
      </c>
      <c r="AL131" s="1102" t="str">
        <f t="shared" si="20"/>
        <v/>
      </c>
      <c r="AM131" s="1130">
        <f>IF(W131="",0,IF(V131=0,0,IF(OR(V132=0,V132=1),SUMIF(W$122:W131,W131,AC$122:AC131),0)))</f>
        <v>0</v>
      </c>
      <c r="AN131" s="696"/>
    </row>
    <row r="132" spans="1:40" ht="15.75" customHeight="1" x14ac:dyDescent="0.2">
      <c r="A132" s="2"/>
      <c r="B132" s="2"/>
      <c r="C132" s="1157">
        <v>11</v>
      </c>
      <c r="D132" s="2114"/>
      <c r="E132" s="2114"/>
      <c r="F132" s="2114"/>
      <c r="G132" s="2114"/>
      <c r="H132" s="2114"/>
      <c r="I132" s="2114"/>
      <c r="J132" s="2114"/>
      <c r="K132" s="2114"/>
      <c r="L132" s="2114"/>
      <c r="M132" s="2114"/>
      <c r="N132" s="2115"/>
      <c r="O132" s="2099"/>
      <c r="P132" s="2100"/>
      <c r="Q132" s="2101"/>
      <c r="R132" s="2108">
        <f>IF(O132&lt;&gt;0,N$119-SUM(O$122:O132),0)</f>
        <v>0</v>
      </c>
      <c r="S132" s="2109"/>
      <c r="T132" s="2110"/>
      <c r="U132" s="696"/>
      <c r="V132" s="1111">
        <f t="shared" si="17"/>
        <v>0</v>
      </c>
      <c r="W132" s="1177" t="str">
        <f t="shared" si="18"/>
        <v/>
      </c>
      <c r="X132" s="2111"/>
      <c r="Y132" s="2112"/>
      <c r="Z132" s="2112"/>
      <c r="AA132" s="2112"/>
      <c r="AB132" s="2113"/>
      <c r="AC132" s="2102"/>
      <c r="AD132" s="2103"/>
      <c r="AE132" s="2104"/>
      <c r="AF132" s="1094" t="str">
        <f t="shared" si="19"/>
        <v/>
      </c>
      <c r="AG132" s="2"/>
      <c r="AH132" s="2"/>
      <c r="AI132" s="1095">
        <f>SUM(AI126:AI131)</f>
        <v>0</v>
      </c>
      <c r="AJ132" s="2"/>
      <c r="AK132" s="1129">
        <v>11</v>
      </c>
      <c r="AL132" s="1102" t="str">
        <f t="shared" si="20"/>
        <v/>
      </c>
      <c r="AM132" s="1130">
        <f>IF(W132="",0,IF(V132=0,0,IF(OR(V133=0,V133=1),SUMIF(W$122:W132,W132,AC$122:AC132),0)))</f>
        <v>0</v>
      </c>
      <c r="AN132" s="696"/>
    </row>
    <row r="133" spans="1:40" ht="15.75" customHeight="1" x14ac:dyDescent="0.2">
      <c r="A133" s="2"/>
      <c r="B133" s="2"/>
      <c r="C133" s="1157">
        <v>12</v>
      </c>
      <c r="D133" s="2114"/>
      <c r="E133" s="2114"/>
      <c r="F133" s="2114"/>
      <c r="G133" s="2114"/>
      <c r="H133" s="2114"/>
      <c r="I133" s="2114"/>
      <c r="J133" s="2114"/>
      <c r="K133" s="2114"/>
      <c r="L133" s="2114"/>
      <c r="M133" s="2114"/>
      <c r="N133" s="2115"/>
      <c r="O133" s="2099"/>
      <c r="P133" s="2100"/>
      <c r="Q133" s="2101"/>
      <c r="R133" s="2108">
        <f>IF(O133&lt;&gt;0,N$119-SUM(O$122:O133),0)</f>
        <v>0</v>
      </c>
      <c r="S133" s="2109"/>
      <c r="T133" s="2110"/>
      <c r="U133" s="696"/>
      <c r="V133" s="1111">
        <f t="shared" si="17"/>
        <v>0</v>
      </c>
      <c r="W133" s="1177" t="str">
        <f t="shared" si="18"/>
        <v/>
      </c>
      <c r="X133" s="2111"/>
      <c r="Y133" s="2112"/>
      <c r="Z133" s="2112"/>
      <c r="AA133" s="2112"/>
      <c r="AB133" s="2113"/>
      <c r="AC133" s="2102"/>
      <c r="AD133" s="2103"/>
      <c r="AE133" s="2104"/>
      <c r="AF133" s="1094" t="str">
        <f t="shared" si="19"/>
        <v/>
      </c>
      <c r="AG133" s="2"/>
      <c r="AH133" s="2"/>
      <c r="AI133" s="2"/>
      <c r="AJ133" s="2"/>
      <c r="AK133" s="1129">
        <v>12</v>
      </c>
      <c r="AL133" s="1102" t="str">
        <f t="shared" si="20"/>
        <v/>
      </c>
      <c r="AM133" s="1130">
        <f>IF(W133="",0,IF(V133=0,0,IF(OR(V134=0,V134=1),SUMIF(W$122:W133,W133,AC$122:AC133),0)))</f>
        <v>0</v>
      </c>
      <c r="AN133" s="696"/>
    </row>
    <row r="134" spans="1:40" ht="15.75" customHeight="1" x14ac:dyDescent="0.2">
      <c r="A134" s="2"/>
      <c r="B134" s="2"/>
      <c r="C134" s="1157">
        <v>13</v>
      </c>
      <c r="D134" s="2114"/>
      <c r="E134" s="2114"/>
      <c r="F134" s="2114"/>
      <c r="G134" s="2114"/>
      <c r="H134" s="2114"/>
      <c r="I134" s="2114"/>
      <c r="J134" s="2114"/>
      <c r="K134" s="2114"/>
      <c r="L134" s="2114"/>
      <c r="M134" s="2114"/>
      <c r="N134" s="2115"/>
      <c r="O134" s="2099"/>
      <c r="P134" s="2100"/>
      <c r="Q134" s="2101"/>
      <c r="R134" s="2108">
        <f>IF(O134&lt;&gt;0,N$119-SUM(O$122:O134),0)</f>
        <v>0</v>
      </c>
      <c r="S134" s="2109"/>
      <c r="T134" s="2110"/>
      <c r="U134" s="696"/>
      <c r="V134" s="1111">
        <f t="shared" si="17"/>
        <v>0</v>
      </c>
      <c r="W134" s="1177" t="str">
        <f t="shared" si="18"/>
        <v/>
      </c>
      <c r="X134" s="2111"/>
      <c r="Y134" s="2112"/>
      <c r="Z134" s="2112"/>
      <c r="AA134" s="2112"/>
      <c r="AB134" s="2113"/>
      <c r="AC134" s="2102"/>
      <c r="AD134" s="2103"/>
      <c r="AE134" s="2104"/>
      <c r="AF134" s="1094" t="str">
        <f t="shared" si="19"/>
        <v/>
      </c>
      <c r="AG134" s="2"/>
      <c r="AH134" s="2"/>
      <c r="AI134" s="2"/>
      <c r="AJ134" s="2"/>
      <c r="AK134" s="1129">
        <v>13</v>
      </c>
      <c r="AL134" s="1102" t="str">
        <f t="shared" si="20"/>
        <v/>
      </c>
      <c r="AM134" s="1130">
        <f>IF(W134="",0,IF(V134=0,0,IF(OR(V135=0,V135=1),SUMIF(W$122:W134,W134,AC$122:AC134),0)))</f>
        <v>0</v>
      </c>
      <c r="AN134" s="696"/>
    </row>
    <row r="135" spans="1:40" ht="15.75" customHeight="1" x14ac:dyDescent="0.2">
      <c r="A135" s="2"/>
      <c r="B135" s="2"/>
      <c r="C135" s="1157">
        <v>14</v>
      </c>
      <c r="D135" s="2114"/>
      <c r="E135" s="2114"/>
      <c r="F135" s="2114"/>
      <c r="G135" s="2114"/>
      <c r="H135" s="2114"/>
      <c r="I135" s="2114"/>
      <c r="J135" s="2114"/>
      <c r="K135" s="2114"/>
      <c r="L135" s="2114"/>
      <c r="M135" s="2114"/>
      <c r="N135" s="2115"/>
      <c r="O135" s="2099"/>
      <c r="P135" s="2100"/>
      <c r="Q135" s="2101"/>
      <c r="R135" s="2108">
        <f>IF(O135&lt;&gt;0,N$119-SUM(O$122:O135),0)</f>
        <v>0</v>
      </c>
      <c r="S135" s="2109"/>
      <c r="T135" s="2110"/>
      <c r="U135" s="696"/>
      <c r="V135" s="1111">
        <f t="shared" si="17"/>
        <v>0</v>
      </c>
      <c r="W135" s="1177" t="str">
        <f t="shared" si="18"/>
        <v/>
      </c>
      <c r="X135" s="2111"/>
      <c r="Y135" s="2112"/>
      <c r="Z135" s="2112"/>
      <c r="AA135" s="2112"/>
      <c r="AB135" s="2113"/>
      <c r="AC135" s="2102"/>
      <c r="AD135" s="2103"/>
      <c r="AE135" s="2104"/>
      <c r="AF135" s="1094" t="str">
        <f t="shared" si="19"/>
        <v/>
      </c>
      <c r="AG135" s="2"/>
      <c r="AH135" s="2"/>
      <c r="AI135" s="2"/>
      <c r="AJ135" s="2"/>
      <c r="AK135" s="1129">
        <v>14</v>
      </c>
      <c r="AL135" s="1102" t="str">
        <f t="shared" si="20"/>
        <v/>
      </c>
      <c r="AM135" s="1130">
        <f>IF(W135="",0,IF(V135=0,0,IF(OR(V136=0,V136=1),SUMIF(W$122:W135,W135,AC$122:AC135),0)))</f>
        <v>0</v>
      </c>
      <c r="AN135" s="696"/>
    </row>
    <row r="136" spans="1:40" ht="15.75" customHeight="1" x14ac:dyDescent="0.2">
      <c r="A136" s="2"/>
      <c r="B136" s="2"/>
      <c r="C136" s="1157">
        <v>15</v>
      </c>
      <c r="D136" s="2114"/>
      <c r="E136" s="2114"/>
      <c r="F136" s="2114"/>
      <c r="G136" s="2114"/>
      <c r="H136" s="2114"/>
      <c r="I136" s="2114"/>
      <c r="J136" s="2114"/>
      <c r="K136" s="2114"/>
      <c r="L136" s="2114"/>
      <c r="M136" s="2114"/>
      <c r="N136" s="2115"/>
      <c r="O136" s="2099"/>
      <c r="P136" s="2100"/>
      <c r="Q136" s="2101"/>
      <c r="R136" s="2108">
        <f>IF(O136&lt;&gt;0,N$119-SUM(O$122:O136),0)</f>
        <v>0</v>
      </c>
      <c r="S136" s="2109"/>
      <c r="T136" s="2110"/>
      <c r="U136" s="696"/>
      <c r="V136" s="1111">
        <f t="shared" si="17"/>
        <v>0</v>
      </c>
      <c r="W136" s="1177" t="str">
        <f t="shared" si="18"/>
        <v/>
      </c>
      <c r="X136" s="2111"/>
      <c r="Y136" s="2112"/>
      <c r="Z136" s="2112"/>
      <c r="AA136" s="2112"/>
      <c r="AB136" s="2113"/>
      <c r="AC136" s="2102"/>
      <c r="AD136" s="2103"/>
      <c r="AE136" s="2104"/>
      <c r="AF136" s="1094" t="str">
        <f t="shared" si="19"/>
        <v/>
      </c>
      <c r="AG136" s="2"/>
      <c r="AH136" s="2"/>
      <c r="AI136" s="2"/>
      <c r="AJ136" s="2"/>
      <c r="AK136" s="1129">
        <v>15</v>
      </c>
      <c r="AL136" s="1102" t="str">
        <f t="shared" si="20"/>
        <v/>
      </c>
      <c r="AM136" s="1130">
        <f>IF(W136="",0,IF(V136=0,0,IF(OR(V137=0,V137=1),SUMIF(W$122:W136,W136,AC$122:AC136),0)))</f>
        <v>0</v>
      </c>
      <c r="AN136" s="696"/>
    </row>
    <row r="137" spans="1:40" ht="15.75" customHeight="1" x14ac:dyDescent="0.2">
      <c r="A137" s="2"/>
      <c r="B137" s="2"/>
      <c r="C137" s="1157">
        <v>16</v>
      </c>
      <c r="D137" s="2114"/>
      <c r="E137" s="2114"/>
      <c r="F137" s="2114"/>
      <c r="G137" s="2114"/>
      <c r="H137" s="2114"/>
      <c r="I137" s="2114"/>
      <c r="J137" s="2114"/>
      <c r="K137" s="2114"/>
      <c r="L137" s="2114"/>
      <c r="M137" s="2114"/>
      <c r="N137" s="2115"/>
      <c r="O137" s="2099"/>
      <c r="P137" s="2100"/>
      <c r="Q137" s="2101"/>
      <c r="R137" s="2108">
        <f>IF(O137&lt;&gt;0,N$119-SUM(O$122:O137),0)</f>
        <v>0</v>
      </c>
      <c r="S137" s="2109"/>
      <c r="T137" s="2110"/>
      <c r="U137" s="696"/>
      <c r="V137" s="1111">
        <f t="shared" si="17"/>
        <v>0</v>
      </c>
      <c r="W137" s="1177" t="str">
        <f t="shared" si="18"/>
        <v/>
      </c>
      <c r="X137" s="2111"/>
      <c r="Y137" s="2112"/>
      <c r="Z137" s="2112"/>
      <c r="AA137" s="2112"/>
      <c r="AB137" s="2113"/>
      <c r="AC137" s="2102"/>
      <c r="AD137" s="2103"/>
      <c r="AE137" s="2104"/>
      <c r="AF137" s="1094" t="str">
        <f t="shared" si="19"/>
        <v/>
      </c>
      <c r="AG137" s="2"/>
      <c r="AH137" s="2"/>
      <c r="AI137" s="2"/>
      <c r="AJ137" s="2"/>
      <c r="AK137" s="1129">
        <v>16</v>
      </c>
      <c r="AL137" s="1102" t="str">
        <f t="shared" si="20"/>
        <v/>
      </c>
      <c r="AM137" s="1130">
        <f>IF(W137="",0,IF(V137=0,0,IF(OR(V138=0,V138=1),SUMIF(W$122:W137,W137,AC$122:AC137),0)))</f>
        <v>0</v>
      </c>
      <c r="AN137" s="696"/>
    </row>
    <row r="138" spans="1:40" ht="15.75" customHeight="1" x14ac:dyDescent="0.2">
      <c r="A138" s="2"/>
      <c r="B138" s="2"/>
      <c r="C138" s="1157">
        <v>17</v>
      </c>
      <c r="D138" s="2114"/>
      <c r="E138" s="2114"/>
      <c r="F138" s="2114"/>
      <c r="G138" s="2114"/>
      <c r="H138" s="2114"/>
      <c r="I138" s="2114"/>
      <c r="J138" s="2114"/>
      <c r="K138" s="2114"/>
      <c r="L138" s="2114"/>
      <c r="M138" s="2114"/>
      <c r="N138" s="2115"/>
      <c r="O138" s="2099"/>
      <c r="P138" s="2100"/>
      <c r="Q138" s="2101"/>
      <c r="R138" s="2108">
        <f>IF(O138&lt;&gt;0,N$119-SUM(O$122:O138),0)</f>
        <v>0</v>
      </c>
      <c r="S138" s="2109"/>
      <c r="T138" s="2110"/>
      <c r="U138" s="696"/>
      <c r="V138" s="1111">
        <f t="shared" si="17"/>
        <v>0</v>
      </c>
      <c r="W138" s="1177" t="str">
        <f t="shared" si="18"/>
        <v/>
      </c>
      <c r="X138" s="2111"/>
      <c r="Y138" s="2112"/>
      <c r="Z138" s="2112"/>
      <c r="AA138" s="2112"/>
      <c r="AB138" s="2113"/>
      <c r="AC138" s="2102"/>
      <c r="AD138" s="2103"/>
      <c r="AE138" s="2104"/>
      <c r="AF138" s="1094" t="str">
        <f t="shared" si="19"/>
        <v/>
      </c>
      <c r="AG138" s="2"/>
      <c r="AH138" s="2"/>
      <c r="AI138" s="2"/>
      <c r="AJ138" s="2"/>
      <c r="AK138" s="1129">
        <v>17</v>
      </c>
      <c r="AL138" s="1102" t="str">
        <f t="shared" si="20"/>
        <v/>
      </c>
      <c r="AM138" s="1130">
        <f>IF(W138="",0,IF(V138=0,0,IF(OR(V139=0,V139=1),SUMIF(W$122:W138,W138,AC$122:AC138),0)))</f>
        <v>0</v>
      </c>
      <c r="AN138" s="696"/>
    </row>
    <row r="139" spans="1:40" ht="15.75" customHeight="1" x14ac:dyDescent="0.2">
      <c r="A139" s="2"/>
      <c r="B139" s="2"/>
      <c r="C139" s="1157">
        <v>18</v>
      </c>
      <c r="D139" s="2114"/>
      <c r="E139" s="2114"/>
      <c r="F139" s="2114"/>
      <c r="G139" s="2114"/>
      <c r="H139" s="2114"/>
      <c r="I139" s="2114"/>
      <c r="J139" s="2114"/>
      <c r="K139" s="2114"/>
      <c r="L139" s="2114"/>
      <c r="M139" s="2114"/>
      <c r="N139" s="2115"/>
      <c r="O139" s="2099"/>
      <c r="P139" s="2100"/>
      <c r="Q139" s="2101"/>
      <c r="R139" s="2108">
        <f>IF(O139&lt;&gt;0,N$119-SUM(O$122:O139),0)</f>
        <v>0</v>
      </c>
      <c r="S139" s="2109"/>
      <c r="T139" s="2110"/>
      <c r="U139" s="696"/>
      <c r="V139" s="1111">
        <f t="shared" si="17"/>
        <v>0</v>
      </c>
      <c r="W139" s="1177" t="str">
        <f t="shared" si="18"/>
        <v/>
      </c>
      <c r="X139" s="2111"/>
      <c r="Y139" s="2112"/>
      <c r="Z139" s="2112"/>
      <c r="AA139" s="2112"/>
      <c r="AB139" s="2113"/>
      <c r="AC139" s="2102"/>
      <c r="AD139" s="2103"/>
      <c r="AE139" s="2104"/>
      <c r="AF139" s="1094" t="str">
        <f t="shared" si="19"/>
        <v/>
      </c>
      <c r="AG139" s="2"/>
      <c r="AH139" s="2"/>
      <c r="AI139" s="2"/>
      <c r="AJ139" s="2"/>
      <c r="AK139" s="1129">
        <v>18</v>
      </c>
      <c r="AL139" s="1102" t="str">
        <f t="shared" si="20"/>
        <v/>
      </c>
      <c r="AM139" s="1130">
        <f>IF(W139="",0,IF(V139=0,0,IF(OR(V140=0,V140=1),SUMIF(W$122:W139,W139,AC$122:AC139),0)))</f>
        <v>0</v>
      </c>
      <c r="AN139" s="696"/>
    </row>
    <row r="140" spans="1:40" ht="15.75" customHeight="1" x14ac:dyDescent="0.2">
      <c r="A140" s="2"/>
      <c r="B140" s="2"/>
      <c r="C140" s="1157">
        <v>19</v>
      </c>
      <c r="D140" s="2114"/>
      <c r="E140" s="2114"/>
      <c r="F140" s="2114"/>
      <c r="G140" s="2114"/>
      <c r="H140" s="2114"/>
      <c r="I140" s="2114"/>
      <c r="J140" s="2114"/>
      <c r="K140" s="2114"/>
      <c r="L140" s="2114"/>
      <c r="M140" s="2114"/>
      <c r="N140" s="2115"/>
      <c r="O140" s="2099"/>
      <c r="P140" s="2100"/>
      <c r="Q140" s="2101"/>
      <c r="R140" s="2108">
        <f>IF(O140&lt;&gt;0,N$119-SUM(O$122:O140),0)</f>
        <v>0</v>
      </c>
      <c r="S140" s="2109"/>
      <c r="T140" s="2110"/>
      <c r="U140" s="696"/>
      <c r="V140" s="1111">
        <f t="shared" si="17"/>
        <v>0</v>
      </c>
      <c r="W140" s="1177" t="str">
        <f t="shared" si="18"/>
        <v/>
      </c>
      <c r="X140" s="2111"/>
      <c r="Y140" s="2112"/>
      <c r="Z140" s="2112"/>
      <c r="AA140" s="2112"/>
      <c r="AB140" s="2113"/>
      <c r="AC140" s="2102"/>
      <c r="AD140" s="2103"/>
      <c r="AE140" s="2104"/>
      <c r="AF140" s="1094" t="str">
        <f t="shared" si="19"/>
        <v/>
      </c>
      <c r="AG140" s="2"/>
      <c r="AH140" s="2"/>
      <c r="AI140" s="2"/>
      <c r="AJ140" s="2"/>
      <c r="AK140" s="1129">
        <v>19</v>
      </c>
      <c r="AL140" s="1102" t="str">
        <f t="shared" si="20"/>
        <v/>
      </c>
      <c r="AM140" s="1130">
        <f>IF(W140="",0,IF(V140=0,0,IF(OR(V141=0,V141=1),SUMIF(W$122:W140,W140,AC$122:AC140),0)))</f>
        <v>0</v>
      </c>
      <c r="AN140" s="696"/>
    </row>
    <row r="141" spans="1:40" ht="15.75" customHeight="1" x14ac:dyDescent="0.2">
      <c r="A141" s="2"/>
      <c r="B141" s="2"/>
      <c r="C141" s="1157">
        <v>20</v>
      </c>
      <c r="D141" s="2114"/>
      <c r="E141" s="2114"/>
      <c r="F141" s="2114"/>
      <c r="G141" s="2114"/>
      <c r="H141" s="2114"/>
      <c r="I141" s="2114"/>
      <c r="J141" s="2114"/>
      <c r="K141" s="2114"/>
      <c r="L141" s="2114"/>
      <c r="M141" s="2114"/>
      <c r="N141" s="2115"/>
      <c r="O141" s="2099"/>
      <c r="P141" s="2100"/>
      <c r="Q141" s="2101"/>
      <c r="R141" s="2108">
        <f>IF(O141&lt;&gt;0,N$119-SUM(O$122:O141),0)</f>
        <v>0</v>
      </c>
      <c r="S141" s="2109"/>
      <c r="T141" s="2110"/>
      <c r="U141" s="696"/>
      <c r="V141" s="1111">
        <f t="shared" si="17"/>
        <v>0</v>
      </c>
      <c r="W141" s="1177" t="str">
        <f t="shared" si="18"/>
        <v/>
      </c>
      <c r="X141" s="2111"/>
      <c r="Y141" s="2112"/>
      <c r="Z141" s="2112"/>
      <c r="AA141" s="2112"/>
      <c r="AB141" s="2113"/>
      <c r="AC141" s="2102"/>
      <c r="AD141" s="2103"/>
      <c r="AE141" s="2104"/>
      <c r="AF141" s="1094" t="str">
        <f t="shared" si="19"/>
        <v/>
      </c>
      <c r="AG141" s="2"/>
      <c r="AH141" s="2"/>
      <c r="AI141" s="2"/>
      <c r="AJ141" s="2"/>
      <c r="AK141" s="1129">
        <v>20</v>
      </c>
      <c r="AL141" s="1102" t="str">
        <f t="shared" si="20"/>
        <v/>
      </c>
      <c r="AM141" s="1130">
        <f>IF(W141="",0,IF(V141=0,0,IF(OR(V142=0,V142=1),SUMIF(W$122:W141,W141,AC$122:AC141),0)))</f>
        <v>0</v>
      </c>
      <c r="AN141" s="696"/>
    </row>
    <row r="142" spans="1:40" ht="15.75" customHeight="1" x14ac:dyDescent="0.2">
      <c r="A142" s="2"/>
      <c r="B142" s="2"/>
      <c r="C142" s="1157">
        <v>21</v>
      </c>
      <c r="D142" s="2114"/>
      <c r="E142" s="2114"/>
      <c r="F142" s="2114"/>
      <c r="G142" s="2114"/>
      <c r="H142" s="2114"/>
      <c r="I142" s="2114"/>
      <c r="J142" s="2114"/>
      <c r="K142" s="2114"/>
      <c r="L142" s="2114"/>
      <c r="M142" s="2114"/>
      <c r="N142" s="2115"/>
      <c r="O142" s="2099"/>
      <c r="P142" s="2100"/>
      <c r="Q142" s="2101"/>
      <c r="R142" s="2108">
        <f>IF(O142&lt;&gt;0,N$119-SUM(O$122:O142),0)</f>
        <v>0</v>
      </c>
      <c r="S142" s="2109"/>
      <c r="T142" s="2110"/>
      <c r="U142" s="696"/>
      <c r="V142" s="1111">
        <f t="shared" si="17"/>
        <v>0</v>
      </c>
      <c r="W142" s="1177" t="str">
        <f t="shared" si="18"/>
        <v/>
      </c>
      <c r="X142" s="2111"/>
      <c r="Y142" s="2112"/>
      <c r="Z142" s="2112"/>
      <c r="AA142" s="2112"/>
      <c r="AB142" s="2113"/>
      <c r="AC142" s="2102"/>
      <c r="AD142" s="2103"/>
      <c r="AE142" s="2104"/>
      <c r="AF142" s="1094" t="str">
        <f t="shared" si="19"/>
        <v/>
      </c>
      <c r="AG142" s="2"/>
      <c r="AH142" s="2"/>
      <c r="AI142" s="2"/>
      <c r="AJ142" s="2"/>
      <c r="AK142" s="1129">
        <v>21</v>
      </c>
      <c r="AL142" s="1102" t="str">
        <f t="shared" si="20"/>
        <v/>
      </c>
      <c r="AM142" s="1130">
        <f>IF(W142="",0,IF(V142=0,0,IF(OR(V143=0,V143=1),SUMIF(W$122:W142,W142,AC$122:AC142),0)))</f>
        <v>0</v>
      </c>
      <c r="AN142" s="696"/>
    </row>
    <row r="143" spans="1:40" ht="15.75" customHeight="1" x14ac:dyDescent="0.2">
      <c r="A143" s="2"/>
      <c r="B143" s="2"/>
      <c r="C143" s="1157">
        <v>22</v>
      </c>
      <c r="D143" s="2114"/>
      <c r="E143" s="2114"/>
      <c r="F143" s="2114"/>
      <c r="G143" s="2114"/>
      <c r="H143" s="2114"/>
      <c r="I143" s="2114"/>
      <c r="J143" s="2114"/>
      <c r="K143" s="2114"/>
      <c r="L143" s="2114"/>
      <c r="M143" s="2114"/>
      <c r="N143" s="2115"/>
      <c r="O143" s="2099"/>
      <c r="P143" s="2100"/>
      <c r="Q143" s="2101"/>
      <c r="R143" s="2108">
        <f>IF(O143&lt;&gt;0,N$119-SUM(O$122:O143),0)</f>
        <v>0</v>
      </c>
      <c r="S143" s="2109"/>
      <c r="T143" s="2110"/>
      <c r="U143" s="696"/>
      <c r="V143" s="1111">
        <f t="shared" si="17"/>
        <v>0</v>
      </c>
      <c r="W143" s="1177" t="str">
        <f t="shared" si="18"/>
        <v/>
      </c>
      <c r="X143" s="2111"/>
      <c r="Y143" s="2112"/>
      <c r="Z143" s="2112"/>
      <c r="AA143" s="2112"/>
      <c r="AB143" s="2113"/>
      <c r="AC143" s="2102"/>
      <c r="AD143" s="2103"/>
      <c r="AE143" s="2104"/>
      <c r="AF143" s="1094" t="str">
        <f t="shared" si="19"/>
        <v/>
      </c>
      <c r="AG143" s="2"/>
      <c r="AH143" s="2"/>
      <c r="AI143" s="2"/>
      <c r="AJ143" s="2"/>
      <c r="AK143" s="1129">
        <v>22</v>
      </c>
      <c r="AL143" s="1102" t="str">
        <f t="shared" si="20"/>
        <v/>
      </c>
      <c r="AM143" s="1130">
        <f>IF(W143="",0,IF(V143=0,0,IF(OR(V144=0,V144=1),SUMIF(W$122:W143,W143,AC$122:AC143),0)))</f>
        <v>0</v>
      </c>
      <c r="AN143" s="696"/>
    </row>
    <row r="144" spans="1:40" ht="15.75" customHeight="1" x14ac:dyDescent="0.2">
      <c r="A144" s="2"/>
      <c r="B144" s="2"/>
      <c r="C144" s="1157">
        <v>23</v>
      </c>
      <c r="D144" s="2114"/>
      <c r="E144" s="2114"/>
      <c r="F144" s="2114"/>
      <c r="G144" s="2114"/>
      <c r="H144" s="2114"/>
      <c r="I144" s="2114"/>
      <c r="J144" s="2114"/>
      <c r="K144" s="2114"/>
      <c r="L144" s="2114"/>
      <c r="M144" s="2114"/>
      <c r="N144" s="2115"/>
      <c r="O144" s="2099"/>
      <c r="P144" s="2100"/>
      <c r="Q144" s="2101"/>
      <c r="R144" s="2108">
        <f>IF(O144&lt;&gt;0,N$119-SUM(O$122:O144),0)</f>
        <v>0</v>
      </c>
      <c r="S144" s="2109"/>
      <c r="T144" s="2110"/>
      <c r="U144" s="696"/>
      <c r="V144" s="1111">
        <f t="shared" si="17"/>
        <v>0</v>
      </c>
      <c r="W144" s="1177" t="str">
        <f t="shared" si="18"/>
        <v/>
      </c>
      <c r="X144" s="2111"/>
      <c r="Y144" s="2112"/>
      <c r="Z144" s="2112"/>
      <c r="AA144" s="2112"/>
      <c r="AB144" s="2113"/>
      <c r="AC144" s="2102"/>
      <c r="AD144" s="2103"/>
      <c r="AE144" s="2104"/>
      <c r="AF144" s="1094" t="str">
        <f t="shared" si="19"/>
        <v/>
      </c>
      <c r="AG144" s="2"/>
      <c r="AH144" s="2"/>
      <c r="AI144" s="2"/>
      <c r="AJ144" s="2"/>
      <c r="AK144" s="1129">
        <v>23</v>
      </c>
      <c r="AL144" s="1102" t="str">
        <f t="shared" si="20"/>
        <v/>
      </c>
      <c r="AM144" s="1130">
        <f>IF(W144="",0,IF(V144=0,0,IF(OR(V145=0,V145=1),SUMIF(W$122:W144,W144,AC$122:AC144),0)))</f>
        <v>0</v>
      </c>
      <c r="AN144" s="696"/>
    </row>
    <row r="145" spans="1:40" ht="15.75" customHeight="1" x14ac:dyDescent="0.2">
      <c r="A145" s="2"/>
      <c r="B145" s="2"/>
      <c r="C145" s="1157">
        <v>24</v>
      </c>
      <c r="D145" s="2114"/>
      <c r="E145" s="2114"/>
      <c r="F145" s="2114"/>
      <c r="G145" s="2114"/>
      <c r="H145" s="2114"/>
      <c r="I145" s="2114"/>
      <c r="J145" s="2114"/>
      <c r="K145" s="2114"/>
      <c r="L145" s="2114"/>
      <c r="M145" s="2114"/>
      <c r="N145" s="2115"/>
      <c r="O145" s="2099"/>
      <c r="P145" s="2100"/>
      <c r="Q145" s="2101"/>
      <c r="R145" s="2108">
        <f>IF(O145&lt;&gt;0,N$119-SUM(O$122:O145),0)</f>
        <v>0</v>
      </c>
      <c r="S145" s="2109"/>
      <c r="T145" s="2110"/>
      <c r="U145" s="696"/>
      <c r="V145" s="1111">
        <f t="shared" si="17"/>
        <v>0</v>
      </c>
      <c r="W145" s="1177" t="str">
        <f t="shared" si="18"/>
        <v/>
      </c>
      <c r="X145" s="2111"/>
      <c r="Y145" s="2112"/>
      <c r="Z145" s="2112"/>
      <c r="AA145" s="2112"/>
      <c r="AB145" s="2113"/>
      <c r="AC145" s="2102"/>
      <c r="AD145" s="2103"/>
      <c r="AE145" s="2104"/>
      <c r="AF145" s="1094" t="str">
        <f t="shared" si="19"/>
        <v/>
      </c>
      <c r="AG145" s="2"/>
      <c r="AH145" s="2"/>
      <c r="AI145" s="2"/>
      <c r="AJ145" s="2"/>
      <c r="AK145" s="1129">
        <v>24</v>
      </c>
      <c r="AL145" s="1102" t="str">
        <f t="shared" si="20"/>
        <v/>
      </c>
      <c r="AM145" s="1130">
        <f>IF(W145="",0,IF(V145=0,0,IF(OR(V146=0,V146=1),SUMIF(W$122:W145,W145,AC$122:AC145),0)))</f>
        <v>0</v>
      </c>
      <c r="AN145" s="696"/>
    </row>
    <row r="146" spans="1:40" ht="15.75" customHeight="1" x14ac:dyDescent="0.2">
      <c r="A146" s="2"/>
      <c r="B146" s="2"/>
      <c r="C146" s="1157">
        <v>25</v>
      </c>
      <c r="D146" s="2114"/>
      <c r="E146" s="2114"/>
      <c r="F146" s="2114"/>
      <c r="G146" s="2114"/>
      <c r="H146" s="2114"/>
      <c r="I146" s="2114"/>
      <c r="J146" s="2114"/>
      <c r="K146" s="2114"/>
      <c r="L146" s="2114"/>
      <c r="M146" s="2114"/>
      <c r="N146" s="2115"/>
      <c r="O146" s="2099"/>
      <c r="P146" s="2100"/>
      <c r="Q146" s="2101"/>
      <c r="R146" s="2108">
        <f>IF(O146&lt;&gt;0,N$119-SUM(O$122:O146),0)</f>
        <v>0</v>
      </c>
      <c r="S146" s="2109"/>
      <c r="T146" s="2110"/>
      <c r="U146" s="696"/>
      <c r="V146" s="1111">
        <f t="shared" si="17"/>
        <v>0</v>
      </c>
      <c r="W146" s="1177" t="str">
        <f t="shared" si="18"/>
        <v/>
      </c>
      <c r="X146" s="2111"/>
      <c r="Y146" s="2112"/>
      <c r="Z146" s="2112"/>
      <c r="AA146" s="2112"/>
      <c r="AB146" s="2113"/>
      <c r="AC146" s="2102"/>
      <c r="AD146" s="2103"/>
      <c r="AE146" s="2104"/>
      <c r="AF146" s="1094" t="str">
        <f t="shared" si="19"/>
        <v/>
      </c>
      <c r="AG146" s="2"/>
      <c r="AH146" s="2"/>
      <c r="AI146" s="2"/>
      <c r="AJ146" s="2"/>
      <c r="AK146" s="1129">
        <v>25</v>
      </c>
      <c r="AL146" s="1102" t="str">
        <f t="shared" si="20"/>
        <v/>
      </c>
      <c r="AM146" s="1130">
        <f>IF(W146="",0,IF(V146=0,0,IF(OR(V147=0,V147=1),SUMIF(W$122:W146,W146,AC$122:AC146),0)))</f>
        <v>0</v>
      </c>
      <c r="AN146" s="696"/>
    </row>
    <row r="147" spans="1:40" ht="15.75" customHeight="1" x14ac:dyDescent="0.2">
      <c r="A147" s="2"/>
      <c r="B147" s="2"/>
      <c r="C147" s="1157">
        <v>26</v>
      </c>
      <c r="D147" s="2114"/>
      <c r="E147" s="2114"/>
      <c r="F147" s="2114"/>
      <c r="G147" s="2114"/>
      <c r="H147" s="2114"/>
      <c r="I147" s="2114"/>
      <c r="J147" s="2114"/>
      <c r="K147" s="2114"/>
      <c r="L147" s="2114"/>
      <c r="M147" s="2114"/>
      <c r="N147" s="2115"/>
      <c r="O147" s="2099"/>
      <c r="P147" s="2100"/>
      <c r="Q147" s="2101"/>
      <c r="R147" s="2108">
        <f>IF(O147&lt;&gt;0,N$119-SUM(O$122:O147),0)</f>
        <v>0</v>
      </c>
      <c r="S147" s="2109"/>
      <c r="T147" s="2110"/>
      <c r="U147" s="696"/>
      <c r="V147" s="1111">
        <f t="shared" si="17"/>
        <v>0</v>
      </c>
      <c r="W147" s="1177" t="str">
        <f t="shared" si="18"/>
        <v/>
      </c>
      <c r="X147" s="2111"/>
      <c r="Y147" s="2112"/>
      <c r="Z147" s="2112"/>
      <c r="AA147" s="2112"/>
      <c r="AB147" s="2113"/>
      <c r="AC147" s="2102"/>
      <c r="AD147" s="2103"/>
      <c r="AE147" s="2104"/>
      <c r="AF147" s="1094" t="str">
        <f t="shared" si="19"/>
        <v/>
      </c>
      <c r="AG147" s="2"/>
      <c r="AH147" s="2"/>
      <c r="AI147" s="2"/>
      <c r="AJ147" s="2"/>
      <c r="AK147" s="1129">
        <v>26</v>
      </c>
      <c r="AL147" s="1102" t="str">
        <f t="shared" si="20"/>
        <v/>
      </c>
      <c r="AM147" s="1130">
        <f>IF(W147="",0,IF(V147=0,0,IF(OR(V148=0,V148=1),SUMIF(W$122:W147,W147,AC$122:AC147),0)))</f>
        <v>0</v>
      </c>
      <c r="AN147" s="696"/>
    </row>
    <row r="148" spans="1:40" ht="15.75" customHeight="1" x14ac:dyDescent="0.2">
      <c r="A148" s="2"/>
      <c r="B148" s="2"/>
      <c r="C148" s="1157">
        <v>27</v>
      </c>
      <c r="D148" s="2114"/>
      <c r="E148" s="2114"/>
      <c r="F148" s="2114"/>
      <c r="G148" s="2114"/>
      <c r="H148" s="2114"/>
      <c r="I148" s="2114"/>
      <c r="J148" s="2114"/>
      <c r="K148" s="2114"/>
      <c r="L148" s="2114"/>
      <c r="M148" s="2114"/>
      <c r="N148" s="2115"/>
      <c r="O148" s="2099"/>
      <c r="P148" s="2100"/>
      <c r="Q148" s="2101"/>
      <c r="R148" s="2108">
        <f>IF(O148&lt;&gt;0,N$119-SUM(O$122:O148),0)</f>
        <v>0</v>
      </c>
      <c r="S148" s="2109"/>
      <c r="T148" s="2110"/>
      <c r="U148" s="696"/>
      <c r="V148" s="1111">
        <f t="shared" si="17"/>
        <v>0</v>
      </c>
      <c r="W148" s="1177" t="str">
        <f t="shared" si="18"/>
        <v/>
      </c>
      <c r="X148" s="2111"/>
      <c r="Y148" s="2112"/>
      <c r="Z148" s="2112"/>
      <c r="AA148" s="2112"/>
      <c r="AB148" s="2113"/>
      <c r="AC148" s="2102"/>
      <c r="AD148" s="2103"/>
      <c r="AE148" s="2104"/>
      <c r="AF148" s="1094" t="str">
        <f t="shared" si="19"/>
        <v/>
      </c>
      <c r="AG148" s="2"/>
      <c r="AH148" s="2"/>
      <c r="AI148" s="2"/>
      <c r="AJ148" s="2"/>
      <c r="AK148" s="1129">
        <v>27</v>
      </c>
      <c r="AL148" s="1102" t="str">
        <f t="shared" si="20"/>
        <v/>
      </c>
      <c r="AM148" s="1130">
        <f>IF(W148="",0,IF(V148=0,0,IF(OR(V149=0,V149=1),SUMIF(W$122:W148,W148,AC$122:AC148),0)))</f>
        <v>0</v>
      </c>
      <c r="AN148" s="696"/>
    </row>
    <row r="149" spans="1:40" ht="15.75" customHeight="1" x14ac:dyDescent="0.2">
      <c r="A149" s="2"/>
      <c r="B149" s="2"/>
      <c r="C149" s="1157">
        <v>28</v>
      </c>
      <c r="D149" s="2114"/>
      <c r="E149" s="2114"/>
      <c r="F149" s="2114"/>
      <c r="G149" s="2114"/>
      <c r="H149" s="2114"/>
      <c r="I149" s="2114"/>
      <c r="J149" s="2114"/>
      <c r="K149" s="2114"/>
      <c r="L149" s="2114"/>
      <c r="M149" s="2114"/>
      <c r="N149" s="2115"/>
      <c r="O149" s="2099"/>
      <c r="P149" s="2100"/>
      <c r="Q149" s="2101"/>
      <c r="R149" s="2108">
        <f>IF(O149&lt;&gt;0,N$119-SUM(O$122:O149),0)</f>
        <v>0</v>
      </c>
      <c r="S149" s="2109"/>
      <c r="T149" s="2110"/>
      <c r="U149" s="696"/>
      <c r="V149" s="1111">
        <f t="shared" si="17"/>
        <v>0</v>
      </c>
      <c r="W149" s="1177" t="str">
        <f t="shared" si="18"/>
        <v/>
      </c>
      <c r="X149" s="2111"/>
      <c r="Y149" s="2112"/>
      <c r="Z149" s="2112"/>
      <c r="AA149" s="2112"/>
      <c r="AB149" s="2113"/>
      <c r="AC149" s="2102"/>
      <c r="AD149" s="2103"/>
      <c r="AE149" s="2104"/>
      <c r="AF149" s="1094" t="str">
        <f t="shared" si="19"/>
        <v/>
      </c>
      <c r="AG149" s="2"/>
      <c r="AH149" s="2"/>
      <c r="AI149" s="2"/>
      <c r="AJ149" s="2"/>
      <c r="AK149" s="1129">
        <v>28</v>
      </c>
      <c r="AL149" s="1102" t="str">
        <f t="shared" si="20"/>
        <v/>
      </c>
      <c r="AM149" s="1130">
        <f>IF(W149="",0,IF(V149=0,0,IF(OR(V150=0,V150=1),SUMIF(W$122:W149,W149,AC$122:AC149),0)))</f>
        <v>0</v>
      </c>
      <c r="AN149" s="696"/>
    </row>
    <row r="150" spans="1:40" ht="15.75" customHeight="1" x14ac:dyDescent="0.2">
      <c r="A150" s="2"/>
      <c r="B150" s="2"/>
      <c r="C150" s="1157">
        <v>29</v>
      </c>
      <c r="D150" s="2114"/>
      <c r="E150" s="2114"/>
      <c r="F150" s="2114"/>
      <c r="G150" s="2114"/>
      <c r="H150" s="2114"/>
      <c r="I150" s="2114"/>
      <c r="J150" s="2114"/>
      <c r="K150" s="2114"/>
      <c r="L150" s="2114"/>
      <c r="M150" s="2114"/>
      <c r="N150" s="2115"/>
      <c r="O150" s="2099"/>
      <c r="P150" s="2100"/>
      <c r="Q150" s="2101"/>
      <c r="R150" s="2108">
        <f>IF(O150&lt;&gt;0,N$119-SUM(O$122:O150),0)</f>
        <v>0</v>
      </c>
      <c r="S150" s="2109"/>
      <c r="T150" s="2110"/>
      <c r="U150" s="696"/>
      <c r="V150" s="1111">
        <f t="shared" si="17"/>
        <v>0</v>
      </c>
      <c r="W150" s="1177" t="str">
        <f t="shared" si="18"/>
        <v/>
      </c>
      <c r="X150" s="2111"/>
      <c r="Y150" s="2112"/>
      <c r="Z150" s="2112"/>
      <c r="AA150" s="2112"/>
      <c r="AB150" s="2113"/>
      <c r="AC150" s="2102"/>
      <c r="AD150" s="2103"/>
      <c r="AE150" s="2104"/>
      <c r="AF150" s="1094" t="str">
        <f t="shared" si="19"/>
        <v/>
      </c>
      <c r="AG150" s="2"/>
      <c r="AH150" s="2"/>
      <c r="AI150" s="2"/>
      <c r="AJ150" s="2"/>
      <c r="AK150" s="1129">
        <v>29</v>
      </c>
      <c r="AL150" s="1102" t="str">
        <f t="shared" si="20"/>
        <v/>
      </c>
      <c r="AM150" s="1130">
        <f>IF(W150="",0,IF(V150=0,0,IF(OR(V151=0,V151=1),SUMIF(W$122:W150,W150,AC$122:AC150),0)))</f>
        <v>0</v>
      </c>
      <c r="AN150" s="696"/>
    </row>
    <row r="151" spans="1:40" ht="15.75" customHeight="1" x14ac:dyDescent="0.2">
      <c r="A151" s="2"/>
      <c r="B151" s="2"/>
      <c r="C151" s="1157">
        <v>30</v>
      </c>
      <c r="D151" s="2114"/>
      <c r="E151" s="2114"/>
      <c r="F151" s="2114"/>
      <c r="G151" s="2114"/>
      <c r="H151" s="2114"/>
      <c r="I151" s="2114"/>
      <c r="J151" s="2114"/>
      <c r="K151" s="2114"/>
      <c r="L151" s="2114"/>
      <c r="M151" s="2114"/>
      <c r="N151" s="2115"/>
      <c r="O151" s="2099"/>
      <c r="P151" s="2100"/>
      <c r="Q151" s="2101"/>
      <c r="R151" s="2108">
        <f>IF(O151&lt;&gt;0,N$119-SUM(O$122:O151),0)</f>
        <v>0</v>
      </c>
      <c r="S151" s="2109"/>
      <c r="T151" s="2110"/>
      <c r="U151" s="696"/>
      <c r="V151" s="1111">
        <f t="shared" si="17"/>
        <v>0</v>
      </c>
      <c r="W151" s="1177" t="str">
        <f t="shared" si="18"/>
        <v/>
      </c>
      <c r="X151" s="2111"/>
      <c r="Y151" s="2112"/>
      <c r="Z151" s="2112"/>
      <c r="AA151" s="2112"/>
      <c r="AB151" s="2113"/>
      <c r="AC151" s="2102"/>
      <c r="AD151" s="2103"/>
      <c r="AE151" s="2104"/>
      <c r="AF151" s="1094" t="str">
        <f t="shared" si="19"/>
        <v/>
      </c>
      <c r="AG151" s="2"/>
      <c r="AH151" s="2"/>
      <c r="AI151" s="2"/>
      <c r="AJ151" s="2"/>
      <c r="AK151" s="1129">
        <v>30</v>
      </c>
      <c r="AL151" s="1102" t="str">
        <f t="shared" si="20"/>
        <v/>
      </c>
      <c r="AM151" s="1130">
        <f>IF(W151="",0,IF(V151=0,0,IF(OR(V152=0,V152=1),SUMIF(W$122:W151,W151,AC$122:AC151),0)))</f>
        <v>0</v>
      </c>
      <c r="AN151" s="696"/>
    </row>
    <row r="152" spans="1:40" ht="15.75" customHeight="1" x14ac:dyDescent="0.2">
      <c r="A152" s="2"/>
      <c r="B152" s="2"/>
      <c r="C152" s="1157">
        <v>31</v>
      </c>
      <c r="D152" s="2114"/>
      <c r="E152" s="2114"/>
      <c r="F152" s="2114"/>
      <c r="G152" s="2114"/>
      <c r="H152" s="2114"/>
      <c r="I152" s="2114"/>
      <c r="J152" s="2114"/>
      <c r="K152" s="2114"/>
      <c r="L152" s="2114"/>
      <c r="M152" s="2114"/>
      <c r="N152" s="2115"/>
      <c r="O152" s="2099"/>
      <c r="P152" s="2100"/>
      <c r="Q152" s="2101"/>
      <c r="R152" s="2108">
        <f>IF(O152&lt;&gt;0,N$119-SUM(O$122:O152),0)</f>
        <v>0</v>
      </c>
      <c r="S152" s="2109"/>
      <c r="T152" s="2110"/>
      <c r="U152" s="696"/>
      <c r="V152" s="1111">
        <f t="shared" si="17"/>
        <v>0</v>
      </c>
      <c r="W152" s="1177" t="str">
        <f t="shared" si="18"/>
        <v/>
      </c>
      <c r="X152" s="2111"/>
      <c r="Y152" s="2112"/>
      <c r="Z152" s="2112"/>
      <c r="AA152" s="2112"/>
      <c r="AB152" s="2113"/>
      <c r="AC152" s="2102"/>
      <c r="AD152" s="2103"/>
      <c r="AE152" s="2104"/>
      <c r="AF152" s="1094" t="str">
        <f t="shared" si="19"/>
        <v/>
      </c>
      <c r="AG152" s="2"/>
      <c r="AH152" s="2"/>
      <c r="AI152" s="2"/>
      <c r="AJ152" s="2"/>
      <c r="AK152" s="1129">
        <v>31</v>
      </c>
      <c r="AL152" s="1102" t="str">
        <f t="shared" si="20"/>
        <v/>
      </c>
      <c r="AM152" s="1130">
        <f>IF(W152="",0,IF(V152=0,0,IF(OR(V153=0,V153=1),SUMIF(W$122:W152,W152,AC$122:AC152),0)))</f>
        <v>0</v>
      </c>
      <c r="AN152" s="696"/>
    </row>
    <row r="153" spans="1:40" ht="15.75" customHeight="1" x14ac:dyDescent="0.2">
      <c r="A153" s="2"/>
      <c r="B153" s="2"/>
      <c r="C153" s="1157">
        <v>32</v>
      </c>
      <c r="D153" s="2114"/>
      <c r="E153" s="2114"/>
      <c r="F153" s="2114"/>
      <c r="G153" s="2114"/>
      <c r="H153" s="2114"/>
      <c r="I153" s="2114"/>
      <c r="J153" s="2114"/>
      <c r="K153" s="2114"/>
      <c r="L153" s="2114"/>
      <c r="M153" s="2114"/>
      <c r="N153" s="2115"/>
      <c r="O153" s="2099"/>
      <c r="P153" s="2100"/>
      <c r="Q153" s="2101"/>
      <c r="R153" s="2108">
        <f>IF(O153&lt;&gt;0,N$119-SUM(O$122:O153),0)</f>
        <v>0</v>
      </c>
      <c r="S153" s="2109"/>
      <c r="T153" s="2110"/>
      <c r="U153" s="696"/>
      <c r="V153" s="1111">
        <f t="shared" si="17"/>
        <v>0</v>
      </c>
      <c r="W153" s="1177" t="str">
        <f t="shared" si="18"/>
        <v/>
      </c>
      <c r="X153" s="2111"/>
      <c r="Y153" s="2112"/>
      <c r="Z153" s="2112"/>
      <c r="AA153" s="2112"/>
      <c r="AB153" s="2113"/>
      <c r="AC153" s="2102"/>
      <c r="AD153" s="2103"/>
      <c r="AE153" s="2104"/>
      <c r="AF153" s="1094" t="str">
        <f t="shared" si="19"/>
        <v/>
      </c>
      <c r="AG153" s="2"/>
      <c r="AH153" s="2"/>
      <c r="AI153" s="2"/>
      <c r="AJ153" s="2"/>
      <c r="AK153" s="1129">
        <v>32</v>
      </c>
      <c r="AL153" s="1102" t="str">
        <f t="shared" si="20"/>
        <v/>
      </c>
      <c r="AM153" s="1130">
        <f>IF(W153="",0,IF(V153=0,0,IF(OR(V154=0,V154=1),SUMIF(W$122:W153,W153,AC$122:AC153),0)))</f>
        <v>0</v>
      </c>
      <c r="AN153" s="696"/>
    </row>
    <row r="154" spans="1:40" ht="15.75" customHeight="1" x14ac:dyDescent="0.2">
      <c r="A154" s="2"/>
      <c r="B154" s="2"/>
      <c r="C154" s="1157">
        <v>33</v>
      </c>
      <c r="D154" s="2114"/>
      <c r="E154" s="2114"/>
      <c r="F154" s="2114"/>
      <c r="G154" s="2114"/>
      <c r="H154" s="2114"/>
      <c r="I154" s="2114"/>
      <c r="J154" s="2114"/>
      <c r="K154" s="2114"/>
      <c r="L154" s="2114"/>
      <c r="M154" s="2114"/>
      <c r="N154" s="2115"/>
      <c r="O154" s="2099"/>
      <c r="P154" s="2100"/>
      <c r="Q154" s="2101"/>
      <c r="R154" s="2108">
        <f>IF(O154&lt;&gt;0,N$119-SUM(O$122:O154),0)</f>
        <v>0</v>
      </c>
      <c r="S154" s="2109"/>
      <c r="T154" s="2110"/>
      <c r="U154" s="696"/>
      <c r="V154" s="1111">
        <f t="shared" si="17"/>
        <v>0</v>
      </c>
      <c r="W154" s="1177" t="str">
        <f t="shared" si="18"/>
        <v/>
      </c>
      <c r="X154" s="2111"/>
      <c r="Y154" s="2112"/>
      <c r="Z154" s="2112"/>
      <c r="AA154" s="2112"/>
      <c r="AB154" s="2113"/>
      <c r="AC154" s="2102"/>
      <c r="AD154" s="2103"/>
      <c r="AE154" s="2104"/>
      <c r="AF154" s="1094" t="str">
        <f t="shared" si="19"/>
        <v/>
      </c>
      <c r="AG154" s="2"/>
      <c r="AH154" s="2"/>
      <c r="AI154" s="2"/>
      <c r="AJ154" s="2"/>
      <c r="AK154" s="1129">
        <v>33</v>
      </c>
      <c r="AL154" s="1102" t="str">
        <f t="shared" si="20"/>
        <v/>
      </c>
      <c r="AM154" s="1130">
        <f>IF(W154="",0,IF(V154=0,0,IF(OR(V155=0,V155=1),SUMIF(W$122:W154,W154,AC$122:AC154),0)))</f>
        <v>0</v>
      </c>
      <c r="AN154" s="696"/>
    </row>
    <row r="155" spans="1:40" ht="15.75" customHeight="1" x14ac:dyDescent="0.2">
      <c r="A155" s="2"/>
      <c r="B155" s="2"/>
      <c r="C155" s="1157">
        <v>34</v>
      </c>
      <c r="D155" s="2114"/>
      <c r="E155" s="2114"/>
      <c r="F155" s="2114"/>
      <c r="G155" s="2114"/>
      <c r="H155" s="2114"/>
      <c r="I155" s="2114"/>
      <c r="J155" s="2114"/>
      <c r="K155" s="2114"/>
      <c r="L155" s="2114"/>
      <c r="M155" s="2114"/>
      <c r="N155" s="2115"/>
      <c r="O155" s="2099"/>
      <c r="P155" s="2100"/>
      <c r="Q155" s="2101"/>
      <c r="R155" s="2108">
        <f>IF(O155&lt;&gt;0,N$119-SUM(O$122:O155),0)</f>
        <v>0</v>
      </c>
      <c r="S155" s="2109"/>
      <c r="T155" s="2110"/>
      <c r="U155" s="696"/>
      <c r="V155" s="1111">
        <f t="shared" si="17"/>
        <v>0</v>
      </c>
      <c r="W155" s="1177" t="str">
        <f t="shared" si="18"/>
        <v/>
      </c>
      <c r="X155" s="2111"/>
      <c r="Y155" s="2112"/>
      <c r="Z155" s="2112"/>
      <c r="AA155" s="2112"/>
      <c r="AB155" s="2113"/>
      <c r="AC155" s="2102"/>
      <c r="AD155" s="2103"/>
      <c r="AE155" s="2104"/>
      <c r="AF155" s="1094" t="str">
        <f t="shared" si="19"/>
        <v/>
      </c>
      <c r="AG155" s="2"/>
      <c r="AH155" s="2"/>
      <c r="AI155" s="2"/>
      <c r="AJ155" s="2"/>
      <c r="AK155" s="1129">
        <v>34</v>
      </c>
      <c r="AL155" s="1102" t="str">
        <f t="shared" si="20"/>
        <v/>
      </c>
      <c r="AM155" s="1130">
        <f>IF(W155="",0,IF(V155=0,0,IF(OR(V156=0,V156=1),SUMIF(W$122:W155,W155,AC$122:AC155),0)))</f>
        <v>0</v>
      </c>
      <c r="AN155" s="696"/>
    </row>
    <row r="156" spans="1:40" ht="15.75" customHeight="1" x14ac:dyDescent="0.2">
      <c r="A156" s="2"/>
      <c r="B156" s="2"/>
      <c r="C156" s="1157">
        <v>35</v>
      </c>
      <c r="D156" s="2114"/>
      <c r="E156" s="2114"/>
      <c r="F156" s="2114"/>
      <c r="G156" s="2114"/>
      <c r="H156" s="2114"/>
      <c r="I156" s="2114"/>
      <c r="J156" s="2114"/>
      <c r="K156" s="2114"/>
      <c r="L156" s="2114"/>
      <c r="M156" s="2114"/>
      <c r="N156" s="2115"/>
      <c r="O156" s="2099"/>
      <c r="P156" s="2100"/>
      <c r="Q156" s="2101"/>
      <c r="R156" s="2108">
        <f>IF(O156&lt;&gt;0,N$119-SUM(O$122:O156),0)</f>
        <v>0</v>
      </c>
      <c r="S156" s="2109"/>
      <c r="T156" s="2110"/>
      <c r="U156" s="696"/>
      <c r="V156" s="1111">
        <f t="shared" si="17"/>
        <v>0</v>
      </c>
      <c r="W156" s="1177" t="str">
        <f t="shared" si="18"/>
        <v/>
      </c>
      <c r="X156" s="2111"/>
      <c r="Y156" s="2112"/>
      <c r="Z156" s="2112"/>
      <c r="AA156" s="2112"/>
      <c r="AB156" s="2113"/>
      <c r="AC156" s="2102"/>
      <c r="AD156" s="2103"/>
      <c r="AE156" s="2104"/>
      <c r="AF156" s="1094" t="str">
        <f t="shared" si="19"/>
        <v/>
      </c>
      <c r="AG156" s="2"/>
      <c r="AH156" s="2"/>
      <c r="AI156" s="2"/>
      <c r="AJ156" s="2"/>
      <c r="AK156" s="1129">
        <v>35</v>
      </c>
      <c r="AL156" s="1102" t="str">
        <f t="shared" si="20"/>
        <v/>
      </c>
      <c r="AM156" s="1130">
        <f>IF(W156="",0,IF(V156=0,0,IF(OR(V157=0,V157=1),SUMIF(W$122:W156,W156,AC$122:AC156),0)))</f>
        <v>0</v>
      </c>
      <c r="AN156" s="696"/>
    </row>
    <row r="157" spans="1:40" ht="15.75" customHeight="1" x14ac:dyDescent="0.2">
      <c r="A157" s="2"/>
      <c r="B157" s="2"/>
      <c r="C157" s="1157">
        <v>36</v>
      </c>
      <c r="D157" s="2114"/>
      <c r="E157" s="2114"/>
      <c r="F157" s="2114"/>
      <c r="G157" s="2114"/>
      <c r="H157" s="2114"/>
      <c r="I157" s="2114"/>
      <c r="J157" s="2114"/>
      <c r="K157" s="2114"/>
      <c r="L157" s="2114"/>
      <c r="M157" s="2114"/>
      <c r="N157" s="2115"/>
      <c r="O157" s="2099"/>
      <c r="P157" s="2100"/>
      <c r="Q157" s="2101"/>
      <c r="R157" s="2108">
        <f>IF(O157&lt;&gt;0,N$119-SUM(O$122:O157),0)</f>
        <v>0</v>
      </c>
      <c r="S157" s="2109"/>
      <c r="T157" s="2110"/>
      <c r="U157" s="696"/>
      <c r="V157" s="1111">
        <f t="shared" si="17"/>
        <v>0</v>
      </c>
      <c r="W157" s="1177" t="str">
        <f t="shared" si="18"/>
        <v/>
      </c>
      <c r="X157" s="2111"/>
      <c r="Y157" s="2112"/>
      <c r="Z157" s="2112"/>
      <c r="AA157" s="2112"/>
      <c r="AB157" s="2113"/>
      <c r="AC157" s="2102"/>
      <c r="AD157" s="2103"/>
      <c r="AE157" s="2104"/>
      <c r="AF157" s="1094" t="str">
        <f t="shared" si="19"/>
        <v/>
      </c>
      <c r="AG157" s="2"/>
      <c r="AH157" s="2"/>
      <c r="AI157" s="2"/>
      <c r="AJ157" s="2"/>
      <c r="AK157" s="1129">
        <v>36</v>
      </c>
      <c r="AL157" s="1102" t="str">
        <f t="shared" si="20"/>
        <v/>
      </c>
      <c r="AM157" s="1130">
        <f>IF(W157="",0,IF(V157=0,0,IF(OR(V158=0,V158=1),SUMIF(W$122:W157,W157,AC$122:AC157),0)))</f>
        <v>0</v>
      </c>
      <c r="AN157" s="696"/>
    </row>
    <row r="158" spans="1:40" ht="15.75" customHeight="1" x14ac:dyDescent="0.2">
      <c r="A158" s="2"/>
      <c r="B158" s="2"/>
      <c r="C158" s="1157">
        <v>37</v>
      </c>
      <c r="D158" s="2114"/>
      <c r="E158" s="2114"/>
      <c r="F158" s="2114"/>
      <c r="G158" s="2114"/>
      <c r="H158" s="2114"/>
      <c r="I158" s="2114"/>
      <c r="J158" s="2114"/>
      <c r="K158" s="2114"/>
      <c r="L158" s="2114"/>
      <c r="M158" s="2114"/>
      <c r="N158" s="2115"/>
      <c r="O158" s="2099"/>
      <c r="P158" s="2100"/>
      <c r="Q158" s="2101"/>
      <c r="R158" s="2108">
        <f>IF(O158&lt;&gt;0,N$119-SUM(O$122:O158),0)</f>
        <v>0</v>
      </c>
      <c r="S158" s="2109"/>
      <c r="T158" s="2110"/>
      <c r="U158" s="696"/>
      <c r="V158" s="1111">
        <f t="shared" si="17"/>
        <v>0</v>
      </c>
      <c r="W158" s="1177" t="str">
        <f t="shared" si="18"/>
        <v/>
      </c>
      <c r="X158" s="2111"/>
      <c r="Y158" s="2112"/>
      <c r="Z158" s="2112"/>
      <c r="AA158" s="2112"/>
      <c r="AB158" s="2113"/>
      <c r="AC158" s="2102"/>
      <c r="AD158" s="2103"/>
      <c r="AE158" s="2104"/>
      <c r="AF158" s="1094" t="str">
        <f t="shared" si="19"/>
        <v/>
      </c>
      <c r="AG158" s="2"/>
      <c r="AH158" s="2"/>
      <c r="AI158" s="2"/>
      <c r="AJ158" s="2"/>
      <c r="AK158" s="1129">
        <v>37</v>
      </c>
      <c r="AL158" s="1102" t="str">
        <f t="shared" si="20"/>
        <v/>
      </c>
      <c r="AM158" s="1130">
        <f>IF(W158="",0,IF(V158=0,0,IF(OR(V159=0,V159=1),SUMIF(W$122:W158,W158,AC$122:AC158),0)))</f>
        <v>0</v>
      </c>
      <c r="AN158" s="696"/>
    </row>
    <row r="159" spans="1:40" ht="15.75" customHeight="1" x14ac:dyDescent="0.2">
      <c r="A159" s="2"/>
      <c r="B159" s="2"/>
      <c r="C159" s="1157">
        <v>38</v>
      </c>
      <c r="D159" s="2114"/>
      <c r="E159" s="2114"/>
      <c r="F159" s="2114"/>
      <c r="G159" s="2114"/>
      <c r="H159" s="2114"/>
      <c r="I159" s="2114"/>
      <c r="J159" s="2114"/>
      <c r="K159" s="2114"/>
      <c r="L159" s="2114"/>
      <c r="M159" s="2114"/>
      <c r="N159" s="2115"/>
      <c r="O159" s="2099"/>
      <c r="P159" s="2100"/>
      <c r="Q159" s="2101"/>
      <c r="R159" s="2108">
        <f>IF(O159&lt;&gt;0,N$119-SUM(O$122:O159),0)</f>
        <v>0</v>
      </c>
      <c r="S159" s="2109"/>
      <c r="T159" s="2110"/>
      <c r="U159" s="696"/>
      <c r="V159" s="1111">
        <f t="shared" si="17"/>
        <v>0</v>
      </c>
      <c r="W159" s="1177" t="str">
        <f t="shared" si="18"/>
        <v/>
      </c>
      <c r="X159" s="2111"/>
      <c r="Y159" s="2112"/>
      <c r="Z159" s="2112"/>
      <c r="AA159" s="2112"/>
      <c r="AB159" s="2113"/>
      <c r="AC159" s="2102"/>
      <c r="AD159" s="2103"/>
      <c r="AE159" s="2104"/>
      <c r="AF159" s="1094" t="str">
        <f t="shared" si="19"/>
        <v/>
      </c>
      <c r="AG159" s="2"/>
      <c r="AH159" s="2"/>
      <c r="AI159" s="2"/>
      <c r="AJ159" s="2"/>
      <c r="AK159" s="1129">
        <v>38</v>
      </c>
      <c r="AL159" s="1102" t="str">
        <f t="shared" si="20"/>
        <v/>
      </c>
      <c r="AM159" s="1130">
        <f>IF(W159="",0,IF(V159=0,0,IF(OR(V160=0,V160=1),SUMIF(W$122:W159,W159,AC$122:AC159),0)))</f>
        <v>0</v>
      </c>
      <c r="AN159" s="696"/>
    </row>
    <row r="160" spans="1:40" ht="15.75" customHeight="1" x14ac:dyDescent="0.2">
      <c r="A160" s="2"/>
      <c r="B160" s="2"/>
      <c r="C160" s="1157">
        <v>39</v>
      </c>
      <c r="D160" s="2114"/>
      <c r="E160" s="2114"/>
      <c r="F160" s="2114"/>
      <c r="G160" s="2114"/>
      <c r="H160" s="2114"/>
      <c r="I160" s="2114"/>
      <c r="J160" s="2114"/>
      <c r="K160" s="2114"/>
      <c r="L160" s="2114"/>
      <c r="M160" s="2114"/>
      <c r="N160" s="2115"/>
      <c r="O160" s="2099"/>
      <c r="P160" s="2100"/>
      <c r="Q160" s="2101"/>
      <c r="R160" s="2108">
        <f>IF(O160&lt;&gt;0,N$119-SUM(O$122:O160),0)</f>
        <v>0</v>
      </c>
      <c r="S160" s="2109"/>
      <c r="T160" s="2110"/>
      <c r="U160" s="696"/>
      <c r="V160" s="1111">
        <f t="shared" si="17"/>
        <v>0</v>
      </c>
      <c r="W160" s="1177" t="str">
        <f t="shared" si="18"/>
        <v/>
      </c>
      <c r="X160" s="2111"/>
      <c r="Y160" s="2112"/>
      <c r="Z160" s="2112"/>
      <c r="AA160" s="2112"/>
      <c r="AB160" s="2113"/>
      <c r="AC160" s="2102"/>
      <c r="AD160" s="2103"/>
      <c r="AE160" s="2104"/>
      <c r="AF160" s="1094" t="str">
        <f t="shared" si="19"/>
        <v/>
      </c>
      <c r="AG160" s="2"/>
      <c r="AH160" s="2"/>
      <c r="AI160" s="2"/>
      <c r="AJ160" s="2"/>
      <c r="AK160" s="1129">
        <v>39</v>
      </c>
      <c r="AL160" s="1102" t="str">
        <f t="shared" si="20"/>
        <v/>
      </c>
      <c r="AM160" s="1130">
        <f>IF(W160="",0,IF(V160=0,0,IF(OR(V161=0,V161=1),SUMIF(W$122:W160,W160,AC$122:AC160),0)))</f>
        <v>0</v>
      </c>
      <c r="AN160" s="696"/>
    </row>
    <row r="161" spans="1:103" ht="15.75" customHeight="1" x14ac:dyDescent="0.2">
      <c r="A161" s="2"/>
      <c r="B161" s="2"/>
      <c r="C161" s="1157">
        <v>40</v>
      </c>
      <c r="D161" s="2114"/>
      <c r="E161" s="2114"/>
      <c r="F161" s="2114"/>
      <c r="G161" s="2114"/>
      <c r="H161" s="2114"/>
      <c r="I161" s="2114"/>
      <c r="J161" s="2114"/>
      <c r="K161" s="2114"/>
      <c r="L161" s="2114"/>
      <c r="M161" s="2114"/>
      <c r="N161" s="2115"/>
      <c r="O161" s="2099"/>
      <c r="P161" s="2100"/>
      <c r="Q161" s="2101"/>
      <c r="R161" s="2108">
        <f>IF(O161&lt;&gt;0,N$119-SUM(O$122:O161),0)</f>
        <v>0</v>
      </c>
      <c r="S161" s="2109"/>
      <c r="T161" s="2110"/>
      <c r="U161" s="696"/>
      <c r="V161" s="1111">
        <f t="shared" si="17"/>
        <v>0</v>
      </c>
      <c r="W161" s="1177" t="str">
        <f t="shared" si="18"/>
        <v/>
      </c>
      <c r="X161" s="2111"/>
      <c r="Y161" s="2112"/>
      <c r="Z161" s="2112"/>
      <c r="AA161" s="2112"/>
      <c r="AB161" s="2113"/>
      <c r="AC161" s="2102"/>
      <c r="AD161" s="2103"/>
      <c r="AE161" s="2104"/>
      <c r="AF161" s="1094" t="str">
        <f t="shared" si="19"/>
        <v/>
      </c>
      <c r="AG161" s="2"/>
      <c r="AH161" s="2"/>
      <c r="AI161" s="2"/>
      <c r="AJ161" s="2"/>
      <c r="AK161" s="1129">
        <v>40</v>
      </c>
      <c r="AL161" s="1102" t="str">
        <f t="shared" si="20"/>
        <v/>
      </c>
      <c r="AM161" s="1130">
        <f>IF(W161="",0,IF(V161=0,0,IF(OR(V162=0,V162=1),SUMIF(W$122:W161,W161,AC$122:AC161),0)))</f>
        <v>0</v>
      </c>
      <c r="AN161" s="696"/>
    </row>
    <row r="162" spans="1:103" ht="15.75" customHeight="1" x14ac:dyDescent="0.2">
      <c r="A162" s="2"/>
      <c r="B162" s="2"/>
      <c r="C162" s="1157">
        <v>41</v>
      </c>
      <c r="D162" s="2114"/>
      <c r="E162" s="2114"/>
      <c r="F162" s="2114"/>
      <c r="G162" s="2114"/>
      <c r="H162" s="2114"/>
      <c r="I162" s="2114"/>
      <c r="J162" s="2114"/>
      <c r="K162" s="2114"/>
      <c r="L162" s="2114"/>
      <c r="M162" s="2114"/>
      <c r="N162" s="2115"/>
      <c r="O162" s="2099"/>
      <c r="P162" s="2100"/>
      <c r="Q162" s="2101"/>
      <c r="R162" s="2108">
        <f>IF(O162&lt;&gt;0,N$119-SUM(O$122:O162),0)</f>
        <v>0</v>
      </c>
      <c r="S162" s="2109"/>
      <c r="T162" s="2110"/>
      <c r="U162" s="696"/>
      <c r="V162" s="1111">
        <f t="shared" si="17"/>
        <v>0</v>
      </c>
      <c r="W162" s="1177" t="str">
        <f t="shared" si="18"/>
        <v/>
      </c>
      <c r="X162" s="2111"/>
      <c r="Y162" s="2112"/>
      <c r="Z162" s="2112"/>
      <c r="AA162" s="2112"/>
      <c r="AB162" s="2113"/>
      <c r="AC162" s="2102"/>
      <c r="AD162" s="2103"/>
      <c r="AE162" s="2104"/>
      <c r="AF162" s="1094" t="str">
        <f t="shared" si="19"/>
        <v/>
      </c>
      <c r="AG162" s="2"/>
      <c r="AH162" s="2"/>
      <c r="AI162" s="2"/>
      <c r="AJ162" s="2"/>
      <c r="AK162" s="1129">
        <v>41</v>
      </c>
      <c r="AL162" s="1102" t="str">
        <f t="shared" si="20"/>
        <v/>
      </c>
      <c r="AM162" s="1130">
        <f>IF(W162="",0,IF(V162=0,0,IF(OR(V163=0,V163=1),SUMIF(W$122:W162,W162,AC$122:AC162),0)))</f>
        <v>0</v>
      </c>
      <c r="AN162" s="696"/>
    </row>
    <row r="163" spans="1:103" ht="15.75" customHeight="1" x14ac:dyDescent="0.2">
      <c r="A163" s="2"/>
      <c r="B163" s="2"/>
      <c r="C163" s="1157">
        <v>42</v>
      </c>
      <c r="D163" s="2114"/>
      <c r="E163" s="2114"/>
      <c r="F163" s="2114"/>
      <c r="G163" s="2114"/>
      <c r="H163" s="2114"/>
      <c r="I163" s="2114"/>
      <c r="J163" s="2114"/>
      <c r="K163" s="2114"/>
      <c r="L163" s="2114"/>
      <c r="M163" s="2114"/>
      <c r="N163" s="2115"/>
      <c r="O163" s="2099"/>
      <c r="P163" s="2100"/>
      <c r="Q163" s="2101"/>
      <c r="R163" s="2108">
        <f>IF(O163&lt;&gt;0,N$119-SUM(O$122:O163),0)</f>
        <v>0</v>
      </c>
      <c r="S163" s="2109"/>
      <c r="T163" s="2110"/>
      <c r="U163" s="696"/>
      <c r="V163" s="1111">
        <f t="shared" si="17"/>
        <v>0</v>
      </c>
      <c r="W163" s="1177" t="str">
        <f t="shared" si="18"/>
        <v/>
      </c>
      <c r="X163" s="2111"/>
      <c r="Y163" s="2112"/>
      <c r="Z163" s="2112"/>
      <c r="AA163" s="2112"/>
      <c r="AB163" s="2113"/>
      <c r="AC163" s="2102"/>
      <c r="AD163" s="2103"/>
      <c r="AE163" s="2104"/>
      <c r="AF163" s="1094" t="str">
        <f t="shared" si="19"/>
        <v/>
      </c>
      <c r="AG163" s="2"/>
      <c r="AH163" s="2"/>
      <c r="AI163" s="2"/>
      <c r="AJ163" s="2"/>
      <c r="AK163" s="1129">
        <v>42</v>
      </c>
      <c r="AL163" s="1102" t="str">
        <f t="shared" si="20"/>
        <v/>
      </c>
      <c r="AM163" s="1130">
        <f>IF(W163="",0,IF(V163=0,0,IF(OR(V164=0,V164=1),SUMIF(W$122:W163,W163,AC$122:AC163),0)))</f>
        <v>0</v>
      </c>
      <c r="AN163" s="696"/>
    </row>
    <row r="164" spans="1:103" ht="15.75" customHeight="1" x14ac:dyDescent="0.2">
      <c r="A164" s="2"/>
      <c r="B164" s="2"/>
      <c r="C164" s="1157">
        <v>43</v>
      </c>
      <c r="D164" s="2114"/>
      <c r="E164" s="2114"/>
      <c r="F164" s="2114"/>
      <c r="G164" s="2114"/>
      <c r="H164" s="2114"/>
      <c r="I164" s="2114"/>
      <c r="J164" s="2114"/>
      <c r="K164" s="2114"/>
      <c r="L164" s="2114"/>
      <c r="M164" s="2114"/>
      <c r="N164" s="2115"/>
      <c r="O164" s="2099"/>
      <c r="P164" s="2100"/>
      <c r="Q164" s="2101"/>
      <c r="R164" s="2108">
        <f>IF(O164&lt;&gt;0,N$119-SUM(O$122:O164),0)</f>
        <v>0</v>
      </c>
      <c r="S164" s="2109"/>
      <c r="T164" s="2110"/>
      <c r="U164" s="696"/>
      <c r="V164" s="1111">
        <f t="shared" si="17"/>
        <v>0</v>
      </c>
      <c r="W164" s="1177" t="str">
        <f t="shared" si="18"/>
        <v/>
      </c>
      <c r="X164" s="2111"/>
      <c r="Y164" s="2112"/>
      <c r="Z164" s="2112"/>
      <c r="AA164" s="2112"/>
      <c r="AB164" s="2113"/>
      <c r="AC164" s="2102"/>
      <c r="AD164" s="2103"/>
      <c r="AE164" s="2104"/>
      <c r="AF164" s="1094" t="str">
        <f t="shared" si="19"/>
        <v/>
      </c>
      <c r="AG164" s="2"/>
      <c r="AH164" s="2"/>
      <c r="AI164" s="2"/>
      <c r="AJ164" s="2"/>
      <c r="AK164" s="1129">
        <v>43</v>
      </c>
      <c r="AL164" s="1102" t="str">
        <f t="shared" si="20"/>
        <v/>
      </c>
      <c r="AM164" s="1130">
        <f>IF(W164="",0,IF(V164=0,0,IF(OR(V165=0,V165=1),SUMIF(W$122:W164,W164,AC$122:AC164),0)))</f>
        <v>0</v>
      </c>
      <c r="AN164" s="696"/>
    </row>
    <row r="165" spans="1:103" ht="15.75" customHeight="1" x14ac:dyDescent="0.2">
      <c r="A165" s="2"/>
      <c r="B165" s="2"/>
      <c r="C165" s="1157">
        <v>44</v>
      </c>
      <c r="D165" s="2114"/>
      <c r="E165" s="2114"/>
      <c r="F165" s="2114"/>
      <c r="G165" s="2114"/>
      <c r="H165" s="2114"/>
      <c r="I165" s="2114"/>
      <c r="J165" s="2114"/>
      <c r="K165" s="2114"/>
      <c r="L165" s="2114"/>
      <c r="M165" s="2114"/>
      <c r="N165" s="2115"/>
      <c r="O165" s="2099"/>
      <c r="P165" s="2100"/>
      <c r="Q165" s="2101"/>
      <c r="R165" s="2108">
        <f>IF(O165&lt;&gt;0,N$119-SUM(O$122:O165),0)</f>
        <v>0</v>
      </c>
      <c r="S165" s="2109"/>
      <c r="T165" s="2110"/>
      <c r="U165" s="696"/>
      <c r="V165" s="1111">
        <f t="shared" si="17"/>
        <v>0</v>
      </c>
      <c r="W165" s="1177" t="str">
        <f t="shared" si="18"/>
        <v/>
      </c>
      <c r="X165" s="2111"/>
      <c r="Y165" s="2112"/>
      <c r="Z165" s="2112"/>
      <c r="AA165" s="2112"/>
      <c r="AB165" s="2113"/>
      <c r="AC165" s="2102"/>
      <c r="AD165" s="2103"/>
      <c r="AE165" s="2104"/>
      <c r="AF165" s="1094" t="str">
        <f t="shared" si="19"/>
        <v/>
      </c>
      <c r="AG165" s="2"/>
      <c r="AH165" s="2"/>
      <c r="AI165" s="2"/>
      <c r="AJ165" s="2"/>
      <c r="AK165" s="1129">
        <v>44</v>
      </c>
      <c r="AL165" s="1102" t="str">
        <f t="shared" si="20"/>
        <v/>
      </c>
      <c r="AM165" s="1130">
        <f>IF(W165="",0,IF(V165=0,0,IF(OR(V166=0,V166=1),SUMIF(W$122:W165,W165,AC$122:AC165),0)))</f>
        <v>0</v>
      </c>
      <c r="AN165" s="696"/>
    </row>
    <row r="166" spans="1:103" ht="15.75" customHeight="1" x14ac:dyDescent="0.2">
      <c r="A166" s="2"/>
      <c r="B166" s="2"/>
      <c r="C166" s="1157">
        <v>45</v>
      </c>
      <c r="D166" s="2114"/>
      <c r="E166" s="2114"/>
      <c r="F166" s="2114"/>
      <c r="G166" s="2114"/>
      <c r="H166" s="2114"/>
      <c r="I166" s="2114"/>
      <c r="J166" s="2114"/>
      <c r="K166" s="2114"/>
      <c r="L166" s="2114"/>
      <c r="M166" s="2114"/>
      <c r="N166" s="2115"/>
      <c r="O166" s="2099"/>
      <c r="P166" s="2100"/>
      <c r="Q166" s="2101"/>
      <c r="R166" s="2108">
        <f>IF(O166&lt;&gt;0,N$119-SUM(O$122:O166),0)</f>
        <v>0</v>
      </c>
      <c r="S166" s="2109"/>
      <c r="T166" s="2110"/>
      <c r="U166" s="696"/>
      <c r="V166" s="1111">
        <f t="shared" si="17"/>
        <v>0</v>
      </c>
      <c r="W166" s="1177" t="str">
        <f t="shared" si="18"/>
        <v/>
      </c>
      <c r="X166" s="2111"/>
      <c r="Y166" s="2112"/>
      <c r="Z166" s="2112"/>
      <c r="AA166" s="2112"/>
      <c r="AB166" s="2113"/>
      <c r="AC166" s="2102"/>
      <c r="AD166" s="2103"/>
      <c r="AE166" s="2104"/>
      <c r="AF166" s="1094" t="str">
        <f t="shared" si="19"/>
        <v/>
      </c>
      <c r="AG166" s="2"/>
      <c r="AH166" s="2"/>
      <c r="AI166" s="2"/>
      <c r="AJ166" s="2"/>
      <c r="AK166" s="1129">
        <v>45</v>
      </c>
      <c r="AL166" s="1102" t="str">
        <f t="shared" si="20"/>
        <v/>
      </c>
      <c r="AM166" s="1130">
        <f>IF(W166="",0,IF(V166=0,0,IF(OR(V167=0,V167=1),SUMIF(W$122:W166,W166,AC$122:AC166),0)))</f>
        <v>0</v>
      </c>
      <c r="AN166" s="696"/>
    </row>
    <row r="167" spans="1:103" ht="15.75" customHeight="1" x14ac:dyDescent="0.2">
      <c r="A167" s="2"/>
      <c r="B167" s="2"/>
      <c r="C167" s="1157">
        <v>46</v>
      </c>
      <c r="D167" s="2114"/>
      <c r="E167" s="2114"/>
      <c r="F167" s="2114"/>
      <c r="G167" s="2114"/>
      <c r="H167" s="2114"/>
      <c r="I167" s="2114"/>
      <c r="J167" s="2114"/>
      <c r="K167" s="2114"/>
      <c r="L167" s="2114"/>
      <c r="M167" s="2114"/>
      <c r="N167" s="2115"/>
      <c r="O167" s="2099"/>
      <c r="P167" s="2100"/>
      <c r="Q167" s="2101"/>
      <c r="R167" s="2108">
        <f>IF(O167&lt;&gt;0,N$119-SUM(O$122:O167),0)</f>
        <v>0</v>
      </c>
      <c r="S167" s="2109"/>
      <c r="T167" s="2110"/>
      <c r="U167" s="696"/>
      <c r="V167" s="1111">
        <f t="shared" si="17"/>
        <v>0</v>
      </c>
      <c r="W167" s="1177" t="str">
        <f t="shared" si="18"/>
        <v/>
      </c>
      <c r="X167" s="2111"/>
      <c r="Y167" s="2112"/>
      <c r="Z167" s="2112"/>
      <c r="AA167" s="2112"/>
      <c r="AB167" s="2113"/>
      <c r="AC167" s="2102"/>
      <c r="AD167" s="2103"/>
      <c r="AE167" s="2104"/>
      <c r="AF167" s="1094" t="str">
        <f t="shared" si="19"/>
        <v/>
      </c>
      <c r="AG167" s="2"/>
      <c r="AH167" s="2"/>
      <c r="AI167" s="2"/>
      <c r="AJ167" s="2"/>
      <c r="AK167" s="1129">
        <v>46</v>
      </c>
      <c r="AL167" s="1102" t="str">
        <f t="shared" si="20"/>
        <v/>
      </c>
      <c r="AM167" s="1130">
        <f>IF(W167="",0,IF(V167=0,0,IF(OR(V168=0,V168=1),SUMIF(W$122:W167,W167,AC$122:AC167),0)))</f>
        <v>0</v>
      </c>
      <c r="AN167" s="696"/>
    </row>
    <row r="168" spans="1:103" ht="15.75" customHeight="1" x14ac:dyDescent="0.2">
      <c r="A168" s="2"/>
      <c r="B168" s="2"/>
      <c r="C168" s="1157">
        <v>47</v>
      </c>
      <c r="D168" s="2114"/>
      <c r="E168" s="2114"/>
      <c r="F168" s="2114"/>
      <c r="G168" s="2114"/>
      <c r="H168" s="2114"/>
      <c r="I168" s="2114"/>
      <c r="J168" s="2114"/>
      <c r="K168" s="2114"/>
      <c r="L168" s="2114"/>
      <c r="M168" s="2114"/>
      <c r="N168" s="2115"/>
      <c r="O168" s="2099"/>
      <c r="P168" s="2100"/>
      <c r="Q168" s="2101"/>
      <c r="R168" s="2108">
        <f>IF(O168&lt;&gt;0,N$119-SUM(O$122:O168),0)</f>
        <v>0</v>
      </c>
      <c r="S168" s="2109"/>
      <c r="T168" s="2110"/>
      <c r="U168" s="696"/>
      <c r="V168" s="1111">
        <f t="shared" si="17"/>
        <v>0</v>
      </c>
      <c r="W168" s="1177" t="str">
        <f t="shared" si="18"/>
        <v/>
      </c>
      <c r="X168" s="2111"/>
      <c r="Y168" s="2112"/>
      <c r="Z168" s="2112"/>
      <c r="AA168" s="2112"/>
      <c r="AB168" s="2113"/>
      <c r="AC168" s="2102"/>
      <c r="AD168" s="2103"/>
      <c r="AE168" s="2104"/>
      <c r="AF168" s="1094" t="str">
        <f t="shared" si="19"/>
        <v/>
      </c>
      <c r="AG168" s="2"/>
      <c r="AH168" s="2"/>
      <c r="AI168" s="2"/>
      <c r="AJ168" s="2"/>
      <c r="AK168" s="1129">
        <v>47</v>
      </c>
      <c r="AL168" s="1102" t="str">
        <f t="shared" si="20"/>
        <v/>
      </c>
      <c r="AM168" s="1130">
        <f>IF(W168="",0,IF(V168=0,0,IF(OR(V169=0,V169=1),SUMIF(W$122:W168,W168,AC$122:AC168),0)))</f>
        <v>0</v>
      </c>
      <c r="AN168" s="696"/>
    </row>
    <row r="169" spans="1:103" ht="15.75" customHeight="1" x14ac:dyDescent="0.2">
      <c r="A169" s="2"/>
      <c r="B169" s="2"/>
      <c r="C169" s="1157">
        <v>48</v>
      </c>
      <c r="D169" s="2114"/>
      <c r="E169" s="2114"/>
      <c r="F169" s="2114"/>
      <c r="G169" s="2114"/>
      <c r="H169" s="2114"/>
      <c r="I169" s="2114"/>
      <c r="J169" s="2114"/>
      <c r="K169" s="2114"/>
      <c r="L169" s="2114"/>
      <c r="M169" s="2114"/>
      <c r="N169" s="2115"/>
      <c r="O169" s="2099"/>
      <c r="P169" s="2100"/>
      <c r="Q169" s="2101"/>
      <c r="R169" s="2108">
        <f>IF(O169&lt;&gt;0,N$119-SUM(O$122:O169),0)</f>
        <v>0</v>
      </c>
      <c r="S169" s="2109"/>
      <c r="T169" s="2110"/>
      <c r="U169" s="1112"/>
      <c r="V169" s="1131">
        <f t="shared" si="17"/>
        <v>0</v>
      </c>
      <c r="W169" s="1177" t="str">
        <f t="shared" si="18"/>
        <v/>
      </c>
      <c r="X169" s="2111"/>
      <c r="Y169" s="2112"/>
      <c r="Z169" s="2112"/>
      <c r="AA169" s="2112"/>
      <c r="AB169" s="2113"/>
      <c r="AC169" s="2102"/>
      <c r="AD169" s="2103"/>
      <c r="AE169" s="2104"/>
      <c r="AF169" s="1160" t="str">
        <f t="shared" si="19"/>
        <v/>
      </c>
      <c r="AG169" s="2"/>
      <c r="AH169" s="2"/>
      <c r="AI169" s="2"/>
      <c r="AJ169" s="2"/>
      <c r="AK169" s="1129">
        <v>48</v>
      </c>
      <c r="AL169" s="1102" t="str">
        <f t="shared" si="20"/>
        <v/>
      </c>
      <c r="AM169" s="1130">
        <f>IF(W169="",0,IF(V169=0,0,IF(OR(V170=0,V170=1),SUMIF(W$122:W169,W169,AC$122:AC169),0)))</f>
        <v>0</v>
      </c>
      <c r="AN169" s="696"/>
    </row>
    <row r="170" spans="1:103" ht="18" customHeight="1" x14ac:dyDescent="0.2">
      <c r="A170" s="2"/>
      <c r="B170" s="2"/>
      <c r="C170" s="1113"/>
      <c r="D170" s="1114"/>
      <c r="E170" s="1114"/>
      <c r="F170" s="1114"/>
      <c r="G170" s="1114"/>
      <c r="H170" s="1114"/>
      <c r="I170" s="1114"/>
      <c r="J170" s="1114"/>
      <c r="K170" s="1114"/>
      <c r="L170" s="1114"/>
      <c r="M170" s="1114"/>
      <c r="N170" s="1159" t="s">
        <v>629</v>
      </c>
      <c r="O170" s="2316">
        <f>IF(OR($C$8=0,$C$7=0,$C$8&lt;&gt;$C$7),0,SUM(O122:Q169))</f>
        <v>0</v>
      </c>
      <c r="P170" s="2316"/>
      <c r="Q170" s="2316"/>
      <c r="R170" s="1158" t="str">
        <f>AE25</f>
        <v>EUR</v>
      </c>
      <c r="S170" s="1114"/>
      <c r="T170" s="1114"/>
      <c r="U170" s="1115"/>
      <c r="V170" s="1365">
        <f>IF(AI132&gt;AK169,1,0)</f>
        <v>0</v>
      </c>
      <c r="W170" s="1161"/>
      <c r="X170" s="1161"/>
      <c r="Y170" s="1161"/>
      <c r="Z170" s="1162" t="s">
        <v>630</v>
      </c>
      <c r="AA170" s="1161"/>
      <c r="AB170" s="1163" t="str">
        <f>R170</f>
        <v>EUR</v>
      </c>
      <c r="AC170" s="2316">
        <f>IF(OR($C$8=0,$C$7=0,$C$8&lt;&gt;$C$7),0,SUM(AC122:AE169))</f>
        <v>0</v>
      </c>
      <c r="AD170" s="2316"/>
      <c r="AE170" s="2316"/>
      <c r="AG170" s="2"/>
      <c r="AH170" s="2"/>
      <c r="AI170" s="2"/>
      <c r="AJ170" s="2"/>
      <c r="AK170" s="1172"/>
      <c r="AL170" s="1172"/>
      <c r="AM170" s="696"/>
      <c r="AN170" s="696"/>
    </row>
    <row r="171" spans="1:103" ht="22.5" customHeight="1" x14ac:dyDescent="0.2">
      <c r="A171" s="2"/>
      <c r="B171" s="2"/>
      <c r="C171" s="268"/>
      <c r="D171" s="268"/>
      <c r="E171" s="268"/>
      <c r="F171" s="268"/>
      <c r="G171" s="268"/>
      <c r="H171" s="268"/>
      <c r="I171" s="268"/>
      <c r="J171" s="268"/>
      <c r="K171" s="1100"/>
      <c r="L171" s="1100"/>
      <c r="M171" s="696"/>
      <c r="N171" s="696"/>
      <c r="O171" s="696"/>
      <c r="P171" s="696"/>
      <c r="Q171" s="696"/>
      <c r="R171" s="696"/>
      <c r="S171" s="696"/>
      <c r="T171" s="696"/>
      <c r="U171" s="696"/>
      <c r="V171" s="696"/>
      <c r="W171" s="696"/>
      <c r="X171" s="696"/>
      <c r="Y171" s="696"/>
      <c r="Z171" s="696"/>
      <c r="AA171" s="696"/>
      <c r="AB171" s="696"/>
      <c r="AC171" s="696"/>
      <c r="AD171" s="268"/>
      <c r="AE171" s="1096"/>
      <c r="AF171" s="2"/>
      <c r="AG171" s="2"/>
      <c r="AH171" s="2"/>
      <c r="AI171" s="2"/>
      <c r="AJ171" s="2"/>
      <c r="AK171" s="2"/>
      <c r="AL171" s="2"/>
      <c r="AM171" s="2"/>
      <c r="AN171" s="2"/>
    </row>
    <row r="172" spans="1:103" ht="22.5" customHeight="1" x14ac:dyDescent="0.2">
      <c r="A172" s="2"/>
      <c r="B172" s="304" t="str">
        <f>VERIFICA!B74</f>
        <v>www.marcopiccoli.it - Registro Contabile Giornaliero 6.0.7 - per EXCEL .xlsm</v>
      </c>
      <c r="C172" s="2"/>
      <c r="D172" s="2"/>
      <c r="E172" s="2"/>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696"/>
      <c r="AF172" s="375" t="str">
        <f>IF(Presentazione!$J$173=Presentazione!$K$95,CONCATENATE(Presentazione!$F$89,"   -   ","P.I./C.F ",Presentazione!$K$91),Presentazione!$I$165)</f>
        <v>Sistema attivato dal 01/01 al 31/03. Modifica il trimestre dal foglio Presentazione.</v>
      </c>
      <c r="AG172" s="2"/>
      <c r="AH172" s="2"/>
      <c r="AI172" s="2"/>
      <c r="AJ172" s="2"/>
      <c r="AK172" s="2"/>
      <c r="AL172" s="2"/>
      <c r="AM172" s="2"/>
      <c r="AN172" s="2"/>
    </row>
    <row r="173" spans="1:103" ht="22.5" customHeight="1" x14ac:dyDescent="0.2">
      <c r="A173" s="69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96"/>
      <c r="AF173" s="696"/>
      <c r="AG173" s="1363"/>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row>
    <row r="174" spans="1:103" ht="22.5" hidden="1" customHeight="1" x14ac:dyDescent="0.2">
      <c r="A174" s="696"/>
      <c r="B174" s="696"/>
      <c r="C174" s="696"/>
      <c r="D174" s="696"/>
      <c r="E174" s="696"/>
      <c r="F174" s="696"/>
      <c r="G174" s="696"/>
      <c r="H174" s="696"/>
      <c r="I174" s="696"/>
      <c r="J174" s="696"/>
      <c r="K174" s="696"/>
      <c r="L174" s="696"/>
      <c r="M174" s="696"/>
      <c r="N174" s="696"/>
      <c r="O174" s="696"/>
      <c r="P174" s="696"/>
      <c r="Q174" s="696"/>
      <c r="R174" s="696"/>
      <c r="S174" s="696"/>
      <c r="T174" s="696"/>
      <c r="U174" s="696"/>
      <c r="V174" s="696"/>
      <c r="W174" s="696"/>
      <c r="X174" s="696"/>
      <c r="Y174" s="696"/>
      <c r="Z174" s="696"/>
      <c r="AA174" s="696"/>
      <c r="AB174" s="696"/>
      <c r="AC174" s="696"/>
      <c r="AD174" s="696"/>
      <c r="AE174" s="696"/>
      <c r="AF174" s="696"/>
      <c r="AG174" s="696"/>
      <c r="AH174" s="2"/>
      <c r="AI174" s="2"/>
      <c r="AJ174" s="2"/>
      <c r="AK174" s="2"/>
      <c r="AL174" s="2"/>
      <c r="AM174" s="2211" t="str">
        <f>VERIFICA!K153</f>
        <v>Seleziona per settimana</v>
      </c>
      <c r="AN174" s="2211"/>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row>
    <row r="175" spans="1:103" hidden="1" x14ac:dyDescent="0.2">
      <c r="A175" s="2"/>
      <c r="B175" s="2"/>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
      <c r="AD175" s="268"/>
      <c r="AE175" s="351"/>
      <c r="AF175" s="2"/>
      <c r="AG175" s="2"/>
      <c r="AH175" s="2"/>
      <c r="AI175" s="2"/>
      <c r="AJ175" s="2"/>
      <c r="AK175" s="2"/>
      <c r="AL175" s="2"/>
      <c r="AM175" s="2212" t="str">
        <f>VERIFICA!B5</f>
        <v>Seleziona per data</v>
      </c>
      <c r="AN175" s="2212"/>
      <c r="AO175" s="1035" t="str">
        <f>VERIFICA!$E$113</f>
        <v>Disattivato</v>
      </c>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row>
    <row r="176" spans="1:103" ht="15" hidden="1" customHeight="1" x14ac:dyDescent="0.2">
      <c r="A176" s="2"/>
      <c r="B176" s="2"/>
      <c r="C176" s="2"/>
      <c r="D176" s="2"/>
      <c r="E176" s="2"/>
      <c r="F176" s="2"/>
      <c r="G176" s="2"/>
      <c r="H176" s="2"/>
      <c r="I176" s="2"/>
      <c r="J176" s="2"/>
      <c r="K176" s="2"/>
      <c r="L176" s="2"/>
      <c r="M176" s="2"/>
      <c r="N176" s="2"/>
      <c r="O176" s="2"/>
      <c r="P176" s="2"/>
      <c r="Q176" s="2"/>
      <c r="R176" s="2"/>
      <c r="S176" s="2"/>
      <c r="T176" s="2"/>
      <c r="U176" s="508" t="s">
        <v>156</v>
      </c>
      <c r="V176" s="2"/>
      <c r="W176" s="2"/>
      <c r="X176" s="2"/>
      <c r="Y176" s="2"/>
      <c r="Z176" s="2"/>
      <c r="AA176" s="2"/>
      <c r="AB176" s="2"/>
      <c r="AC176" s="2"/>
      <c r="AD176" s="2"/>
      <c r="AE176" s="2"/>
      <c r="AF176" s="261"/>
      <c r="AG176" s="398">
        <f>IF(OR(VERIFICA!G16=AO175,VERIFICA!I16=AO175,VERIFICA!G15=""),-1,VERIFICA!G15)</f>
        <v>-1</v>
      </c>
      <c r="AH176" s="71"/>
      <c r="AI176" s="86" t="s">
        <v>115</v>
      </c>
      <c r="AJ176" s="2"/>
      <c r="AK176" s="2"/>
      <c r="AL176" s="102">
        <f>IF(ISBLANK(VERIFICA!E13),0,VLOOKUP(VERIFICA!E13,VERIFICA!J113:K125,2,FALSE))</f>
        <v>0</v>
      </c>
      <c r="AM176" s="2"/>
      <c r="AN176" s="86" t="s">
        <v>385</v>
      </c>
      <c r="AO176" s="2"/>
      <c r="AP176" s="2274"/>
      <c r="AQ176" s="2274"/>
      <c r="AR176" s="2274"/>
      <c r="AS176" s="2274"/>
      <c r="AT176" s="2274"/>
      <c r="AU176" s="2274"/>
      <c r="AV176" s="2274"/>
      <c r="AW176" s="2274"/>
      <c r="AX176" s="2274"/>
      <c r="AY176" s="2"/>
      <c r="AZ176" s="2274"/>
      <c r="BA176" s="2274"/>
      <c r="BB176" s="2274"/>
      <c r="BC176" s="2274"/>
      <c r="BD176" s="2"/>
      <c r="BE176" s="696"/>
      <c r="BF176" s="2"/>
      <c r="BG176" s="2"/>
      <c r="BH176" s="2"/>
      <c r="BI176" s="2"/>
      <c r="BJ176" s="2"/>
      <c r="BK176" s="2"/>
      <c r="BL176" s="2"/>
      <c r="BM176" s="2"/>
      <c r="BN176" s="2"/>
      <c r="BO176" s="2"/>
      <c r="BP176" s="2"/>
      <c r="BQ176" s="2"/>
      <c r="BR176" s="696"/>
      <c r="BS176" s="696"/>
      <c r="BT176" s="696"/>
      <c r="BU176" s="2"/>
      <c r="BV176" s="2"/>
      <c r="BW176" s="2"/>
      <c r="BX176" s="2"/>
      <c r="BY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row>
    <row r="177" spans="1:103" ht="12.75" hidden="1" customHeight="1" x14ac:dyDescent="0.2">
      <c r="A177" s="2"/>
      <c r="B177" s="2"/>
      <c r="C177" s="2"/>
      <c r="D177" s="2"/>
      <c r="E177" s="1058"/>
      <c r="F177" s="1058"/>
      <c r="G177" s="1058"/>
      <c r="H177" s="1058"/>
      <c r="I177" s="1058"/>
      <c r="J177" s="1058"/>
      <c r="K177" s="261"/>
      <c r="L177" s="261"/>
      <c r="M177" s="261"/>
      <c r="N177" s="261"/>
      <c r="O177" s="261"/>
      <c r="P177" s="261"/>
      <c r="Q177" s="261"/>
      <c r="R177" s="261"/>
      <c r="S177" s="261"/>
      <c r="T177" s="261"/>
      <c r="U177" s="261" t="s">
        <v>157</v>
      </c>
      <c r="V177" s="261"/>
      <c r="W177" s="261"/>
      <c r="X177" s="261"/>
      <c r="Y177" s="261"/>
      <c r="Z177" s="261"/>
      <c r="AA177" s="261"/>
      <c r="AB177" s="261"/>
      <c r="AC177" s="261"/>
      <c r="AD177" s="261"/>
      <c r="AE177" s="261"/>
      <c r="AF177" s="261"/>
      <c r="AG177" s="399">
        <f>IF(OR(AG176&lt;0,VERIFICA!G16=AO175,VERIFICA!I16=AO175,VERIFICA!I15=""),-1,VERIFICA!I15)</f>
        <v>-1</v>
      </c>
      <c r="AH177" s="404">
        <f>AL177</f>
        <v>0</v>
      </c>
      <c r="AI177" s="396" t="e">
        <f>IF(OR(VERIFICA!D7="",VERIFICA!D8=AO175,VERIFICA!E8=AO175),-1,VERIFICA!D7)</f>
        <v>#N/A</v>
      </c>
      <c r="AJ177" s="167" t="s">
        <v>46</v>
      </c>
      <c r="AK177" s="2"/>
      <c r="AL177" s="102">
        <f>IF(COUNTIF(VERIFICA!J127:J131,TRUE)=0,0,VLOOKUP(TRUE,VERIFICA!J127:L131,3,FALSE))</f>
        <v>0</v>
      </c>
      <c r="AM177" s="453" t="s">
        <v>301</v>
      </c>
      <c r="AN177" s="99" t="e">
        <f>IF(OR(AM175=0,VERIFICA!D8=AO175,VERIFICA!E8=AO175),0,VERIFICA!D5)</f>
        <v>#N/A</v>
      </c>
      <c r="AO177" s="1036">
        <f>IF(OR(VERIFICA!G16=AO175,VERIFICA!I16=AO175),0,VERIFICA!G13)</f>
        <v>0</v>
      </c>
      <c r="AP177" s="2269" t="s">
        <v>42</v>
      </c>
      <c r="AQ177" s="1967"/>
      <c r="AR177" s="1967"/>
      <c r="AS177" s="1967"/>
      <c r="AT177" s="1967"/>
      <c r="AU177" s="1967"/>
      <c r="AV177" s="1967"/>
      <c r="AW177" s="1967"/>
      <c r="AX177" s="2270"/>
      <c r="AY177" s="2275" t="s">
        <v>566</v>
      </c>
      <c r="AZ177" s="2271" t="s">
        <v>565</v>
      </c>
      <c r="BA177" s="2272"/>
      <c r="BB177" s="2272"/>
      <c r="BC177" s="2273"/>
      <c r="BD177" s="2210" t="s">
        <v>567</v>
      </c>
      <c r="BE177" s="696"/>
      <c r="BF177" s="1173" t="e">
        <f>VLOOKUP(BF178,IMPOSTAZIONI!$K$8:$O$17,5,FALSE)</f>
        <v>#N/A</v>
      </c>
      <c r="BG177" s="1173" t="e">
        <f>VLOOKUP(BG178,IMPOSTAZIONI!$K$8:$O$17,5,FALSE)</f>
        <v>#N/A</v>
      </c>
      <c r="BH177" s="1173" t="e">
        <f>VLOOKUP(BH178,IMPOSTAZIONI!$K$8:$O$17,5,FALSE)</f>
        <v>#N/A</v>
      </c>
      <c r="BI177" s="1173" t="e">
        <f>VLOOKUP(BI178,IMPOSTAZIONI!$K$8:$O$17,5,FALSE)</f>
        <v>#N/A</v>
      </c>
      <c r="BJ177" s="1173" t="e">
        <f>VLOOKUP(BJ178,IMPOSTAZIONI!$K$8:$O$17,5,FALSE)</f>
        <v>#N/A</v>
      </c>
      <c r="BK177" s="1173" t="e">
        <f>VLOOKUP(BK178,IMPOSTAZIONI!$K$8:$O$17,5,FALSE)</f>
        <v>#N/A</v>
      </c>
      <c r="BL177" s="1173" t="e">
        <f>VLOOKUP(BL178,IMPOSTAZIONI!$K$8:$O$17,5,FALSE)</f>
        <v>#N/A</v>
      </c>
      <c r="BM177" s="1173" t="e">
        <f>VLOOKUP(BM178,IMPOSTAZIONI!$K$8:$O$17,5,FALSE)</f>
        <v>#N/A</v>
      </c>
      <c r="BN177" s="1173" t="e">
        <f>VLOOKUP(BN178,IMPOSTAZIONI!$K$8:$O$17,5,FALSE)</f>
        <v>#N/A</v>
      </c>
      <c r="BO177" s="1173" t="e">
        <f>VLOOKUP(BO178,IMPOSTAZIONI!$K$8:$O$17,5,FALSE)</f>
        <v>#N/A</v>
      </c>
      <c r="BP177" s="995" t="s">
        <v>540</v>
      </c>
      <c r="BQ177" s="1170"/>
      <c r="BR177" s="1173" t="str">
        <f>VLOOKUP(BR178,IMPOSTAZIONI!$AG$8:$AK$14,5,FALSE)</f>
        <v>21</v>
      </c>
      <c r="BS177" s="1173" t="str">
        <f>VLOOKUP(BS178,IMPOSTAZIONI!$AG$8:$AK$14,5,FALSE)</f>
        <v>21</v>
      </c>
      <c r="BT177" s="1173" t="str">
        <f>VLOOKUP(BT178,IMPOSTAZIONI!$AG$8:$AK$14,5,FALSE)</f>
        <v>21</v>
      </c>
      <c r="BU177" s="1173" t="str">
        <f>VLOOKUP(BU178,IMPOSTAZIONI!$AG$8:$AK$14,5,FALSE)</f>
        <v>21</v>
      </c>
      <c r="BV177" s="1173" t="str">
        <f>VLOOKUP(BV178,IMPOSTAZIONI!$AG$8:$AK$14,5,FALSE)</f>
        <v>21</v>
      </c>
      <c r="BW177" s="1173" t="str">
        <f>VLOOKUP(BW178,IMPOSTAZIONI!$AG$8:$AK$14,5,FALSE)</f>
        <v>21</v>
      </c>
      <c r="BX177" s="1173" t="str">
        <f>VLOOKUP(BX178,IMPOSTAZIONI!$AG$8:$AK$14,5,FALSE)</f>
        <v>21</v>
      </c>
      <c r="BY177" s="995" t="s">
        <v>540</v>
      </c>
      <c r="CB177" s="1170"/>
      <c r="CC177" s="2"/>
      <c r="CD177" s="2"/>
      <c r="CE177" s="2"/>
      <c r="CF177" s="2"/>
      <c r="CG177" s="453" t="s">
        <v>301</v>
      </c>
      <c r="CH177" s="2"/>
      <c r="CI177" s="2"/>
      <c r="CJ177" s="2"/>
      <c r="CK177" s="2"/>
      <c r="CL177" s="2"/>
      <c r="CM177" s="2"/>
      <c r="CN177" s="2"/>
      <c r="CO177" s="2"/>
      <c r="CP177" s="2"/>
      <c r="CQ177" s="2"/>
      <c r="CR177" s="2303" t="s">
        <v>566</v>
      </c>
      <c r="CS177" s="2"/>
      <c r="CT177" s="2"/>
      <c r="CU177" s="2"/>
      <c r="CV177" s="2"/>
      <c r="CW177" s="2304" t="s">
        <v>567</v>
      </c>
      <c r="CX177" s="2"/>
      <c r="CY177" s="2"/>
    </row>
    <row r="178" spans="1:103" ht="15" hidden="1" customHeight="1" x14ac:dyDescent="0.2">
      <c r="A178" s="2"/>
      <c r="B178" s="2252" t="s">
        <v>371</v>
      </c>
      <c r="C178" s="2252"/>
      <c r="D178" s="2"/>
      <c r="E178" s="2213">
        <f>IMPOSTAZIONI!AH53</f>
        <v>2024</v>
      </c>
      <c r="F178" s="2213"/>
      <c r="G178" s="2214" t="s">
        <v>513</v>
      </c>
      <c r="H178" s="2215"/>
      <c r="I178" s="2216"/>
      <c r="J178" s="79"/>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1173"/>
      <c r="AH178" s="405" t="s">
        <v>313</v>
      </c>
      <c r="AI178" s="397" t="e">
        <f>IF(OR(AI177&lt;0,VERIFICA!E7="",VERIFICA!D8=AO175,VERIFICA!E8=AO175),-1,VERIFICA!E7)</f>
        <v>#N/A</v>
      </c>
      <c r="AJ178" s="247" t="s">
        <v>45</v>
      </c>
      <c r="AK178" s="1173">
        <v>0</v>
      </c>
      <c r="AL178" s="1173" t="s">
        <v>313</v>
      </c>
      <c r="AM178" s="1173" t="s">
        <v>312</v>
      </c>
      <c r="AN178" s="100" t="e">
        <f>IF(OR(AM175=0,VERIFICA!D8=AO175,VERIFICA!E8=AO175),0,VERIFICA!E5)</f>
        <v>#N/A</v>
      </c>
      <c r="AO178" s="1037">
        <f>IF(OR(VERIFICA!G16=AO175,VERIFICA!I16=AO175),0,VERIFICA!I13)</f>
        <v>0</v>
      </c>
      <c r="AP178" s="92" t="str">
        <f>RIEPILOGO!A8</f>
        <v>11</v>
      </c>
      <c r="AQ178" s="87" t="str">
        <f>RIEPILOGO!A9</f>
        <v>12</v>
      </c>
      <c r="AR178" s="87" t="str">
        <f>RIEPILOGO!A10</f>
        <v>13</v>
      </c>
      <c r="AS178" s="87" t="str">
        <f>RIEPILOGO!A11</f>
        <v>14</v>
      </c>
      <c r="AT178" s="87" t="str">
        <f>RIEPILOGO!A12</f>
        <v>15</v>
      </c>
      <c r="AU178" s="87" t="str">
        <f>RIEPILOGO!A13</f>
        <v>16</v>
      </c>
      <c r="AV178" s="87" t="str">
        <f>RIEPILOGO!A14</f>
        <v>17</v>
      </c>
      <c r="AW178" s="87" t="str">
        <f>RIEPILOGO!A15</f>
        <v>18</v>
      </c>
      <c r="AX178" s="93" t="str">
        <f>RIEPILOGO!A16</f>
        <v>19</v>
      </c>
      <c r="AY178" s="2275"/>
      <c r="AZ178" s="988">
        <f>IMPOSTAZIONI!B39</f>
        <v>0</v>
      </c>
      <c r="BA178" s="989">
        <f>IMPOSTAZIONI!B40</f>
        <v>0</v>
      </c>
      <c r="BB178" s="989">
        <f>IMPOSTAZIONI!B41</f>
        <v>0</v>
      </c>
      <c r="BC178" s="990">
        <f>IMPOSTAZIONI!B42</f>
        <v>0</v>
      </c>
      <c r="BD178" s="2210"/>
      <c r="BE178" s="696"/>
      <c r="BF178" s="77" t="str">
        <f>RIEPILOGO!B22</f>
        <v/>
      </c>
      <c r="BG178" s="77" t="str">
        <f>RIEPILOGO!B26</f>
        <v/>
      </c>
      <c r="BH178" s="77" t="str">
        <f>RIEPILOGO!B30</f>
        <v/>
      </c>
      <c r="BI178" s="77" t="str">
        <f>RIEPILOGO!B34</f>
        <v/>
      </c>
      <c r="BJ178" s="77" t="str">
        <f>RIEPILOGO!B38</f>
        <v/>
      </c>
      <c r="BK178" s="77" t="str">
        <f>RIEPILOGO!B42</f>
        <v/>
      </c>
      <c r="BL178" s="77" t="str">
        <f>RIEPILOGO!B46</f>
        <v/>
      </c>
      <c r="BM178" s="77" t="str">
        <f>RIEPILOGO!B50</f>
        <v/>
      </c>
      <c r="BN178" s="77" t="str">
        <f>RIEPILOGO!B54</f>
        <v/>
      </c>
      <c r="BO178" s="77" t="str">
        <f>RIEPILOGO!B58</f>
        <v/>
      </c>
      <c r="BP178" s="77" t="s">
        <v>539</v>
      </c>
      <c r="BQ178" s="87"/>
      <c r="BR178" s="77" t="str">
        <f>RIEPILOGO!B69</f>
        <v>GRUPPO #1</v>
      </c>
      <c r="BS178" s="77" t="str">
        <f>RIEPILOGO!B73</f>
        <v>GRUPPO #1</v>
      </c>
      <c r="BT178" s="77" t="str">
        <f>RIEPILOGO!B77</f>
        <v>GRUPPO #1</v>
      </c>
      <c r="BU178" s="77" t="str">
        <f>RIEPILOGO!B81</f>
        <v>GRUPPO #1</v>
      </c>
      <c r="BV178" s="77" t="str">
        <f>RIEPILOGO!B85</f>
        <v>GRUPPO #1</v>
      </c>
      <c r="BW178" s="77" t="str">
        <f>RIEPILOGO!B89</f>
        <v>GRUPPO #1</v>
      </c>
      <c r="BX178" s="77" t="str">
        <f>RIEPILOGO!B93</f>
        <v>GRUPPO #1</v>
      </c>
      <c r="BY178" s="77" t="s">
        <v>541</v>
      </c>
      <c r="CB178" s="87"/>
      <c r="CC178" s="1173" t="s">
        <v>386</v>
      </c>
      <c r="CD178" s="1173" t="s">
        <v>386</v>
      </c>
      <c r="CE178" s="1173" t="s">
        <v>386</v>
      </c>
      <c r="CF178" s="1173" t="s">
        <v>386</v>
      </c>
      <c r="CG178" s="1173" t="s">
        <v>312</v>
      </c>
      <c r="CH178" s="2"/>
      <c r="CI178" s="528" t="str">
        <f>AP178</f>
        <v>11</v>
      </c>
      <c r="CJ178" s="529" t="str">
        <f t="shared" ref="CJ178:CQ178" si="23">AQ178</f>
        <v>12</v>
      </c>
      <c r="CK178" s="529" t="str">
        <f t="shared" si="23"/>
        <v>13</v>
      </c>
      <c r="CL178" s="529" t="str">
        <f t="shared" si="23"/>
        <v>14</v>
      </c>
      <c r="CM178" s="529" t="str">
        <f t="shared" si="23"/>
        <v>15</v>
      </c>
      <c r="CN178" s="529" t="str">
        <f t="shared" si="23"/>
        <v>16</v>
      </c>
      <c r="CO178" s="529" t="str">
        <f t="shared" si="23"/>
        <v>17</v>
      </c>
      <c r="CP178" s="529" t="str">
        <f t="shared" si="23"/>
        <v>18</v>
      </c>
      <c r="CQ178" s="530" t="str">
        <f t="shared" si="23"/>
        <v>19</v>
      </c>
      <c r="CR178" s="2303"/>
      <c r="CS178" s="528">
        <f>AZ178</f>
        <v>0</v>
      </c>
      <c r="CT178" s="529">
        <f t="shared" ref="CT178:CV178" si="24">BA178</f>
        <v>0</v>
      </c>
      <c r="CU178" s="529">
        <f t="shared" si="24"/>
        <v>0</v>
      </c>
      <c r="CV178" s="530">
        <f t="shared" si="24"/>
        <v>0</v>
      </c>
      <c r="CW178" s="2304"/>
      <c r="CX178" s="1004" t="s">
        <v>322</v>
      </c>
      <c r="CY178" s="2"/>
    </row>
    <row r="179" spans="1:103" ht="9" hidden="1" customHeight="1" x14ac:dyDescent="0.2">
      <c r="A179" s="2"/>
      <c r="B179" s="2"/>
      <c r="C179" s="2"/>
      <c r="D179" s="2"/>
      <c r="E179" s="2301"/>
      <c r="F179" s="2301"/>
      <c r="G179" s="2302"/>
      <c r="H179" s="2302"/>
      <c r="I179" s="2302"/>
      <c r="J179" s="78"/>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403" t="s">
        <v>385</v>
      </c>
      <c r="AH179" s="2"/>
      <c r="AI179" s="2"/>
      <c r="AJ179" s="2"/>
      <c r="AK179" s="2"/>
      <c r="AL179" s="2"/>
      <c r="AM179" s="2"/>
      <c r="AN179" s="2"/>
      <c r="AO179" s="994" t="s">
        <v>568</v>
      </c>
      <c r="AP179" s="42"/>
      <c r="AQ179" s="14"/>
      <c r="AR179" s="14"/>
      <c r="AS179" s="14"/>
      <c r="AT179" s="14"/>
      <c r="AU179" s="14"/>
      <c r="AV179" s="14"/>
      <c r="AW179" s="14"/>
      <c r="AX179" s="94"/>
      <c r="AY179" s="14"/>
      <c r="AZ179" s="42"/>
      <c r="BA179" s="14"/>
      <c r="BB179" s="14"/>
      <c r="BC179" s="94"/>
      <c r="BD179" s="14"/>
      <c r="BE179" s="696"/>
      <c r="BF179" s="181"/>
      <c r="BG179" s="181"/>
      <c r="BH179" s="181"/>
      <c r="BI179" s="181"/>
      <c r="BJ179" s="181"/>
      <c r="BK179" s="181"/>
      <c r="BL179" s="181"/>
      <c r="BM179" s="181"/>
      <c r="BN179" s="181"/>
      <c r="BO179" s="181"/>
      <c r="BP179" s="181"/>
      <c r="BQ179" s="14"/>
      <c r="BR179" s="181"/>
      <c r="BS179" s="181"/>
      <c r="BT179" s="181"/>
      <c r="BU179" s="181"/>
      <c r="BV179" s="181"/>
      <c r="BW179" s="181"/>
      <c r="BX179" s="181"/>
      <c r="BY179" s="181"/>
      <c r="CB179" s="14"/>
      <c r="CC179" s="2"/>
      <c r="CD179" s="2"/>
      <c r="CE179" s="2"/>
      <c r="CF179" s="2"/>
      <c r="CG179" s="2"/>
      <c r="CH179" s="1000" t="s">
        <v>569</v>
      </c>
      <c r="CI179" s="42"/>
      <c r="CJ179" s="14"/>
      <c r="CK179" s="14"/>
      <c r="CL179" s="14"/>
      <c r="CM179" s="14"/>
      <c r="CN179" s="14"/>
      <c r="CO179" s="14"/>
      <c r="CP179" s="14"/>
      <c r="CQ179" s="94"/>
      <c r="CR179" s="519" t="s">
        <v>322</v>
      </c>
      <c r="CS179" s="42"/>
      <c r="CT179" s="14"/>
      <c r="CU179" s="14"/>
      <c r="CV179" s="94"/>
      <c r="CW179" s="519" t="s">
        <v>322</v>
      </c>
      <c r="CX179" s="1004" t="s">
        <v>513</v>
      </c>
      <c r="CY179" s="2"/>
    </row>
    <row r="180" spans="1:103" ht="14.25" hidden="1" customHeight="1" x14ac:dyDescent="0.2">
      <c r="A180" s="2"/>
      <c r="B180" s="105">
        <f>E180</f>
        <v>45292</v>
      </c>
      <c r="C180" s="146">
        <f>IF(AND(E180&gt;(E$557-1),E180&lt;(I$557+1)),W$551,IF(ISERROR(HLOOKUP(E180,$E$550:$L$550,1,FALSE)),HLOOKUP(WEEKDAY(E180,2),IMPOSTAZIONI!$C$52:$P$57,6,FALSE),$W$550))</f>
        <v>0</v>
      </c>
      <c r="D180" s="71" t="str">
        <f>IF(C180="L",MONTH(E180),"")</f>
        <v/>
      </c>
      <c r="E180" s="2260">
        <f>VALUE(CONCATENATE("01/01/",E178))</f>
        <v>45292</v>
      </c>
      <c r="F180" s="2261"/>
      <c r="G180" s="2249">
        <f>GEN!E8</f>
        <v>1000</v>
      </c>
      <c r="H180" s="2250"/>
      <c r="I180" s="2251"/>
      <c r="J180" s="262" t="str">
        <f t="shared" ref="J180:J243" si="25">IF(E180=T$5,"&gt;","")</f>
        <v/>
      </c>
      <c r="K180" s="263"/>
      <c r="L180" s="2238">
        <f>IF(WEEKDAY(E180,2)=1,1,0)</f>
        <v>1</v>
      </c>
      <c r="M180" s="2239"/>
      <c r="N180" s="261"/>
      <c r="O180" s="261"/>
      <c r="P180" s="261"/>
      <c r="Q180" s="2219">
        <f>E180</f>
        <v>45292</v>
      </c>
      <c r="R180" s="2219"/>
      <c r="S180" s="261"/>
      <c r="T180" s="1173">
        <f t="shared" ref="T180:T243" si="26">IF(OR(G180&lt;&gt;0,CH180&lt;&gt;0),1,0)</f>
        <v>1</v>
      </c>
      <c r="U180" s="261"/>
      <c r="V180" s="261"/>
      <c r="W180" s="261"/>
      <c r="X180" s="261"/>
      <c r="Y180" s="261"/>
      <c r="Z180" s="261"/>
      <c r="AA180" s="261"/>
      <c r="AB180" s="261"/>
      <c r="AC180" s="261"/>
      <c r="AD180" s="261"/>
      <c r="AE180" s="261"/>
      <c r="AF180" s="261"/>
      <c r="AG180" s="1173">
        <f>IF(AND(L180&gt;(AG$176-1),L180&lt;(AG$177+1)),1,0)</f>
        <v>0</v>
      </c>
      <c r="AH180" s="61" t="str">
        <f>IF(AK180=0,"",IF(AH$177=5,IF(AND(L180&gt;(AG$176-1),L180&lt;(AG$177+1)),"Y",""),""))</f>
        <v/>
      </c>
      <c r="AI180" s="89" t="e">
        <f>IF(AND($L180&gt;(AI$177-1),$L180&lt;(AI$178+1)),$C180,0)</f>
        <v>#N/A</v>
      </c>
      <c r="AJ180" s="89">
        <f>IF(G180=G547,0,COUNTIF(T180:T210,"&gt;0"))</f>
        <v>1</v>
      </c>
      <c r="AK180" s="61">
        <f>IF(G180=G$547,0,IF(OR(G180&lt;&gt;0,CH180&lt;&gt;0,C180="L"),AK178+1,0))</f>
        <v>1</v>
      </c>
      <c r="AL180" s="61" t="str">
        <f t="shared" ref="AL180:AL243" si="27">IF(AL$177=5,AH180,IF(AK180=0,"",IF(AL$177=1,IF(AND(AK180&gt;($CD$549-1),AK180&lt;($CD$550+1)),"Y",""),IF(AL$177=2,IF(AL$176=MONTH(E180),"Y",""),IF(AL$177=3,"Y",IF(AL$177=4,IF(AND(E180&gt;(AO$177-1),E180&lt;(AO$178+1)),"Y",""),IF(AL$177=5,IF(AG180=1,"Y",""),"")))))))</f>
        <v/>
      </c>
      <c r="AM180" s="61" t="e">
        <f t="shared" ref="AM180:AM243" si="28">IF(AM$175=AM$174,CG180,IF(AND(AN$177&gt;0,AN$178&gt;0),IF(AND(E180&gt;(AN$177-1),E180&lt;(AN$178+1),OR(AO180&lt;&gt;0,AN180=AM$177)),"X",""),""))</f>
        <v>#N/A</v>
      </c>
      <c r="AN180" s="89" t="e">
        <f t="shared" ref="AN180:AN243" si="29">IF(AND(E180&gt;(AN$177-1),E180&lt;(AN$178+1)),C180,0)</f>
        <v>#N/A</v>
      </c>
      <c r="AO180" s="230">
        <f>SUM(GEN!X8:AD8)-BD180+AY180</f>
        <v>1000</v>
      </c>
      <c r="AP180" s="228">
        <f>SUMIF(GEN!$G$121:$M$121,AP$178,GEN!$P8:$V8)+SUMIF($AZ$178:$BC$178,AP$178,$AZ180:$BC180)</f>
        <v>0</v>
      </c>
      <c r="AQ180" s="229">
        <f>SUMIF(GEN!$G$121:$M$121,AQ$178,GEN!$P8:$V8)+SUMIF($AZ$178:$BC$178,AQ$178,$AZ180:$BC180)</f>
        <v>0</v>
      </c>
      <c r="AR180" s="230">
        <f>SUMIF(GEN!$G$121:$M$121,AR$178,GEN!$P8:$V8)+SUMIF($AZ$178:$BC$178,AR$178,$AZ180:$BC180)</f>
        <v>0</v>
      </c>
      <c r="AS180" s="230">
        <f>SUMIF(GEN!$G$121:$M$121,AS$178,GEN!$P8:$V8)+SUMIF($AZ$178:$BC$178,AS$178,$AZ180:$BC180)</f>
        <v>0</v>
      </c>
      <c r="AT180" s="230">
        <f>SUMIF(GEN!$G$121:$M$121,AT$178,GEN!$P8:$V8)+SUMIF($AZ$178:$BC$178,AT$178,$AZ180:$BC180)</f>
        <v>0</v>
      </c>
      <c r="AU180" s="230">
        <f>SUMIF(GEN!$G$121:$M$121,AU$178,GEN!$P8:$V8)+SUMIF($AZ$178:$BC$178,AU$178,$AZ180:$BC180)</f>
        <v>0</v>
      </c>
      <c r="AV180" s="230">
        <f>SUMIF(GEN!$G$121:$M$121,AV$178,GEN!$P8:$V8)+SUMIF($AZ$178:$BC$178,AV$178,$AZ180:$BC180)</f>
        <v>0</v>
      </c>
      <c r="AW180" s="230">
        <f>SUMIF(GEN!$G$121:$M$121,AW$178,GEN!$P8:$V8)+SUMIF($AZ$178:$BC$178,AW$178,$AZ180:$BC180)</f>
        <v>0</v>
      </c>
      <c r="AX180" s="231">
        <f>SUMIF(GEN!$G$121:$M$121,AX$178,GEN!$P8:$V8)+SUMIF($AZ$178:$BC$178,AX$178,$AZ180:$BC180)</f>
        <v>0</v>
      </c>
      <c r="AY180" s="232">
        <f>GEN!AF8</f>
        <v>0</v>
      </c>
      <c r="AZ180" s="228">
        <f>GEN!AG8</f>
        <v>0</v>
      </c>
      <c r="BA180" s="229">
        <f>GEN!AH8</f>
        <v>0</v>
      </c>
      <c r="BB180" s="230">
        <f>GEN!AI8</f>
        <v>0</v>
      </c>
      <c r="BC180" s="231">
        <f>GEN!AJ8</f>
        <v>0</v>
      </c>
      <c r="BD180" s="228">
        <f>SUMIF(GEN!$G$120:$M$120,"&gt;0",GEN!$X8:$AD8)</f>
        <v>0</v>
      </c>
      <c r="BE180" s="696"/>
      <c r="BF180" s="254">
        <f>SUMIF(GEN!$BA$6:$BG$6,BF$177,GEN!$BA8:$BG8)</f>
        <v>0</v>
      </c>
      <c r="BG180" s="255">
        <f>SUMIF(GEN!$BA$6:$BG$6,BG$177,GEN!$BA8:$BG8)</f>
        <v>0</v>
      </c>
      <c r="BH180" s="255">
        <f>SUMIF(GEN!$BA$6:$BG$6,BH$177,GEN!$BA8:$BG8)</f>
        <v>0</v>
      </c>
      <c r="BI180" s="255">
        <f>SUMIF(GEN!$BA$6:$BG$6,BI$177,GEN!$BA8:$BG8)</f>
        <v>0</v>
      </c>
      <c r="BJ180" s="255">
        <f>SUMIF(GEN!$BA$6:$BG$6,BJ$177,GEN!$BA8:$BG8)</f>
        <v>0</v>
      </c>
      <c r="BK180" s="255">
        <f>SUMIF(GEN!$BA$6:$BG$6,BK$177,GEN!$BA8:$BG8)</f>
        <v>0</v>
      </c>
      <c r="BL180" s="255">
        <f>SUMIF(GEN!$BA$6:$BG$6,BL$177,GEN!$BA8:$BG8)</f>
        <v>0</v>
      </c>
      <c r="BM180" s="255">
        <f>SUMIF(GEN!$BA$6:$BG$6,BM$177,GEN!$BA8:$BG8)</f>
        <v>0</v>
      </c>
      <c r="BN180" s="255">
        <f>SUMIF(GEN!$BA$6:$BG$6,BN$177,GEN!$BA8:$BG8)</f>
        <v>0</v>
      </c>
      <c r="BO180" s="256">
        <f>SUMIF(GEN!$BA$6:$BG$6,BO$177,GEN!$BA8:$BG8)</f>
        <v>0</v>
      </c>
      <c r="BP180" s="256">
        <f>SUMIF(GEN!$BA$6:$BG$6,BP$177,GEN!$BA8:$BG8)</f>
        <v>1000</v>
      </c>
      <c r="BQ180" s="252"/>
      <c r="BR180" s="254">
        <f>SUMIF(GEN!$BA$5:$BG$5,BR$177,GEN!$BA8:$BG8)</f>
        <v>0</v>
      </c>
      <c r="BS180" s="255">
        <f>SUMIF(GEN!$BA$5:$BG$5,BS$177,GEN!$BA8:$BG8)</f>
        <v>0</v>
      </c>
      <c r="BT180" s="255">
        <f>SUMIF(GEN!$BA$5:$BG$5,BT$177,GEN!$BA8:$BG8)</f>
        <v>0</v>
      </c>
      <c r="BU180" s="255">
        <f>SUMIF(GEN!$BA$5:$BG$5,BU$177,GEN!$BA8:$BG8)</f>
        <v>0</v>
      </c>
      <c r="BV180" s="255">
        <f>SUMIF(GEN!$BA$5:$BG$5,BV$177,GEN!$BA8:$BG8)</f>
        <v>0</v>
      </c>
      <c r="BW180" s="255">
        <f>SUMIF(GEN!$BA$5:$BG$5,BW$177,GEN!$BA8:$BG8)</f>
        <v>0</v>
      </c>
      <c r="BX180" s="996">
        <f>SUMIF(GEN!$BA$5:$BG$5,BX$177,GEN!$BA8:$BG8)</f>
        <v>0</v>
      </c>
      <c r="BY180" s="997">
        <f>SUMIF(GEN!$BA$5:$BG$5,BY$177,GEN!$BA8:$BG8)</f>
        <v>1000</v>
      </c>
      <c r="CB180" s="252"/>
      <c r="CC180" s="61" t="e">
        <f t="shared" ref="CC180:CC243" si="30">IF(AM180="X",AK180,0)</f>
        <v>#N/A</v>
      </c>
      <c r="CD180" s="61">
        <f t="shared" ref="CD180:CD243" si="31">IF(AL180="Y",AK180,0)</f>
        <v>0</v>
      </c>
      <c r="CE180" s="105" t="str">
        <f t="shared" ref="CE180:CE211" si="32">IF(AL180="Y",E180,"")</f>
        <v/>
      </c>
      <c r="CF180" s="61" t="e">
        <f t="shared" ref="CF180:CF243" si="33">IF(CG180="X",AK180,0)</f>
        <v>#N/A</v>
      </c>
      <c r="CG180" s="61" t="e">
        <f t="shared" ref="CG180:CG243" si="34">IF(AND(L180&gt;(AI$177-1),L180&lt;(AI$178+1),OR(AO180&lt;&gt;0,AI180=CG$177)),"X","")</f>
        <v>#N/A</v>
      </c>
      <c r="CH180" s="520">
        <f>GEN!AL8-CW180+CR180</f>
        <v>0</v>
      </c>
      <c r="CI180" s="228">
        <f>SUMIF(GEN!$G$121:$M$121,CI$178,GEN!$AM8:$AS8)+SUMIF($CS$178:$CV$178,CI$178,$CS180:$CV180)</f>
        <v>0</v>
      </c>
      <c r="CJ180" s="229">
        <f>SUMIF(GEN!$G$121:$M$121,CJ$178,GEN!$AM8:$AS8)+SUMIF($CS$178:$CV$178,CJ$178,$CS180:$CV180)</f>
        <v>0</v>
      </c>
      <c r="CK180" s="230">
        <f>SUMIF(GEN!$G$121:$M$121,CK$178,GEN!$AM8:$AS8)+SUMIF($CS$178:$CV$178,CK$178,$CS180:$CV180)</f>
        <v>0</v>
      </c>
      <c r="CL180" s="230">
        <f>SUMIF(GEN!$G$121:$M$121,CL$178,GEN!$AM8:$AS8)+SUMIF($CS$178:$CV$178,CL$178,$CS180:$CV180)</f>
        <v>0</v>
      </c>
      <c r="CM180" s="230">
        <f>SUMIF(GEN!$G$121:$M$121,CM$178,GEN!$AM8:$AS8)+SUMIF($CS$178:$CV$178,CM$178,$CS180:$CV180)</f>
        <v>0</v>
      </c>
      <c r="CN180" s="230">
        <f>SUMIF(GEN!$G$121:$M$121,CN$178,GEN!$AM8:$AS8)+SUMIF($CS$178:$CV$178,CN$178,$CS180:$CV180)</f>
        <v>0</v>
      </c>
      <c r="CO180" s="230">
        <f>SUMIF(GEN!$G$121:$M$121,CO$178,GEN!$AM8:$AS8)+SUMIF($CS$178:$CV$178,CO$178,$CS180:$CV180)</f>
        <v>0</v>
      </c>
      <c r="CP180" s="230">
        <f>SUMIF(GEN!$G$121:$M$121,CP$178,GEN!$AM8:$AS8)+SUMIF($CS$178:$CV$178,CP$178,$CS180:$CV180)</f>
        <v>0</v>
      </c>
      <c r="CQ180" s="231">
        <f>SUMIF(GEN!$G$121:$M$121,CQ$178,GEN!$AM8:$AS8)+SUMIF($CS$178:$CV$178,CQ$178,$CS180:$CV180)</f>
        <v>0</v>
      </c>
      <c r="CR180" s="520">
        <f>GEN!AU8</f>
        <v>0</v>
      </c>
      <c r="CS180" s="228">
        <f>GEN!AV8</f>
        <v>0</v>
      </c>
      <c r="CT180" s="229">
        <f>GEN!AW8</f>
        <v>0</v>
      </c>
      <c r="CU180" s="230">
        <f>GEN!AX8</f>
        <v>0</v>
      </c>
      <c r="CV180" s="231">
        <f>GEN!AY8</f>
        <v>0</v>
      </c>
      <c r="CW180" s="520">
        <f>SUM(GEN!AU8:AY8)</f>
        <v>0</v>
      </c>
      <c r="CX180" s="520">
        <f>GEN!AK8</f>
        <v>0</v>
      </c>
      <c r="CY180" s="2"/>
    </row>
    <row r="181" spans="1:103" ht="14.25" hidden="1" customHeight="1" x14ac:dyDescent="0.2">
      <c r="A181" s="2"/>
      <c r="B181" s="105">
        <f t="shared" ref="B181:B244" si="35">E181</f>
        <v>45293</v>
      </c>
      <c r="C181" s="146">
        <f>IF(AND(E181&gt;(E$557-1),E181&lt;(I$557+1)),W$551,IF(ISERROR(HLOOKUP(E181,$E$550:$L$550,1,FALSE)),HLOOKUP(WEEKDAY(E181,2),IMPOSTAZIONI!$C$52:$P$57,6,FALSE),$W$550))</f>
        <v>0</v>
      </c>
      <c r="D181" s="71" t="str">
        <f t="shared" ref="D181:D244" si="36">IF(C181="L",MONTH(E181),"")</f>
        <v/>
      </c>
      <c r="E181" s="2258">
        <f>E180+1</f>
        <v>45293</v>
      </c>
      <c r="F181" s="2259"/>
      <c r="G181" s="2228">
        <f>GEN!E9</f>
        <v>0</v>
      </c>
      <c r="H181" s="2229"/>
      <c r="I181" s="2230"/>
      <c r="J181" s="262" t="str">
        <f t="shared" si="25"/>
        <v/>
      </c>
      <c r="K181" s="263"/>
      <c r="L181" s="2233">
        <f t="shared" ref="L181:L186" si="37">IF(OR(WEEKDAY(E181,2)=1,L180=1),1,0)</f>
        <v>1</v>
      </c>
      <c r="M181" s="2234"/>
      <c r="N181" s="261"/>
      <c r="O181" s="261"/>
      <c r="P181" s="261"/>
      <c r="Q181" s="2219">
        <f t="shared" ref="Q181:Q244" si="38">E181</f>
        <v>45293</v>
      </c>
      <c r="R181" s="2219"/>
      <c r="S181" s="261"/>
      <c r="T181" s="1173">
        <f t="shared" si="26"/>
        <v>0</v>
      </c>
      <c r="U181" s="261"/>
      <c r="V181" s="261"/>
      <c r="W181" s="261"/>
      <c r="X181" s="261"/>
      <c r="Y181" s="261"/>
      <c r="Z181" s="261"/>
      <c r="AA181" s="261"/>
      <c r="AB181" s="261"/>
      <c r="AC181" s="261"/>
      <c r="AD181" s="261"/>
      <c r="AE181" s="261"/>
      <c r="AF181" s="261"/>
      <c r="AG181" s="1173">
        <f t="shared" ref="AG181:AG244" si="39">IF(AND(L181&gt;(AG$176-1),L181&lt;(AG$177+1)),1,0)</f>
        <v>0</v>
      </c>
      <c r="AH181" s="61" t="str">
        <f t="shared" ref="AH181:AH244" si="40">IF(AK181=0,"",IF(AH$177=5,IF(AND(L181&gt;(AG$176-1),L181&lt;(AG$177+1)),"Y",""),""))</f>
        <v/>
      </c>
      <c r="AI181" s="89" t="e">
        <f t="shared" ref="AI181:AI244" si="41">IF(AND($L181&gt;(AI$177-1),$L181&lt;(AI$178+1)),$C181,0)</f>
        <v>#N/A</v>
      </c>
      <c r="AJ181" s="2"/>
      <c r="AK181" s="61">
        <f>IF(G181=G$547,0,IF(OR(G181&lt;&gt;0,CH181&lt;&gt;0,C181="L"),COUNTIF(AK$180:AK180,"&gt;0")+1,0))</f>
        <v>0</v>
      </c>
      <c r="AL181" s="61" t="str">
        <f t="shared" si="27"/>
        <v/>
      </c>
      <c r="AM181" s="61" t="e">
        <f t="shared" si="28"/>
        <v>#N/A</v>
      </c>
      <c r="AN181" s="89" t="e">
        <f t="shared" si="29"/>
        <v>#N/A</v>
      </c>
      <c r="AO181" s="230">
        <f>SUM(GEN!X9:AD9)-BD181+AY181</f>
        <v>0</v>
      </c>
      <c r="AP181" s="228">
        <f>SUMIF(GEN!$G$121:$M$121,AP$178,GEN!$P9:$V9)+SUMIF($AZ$178:$BC$178,AP$178,$AZ181:$BC181)</f>
        <v>0</v>
      </c>
      <c r="AQ181" s="229">
        <f>SUMIF(GEN!$G$121:$M$121,AQ$178,GEN!$P9:$V9)+SUMIF($AZ$178:$BC$178,AQ$178,$AZ181:$BC181)</f>
        <v>0</v>
      </c>
      <c r="AR181" s="230">
        <f>SUMIF(GEN!$G$121:$M$121,AR$178,GEN!$P9:$V9)+SUMIF($AZ$178:$BC$178,AR$178,$AZ181:$BC181)</f>
        <v>0</v>
      </c>
      <c r="AS181" s="230">
        <f>SUMIF(GEN!$G$121:$M$121,AS$178,GEN!$P9:$V9)+SUMIF($AZ$178:$BC$178,AS$178,$AZ181:$BC181)</f>
        <v>0</v>
      </c>
      <c r="AT181" s="230">
        <f>SUMIF(GEN!$G$121:$M$121,AT$178,GEN!$P9:$V9)+SUMIF($AZ$178:$BC$178,AT$178,$AZ181:$BC181)</f>
        <v>0</v>
      </c>
      <c r="AU181" s="230">
        <f>SUMIF(GEN!$G$121:$M$121,AU$178,GEN!$P9:$V9)+SUMIF($AZ$178:$BC$178,AU$178,$AZ181:$BC181)</f>
        <v>0</v>
      </c>
      <c r="AV181" s="230">
        <f>SUMIF(GEN!$G$121:$M$121,AV$178,GEN!$P9:$V9)+SUMIF($AZ$178:$BC$178,AV$178,$AZ181:$BC181)</f>
        <v>0</v>
      </c>
      <c r="AW181" s="230">
        <f>SUMIF(GEN!$G$121:$M$121,AW$178,GEN!$P9:$V9)+SUMIF($AZ$178:$BC$178,AW$178,$AZ181:$BC181)</f>
        <v>0</v>
      </c>
      <c r="AX181" s="231">
        <f>SUMIF(GEN!$G$121:$M$121,AX$178,GEN!$P9:$V9)+SUMIF($AZ$178:$BC$178,AX$178,$AZ181:$BC181)</f>
        <v>0</v>
      </c>
      <c r="AY181" s="232">
        <f>GEN!AF9</f>
        <v>0</v>
      </c>
      <c r="AZ181" s="228">
        <f>GEN!AG9</f>
        <v>0</v>
      </c>
      <c r="BA181" s="229">
        <f>GEN!AH9</f>
        <v>0</v>
      </c>
      <c r="BB181" s="230">
        <f>GEN!AI9</f>
        <v>0</v>
      </c>
      <c r="BC181" s="231">
        <f>GEN!AJ9</f>
        <v>0</v>
      </c>
      <c r="BD181" s="228">
        <f>SUMIF(GEN!$G$120:$M$120,"&gt;0",GEN!$X9:$AD9)</f>
        <v>0</v>
      </c>
      <c r="BE181" s="696"/>
      <c r="BF181" s="228">
        <f>SUMIF(GEN!$BA$6:$BG$6,BF$177,GEN!$BA9:$BG9)</f>
        <v>0</v>
      </c>
      <c r="BG181" s="229">
        <f>SUMIF(GEN!$BA$6:$BG$6,BG$177,GEN!$BA9:$BG9)</f>
        <v>0</v>
      </c>
      <c r="BH181" s="229">
        <f>SUMIF(GEN!$BA$6:$BG$6,BH$177,GEN!$BA9:$BG9)</f>
        <v>0</v>
      </c>
      <c r="BI181" s="229">
        <f>SUMIF(GEN!$BA$6:$BG$6,BI$177,GEN!$BA9:$BG9)</f>
        <v>0</v>
      </c>
      <c r="BJ181" s="229">
        <f>SUMIF(GEN!$BA$6:$BG$6,BJ$177,GEN!$BA9:$BG9)</f>
        <v>0</v>
      </c>
      <c r="BK181" s="229">
        <f>SUMIF(GEN!$BA$6:$BG$6,BK$177,GEN!$BA9:$BG9)</f>
        <v>0</v>
      </c>
      <c r="BL181" s="229">
        <f>SUMIF(GEN!$BA$6:$BG$6,BL$177,GEN!$BA9:$BG9)</f>
        <v>0</v>
      </c>
      <c r="BM181" s="229">
        <f>SUMIF(GEN!$BA$6:$BG$6,BM$177,GEN!$BA9:$BG9)</f>
        <v>0</v>
      </c>
      <c r="BN181" s="229">
        <f>SUMIF(GEN!$BA$6:$BG$6,BN$177,GEN!$BA9:$BG9)</f>
        <v>0</v>
      </c>
      <c r="BO181" s="231">
        <f>SUMIF(GEN!$BA$6:$BG$6,BO$177,GEN!$BA9:$BG9)</f>
        <v>0</v>
      </c>
      <c r="BP181" s="231">
        <f>SUMIF(GEN!$BA$6:$BG$6,BP$177,GEN!$BA9:$BG9)</f>
        <v>0</v>
      </c>
      <c r="BQ181" s="252"/>
      <c r="BR181" s="228">
        <f>SUMIF(GEN!$BA$5:$BG$5,BR$177,GEN!$BA9:$BG9)</f>
        <v>0</v>
      </c>
      <c r="BS181" s="229">
        <f>SUMIF(GEN!$BA$5:$BG$5,BS$177,GEN!$BA9:$BG9)</f>
        <v>0</v>
      </c>
      <c r="BT181" s="229">
        <f>SUMIF(GEN!$BA$5:$BG$5,BT$177,GEN!$BA9:$BG9)</f>
        <v>0</v>
      </c>
      <c r="BU181" s="229">
        <f>SUMIF(GEN!$BA$5:$BG$5,BU$177,GEN!$BA9:$BG9)</f>
        <v>0</v>
      </c>
      <c r="BV181" s="229">
        <f>SUMIF(GEN!$BA$5:$BG$5,BV$177,GEN!$BA9:$BG9)</f>
        <v>0</v>
      </c>
      <c r="BW181" s="229">
        <f>SUMIF(GEN!$BA$5:$BG$5,BW$177,GEN!$BA9:$BG9)</f>
        <v>0</v>
      </c>
      <c r="BX181" s="230">
        <f>SUMIF(GEN!$BA$5:$BG$5,BX$177,GEN!$BA9:$BG9)</f>
        <v>0</v>
      </c>
      <c r="BY181" s="998">
        <f>SUMIF(GEN!$BA$5:$BG$5,BY$177,GEN!$BA9:$BG9)</f>
        <v>0</v>
      </c>
      <c r="CB181" s="252"/>
      <c r="CC181" s="61" t="e">
        <f t="shared" si="30"/>
        <v>#N/A</v>
      </c>
      <c r="CD181" s="61">
        <f t="shared" si="31"/>
        <v>0</v>
      </c>
      <c r="CE181" s="105" t="str">
        <f t="shared" si="32"/>
        <v/>
      </c>
      <c r="CF181" s="61" t="e">
        <f t="shared" si="33"/>
        <v>#N/A</v>
      </c>
      <c r="CG181" s="61" t="e">
        <f t="shared" si="34"/>
        <v>#N/A</v>
      </c>
      <c r="CH181" s="521">
        <f>GEN!AL9-CW181+CR181</f>
        <v>0</v>
      </c>
      <c r="CI181" s="228">
        <f>SUMIF(GEN!$G$121:$M$121,CI$178,GEN!$AM9:$AS9)+SUMIF($CS$178:$CV$178,CI$178,$CS181:$CV181)</f>
        <v>0</v>
      </c>
      <c r="CJ181" s="229">
        <f>SUMIF(GEN!$G$121:$M$121,CJ$178,GEN!$AM9:$AS9)+SUMIF($CS$178:$CV$178,CJ$178,$CS181:$CV181)</f>
        <v>0</v>
      </c>
      <c r="CK181" s="230">
        <f>SUMIF(GEN!$G$121:$M$121,CK$178,GEN!$AM9:$AS9)+SUMIF($CS$178:$CV$178,CK$178,$CS181:$CV181)</f>
        <v>0</v>
      </c>
      <c r="CL181" s="230">
        <f>SUMIF(GEN!$G$121:$M$121,CL$178,GEN!$AM9:$AS9)+SUMIF($CS$178:$CV$178,CL$178,$CS181:$CV181)</f>
        <v>0</v>
      </c>
      <c r="CM181" s="230">
        <f>SUMIF(GEN!$G$121:$M$121,CM$178,GEN!$AM9:$AS9)+SUMIF($CS$178:$CV$178,CM$178,$CS181:$CV181)</f>
        <v>0</v>
      </c>
      <c r="CN181" s="230">
        <f>SUMIF(GEN!$G$121:$M$121,CN$178,GEN!$AM9:$AS9)+SUMIF($CS$178:$CV$178,CN$178,$CS181:$CV181)</f>
        <v>0</v>
      </c>
      <c r="CO181" s="230">
        <f>SUMIF(GEN!$G$121:$M$121,CO$178,GEN!$AM9:$AS9)+SUMIF($CS$178:$CV$178,CO$178,$CS181:$CV181)</f>
        <v>0</v>
      </c>
      <c r="CP181" s="230">
        <f>SUMIF(GEN!$G$121:$M$121,CP$178,GEN!$AM9:$AS9)+SUMIF($CS$178:$CV$178,CP$178,$CS181:$CV181)</f>
        <v>0</v>
      </c>
      <c r="CQ181" s="231">
        <f>SUMIF(GEN!$G$121:$M$121,CQ$178,GEN!$AM9:$AS9)+SUMIF($CS$178:$CV$178,CQ$178,$CS181:$CV181)</f>
        <v>0</v>
      </c>
      <c r="CR181" s="521">
        <f>GEN!AU9</f>
        <v>0</v>
      </c>
      <c r="CS181" s="228">
        <f>GEN!AV9</f>
        <v>0</v>
      </c>
      <c r="CT181" s="229">
        <f>GEN!AW9</f>
        <v>0</v>
      </c>
      <c r="CU181" s="230">
        <f>GEN!AX9</f>
        <v>0</v>
      </c>
      <c r="CV181" s="231">
        <f>GEN!AY9</f>
        <v>0</v>
      </c>
      <c r="CW181" s="521">
        <f>SUM(GEN!AU9:AY9)</f>
        <v>0</v>
      </c>
      <c r="CX181" s="521">
        <f>GEN!AK9</f>
        <v>0</v>
      </c>
      <c r="CY181" s="2"/>
    </row>
    <row r="182" spans="1:103" ht="14.25" hidden="1" customHeight="1" x14ac:dyDescent="0.2">
      <c r="A182" s="2"/>
      <c r="B182" s="105">
        <f t="shared" si="35"/>
        <v>45294</v>
      </c>
      <c r="C182" s="146">
        <f>IF(AND(E182&gt;(E$557-1),E182&lt;(I$557+1)),W$551,IF(ISERROR(HLOOKUP(E182,$E$550:$L$550,1,FALSE)),HLOOKUP(WEEKDAY(E182,2),IMPOSTAZIONI!$C$52:$P$57,6,FALSE),$W$550))</f>
        <v>0</v>
      </c>
      <c r="D182" s="71" t="str">
        <f t="shared" si="36"/>
        <v/>
      </c>
      <c r="E182" s="2258">
        <f t="shared" ref="E182:E245" si="42">E181+1</f>
        <v>45294</v>
      </c>
      <c r="F182" s="2259"/>
      <c r="G182" s="2228">
        <f>GEN!E10</f>
        <v>0</v>
      </c>
      <c r="H182" s="2229"/>
      <c r="I182" s="2230"/>
      <c r="J182" s="262" t="str">
        <f t="shared" si="25"/>
        <v/>
      </c>
      <c r="K182" s="263"/>
      <c r="L182" s="2233">
        <f t="shared" si="37"/>
        <v>1</v>
      </c>
      <c r="M182" s="2234"/>
      <c r="N182" s="261"/>
      <c r="O182" s="261"/>
      <c r="P182" s="261"/>
      <c r="Q182" s="2219">
        <f t="shared" si="38"/>
        <v>45294</v>
      </c>
      <c r="R182" s="2219"/>
      <c r="S182" s="261"/>
      <c r="T182" s="1173">
        <f t="shared" si="26"/>
        <v>0</v>
      </c>
      <c r="U182" s="261"/>
      <c r="V182" s="261"/>
      <c r="W182" s="261"/>
      <c r="X182" s="261"/>
      <c r="Y182" s="261"/>
      <c r="Z182" s="261"/>
      <c r="AA182" s="261"/>
      <c r="AB182" s="261"/>
      <c r="AC182" s="261"/>
      <c r="AD182" s="261"/>
      <c r="AE182" s="261"/>
      <c r="AF182" s="261"/>
      <c r="AG182" s="1173">
        <f t="shared" si="39"/>
        <v>0</v>
      </c>
      <c r="AH182" s="61" t="str">
        <f t="shared" si="40"/>
        <v/>
      </c>
      <c r="AI182" s="89" t="e">
        <f t="shared" si="41"/>
        <v>#N/A</v>
      </c>
      <c r="AJ182" s="2"/>
      <c r="AK182" s="61">
        <f>IF(G182=G$547,0,IF(OR(G182&lt;&gt;0,CH182&lt;&gt;0,C182="L"),COUNTIF(AK$180:AK181,"&gt;0")+1,0))</f>
        <v>0</v>
      </c>
      <c r="AL182" s="61" t="str">
        <f t="shared" si="27"/>
        <v/>
      </c>
      <c r="AM182" s="61" t="e">
        <f t="shared" si="28"/>
        <v>#N/A</v>
      </c>
      <c r="AN182" s="89" t="e">
        <f t="shared" si="29"/>
        <v>#N/A</v>
      </c>
      <c r="AO182" s="230">
        <f>SUM(GEN!X10:AD10)-BD182+AY182</f>
        <v>0</v>
      </c>
      <c r="AP182" s="228">
        <f>SUMIF(GEN!$G$121:$M$121,AP$178,GEN!$P10:$V10)+SUMIF($AZ$178:$BC$178,AP$178,$AZ182:$BC182)</f>
        <v>0</v>
      </c>
      <c r="AQ182" s="229">
        <f>SUMIF(GEN!$G$121:$M$121,AQ$178,GEN!$P10:$V10)+SUMIF($AZ$178:$BC$178,AQ$178,$AZ182:$BC182)</f>
        <v>0</v>
      </c>
      <c r="AR182" s="230">
        <f>SUMIF(GEN!$G$121:$M$121,AR$178,GEN!$P10:$V10)+SUMIF($AZ$178:$BC$178,AR$178,$AZ182:$BC182)</f>
        <v>0</v>
      </c>
      <c r="AS182" s="230">
        <f>SUMIF(GEN!$G$121:$M$121,AS$178,GEN!$P10:$V10)+SUMIF($AZ$178:$BC$178,AS$178,$AZ182:$BC182)</f>
        <v>0</v>
      </c>
      <c r="AT182" s="230">
        <f>SUMIF(GEN!$G$121:$M$121,AT$178,GEN!$P10:$V10)+SUMIF($AZ$178:$BC$178,AT$178,$AZ182:$BC182)</f>
        <v>0</v>
      </c>
      <c r="AU182" s="230">
        <f>SUMIF(GEN!$G$121:$M$121,AU$178,GEN!$P10:$V10)+SUMIF($AZ$178:$BC$178,AU$178,$AZ182:$BC182)</f>
        <v>0</v>
      </c>
      <c r="AV182" s="230">
        <f>SUMIF(GEN!$G$121:$M$121,AV$178,GEN!$P10:$V10)+SUMIF($AZ$178:$BC$178,AV$178,$AZ182:$BC182)</f>
        <v>0</v>
      </c>
      <c r="AW182" s="230">
        <f>SUMIF(GEN!$G$121:$M$121,AW$178,GEN!$P10:$V10)+SUMIF($AZ$178:$BC$178,AW$178,$AZ182:$BC182)</f>
        <v>0</v>
      </c>
      <c r="AX182" s="231">
        <f>SUMIF(GEN!$G$121:$M$121,AX$178,GEN!$P10:$V10)+SUMIF($AZ$178:$BC$178,AX$178,$AZ182:$BC182)</f>
        <v>0</v>
      </c>
      <c r="AY182" s="232">
        <f>GEN!AF10</f>
        <v>0</v>
      </c>
      <c r="AZ182" s="228">
        <f>GEN!AG10</f>
        <v>0</v>
      </c>
      <c r="BA182" s="229">
        <f>GEN!AH10</f>
        <v>0</v>
      </c>
      <c r="BB182" s="230">
        <f>GEN!AI10</f>
        <v>0</v>
      </c>
      <c r="BC182" s="231">
        <f>GEN!AJ10</f>
        <v>0</v>
      </c>
      <c r="BD182" s="228">
        <f>SUMIF(GEN!$G$120:$M$120,"&gt;0",GEN!$X10:$AD10)</f>
        <v>0</v>
      </c>
      <c r="BE182" s="696"/>
      <c r="BF182" s="228">
        <f>SUMIF(GEN!$BA$6:$BG$6,BF$177,GEN!$BA10:$BG10)</f>
        <v>0</v>
      </c>
      <c r="BG182" s="229">
        <f>SUMIF(GEN!$BA$6:$BG$6,BG$177,GEN!$BA10:$BG10)</f>
        <v>0</v>
      </c>
      <c r="BH182" s="229">
        <f>SUMIF(GEN!$BA$6:$BG$6,BH$177,GEN!$BA10:$BG10)</f>
        <v>0</v>
      </c>
      <c r="BI182" s="229">
        <f>SUMIF(GEN!$BA$6:$BG$6,BI$177,GEN!$BA10:$BG10)</f>
        <v>0</v>
      </c>
      <c r="BJ182" s="229">
        <f>SUMIF(GEN!$BA$6:$BG$6,BJ$177,GEN!$BA10:$BG10)</f>
        <v>0</v>
      </c>
      <c r="BK182" s="229">
        <f>SUMIF(GEN!$BA$6:$BG$6,BK$177,GEN!$BA10:$BG10)</f>
        <v>0</v>
      </c>
      <c r="BL182" s="229">
        <f>SUMIF(GEN!$BA$6:$BG$6,BL$177,GEN!$BA10:$BG10)</f>
        <v>0</v>
      </c>
      <c r="BM182" s="229">
        <f>SUMIF(GEN!$BA$6:$BG$6,BM$177,GEN!$BA10:$BG10)</f>
        <v>0</v>
      </c>
      <c r="BN182" s="229">
        <f>SUMIF(GEN!$BA$6:$BG$6,BN$177,GEN!$BA10:$BG10)</f>
        <v>0</v>
      </c>
      <c r="BO182" s="231">
        <f>SUMIF(GEN!$BA$6:$BG$6,BO$177,GEN!$BA10:$BG10)</f>
        <v>0</v>
      </c>
      <c r="BP182" s="231">
        <f>SUMIF(GEN!$BA$6:$BG$6,BP$177,GEN!$BA10:$BG10)</f>
        <v>0</v>
      </c>
      <c r="BQ182" s="252"/>
      <c r="BR182" s="228">
        <f>SUMIF(GEN!$BA$5:$BG$5,BR$177,GEN!$BA10:$BG10)</f>
        <v>0</v>
      </c>
      <c r="BS182" s="229">
        <f>SUMIF(GEN!$BA$5:$BG$5,BS$177,GEN!$BA10:$BG10)</f>
        <v>0</v>
      </c>
      <c r="BT182" s="229">
        <f>SUMIF(GEN!$BA$5:$BG$5,BT$177,GEN!$BA10:$BG10)</f>
        <v>0</v>
      </c>
      <c r="BU182" s="229">
        <f>SUMIF(GEN!$BA$5:$BG$5,BU$177,GEN!$BA10:$BG10)</f>
        <v>0</v>
      </c>
      <c r="BV182" s="229">
        <f>SUMIF(GEN!$BA$5:$BG$5,BV$177,GEN!$BA10:$BG10)</f>
        <v>0</v>
      </c>
      <c r="BW182" s="229">
        <f>SUMIF(GEN!$BA$5:$BG$5,BW$177,GEN!$BA10:$BG10)</f>
        <v>0</v>
      </c>
      <c r="BX182" s="230">
        <f>SUMIF(GEN!$BA$5:$BG$5,BX$177,GEN!$BA10:$BG10)</f>
        <v>0</v>
      </c>
      <c r="BY182" s="998">
        <f>SUMIF(GEN!$BA$5:$BG$5,BY$177,GEN!$BA10:$BG10)</f>
        <v>0</v>
      </c>
      <c r="CB182" s="252"/>
      <c r="CC182" s="61" t="e">
        <f t="shared" si="30"/>
        <v>#N/A</v>
      </c>
      <c r="CD182" s="61">
        <f t="shared" si="31"/>
        <v>0</v>
      </c>
      <c r="CE182" s="105" t="str">
        <f t="shared" si="32"/>
        <v/>
      </c>
      <c r="CF182" s="61" t="e">
        <f t="shared" si="33"/>
        <v>#N/A</v>
      </c>
      <c r="CG182" s="61" t="e">
        <f t="shared" si="34"/>
        <v>#N/A</v>
      </c>
      <c r="CH182" s="521">
        <f>GEN!AL10-CW182+CR182</f>
        <v>0</v>
      </c>
      <c r="CI182" s="228">
        <f>SUMIF(GEN!$G$121:$M$121,CI$178,GEN!$AM10:$AS10)+SUMIF($CS$178:$CV$178,CI$178,$CS182:$CV182)</f>
        <v>0</v>
      </c>
      <c r="CJ182" s="229">
        <f>SUMIF(GEN!$G$121:$M$121,CJ$178,GEN!$AM10:$AS10)+SUMIF($CS$178:$CV$178,CJ$178,$CS182:$CV182)</f>
        <v>0</v>
      </c>
      <c r="CK182" s="230">
        <f>SUMIF(GEN!$G$121:$M$121,CK$178,GEN!$AM10:$AS10)+SUMIF($CS$178:$CV$178,CK$178,$CS182:$CV182)</f>
        <v>0</v>
      </c>
      <c r="CL182" s="230">
        <f>SUMIF(GEN!$G$121:$M$121,CL$178,GEN!$AM10:$AS10)+SUMIF($CS$178:$CV$178,CL$178,$CS182:$CV182)</f>
        <v>0</v>
      </c>
      <c r="CM182" s="230">
        <f>SUMIF(GEN!$G$121:$M$121,CM$178,GEN!$AM10:$AS10)+SUMIF($CS$178:$CV$178,CM$178,$CS182:$CV182)</f>
        <v>0</v>
      </c>
      <c r="CN182" s="230">
        <f>SUMIF(GEN!$G$121:$M$121,CN$178,GEN!$AM10:$AS10)+SUMIF($CS$178:$CV$178,CN$178,$CS182:$CV182)</f>
        <v>0</v>
      </c>
      <c r="CO182" s="230">
        <f>SUMIF(GEN!$G$121:$M$121,CO$178,GEN!$AM10:$AS10)+SUMIF($CS$178:$CV$178,CO$178,$CS182:$CV182)</f>
        <v>0</v>
      </c>
      <c r="CP182" s="230">
        <f>SUMIF(GEN!$G$121:$M$121,CP$178,GEN!$AM10:$AS10)+SUMIF($CS$178:$CV$178,CP$178,$CS182:$CV182)</f>
        <v>0</v>
      </c>
      <c r="CQ182" s="231">
        <f>SUMIF(GEN!$G$121:$M$121,CQ$178,GEN!$AM10:$AS10)+SUMIF($CS$178:$CV$178,CQ$178,$CS182:$CV182)</f>
        <v>0</v>
      </c>
      <c r="CR182" s="521">
        <f>GEN!AU10</f>
        <v>0</v>
      </c>
      <c r="CS182" s="228">
        <f>GEN!AV10</f>
        <v>0</v>
      </c>
      <c r="CT182" s="229">
        <f>GEN!AW10</f>
        <v>0</v>
      </c>
      <c r="CU182" s="230">
        <f>GEN!AX10</f>
        <v>0</v>
      </c>
      <c r="CV182" s="231">
        <f>GEN!AY10</f>
        <v>0</v>
      </c>
      <c r="CW182" s="521">
        <f>SUM(GEN!AU10:AY10)</f>
        <v>0</v>
      </c>
      <c r="CX182" s="521">
        <f>GEN!AK10</f>
        <v>0</v>
      </c>
      <c r="CY182" s="2"/>
    </row>
    <row r="183" spans="1:103" ht="14.25" hidden="1" customHeight="1" x14ac:dyDescent="0.2">
      <c r="A183" s="2"/>
      <c r="B183" s="105">
        <f t="shared" si="35"/>
        <v>45295</v>
      </c>
      <c r="C183" s="146">
        <f>IF(AND(E183&gt;(E$557-1),E183&lt;(I$557+1)),W$551,IF(ISERROR(HLOOKUP(E183,$E$550:$L$550,1,FALSE)),HLOOKUP(WEEKDAY(E183,2),IMPOSTAZIONI!$C$52:$P$57,6,FALSE),$W$550))</f>
        <v>0</v>
      </c>
      <c r="D183" s="71" t="str">
        <f t="shared" si="36"/>
        <v/>
      </c>
      <c r="E183" s="2258">
        <f t="shared" si="42"/>
        <v>45295</v>
      </c>
      <c r="F183" s="2259"/>
      <c r="G183" s="2228">
        <f>GEN!E11</f>
        <v>0</v>
      </c>
      <c r="H183" s="2229"/>
      <c r="I183" s="2230"/>
      <c r="J183" s="262" t="str">
        <f t="shared" si="25"/>
        <v/>
      </c>
      <c r="K183" s="263"/>
      <c r="L183" s="2233">
        <f t="shared" si="37"/>
        <v>1</v>
      </c>
      <c r="M183" s="2234"/>
      <c r="N183" s="261"/>
      <c r="O183" s="261"/>
      <c r="P183" s="261"/>
      <c r="Q183" s="2219">
        <f t="shared" si="38"/>
        <v>45295</v>
      </c>
      <c r="R183" s="2219"/>
      <c r="S183" s="261"/>
      <c r="T183" s="1173">
        <f t="shared" si="26"/>
        <v>0</v>
      </c>
      <c r="U183" s="261"/>
      <c r="V183" s="261"/>
      <c r="W183" s="261"/>
      <c r="X183" s="261"/>
      <c r="Y183" s="261"/>
      <c r="Z183" s="261"/>
      <c r="AA183" s="261"/>
      <c r="AB183" s="261"/>
      <c r="AC183" s="261"/>
      <c r="AD183" s="261"/>
      <c r="AE183" s="261"/>
      <c r="AF183" s="261"/>
      <c r="AG183" s="1173">
        <f t="shared" si="39"/>
        <v>0</v>
      </c>
      <c r="AH183" s="61" t="str">
        <f t="shared" si="40"/>
        <v/>
      </c>
      <c r="AI183" s="89" t="e">
        <f t="shared" si="41"/>
        <v>#N/A</v>
      </c>
      <c r="AJ183" s="2"/>
      <c r="AK183" s="61">
        <f>IF(G183=G$547,0,IF(OR(G183&lt;&gt;0,CH183&lt;&gt;0,C183="L"),COUNTIF(AK$180:AK182,"&gt;0")+1,0))</f>
        <v>0</v>
      </c>
      <c r="AL183" s="61" t="str">
        <f t="shared" si="27"/>
        <v/>
      </c>
      <c r="AM183" s="61" t="e">
        <f t="shared" si="28"/>
        <v>#N/A</v>
      </c>
      <c r="AN183" s="89" t="e">
        <f t="shared" si="29"/>
        <v>#N/A</v>
      </c>
      <c r="AO183" s="230">
        <f>SUM(GEN!X11:AD11)-BD183+AY183</f>
        <v>0</v>
      </c>
      <c r="AP183" s="228">
        <f>SUMIF(GEN!$G$121:$M$121,AP$178,GEN!$P11:$V11)+SUMIF($AZ$178:$BC$178,AP$178,$AZ183:$BC183)</f>
        <v>0</v>
      </c>
      <c r="AQ183" s="229">
        <f>SUMIF(GEN!$G$121:$M$121,AQ$178,GEN!$P11:$V11)+SUMIF($AZ$178:$BC$178,AQ$178,$AZ183:$BC183)</f>
        <v>0</v>
      </c>
      <c r="AR183" s="230">
        <f>SUMIF(GEN!$G$121:$M$121,AR$178,GEN!$P11:$V11)+SUMIF($AZ$178:$BC$178,AR$178,$AZ183:$BC183)</f>
        <v>0</v>
      </c>
      <c r="AS183" s="230">
        <f>SUMIF(GEN!$G$121:$M$121,AS$178,GEN!$P11:$V11)+SUMIF($AZ$178:$BC$178,AS$178,$AZ183:$BC183)</f>
        <v>0</v>
      </c>
      <c r="AT183" s="230">
        <f>SUMIF(GEN!$G$121:$M$121,AT$178,GEN!$P11:$V11)+SUMIF($AZ$178:$BC$178,AT$178,$AZ183:$BC183)</f>
        <v>0</v>
      </c>
      <c r="AU183" s="230">
        <f>SUMIF(GEN!$G$121:$M$121,AU$178,GEN!$P11:$V11)+SUMIF($AZ$178:$BC$178,AU$178,$AZ183:$BC183)</f>
        <v>0</v>
      </c>
      <c r="AV183" s="230">
        <f>SUMIF(GEN!$G$121:$M$121,AV$178,GEN!$P11:$V11)+SUMIF($AZ$178:$BC$178,AV$178,$AZ183:$BC183)</f>
        <v>0</v>
      </c>
      <c r="AW183" s="230">
        <f>SUMIF(GEN!$G$121:$M$121,AW$178,GEN!$P11:$V11)+SUMIF($AZ$178:$BC$178,AW$178,$AZ183:$BC183)</f>
        <v>0</v>
      </c>
      <c r="AX183" s="231">
        <f>SUMIF(GEN!$G$121:$M$121,AX$178,GEN!$P11:$V11)+SUMIF($AZ$178:$BC$178,AX$178,$AZ183:$BC183)</f>
        <v>0</v>
      </c>
      <c r="AY183" s="232">
        <f>GEN!AF11</f>
        <v>0</v>
      </c>
      <c r="AZ183" s="228">
        <f>GEN!AG11</f>
        <v>0</v>
      </c>
      <c r="BA183" s="229">
        <f>GEN!AH11</f>
        <v>0</v>
      </c>
      <c r="BB183" s="230">
        <f>GEN!AI11</f>
        <v>0</v>
      </c>
      <c r="BC183" s="231">
        <f>GEN!AJ11</f>
        <v>0</v>
      </c>
      <c r="BD183" s="228">
        <f>SUMIF(GEN!$G$120:$M$120,"&gt;0",GEN!$X11:$AD11)</f>
        <v>0</v>
      </c>
      <c r="BE183" s="696"/>
      <c r="BF183" s="228">
        <f>SUMIF(GEN!$BA$6:$BG$6,BF$177,GEN!$BA11:$BG11)</f>
        <v>0</v>
      </c>
      <c r="BG183" s="229">
        <f>SUMIF(GEN!$BA$6:$BG$6,BG$177,GEN!$BA11:$BG11)</f>
        <v>0</v>
      </c>
      <c r="BH183" s="229">
        <f>SUMIF(GEN!$BA$6:$BG$6,BH$177,GEN!$BA11:$BG11)</f>
        <v>0</v>
      </c>
      <c r="BI183" s="229">
        <f>SUMIF(GEN!$BA$6:$BG$6,BI$177,GEN!$BA11:$BG11)</f>
        <v>0</v>
      </c>
      <c r="BJ183" s="229">
        <f>SUMIF(GEN!$BA$6:$BG$6,BJ$177,GEN!$BA11:$BG11)</f>
        <v>0</v>
      </c>
      <c r="BK183" s="229">
        <f>SUMIF(GEN!$BA$6:$BG$6,BK$177,GEN!$BA11:$BG11)</f>
        <v>0</v>
      </c>
      <c r="BL183" s="229">
        <f>SUMIF(GEN!$BA$6:$BG$6,BL$177,GEN!$BA11:$BG11)</f>
        <v>0</v>
      </c>
      <c r="BM183" s="229">
        <f>SUMIF(GEN!$BA$6:$BG$6,BM$177,GEN!$BA11:$BG11)</f>
        <v>0</v>
      </c>
      <c r="BN183" s="229">
        <f>SUMIF(GEN!$BA$6:$BG$6,BN$177,GEN!$BA11:$BG11)</f>
        <v>0</v>
      </c>
      <c r="BO183" s="231">
        <f>SUMIF(GEN!$BA$6:$BG$6,BO$177,GEN!$BA11:$BG11)</f>
        <v>0</v>
      </c>
      <c r="BP183" s="231">
        <f>SUMIF(GEN!$BA$6:$BG$6,BP$177,GEN!$BA11:$BG11)</f>
        <v>0</v>
      </c>
      <c r="BQ183" s="252"/>
      <c r="BR183" s="228">
        <f>SUMIF(GEN!$BA$5:$BG$5,BR$177,GEN!$BA11:$BG11)</f>
        <v>0</v>
      </c>
      <c r="BS183" s="229">
        <f>SUMIF(GEN!$BA$5:$BG$5,BS$177,GEN!$BA11:$BG11)</f>
        <v>0</v>
      </c>
      <c r="BT183" s="229">
        <f>SUMIF(GEN!$BA$5:$BG$5,BT$177,GEN!$BA11:$BG11)</f>
        <v>0</v>
      </c>
      <c r="BU183" s="229">
        <f>SUMIF(GEN!$BA$5:$BG$5,BU$177,GEN!$BA11:$BG11)</f>
        <v>0</v>
      </c>
      <c r="BV183" s="229">
        <f>SUMIF(GEN!$BA$5:$BG$5,BV$177,GEN!$BA11:$BG11)</f>
        <v>0</v>
      </c>
      <c r="BW183" s="229">
        <f>SUMIF(GEN!$BA$5:$BG$5,BW$177,GEN!$BA11:$BG11)</f>
        <v>0</v>
      </c>
      <c r="BX183" s="230">
        <f>SUMIF(GEN!$BA$5:$BG$5,BX$177,GEN!$BA11:$BG11)</f>
        <v>0</v>
      </c>
      <c r="BY183" s="998">
        <f>SUMIF(GEN!$BA$5:$BG$5,BY$177,GEN!$BA11:$BG11)</f>
        <v>0</v>
      </c>
      <c r="CB183" s="252"/>
      <c r="CC183" s="61" t="e">
        <f t="shared" si="30"/>
        <v>#N/A</v>
      </c>
      <c r="CD183" s="61">
        <f t="shared" si="31"/>
        <v>0</v>
      </c>
      <c r="CE183" s="105" t="str">
        <f t="shared" si="32"/>
        <v/>
      </c>
      <c r="CF183" s="61" t="e">
        <f t="shared" si="33"/>
        <v>#N/A</v>
      </c>
      <c r="CG183" s="61" t="e">
        <f t="shared" si="34"/>
        <v>#N/A</v>
      </c>
      <c r="CH183" s="521">
        <f>GEN!AL11-CW183+CR183</f>
        <v>0</v>
      </c>
      <c r="CI183" s="228">
        <f>SUMIF(GEN!$G$121:$M$121,CI$178,GEN!$AM11:$AS11)+SUMIF($CS$178:$CV$178,CI$178,$CS183:$CV183)</f>
        <v>0</v>
      </c>
      <c r="CJ183" s="229">
        <f>SUMIF(GEN!$G$121:$M$121,CJ$178,GEN!$AM11:$AS11)+SUMIF($CS$178:$CV$178,CJ$178,$CS183:$CV183)</f>
        <v>0</v>
      </c>
      <c r="CK183" s="230">
        <f>SUMIF(GEN!$G$121:$M$121,CK$178,GEN!$AM11:$AS11)+SUMIF($CS$178:$CV$178,CK$178,$CS183:$CV183)</f>
        <v>0</v>
      </c>
      <c r="CL183" s="230">
        <f>SUMIF(GEN!$G$121:$M$121,CL$178,GEN!$AM11:$AS11)+SUMIF($CS$178:$CV$178,CL$178,$CS183:$CV183)</f>
        <v>0</v>
      </c>
      <c r="CM183" s="230">
        <f>SUMIF(GEN!$G$121:$M$121,CM$178,GEN!$AM11:$AS11)+SUMIF($CS$178:$CV$178,CM$178,$CS183:$CV183)</f>
        <v>0</v>
      </c>
      <c r="CN183" s="230">
        <f>SUMIF(GEN!$G$121:$M$121,CN$178,GEN!$AM11:$AS11)+SUMIF($CS$178:$CV$178,CN$178,$CS183:$CV183)</f>
        <v>0</v>
      </c>
      <c r="CO183" s="230">
        <f>SUMIF(GEN!$G$121:$M$121,CO$178,GEN!$AM11:$AS11)+SUMIF($CS$178:$CV$178,CO$178,$CS183:$CV183)</f>
        <v>0</v>
      </c>
      <c r="CP183" s="230">
        <f>SUMIF(GEN!$G$121:$M$121,CP$178,GEN!$AM11:$AS11)+SUMIF($CS$178:$CV$178,CP$178,$CS183:$CV183)</f>
        <v>0</v>
      </c>
      <c r="CQ183" s="231">
        <f>SUMIF(GEN!$G$121:$M$121,CQ$178,GEN!$AM11:$AS11)+SUMIF($CS$178:$CV$178,CQ$178,$CS183:$CV183)</f>
        <v>0</v>
      </c>
      <c r="CR183" s="521">
        <f>GEN!AU11</f>
        <v>0</v>
      </c>
      <c r="CS183" s="228">
        <f>GEN!AV11</f>
        <v>0</v>
      </c>
      <c r="CT183" s="229">
        <f>GEN!AW11</f>
        <v>0</v>
      </c>
      <c r="CU183" s="230">
        <f>GEN!AX11</f>
        <v>0</v>
      </c>
      <c r="CV183" s="231">
        <f>GEN!AY11</f>
        <v>0</v>
      </c>
      <c r="CW183" s="521">
        <f>SUM(GEN!AU11:AY11)</f>
        <v>0</v>
      </c>
      <c r="CX183" s="521">
        <f>GEN!AK11</f>
        <v>0</v>
      </c>
      <c r="CY183" s="2"/>
    </row>
    <row r="184" spans="1:103" ht="14.25" hidden="1" customHeight="1" x14ac:dyDescent="0.2">
      <c r="A184" s="2"/>
      <c r="B184" s="105">
        <f t="shared" si="35"/>
        <v>45296</v>
      </c>
      <c r="C184" s="146">
        <f>IF(AND(E184&gt;(E$557-1),E184&lt;(I$557+1)),W$551,IF(ISERROR(HLOOKUP(E184,$E$550:$L$550,1,FALSE)),HLOOKUP(WEEKDAY(E184,2),IMPOSTAZIONI!$C$52:$P$57,6,FALSE),$W$550))</f>
        <v>0</v>
      </c>
      <c r="D184" s="71" t="str">
        <f t="shared" si="36"/>
        <v/>
      </c>
      <c r="E184" s="2258">
        <f t="shared" si="42"/>
        <v>45296</v>
      </c>
      <c r="F184" s="2259"/>
      <c r="G184" s="2228">
        <f>GEN!E12</f>
        <v>0</v>
      </c>
      <c r="H184" s="2229"/>
      <c r="I184" s="2230"/>
      <c r="J184" s="262" t="str">
        <f t="shared" si="25"/>
        <v/>
      </c>
      <c r="K184" s="263"/>
      <c r="L184" s="2233">
        <f t="shared" si="37"/>
        <v>1</v>
      </c>
      <c r="M184" s="2234"/>
      <c r="N184" s="261"/>
      <c r="O184" s="261"/>
      <c r="P184" s="261"/>
      <c r="Q184" s="2219">
        <f t="shared" si="38"/>
        <v>45296</v>
      </c>
      <c r="R184" s="2219"/>
      <c r="S184" s="261"/>
      <c r="T184" s="1173">
        <f t="shared" si="26"/>
        <v>0</v>
      </c>
      <c r="U184" s="261"/>
      <c r="V184" s="261"/>
      <c r="W184" s="261"/>
      <c r="X184" s="261"/>
      <c r="Y184" s="261"/>
      <c r="Z184" s="261"/>
      <c r="AA184" s="261"/>
      <c r="AB184" s="261"/>
      <c r="AC184" s="261"/>
      <c r="AD184" s="261"/>
      <c r="AE184" s="261"/>
      <c r="AF184" s="261"/>
      <c r="AG184" s="1173">
        <f t="shared" si="39"/>
        <v>0</v>
      </c>
      <c r="AH184" s="61" t="str">
        <f t="shared" si="40"/>
        <v/>
      </c>
      <c r="AI184" s="89" t="e">
        <f t="shared" si="41"/>
        <v>#N/A</v>
      </c>
      <c r="AJ184" s="2"/>
      <c r="AK184" s="61">
        <f>IF(G184=G$547,0,IF(OR(G184&lt;&gt;0,CH184&lt;&gt;0,C184="L"),COUNTIF(AK$180:AK183,"&gt;0")+1,0))</f>
        <v>0</v>
      </c>
      <c r="AL184" s="61" t="str">
        <f t="shared" si="27"/>
        <v/>
      </c>
      <c r="AM184" s="61" t="e">
        <f t="shared" si="28"/>
        <v>#N/A</v>
      </c>
      <c r="AN184" s="89" t="e">
        <f t="shared" si="29"/>
        <v>#N/A</v>
      </c>
      <c r="AO184" s="230">
        <f>SUM(GEN!X12:AD12)-BD184+AY184</f>
        <v>0</v>
      </c>
      <c r="AP184" s="228">
        <f>SUMIF(GEN!$G$121:$M$121,AP$178,GEN!$P12:$V12)+SUMIF($AZ$178:$BC$178,AP$178,$AZ184:$BC184)</f>
        <v>0</v>
      </c>
      <c r="AQ184" s="229">
        <f>SUMIF(GEN!$G$121:$M$121,AQ$178,GEN!$P12:$V12)+SUMIF($AZ$178:$BC$178,AQ$178,$AZ184:$BC184)</f>
        <v>0</v>
      </c>
      <c r="AR184" s="230">
        <f>SUMIF(GEN!$G$121:$M$121,AR$178,GEN!$P12:$V12)+SUMIF($AZ$178:$BC$178,AR$178,$AZ184:$BC184)</f>
        <v>0</v>
      </c>
      <c r="AS184" s="230">
        <f>SUMIF(GEN!$G$121:$M$121,AS$178,GEN!$P12:$V12)+SUMIF($AZ$178:$BC$178,AS$178,$AZ184:$BC184)</f>
        <v>0</v>
      </c>
      <c r="AT184" s="230">
        <f>SUMIF(GEN!$G$121:$M$121,AT$178,GEN!$P12:$V12)+SUMIF($AZ$178:$BC$178,AT$178,$AZ184:$BC184)</f>
        <v>0</v>
      </c>
      <c r="AU184" s="230">
        <f>SUMIF(GEN!$G$121:$M$121,AU$178,GEN!$P12:$V12)+SUMIF($AZ$178:$BC$178,AU$178,$AZ184:$BC184)</f>
        <v>0</v>
      </c>
      <c r="AV184" s="230">
        <f>SUMIF(GEN!$G$121:$M$121,AV$178,GEN!$P12:$V12)+SUMIF($AZ$178:$BC$178,AV$178,$AZ184:$BC184)</f>
        <v>0</v>
      </c>
      <c r="AW184" s="230">
        <f>SUMIF(GEN!$G$121:$M$121,AW$178,GEN!$P12:$V12)+SUMIF($AZ$178:$BC$178,AW$178,$AZ184:$BC184)</f>
        <v>0</v>
      </c>
      <c r="AX184" s="231">
        <f>SUMIF(GEN!$G$121:$M$121,AX$178,GEN!$P12:$V12)+SUMIF($AZ$178:$BC$178,AX$178,$AZ184:$BC184)</f>
        <v>0</v>
      </c>
      <c r="AY184" s="232">
        <f>GEN!AF12</f>
        <v>0</v>
      </c>
      <c r="AZ184" s="228">
        <f>GEN!AG12</f>
        <v>0</v>
      </c>
      <c r="BA184" s="229">
        <f>GEN!AH12</f>
        <v>0</v>
      </c>
      <c r="BB184" s="230">
        <f>GEN!AI12</f>
        <v>0</v>
      </c>
      <c r="BC184" s="231">
        <f>GEN!AJ12</f>
        <v>0</v>
      </c>
      <c r="BD184" s="228">
        <f>SUMIF(GEN!$G$120:$M$120,"&gt;0",GEN!$X12:$AD12)</f>
        <v>0</v>
      </c>
      <c r="BE184" s="696"/>
      <c r="BF184" s="228">
        <f>SUMIF(GEN!$BA$6:$BG$6,BF$177,GEN!$BA12:$BG12)</f>
        <v>0</v>
      </c>
      <c r="BG184" s="229">
        <f>SUMIF(GEN!$BA$6:$BG$6,BG$177,GEN!$BA12:$BG12)</f>
        <v>0</v>
      </c>
      <c r="BH184" s="229">
        <f>SUMIF(GEN!$BA$6:$BG$6,BH$177,GEN!$BA12:$BG12)</f>
        <v>0</v>
      </c>
      <c r="BI184" s="229">
        <f>SUMIF(GEN!$BA$6:$BG$6,BI$177,GEN!$BA12:$BG12)</f>
        <v>0</v>
      </c>
      <c r="BJ184" s="229">
        <f>SUMIF(GEN!$BA$6:$BG$6,BJ$177,GEN!$BA12:$BG12)</f>
        <v>0</v>
      </c>
      <c r="BK184" s="229">
        <f>SUMIF(GEN!$BA$6:$BG$6,BK$177,GEN!$BA12:$BG12)</f>
        <v>0</v>
      </c>
      <c r="BL184" s="229">
        <f>SUMIF(GEN!$BA$6:$BG$6,BL$177,GEN!$BA12:$BG12)</f>
        <v>0</v>
      </c>
      <c r="BM184" s="229">
        <f>SUMIF(GEN!$BA$6:$BG$6,BM$177,GEN!$BA12:$BG12)</f>
        <v>0</v>
      </c>
      <c r="BN184" s="229">
        <f>SUMIF(GEN!$BA$6:$BG$6,BN$177,GEN!$BA12:$BG12)</f>
        <v>0</v>
      </c>
      <c r="BO184" s="231">
        <f>SUMIF(GEN!$BA$6:$BG$6,BO$177,GEN!$BA12:$BG12)</f>
        <v>0</v>
      </c>
      <c r="BP184" s="231">
        <f>SUMIF(GEN!$BA$6:$BG$6,BP$177,GEN!$BA12:$BG12)</f>
        <v>0</v>
      </c>
      <c r="BQ184" s="252"/>
      <c r="BR184" s="228">
        <f>SUMIF(GEN!$BA$5:$BG$5,BR$177,GEN!$BA12:$BG12)</f>
        <v>0</v>
      </c>
      <c r="BS184" s="229">
        <f>SUMIF(GEN!$BA$5:$BG$5,BS$177,GEN!$BA12:$BG12)</f>
        <v>0</v>
      </c>
      <c r="BT184" s="229">
        <f>SUMIF(GEN!$BA$5:$BG$5,BT$177,GEN!$BA12:$BG12)</f>
        <v>0</v>
      </c>
      <c r="BU184" s="229">
        <f>SUMIF(GEN!$BA$5:$BG$5,BU$177,GEN!$BA12:$BG12)</f>
        <v>0</v>
      </c>
      <c r="BV184" s="229">
        <f>SUMIF(GEN!$BA$5:$BG$5,BV$177,GEN!$BA12:$BG12)</f>
        <v>0</v>
      </c>
      <c r="BW184" s="229">
        <f>SUMIF(GEN!$BA$5:$BG$5,BW$177,GEN!$BA12:$BG12)</f>
        <v>0</v>
      </c>
      <c r="BX184" s="230">
        <f>SUMIF(GEN!$BA$5:$BG$5,BX$177,GEN!$BA12:$BG12)</f>
        <v>0</v>
      </c>
      <c r="BY184" s="998">
        <f>SUMIF(GEN!$BA$5:$BG$5,BY$177,GEN!$BA12:$BG12)</f>
        <v>0</v>
      </c>
      <c r="CB184" s="252"/>
      <c r="CC184" s="61" t="e">
        <f t="shared" si="30"/>
        <v>#N/A</v>
      </c>
      <c r="CD184" s="61">
        <f t="shared" si="31"/>
        <v>0</v>
      </c>
      <c r="CE184" s="105" t="str">
        <f t="shared" si="32"/>
        <v/>
      </c>
      <c r="CF184" s="61" t="e">
        <f t="shared" si="33"/>
        <v>#N/A</v>
      </c>
      <c r="CG184" s="61" t="e">
        <f t="shared" si="34"/>
        <v>#N/A</v>
      </c>
      <c r="CH184" s="521">
        <f>GEN!AL12-CW184+CR184</f>
        <v>0</v>
      </c>
      <c r="CI184" s="228">
        <f>SUMIF(GEN!$G$121:$M$121,CI$178,GEN!$AM12:$AS12)+SUMIF($CS$178:$CV$178,CI$178,$CS184:$CV184)</f>
        <v>0</v>
      </c>
      <c r="CJ184" s="229">
        <f>SUMIF(GEN!$G$121:$M$121,CJ$178,GEN!$AM12:$AS12)+SUMIF($CS$178:$CV$178,CJ$178,$CS184:$CV184)</f>
        <v>0</v>
      </c>
      <c r="CK184" s="230">
        <f>SUMIF(GEN!$G$121:$M$121,CK$178,GEN!$AM12:$AS12)+SUMIF($CS$178:$CV$178,CK$178,$CS184:$CV184)</f>
        <v>0</v>
      </c>
      <c r="CL184" s="230">
        <f>SUMIF(GEN!$G$121:$M$121,CL$178,GEN!$AM12:$AS12)+SUMIF($CS$178:$CV$178,CL$178,$CS184:$CV184)</f>
        <v>0</v>
      </c>
      <c r="CM184" s="230">
        <f>SUMIF(GEN!$G$121:$M$121,CM$178,GEN!$AM12:$AS12)+SUMIF($CS$178:$CV$178,CM$178,$CS184:$CV184)</f>
        <v>0</v>
      </c>
      <c r="CN184" s="230">
        <f>SUMIF(GEN!$G$121:$M$121,CN$178,GEN!$AM12:$AS12)+SUMIF($CS$178:$CV$178,CN$178,$CS184:$CV184)</f>
        <v>0</v>
      </c>
      <c r="CO184" s="230">
        <f>SUMIF(GEN!$G$121:$M$121,CO$178,GEN!$AM12:$AS12)+SUMIF($CS$178:$CV$178,CO$178,$CS184:$CV184)</f>
        <v>0</v>
      </c>
      <c r="CP184" s="230">
        <f>SUMIF(GEN!$G$121:$M$121,CP$178,GEN!$AM12:$AS12)+SUMIF($CS$178:$CV$178,CP$178,$CS184:$CV184)</f>
        <v>0</v>
      </c>
      <c r="CQ184" s="231">
        <f>SUMIF(GEN!$G$121:$M$121,CQ$178,GEN!$AM12:$AS12)+SUMIF($CS$178:$CV$178,CQ$178,$CS184:$CV184)</f>
        <v>0</v>
      </c>
      <c r="CR184" s="521">
        <f>GEN!AU12</f>
        <v>0</v>
      </c>
      <c r="CS184" s="228">
        <f>GEN!AV12</f>
        <v>0</v>
      </c>
      <c r="CT184" s="229">
        <f>GEN!AW12</f>
        <v>0</v>
      </c>
      <c r="CU184" s="230">
        <f>GEN!AX12</f>
        <v>0</v>
      </c>
      <c r="CV184" s="231">
        <f>GEN!AY12</f>
        <v>0</v>
      </c>
      <c r="CW184" s="521">
        <f>SUM(GEN!AU12:AY12)</f>
        <v>0</v>
      </c>
      <c r="CX184" s="521">
        <f>GEN!AK12</f>
        <v>0</v>
      </c>
      <c r="CY184" s="2"/>
    </row>
    <row r="185" spans="1:103" ht="14.25" hidden="1" customHeight="1" x14ac:dyDescent="0.2">
      <c r="A185" s="2"/>
      <c r="B185" s="105">
        <f t="shared" si="35"/>
        <v>45297</v>
      </c>
      <c r="C185" s="146">
        <f>IF(AND(E185&gt;(E$557-1),E185&lt;(I$557+1)),W$551,IF(ISERROR(HLOOKUP(E185,$E$550:$L$550,1,FALSE)),HLOOKUP(WEEKDAY(E185,2),IMPOSTAZIONI!$C$52:$P$57,6,FALSE),$W$550))</f>
        <v>0</v>
      </c>
      <c r="D185" s="71" t="str">
        <f t="shared" si="36"/>
        <v/>
      </c>
      <c r="E185" s="2258">
        <f t="shared" si="42"/>
        <v>45297</v>
      </c>
      <c r="F185" s="2259"/>
      <c r="G185" s="2228">
        <f>GEN!E13</f>
        <v>0</v>
      </c>
      <c r="H185" s="2229"/>
      <c r="I185" s="2230"/>
      <c r="J185" s="262" t="str">
        <f t="shared" si="25"/>
        <v/>
      </c>
      <c r="K185" s="263"/>
      <c r="L185" s="2233">
        <f t="shared" si="37"/>
        <v>1</v>
      </c>
      <c r="M185" s="2234"/>
      <c r="N185" s="261"/>
      <c r="O185" s="261"/>
      <c r="P185" s="261"/>
      <c r="Q185" s="2219">
        <f t="shared" si="38"/>
        <v>45297</v>
      </c>
      <c r="R185" s="2219"/>
      <c r="S185" s="261"/>
      <c r="T185" s="1173">
        <f t="shared" si="26"/>
        <v>0</v>
      </c>
      <c r="U185" s="261"/>
      <c r="V185" s="261"/>
      <c r="W185" s="261"/>
      <c r="X185" s="261"/>
      <c r="Y185" s="261"/>
      <c r="Z185" s="261"/>
      <c r="AA185" s="261"/>
      <c r="AB185" s="261"/>
      <c r="AC185" s="261"/>
      <c r="AD185" s="261"/>
      <c r="AE185" s="261"/>
      <c r="AF185" s="261"/>
      <c r="AG185" s="1173">
        <f t="shared" si="39"/>
        <v>0</v>
      </c>
      <c r="AH185" s="61" t="str">
        <f t="shared" si="40"/>
        <v/>
      </c>
      <c r="AI185" s="89" t="e">
        <f t="shared" si="41"/>
        <v>#N/A</v>
      </c>
      <c r="AJ185" s="2"/>
      <c r="AK185" s="61">
        <f>IF(G185=G$547,0,IF(OR(G185&lt;&gt;0,CH185&lt;&gt;0,C185="L"),COUNTIF(AK$180:AK184,"&gt;0")+1,0))</f>
        <v>0</v>
      </c>
      <c r="AL185" s="61" t="str">
        <f t="shared" si="27"/>
        <v/>
      </c>
      <c r="AM185" s="61" t="e">
        <f t="shared" si="28"/>
        <v>#N/A</v>
      </c>
      <c r="AN185" s="89" t="e">
        <f t="shared" si="29"/>
        <v>#N/A</v>
      </c>
      <c r="AO185" s="230">
        <f>SUM(GEN!X13:AD13)-BD185+AY185</f>
        <v>0</v>
      </c>
      <c r="AP185" s="228">
        <f>SUMIF(GEN!$G$121:$M$121,AP$178,GEN!$P13:$V13)+SUMIF($AZ$178:$BC$178,AP$178,$AZ185:$BC185)</f>
        <v>0</v>
      </c>
      <c r="AQ185" s="229">
        <f>SUMIF(GEN!$G$121:$M$121,AQ$178,GEN!$P13:$V13)+SUMIF($AZ$178:$BC$178,AQ$178,$AZ185:$BC185)</f>
        <v>0</v>
      </c>
      <c r="AR185" s="230">
        <f>SUMIF(GEN!$G$121:$M$121,AR$178,GEN!$P13:$V13)+SUMIF($AZ$178:$BC$178,AR$178,$AZ185:$BC185)</f>
        <v>0</v>
      </c>
      <c r="AS185" s="230">
        <f>SUMIF(GEN!$G$121:$M$121,AS$178,GEN!$P13:$V13)+SUMIF($AZ$178:$BC$178,AS$178,$AZ185:$BC185)</f>
        <v>0</v>
      </c>
      <c r="AT185" s="230">
        <f>SUMIF(GEN!$G$121:$M$121,AT$178,GEN!$P13:$V13)+SUMIF($AZ$178:$BC$178,AT$178,$AZ185:$BC185)</f>
        <v>0</v>
      </c>
      <c r="AU185" s="230">
        <f>SUMIF(GEN!$G$121:$M$121,AU$178,GEN!$P13:$V13)+SUMIF($AZ$178:$BC$178,AU$178,$AZ185:$BC185)</f>
        <v>0</v>
      </c>
      <c r="AV185" s="230">
        <f>SUMIF(GEN!$G$121:$M$121,AV$178,GEN!$P13:$V13)+SUMIF($AZ$178:$BC$178,AV$178,$AZ185:$BC185)</f>
        <v>0</v>
      </c>
      <c r="AW185" s="230">
        <f>SUMIF(GEN!$G$121:$M$121,AW$178,GEN!$P13:$V13)+SUMIF($AZ$178:$BC$178,AW$178,$AZ185:$BC185)</f>
        <v>0</v>
      </c>
      <c r="AX185" s="231">
        <f>SUMIF(GEN!$G$121:$M$121,AX$178,GEN!$P13:$V13)+SUMIF($AZ$178:$BC$178,AX$178,$AZ185:$BC185)</f>
        <v>0</v>
      </c>
      <c r="AY185" s="232">
        <f>GEN!AF13</f>
        <v>0</v>
      </c>
      <c r="AZ185" s="228">
        <f>GEN!AG13</f>
        <v>0</v>
      </c>
      <c r="BA185" s="229">
        <f>GEN!AH13</f>
        <v>0</v>
      </c>
      <c r="BB185" s="230">
        <f>GEN!AI13</f>
        <v>0</v>
      </c>
      <c r="BC185" s="231">
        <f>GEN!AJ13</f>
        <v>0</v>
      </c>
      <c r="BD185" s="228">
        <f>SUMIF(GEN!$G$120:$M$120,"&gt;0",GEN!$X13:$AD13)</f>
        <v>0</v>
      </c>
      <c r="BE185" s="696"/>
      <c r="BF185" s="228">
        <f>SUMIF(GEN!$BA$6:$BG$6,BF$177,GEN!$BA13:$BG13)</f>
        <v>0</v>
      </c>
      <c r="BG185" s="229">
        <f>SUMIF(GEN!$BA$6:$BG$6,BG$177,GEN!$BA13:$BG13)</f>
        <v>0</v>
      </c>
      <c r="BH185" s="229">
        <f>SUMIF(GEN!$BA$6:$BG$6,BH$177,GEN!$BA13:$BG13)</f>
        <v>0</v>
      </c>
      <c r="BI185" s="229">
        <f>SUMIF(GEN!$BA$6:$BG$6,BI$177,GEN!$BA13:$BG13)</f>
        <v>0</v>
      </c>
      <c r="BJ185" s="229">
        <f>SUMIF(GEN!$BA$6:$BG$6,BJ$177,GEN!$BA13:$BG13)</f>
        <v>0</v>
      </c>
      <c r="BK185" s="229">
        <f>SUMIF(GEN!$BA$6:$BG$6,BK$177,GEN!$BA13:$BG13)</f>
        <v>0</v>
      </c>
      <c r="BL185" s="229">
        <f>SUMIF(GEN!$BA$6:$BG$6,BL$177,GEN!$BA13:$BG13)</f>
        <v>0</v>
      </c>
      <c r="BM185" s="229">
        <f>SUMIF(GEN!$BA$6:$BG$6,BM$177,GEN!$BA13:$BG13)</f>
        <v>0</v>
      </c>
      <c r="BN185" s="229">
        <f>SUMIF(GEN!$BA$6:$BG$6,BN$177,GEN!$BA13:$BG13)</f>
        <v>0</v>
      </c>
      <c r="BO185" s="231">
        <f>SUMIF(GEN!$BA$6:$BG$6,BO$177,GEN!$BA13:$BG13)</f>
        <v>0</v>
      </c>
      <c r="BP185" s="231">
        <f>SUMIF(GEN!$BA$6:$BG$6,BP$177,GEN!$BA13:$BG13)</f>
        <v>0</v>
      </c>
      <c r="BQ185" s="252"/>
      <c r="BR185" s="228">
        <f>SUMIF(GEN!$BA$5:$BG$5,BR$177,GEN!$BA13:$BG13)</f>
        <v>0</v>
      </c>
      <c r="BS185" s="229">
        <f>SUMIF(GEN!$BA$5:$BG$5,BS$177,GEN!$BA13:$BG13)</f>
        <v>0</v>
      </c>
      <c r="BT185" s="229">
        <f>SUMIF(GEN!$BA$5:$BG$5,BT$177,GEN!$BA13:$BG13)</f>
        <v>0</v>
      </c>
      <c r="BU185" s="229">
        <f>SUMIF(GEN!$BA$5:$BG$5,BU$177,GEN!$BA13:$BG13)</f>
        <v>0</v>
      </c>
      <c r="BV185" s="229">
        <f>SUMIF(GEN!$BA$5:$BG$5,BV$177,GEN!$BA13:$BG13)</f>
        <v>0</v>
      </c>
      <c r="BW185" s="229">
        <f>SUMIF(GEN!$BA$5:$BG$5,BW$177,GEN!$BA13:$BG13)</f>
        <v>0</v>
      </c>
      <c r="BX185" s="230">
        <f>SUMIF(GEN!$BA$5:$BG$5,BX$177,GEN!$BA13:$BG13)</f>
        <v>0</v>
      </c>
      <c r="BY185" s="998">
        <f>SUMIF(GEN!$BA$5:$BG$5,BY$177,GEN!$BA13:$BG13)</f>
        <v>0</v>
      </c>
      <c r="CB185" s="252"/>
      <c r="CC185" s="61" t="e">
        <f t="shared" si="30"/>
        <v>#N/A</v>
      </c>
      <c r="CD185" s="61">
        <f t="shared" si="31"/>
        <v>0</v>
      </c>
      <c r="CE185" s="105" t="str">
        <f t="shared" si="32"/>
        <v/>
      </c>
      <c r="CF185" s="61" t="e">
        <f t="shared" si="33"/>
        <v>#N/A</v>
      </c>
      <c r="CG185" s="61" t="e">
        <f t="shared" si="34"/>
        <v>#N/A</v>
      </c>
      <c r="CH185" s="521">
        <f>GEN!AL13-CW185+CR185</f>
        <v>0</v>
      </c>
      <c r="CI185" s="228">
        <f>SUMIF(GEN!$G$121:$M$121,CI$178,GEN!$AM13:$AS13)+SUMIF($CS$178:$CV$178,CI$178,$CS185:$CV185)</f>
        <v>0</v>
      </c>
      <c r="CJ185" s="229">
        <f>SUMIF(GEN!$G$121:$M$121,CJ$178,GEN!$AM13:$AS13)+SUMIF($CS$178:$CV$178,CJ$178,$CS185:$CV185)</f>
        <v>0</v>
      </c>
      <c r="CK185" s="230">
        <f>SUMIF(GEN!$G$121:$M$121,CK$178,GEN!$AM13:$AS13)+SUMIF($CS$178:$CV$178,CK$178,$CS185:$CV185)</f>
        <v>0</v>
      </c>
      <c r="CL185" s="230">
        <f>SUMIF(GEN!$G$121:$M$121,CL$178,GEN!$AM13:$AS13)+SUMIF($CS$178:$CV$178,CL$178,$CS185:$CV185)</f>
        <v>0</v>
      </c>
      <c r="CM185" s="230">
        <f>SUMIF(GEN!$G$121:$M$121,CM$178,GEN!$AM13:$AS13)+SUMIF($CS$178:$CV$178,CM$178,$CS185:$CV185)</f>
        <v>0</v>
      </c>
      <c r="CN185" s="230">
        <f>SUMIF(GEN!$G$121:$M$121,CN$178,GEN!$AM13:$AS13)+SUMIF($CS$178:$CV$178,CN$178,$CS185:$CV185)</f>
        <v>0</v>
      </c>
      <c r="CO185" s="230">
        <f>SUMIF(GEN!$G$121:$M$121,CO$178,GEN!$AM13:$AS13)+SUMIF($CS$178:$CV$178,CO$178,$CS185:$CV185)</f>
        <v>0</v>
      </c>
      <c r="CP185" s="230">
        <f>SUMIF(GEN!$G$121:$M$121,CP$178,GEN!$AM13:$AS13)+SUMIF($CS$178:$CV$178,CP$178,$CS185:$CV185)</f>
        <v>0</v>
      </c>
      <c r="CQ185" s="231">
        <f>SUMIF(GEN!$G$121:$M$121,CQ$178,GEN!$AM13:$AS13)+SUMIF($CS$178:$CV$178,CQ$178,$CS185:$CV185)</f>
        <v>0</v>
      </c>
      <c r="CR185" s="521">
        <f>GEN!AU13</f>
        <v>0</v>
      </c>
      <c r="CS185" s="228">
        <f>GEN!AV13</f>
        <v>0</v>
      </c>
      <c r="CT185" s="229">
        <f>GEN!AW13</f>
        <v>0</v>
      </c>
      <c r="CU185" s="230">
        <f>GEN!AX13</f>
        <v>0</v>
      </c>
      <c r="CV185" s="231">
        <f>GEN!AY13</f>
        <v>0</v>
      </c>
      <c r="CW185" s="521">
        <f>SUM(GEN!AU13:AY13)</f>
        <v>0</v>
      </c>
      <c r="CX185" s="521">
        <f>GEN!AK13</f>
        <v>0</v>
      </c>
      <c r="CY185" s="2"/>
    </row>
    <row r="186" spans="1:103" ht="14.25" hidden="1" customHeight="1" x14ac:dyDescent="0.2">
      <c r="A186" s="2"/>
      <c r="B186" s="105">
        <f t="shared" si="35"/>
        <v>45298</v>
      </c>
      <c r="C186" s="146">
        <f>IF(AND(E186&gt;(E$557-1),E186&lt;(I$557+1)),W$551,IF(ISERROR(HLOOKUP(E186,$E$550:$L$550,1,FALSE)),HLOOKUP(WEEKDAY(E186,2),IMPOSTAZIONI!$C$52:$P$57,6,FALSE),$W$550))</f>
        <v>0</v>
      </c>
      <c r="D186" s="71" t="str">
        <f t="shared" si="36"/>
        <v/>
      </c>
      <c r="E186" s="2258">
        <f t="shared" si="42"/>
        <v>45298</v>
      </c>
      <c r="F186" s="2259"/>
      <c r="G186" s="2228">
        <f>GEN!E14</f>
        <v>0</v>
      </c>
      <c r="H186" s="2229"/>
      <c r="I186" s="2230"/>
      <c r="J186" s="262" t="str">
        <f t="shared" si="25"/>
        <v/>
      </c>
      <c r="K186" s="263"/>
      <c r="L186" s="2231">
        <f t="shared" si="37"/>
        <v>1</v>
      </c>
      <c r="M186" s="2235"/>
      <c r="N186" s="261"/>
      <c r="O186" s="261"/>
      <c r="P186" s="261"/>
      <c r="Q186" s="2219">
        <f t="shared" si="38"/>
        <v>45298</v>
      </c>
      <c r="R186" s="2219"/>
      <c r="S186" s="261"/>
      <c r="T186" s="1173">
        <f t="shared" si="26"/>
        <v>0</v>
      </c>
      <c r="U186" s="261"/>
      <c r="V186" s="261"/>
      <c r="W186" s="261"/>
      <c r="X186" s="261"/>
      <c r="Y186" s="261"/>
      <c r="Z186" s="261"/>
      <c r="AA186" s="261"/>
      <c r="AB186" s="261"/>
      <c r="AC186" s="261"/>
      <c r="AD186" s="261"/>
      <c r="AE186" s="261"/>
      <c r="AF186" s="261"/>
      <c r="AG186" s="1173">
        <f t="shared" si="39"/>
        <v>0</v>
      </c>
      <c r="AH186" s="61" t="str">
        <f t="shared" si="40"/>
        <v/>
      </c>
      <c r="AI186" s="89" t="e">
        <f t="shared" si="41"/>
        <v>#N/A</v>
      </c>
      <c r="AJ186" s="2"/>
      <c r="AK186" s="61">
        <f>IF(G186=G$547,0,IF(OR(G186&lt;&gt;0,CH186&lt;&gt;0,C186="L"),COUNTIF(AK$180:AK185,"&gt;0")+1,0))</f>
        <v>0</v>
      </c>
      <c r="AL186" s="61" t="str">
        <f t="shared" si="27"/>
        <v/>
      </c>
      <c r="AM186" s="61" t="e">
        <f t="shared" si="28"/>
        <v>#N/A</v>
      </c>
      <c r="AN186" s="89" t="e">
        <f t="shared" si="29"/>
        <v>#N/A</v>
      </c>
      <c r="AO186" s="230">
        <f>SUM(GEN!X14:AD14)-BD186+AY186</f>
        <v>0</v>
      </c>
      <c r="AP186" s="228">
        <f>SUMIF(GEN!$G$121:$M$121,AP$178,GEN!$P14:$V14)+SUMIF($AZ$178:$BC$178,AP$178,$AZ186:$BC186)</f>
        <v>0</v>
      </c>
      <c r="AQ186" s="229">
        <f>SUMIF(GEN!$G$121:$M$121,AQ$178,GEN!$P14:$V14)+SUMIF($AZ$178:$BC$178,AQ$178,$AZ186:$BC186)</f>
        <v>0</v>
      </c>
      <c r="AR186" s="230">
        <f>SUMIF(GEN!$G$121:$M$121,AR$178,GEN!$P14:$V14)+SUMIF($AZ$178:$BC$178,AR$178,$AZ186:$BC186)</f>
        <v>0</v>
      </c>
      <c r="AS186" s="230">
        <f>SUMIF(GEN!$G$121:$M$121,AS$178,GEN!$P14:$V14)+SUMIF($AZ$178:$BC$178,AS$178,$AZ186:$BC186)</f>
        <v>0</v>
      </c>
      <c r="AT186" s="230">
        <f>SUMIF(GEN!$G$121:$M$121,AT$178,GEN!$P14:$V14)+SUMIF($AZ$178:$BC$178,AT$178,$AZ186:$BC186)</f>
        <v>0</v>
      </c>
      <c r="AU186" s="230">
        <f>SUMIF(GEN!$G$121:$M$121,AU$178,GEN!$P14:$V14)+SUMIF($AZ$178:$BC$178,AU$178,$AZ186:$BC186)</f>
        <v>0</v>
      </c>
      <c r="AV186" s="230">
        <f>SUMIF(GEN!$G$121:$M$121,AV$178,GEN!$P14:$V14)+SUMIF($AZ$178:$BC$178,AV$178,$AZ186:$BC186)</f>
        <v>0</v>
      </c>
      <c r="AW186" s="230">
        <f>SUMIF(GEN!$G$121:$M$121,AW$178,GEN!$P14:$V14)+SUMIF($AZ$178:$BC$178,AW$178,$AZ186:$BC186)</f>
        <v>0</v>
      </c>
      <c r="AX186" s="231">
        <f>SUMIF(GEN!$G$121:$M$121,AX$178,GEN!$P14:$V14)+SUMIF($AZ$178:$BC$178,AX$178,$AZ186:$BC186)</f>
        <v>0</v>
      </c>
      <c r="AY186" s="232">
        <f>GEN!AF14</f>
        <v>0</v>
      </c>
      <c r="AZ186" s="228">
        <f>GEN!AG14</f>
        <v>0</v>
      </c>
      <c r="BA186" s="229">
        <f>GEN!AH14</f>
        <v>0</v>
      </c>
      <c r="BB186" s="230">
        <f>GEN!AI14</f>
        <v>0</v>
      </c>
      <c r="BC186" s="231">
        <f>GEN!AJ14</f>
        <v>0</v>
      </c>
      <c r="BD186" s="228">
        <f>SUMIF(GEN!$G$120:$M$120,"&gt;0",GEN!$X14:$AD14)</f>
        <v>0</v>
      </c>
      <c r="BE186" s="696"/>
      <c r="BF186" s="228">
        <f>SUMIF(GEN!$BA$6:$BG$6,BF$177,GEN!$BA14:$BG14)</f>
        <v>0</v>
      </c>
      <c r="BG186" s="229">
        <f>SUMIF(GEN!$BA$6:$BG$6,BG$177,GEN!$BA14:$BG14)</f>
        <v>0</v>
      </c>
      <c r="BH186" s="229">
        <f>SUMIF(GEN!$BA$6:$BG$6,BH$177,GEN!$BA14:$BG14)</f>
        <v>0</v>
      </c>
      <c r="BI186" s="229">
        <f>SUMIF(GEN!$BA$6:$BG$6,BI$177,GEN!$BA14:$BG14)</f>
        <v>0</v>
      </c>
      <c r="BJ186" s="229">
        <f>SUMIF(GEN!$BA$6:$BG$6,BJ$177,GEN!$BA14:$BG14)</f>
        <v>0</v>
      </c>
      <c r="BK186" s="229">
        <f>SUMIF(GEN!$BA$6:$BG$6,BK$177,GEN!$BA14:$BG14)</f>
        <v>0</v>
      </c>
      <c r="BL186" s="229">
        <f>SUMIF(GEN!$BA$6:$BG$6,BL$177,GEN!$BA14:$BG14)</f>
        <v>0</v>
      </c>
      <c r="BM186" s="229">
        <f>SUMIF(GEN!$BA$6:$BG$6,BM$177,GEN!$BA14:$BG14)</f>
        <v>0</v>
      </c>
      <c r="BN186" s="229">
        <f>SUMIF(GEN!$BA$6:$BG$6,BN$177,GEN!$BA14:$BG14)</f>
        <v>0</v>
      </c>
      <c r="BO186" s="231">
        <f>SUMIF(GEN!$BA$6:$BG$6,BO$177,GEN!$BA14:$BG14)</f>
        <v>0</v>
      </c>
      <c r="BP186" s="231">
        <f>SUMIF(GEN!$BA$6:$BG$6,BP$177,GEN!$BA14:$BG14)</f>
        <v>0</v>
      </c>
      <c r="BQ186" s="252"/>
      <c r="BR186" s="228">
        <f>SUMIF(GEN!$BA$5:$BG$5,BR$177,GEN!$BA14:$BG14)</f>
        <v>0</v>
      </c>
      <c r="BS186" s="229">
        <f>SUMIF(GEN!$BA$5:$BG$5,BS$177,GEN!$BA14:$BG14)</f>
        <v>0</v>
      </c>
      <c r="BT186" s="229">
        <f>SUMIF(GEN!$BA$5:$BG$5,BT$177,GEN!$BA14:$BG14)</f>
        <v>0</v>
      </c>
      <c r="BU186" s="229">
        <f>SUMIF(GEN!$BA$5:$BG$5,BU$177,GEN!$BA14:$BG14)</f>
        <v>0</v>
      </c>
      <c r="BV186" s="229">
        <f>SUMIF(GEN!$BA$5:$BG$5,BV$177,GEN!$BA14:$BG14)</f>
        <v>0</v>
      </c>
      <c r="BW186" s="229">
        <f>SUMIF(GEN!$BA$5:$BG$5,BW$177,GEN!$BA14:$BG14)</f>
        <v>0</v>
      </c>
      <c r="BX186" s="230">
        <f>SUMIF(GEN!$BA$5:$BG$5,BX$177,GEN!$BA14:$BG14)</f>
        <v>0</v>
      </c>
      <c r="BY186" s="998">
        <f>SUMIF(GEN!$BA$5:$BG$5,BY$177,GEN!$BA14:$BG14)</f>
        <v>0</v>
      </c>
      <c r="CB186" s="252"/>
      <c r="CC186" s="61" t="e">
        <f t="shared" si="30"/>
        <v>#N/A</v>
      </c>
      <c r="CD186" s="61">
        <f t="shared" si="31"/>
        <v>0</v>
      </c>
      <c r="CE186" s="105" t="str">
        <f t="shared" si="32"/>
        <v/>
      </c>
      <c r="CF186" s="61" t="e">
        <f t="shared" si="33"/>
        <v>#N/A</v>
      </c>
      <c r="CG186" s="61" t="e">
        <f t="shared" si="34"/>
        <v>#N/A</v>
      </c>
      <c r="CH186" s="521">
        <f>GEN!AL14-CW186+CR186</f>
        <v>0</v>
      </c>
      <c r="CI186" s="228">
        <f>SUMIF(GEN!$G$121:$M$121,CI$178,GEN!$AM14:$AS14)+SUMIF($CS$178:$CV$178,CI$178,$CS186:$CV186)</f>
        <v>0</v>
      </c>
      <c r="CJ186" s="229">
        <f>SUMIF(GEN!$G$121:$M$121,CJ$178,GEN!$AM14:$AS14)+SUMIF($CS$178:$CV$178,CJ$178,$CS186:$CV186)</f>
        <v>0</v>
      </c>
      <c r="CK186" s="230">
        <f>SUMIF(GEN!$G$121:$M$121,CK$178,GEN!$AM14:$AS14)+SUMIF($CS$178:$CV$178,CK$178,$CS186:$CV186)</f>
        <v>0</v>
      </c>
      <c r="CL186" s="230">
        <f>SUMIF(GEN!$G$121:$M$121,CL$178,GEN!$AM14:$AS14)+SUMIF($CS$178:$CV$178,CL$178,$CS186:$CV186)</f>
        <v>0</v>
      </c>
      <c r="CM186" s="230">
        <f>SUMIF(GEN!$G$121:$M$121,CM$178,GEN!$AM14:$AS14)+SUMIF($CS$178:$CV$178,CM$178,$CS186:$CV186)</f>
        <v>0</v>
      </c>
      <c r="CN186" s="230">
        <f>SUMIF(GEN!$G$121:$M$121,CN$178,GEN!$AM14:$AS14)+SUMIF($CS$178:$CV$178,CN$178,$CS186:$CV186)</f>
        <v>0</v>
      </c>
      <c r="CO186" s="230">
        <f>SUMIF(GEN!$G$121:$M$121,CO$178,GEN!$AM14:$AS14)+SUMIF($CS$178:$CV$178,CO$178,$CS186:$CV186)</f>
        <v>0</v>
      </c>
      <c r="CP186" s="230">
        <f>SUMIF(GEN!$G$121:$M$121,CP$178,GEN!$AM14:$AS14)+SUMIF($CS$178:$CV$178,CP$178,$CS186:$CV186)</f>
        <v>0</v>
      </c>
      <c r="CQ186" s="231">
        <f>SUMIF(GEN!$G$121:$M$121,CQ$178,GEN!$AM14:$AS14)+SUMIF($CS$178:$CV$178,CQ$178,$CS186:$CV186)</f>
        <v>0</v>
      </c>
      <c r="CR186" s="521">
        <f>GEN!AU14</f>
        <v>0</v>
      </c>
      <c r="CS186" s="228">
        <f>GEN!AV14</f>
        <v>0</v>
      </c>
      <c r="CT186" s="229">
        <f>GEN!AW14</f>
        <v>0</v>
      </c>
      <c r="CU186" s="230">
        <f>GEN!AX14</f>
        <v>0</v>
      </c>
      <c r="CV186" s="231">
        <f>GEN!AY14</f>
        <v>0</v>
      </c>
      <c r="CW186" s="521">
        <f>SUM(GEN!AU14:AY14)</f>
        <v>0</v>
      </c>
      <c r="CX186" s="521">
        <f>GEN!AK14</f>
        <v>0</v>
      </c>
      <c r="CY186" s="2"/>
    </row>
    <row r="187" spans="1:103" ht="14.25" hidden="1" customHeight="1" x14ac:dyDescent="0.2">
      <c r="A187" s="2"/>
      <c r="B187" s="105">
        <f t="shared" si="35"/>
        <v>45299</v>
      </c>
      <c r="C187" s="146">
        <f>IF(AND(E187&gt;(E$557-1),E187&lt;(I$557+1)),W$551,IF(ISERROR(HLOOKUP(E187,$E$550:$L$550,1,FALSE)),HLOOKUP(WEEKDAY(E187,2),IMPOSTAZIONI!$C$52:$P$57,6,FALSE),$W$550))</f>
        <v>0</v>
      </c>
      <c r="D187" s="71" t="str">
        <f t="shared" si="36"/>
        <v/>
      </c>
      <c r="E187" s="2258">
        <f t="shared" si="42"/>
        <v>45299</v>
      </c>
      <c r="F187" s="2259"/>
      <c r="G187" s="2228">
        <f>GEN!E15</f>
        <v>0</v>
      </c>
      <c r="H187" s="2229"/>
      <c r="I187" s="2230"/>
      <c r="J187" s="262" t="str">
        <f t="shared" si="25"/>
        <v/>
      </c>
      <c r="K187" s="263"/>
      <c r="L187" s="2222">
        <f>L180+1</f>
        <v>2</v>
      </c>
      <c r="M187" s="2223"/>
      <c r="N187" s="261"/>
      <c r="O187" s="261"/>
      <c r="P187" s="261"/>
      <c r="Q187" s="2219">
        <f t="shared" si="38"/>
        <v>45299</v>
      </c>
      <c r="R187" s="2219"/>
      <c r="S187" s="261"/>
      <c r="T187" s="1173">
        <f t="shared" si="26"/>
        <v>0</v>
      </c>
      <c r="U187" s="261"/>
      <c r="V187" s="261"/>
      <c r="W187" s="261"/>
      <c r="X187" s="261"/>
      <c r="Y187" s="261"/>
      <c r="Z187" s="261"/>
      <c r="AA187" s="261"/>
      <c r="AB187" s="261"/>
      <c r="AC187" s="261"/>
      <c r="AD187" s="261"/>
      <c r="AE187" s="261"/>
      <c r="AF187" s="261"/>
      <c r="AG187" s="1173">
        <f t="shared" si="39"/>
        <v>0</v>
      </c>
      <c r="AH187" s="61" t="str">
        <f t="shared" si="40"/>
        <v/>
      </c>
      <c r="AI187" s="89" t="e">
        <f t="shared" si="41"/>
        <v>#N/A</v>
      </c>
      <c r="AJ187" s="2"/>
      <c r="AK187" s="61">
        <f>IF(G187=G$547,0,IF(OR(G187&lt;&gt;0,CH187&lt;&gt;0,C187="L"),COUNTIF(AK$180:AK186,"&gt;0")+1,0))</f>
        <v>0</v>
      </c>
      <c r="AL187" s="61" t="str">
        <f t="shared" si="27"/>
        <v/>
      </c>
      <c r="AM187" s="61" t="e">
        <f t="shared" si="28"/>
        <v>#N/A</v>
      </c>
      <c r="AN187" s="89" t="e">
        <f t="shared" si="29"/>
        <v>#N/A</v>
      </c>
      <c r="AO187" s="230">
        <f>SUM(GEN!X15:AD15)-BD187+AY187</f>
        <v>0</v>
      </c>
      <c r="AP187" s="228">
        <f>SUMIF(GEN!$G$121:$M$121,AP$178,GEN!$P15:$V15)+SUMIF($AZ$178:$BC$178,AP$178,$AZ187:$BC187)</f>
        <v>0</v>
      </c>
      <c r="AQ187" s="229">
        <f>SUMIF(GEN!$G$121:$M$121,AQ$178,GEN!$P15:$V15)+SUMIF($AZ$178:$BC$178,AQ$178,$AZ187:$BC187)</f>
        <v>0</v>
      </c>
      <c r="AR187" s="230">
        <f>SUMIF(GEN!$G$121:$M$121,AR$178,GEN!$P15:$V15)+SUMIF($AZ$178:$BC$178,AR$178,$AZ187:$BC187)</f>
        <v>0</v>
      </c>
      <c r="AS187" s="230">
        <f>SUMIF(GEN!$G$121:$M$121,AS$178,GEN!$P15:$V15)+SUMIF($AZ$178:$BC$178,AS$178,$AZ187:$BC187)</f>
        <v>0</v>
      </c>
      <c r="AT187" s="230">
        <f>SUMIF(GEN!$G$121:$M$121,AT$178,GEN!$P15:$V15)+SUMIF($AZ$178:$BC$178,AT$178,$AZ187:$BC187)</f>
        <v>0</v>
      </c>
      <c r="AU187" s="230">
        <f>SUMIF(GEN!$G$121:$M$121,AU$178,GEN!$P15:$V15)+SUMIF($AZ$178:$BC$178,AU$178,$AZ187:$BC187)</f>
        <v>0</v>
      </c>
      <c r="AV187" s="230">
        <f>SUMIF(GEN!$G$121:$M$121,AV$178,GEN!$P15:$V15)+SUMIF($AZ$178:$BC$178,AV$178,$AZ187:$BC187)</f>
        <v>0</v>
      </c>
      <c r="AW187" s="230">
        <f>SUMIF(GEN!$G$121:$M$121,AW$178,GEN!$P15:$V15)+SUMIF($AZ$178:$BC$178,AW$178,$AZ187:$BC187)</f>
        <v>0</v>
      </c>
      <c r="AX187" s="231">
        <f>SUMIF(GEN!$G$121:$M$121,AX$178,GEN!$P15:$V15)+SUMIF($AZ$178:$BC$178,AX$178,$AZ187:$BC187)</f>
        <v>0</v>
      </c>
      <c r="AY187" s="232">
        <f>GEN!AF15</f>
        <v>0</v>
      </c>
      <c r="AZ187" s="228">
        <f>GEN!AG15</f>
        <v>0</v>
      </c>
      <c r="BA187" s="229">
        <f>GEN!AH15</f>
        <v>0</v>
      </c>
      <c r="BB187" s="230">
        <f>GEN!AI15</f>
        <v>0</v>
      </c>
      <c r="BC187" s="231">
        <f>GEN!AJ15</f>
        <v>0</v>
      </c>
      <c r="BD187" s="228">
        <f>SUMIF(GEN!$G$120:$M$120,"&gt;0",GEN!$X15:$AD15)</f>
        <v>0</v>
      </c>
      <c r="BE187" s="696"/>
      <c r="BF187" s="228">
        <f>SUMIF(GEN!$BA$6:$BG$6,BF$177,GEN!$BA15:$BG15)</f>
        <v>0</v>
      </c>
      <c r="BG187" s="229">
        <f>SUMIF(GEN!$BA$6:$BG$6,BG$177,GEN!$BA15:$BG15)</f>
        <v>0</v>
      </c>
      <c r="BH187" s="229">
        <f>SUMIF(GEN!$BA$6:$BG$6,BH$177,GEN!$BA15:$BG15)</f>
        <v>0</v>
      </c>
      <c r="BI187" s="229">
        <f>SUMIF(GEN!$BA$6:$BG$6,BI$177,GEN!$BA15:$BG15)</f>
        <v>0</v>
      </c>
      <c r="BJ187" s="229">
        <f>SUMIF(GEN!$BA$6:$BG$6,BJ$177,GEN!$BA15:$BG15)</f>
        <v>0</v>
      </c>
      <c r="BK187" s="229">
        <f>SUMIF(GEN!$BA$6:$BG$6,BK$177,GEN!$BA15:$BG15)</f>
        <v>0</v>
      </c>
      <c r="BL187" s="229">
        <f>SUMIF(GEN!$BA$6:$BG$6,BL$177,GEN!$BA15:$BG15)</f>
        <v>0</v>
      </c>
      <c r="BM187" s="229">
        <f>SUMIF(GEN!$BA$6:$BG$6,BM$177,GEN!$BA15:$BG15)</f>
        <v>0</v>
      </c>
      <c r="BN187" s="229">
        <f>SUMIF(GEN!$BA$6:$BG$6,BN$177,GEN!$BA15:$BG15)</f>
        <v>0</v>
      </c>
      <c r="BO187" s="231">
        <f>SUMIF(GEN!$BA$6:$BG$6,BO$177,GEN!$BA15:$BG15)</f>
        <v>0</v>
      </c>
      <c r="BP187" s="231">
        <f>SUMIF(GEN!$BA$6:$BG$6,BP$177,GEN!$BA15:$BG15)</f>
        <v>0</v>
      </c>
      <c r="BQ187" s="252"/>
      <c r="BR187" s="228">
        <f>SUMIF(GEN!$BA$5:$BG$5,BR$177,GEN!$BA15:$BG15)</f>
        <v>0</v>
      </c>
      <c r="BS187" s="229">
        <f>SUMIF(GEN!$BA$5:$BG$5,BS$177,GEN!$BA15:$BG15)</f>
        <v>0</v>
      </c>
      <c r="BT187" s="229">
        <f>SUMIF(GEN!$BA$5:$BG$5,BT$177,GEN!$BA15:$BG15)</f>
        <v>0</v>
      </c>
      <c r="BU187" s="229">
        <f>SUMIF(GEN!$BA$5:$BG$5,BU$177,GEN!$BA15:$BG15)</f>
        <v>0</v>
      </c>
      <c r="BV187" s="229">
        <f>SUMIF(GEN!$BA$5:$BG$5,BV$177,GEN!$BA15:$BG15)</f>
        <v>0</v>
      </c>
      <c r="BW187" s="229">
        <f>SUMIF(GEN!$BA$5:$BG$5,BW$177,GEN!$BA15:$BG15)</f>
        <v>0</v>
      </c>
      <c r="BX187" s="230">
        <f>SUMIF(GEN!$BA$5:$BG$5,BX$177,GEN!$BA15:$BG15)</f>
        <v>0</v>
      </c>
      <c r="BY187" s="998">
        <f>SUMIF(GEN!$BA$5:$BG$5,BY$177,GEN!$BA15:$BG15)</f>
        <v>0</v>
      </c>
      <c r="CB187" s="252"/>
      <c r="CC187" s="61" t="e">
        <f t="shared" si="30"/>
        <v>#N/A</v>
      </c>
      <c r="CD187" s="61">
        <f t="shared" si="31"/>
        <v>0</v>
      </c>
      <c r="CE187" s="105" t="str">
        <f t="shared" si="32"/>
        <v/>
      </c>
      <c r="CF187" s="61" t="e">
        <f t="shared" si="33"/>
        <v>#N/A</v>
      </c>
      <c r="CG187" s="61" t="e">
        <f t="shared" si="34"/>
        <v>#N/A</v>
      </c>
      <c r="CH187" s="521">
        <f>GEN!AL15-CW187+CR187</f>
        <v>0</v>
      </c>
      <c r="CI187" s="228">
        <f>SUMIF(GEN!$G$121:$M$121,CI$178,GEN!$AM15:$AS15)+SUMIF($CS$178:$CV$178,CI$178,$CS187:$CV187)</f>
        <v>0</v>
      </c>
      <c r="CJ187" s="229">
        <f>SUMIF(GEN!$G$121:$M$121,CJ$178,GEN!$AM15:$AS15)+SUMIF($CS$178:$CV$178,CJ$178,$CS187:$CV187)</f>
        <v>0</v>
      </c>
      <c r="CK187" s="230">
        <f>SUMIF(GEN!$G$121:$M$121,CK$178,GEN!$AM15:$AS15)+SUMIF($CS$178:$CV$178,CK$178,$CS187:$CV187)</f>
        <v>0</v>
      </c>
      <c r="CL187" s="230">
        <f>SUMIF(GEN!$G$121:$M$121,CL$178,GEN!$AM15:$AS15)+SUMIF($CS$178:$CV$178,CL$178,$CS187:$CV187)</f>
        <v>0</v>
      </c>
      <c r="CM187" s="230">
        <f>SUMIF(GEN!$G$121:$M$121,CM$178,GEN!$AM15:$AS15)+SUMIF($CS$178:$CV$178,CM$178,$CS187:$CV187)</f>
        <v>0</v>
      </c>
      <c r="CN187" s="230">
        <f>SUMIF(GEN!$G$121:$M$121,CN$178,GEN!$AM15:$AS15)+SUMIF($CS$178:$CV$178,CN$178,$CS187:$CV187)</f>
        <v>0</v>
      </c>
      <c r="CO187" s="230">
        <f>SUMIF(GEN!$G$121:$M$121,CO$178,GEN!$AM15:$AS15)+SUMIF($CS$178:$CV$178,CO$178,$CS187:$CV187)</f>
        <v>0</v>
      </c>
      <c r="CP187" s="230">
        <f>SUMIF(GEN!$G$121:$M$121,CP$178,GEN!$AM15:$AS15)+SUMIF($CS$178:$CV$178,CP$178,$CS187:$CV187)</f>
        <v>0</v>
      </c>
      <c r="CQ187" s="231">
        <f>SUMIF(GEN!$G$121:$M$121,CQ$178,GEN!$AM15:$AS15)+SUMIF($CS$178:$CV$178,CQ$178,$CS187:$CV187)</f>
        <v>0</v>
      </c>
      <c r="CR187" s="521">
        <f>GEN!AU15</f>
        <v>0</v>
      </c>
      <c r="CS187" s="228">
        <f>GEN!AV15</f>
        <v>0</v>
      </c>
      <c r="CT187" s="229">
        <f>GEN!AW15</f>
        <v>0</v>
      </c>
      <c r="CU187" s="230">
        <f>GEN!AX15</f>
        <v>0</v>
      </c>
      <c r="CV187" s="231">
        <f>GEN!AY15</f>
        <v>0</v>
      </c>
      <c r="CW187" s="521">
        <f>SUM(GEN!AU15:AY15)</f>
        <v>0</v>
      </c>
      <c r="CX187" s="521">
        <f>GEN!AK15</f>
        <v>0</v>
      </c>
      <c r="CY187" s="2"/>
    </row>
    <row r="188" spans="1:103" ht="14.25" hidden="1" customHeight="1" x14ac:dyDescent="0.2">
      <c r="A188" s="2"/>
      <c r="B188" s="105">
        <f t="shared" si="35"/>
        <v>45300</v>
      </c>
      <c r="C188" s="146">
        <f>IF(AND(E188&gt;(E$557-1),E188&lt;(I$557+1)),W$551,IF(ISERROR(HLOOKUP(E188,$E$550:$L$550,1,FALSE)),HLOOKUP(WEEKDAY(E188,2),IMPOSTAZIONI!$C$52:$P$57,6,FALSE),$W$550))</f>
        <v>0</v>
      </c>
      <c r="D188" s="71" t="str">
        <f t="shared" si="36"/>
        <v/>
      </c>
      <c r="E188" s="2258">
        <f t="shared" si="42"/>
        <v>45300</v>
      </c>
      <c r="F188" s="2259"/>
      <c r="G188" s="2228">
        <f>GEN!E16</f>
        <v>0</v>
      </c>
      <c r="H188" s="2229"/>
      <c r="I188" s="2230"/>
      <c r="J188" s="262" t="str">
        <f t="shared" si="25"/>
        <v/>
      </c>
      <c r="K188" s="263"/>
      <c r="L188" s="2217">
        <f>L181+1</f>
        <v>2</v>
      </c>
      <c r="M188" s="2218"/>
      <c r="N188" s="261"/>
      <c r="O188" s="261"/>
      <c r="P188" s="261"/>
      <c r="Q188" s="2219">
        <f t="shared" si="38"/>
        <v>45300</v>
      </c>
      <c r="R188" s="2219"/>
      <c r="S188" s="261"/>
      <c r="T188" s="1173">
        <f t="shared" si="26"/>
        <v>0</v>
      </c>
      <c r="U188" s="261"/>
      <c r="V188" s="261"/>
      <c r="W188" s="261"/>
      <c r="X188" s="261"/>
      <c r="Y188" s="261"/>
      <c r="Z188" s="261"/>
      <c r="AA188" s="261"/>
      <c r="AB188" s="261"/>
      <c r="AC188" s="261"/>
      <c r="AD188" s="261"/>
      <c r="AE188" s="261"/>
      <c r="AF188" s="261"/>
      <c r="AG188" s="1173">
        <f t="shared" si="39"/>
        <v>0</v>
      </c>
      <c r="AH188" s="61" t="str">
        <f t="shared" si="40"/>
        <v/>
      </c>
      <c r="AI188" s="89" t="e">
        <f t="shared" si="41"/>
        <v>#N/A</v>
      </c>
      <c r="AJ188" s="2"/>
      <c r="AK188" s="61">
        <f>IF(G188=G$547,0,IF(OR(G188&lt;&gt;0,CH188&lt;&gt;0,C188="L"),COUNTIF(AK$180:AK187,"&gt;0")+1,0))</f>
        <v>0</v>
      </c>
      <c r="AL188" s="61" t="str">
        <f t="shared" si="27"/>
        <v/>
      </c>
      <c r="AM188" s="61" t="e">
        <f t="shared" si="28"/>
        <v>#N/A</v>
      </c>
      <c r="AN188" s="89" t="e">
        <f t="shared" si="29"/>
        <v>#N/A</v>
      </c>
      <c r="AO188" s="230">
        <f>SUM(GEN!X16:AD16)-BD188+AY188</f>
        <v>0</v>
      </c>
      <c r="AP188" s="228">
        <f>SUMIF(GEN!$G$121:$M$121,AP$178,GEN!$P16:$V16)+SUMIF($AZ$178:$BC$178,AP$178,$AZ188:$BC188)</f>
        <v>0</v>
      </c>
      <c r="AQ188" s="229">
        <f>SUMIF(GEN!$G$121:$M$121,AQ$178,GEN!$P16:$V16)+SUMIF($AZ$178:$BC$178,AQ$178,$AZ188:$BC188)</f>
        <v>0</v>
      </c>
      <c r="AR188" s="230">
        <f>SUMIF(GEN!$G$121:$M$121,AR$178,GEN!$P16:$V16)+SUMIF($AZ$178:$BC$178,AR$178,$AZ188:$BC188)</f>
        <v>0</v>
      </c>
      <c r="AS188" s="230">
        <f>SUMIF(GEN!$G$121:$M$121,AS$178,GEN!$P16:$V16)+SUMIF($AZ$178:$BC$178,AS$178,$AZ188:$BC188)</f>
        <v>0</v>
      </c>
      <c r="AT188" s="230">
        <f>SUMIF(GEN!$G$121:$M$121,AT$178,GEN!$P16:$V16)+SUMIF($AZ$178:$BC$178,AT$178,$AZ188:$BC188)</f>
        <v>0</v>
      </c>
      <c r="AU188" s="230">
        <f>SUMIF(GEN!$G$121:$M$121,AU$178,GEN!$P16:$V16)+SUMIF($AZ$178:$BC$178,AU$178,$AZ188:$BC188)</f>
        <v>0</v>
      </c>
      <c r="AV188" s="230">
        <f>SUMIF(GEN!$G$121:$M$121,AV$178,GEN!$P16:$V16)+SUMIF($AZ$178:$BC$178,AV$178,$AZ188:$BC188)</f>
        <v>0</v>
      </c>
      <c r="AW188" s="230">
        <f>SUMIF(GEN!$G$121:$M$121,AW$178,GEN!$P16:$V16)+SUMIF($AZ$178:$BC$178,AW$178,$AZ188:$BC188)</f>
        <v>0</v>
      </c>
      <c r="AX188" s="231">
        <f>SUMIF(GEN!$G$121:$M$121,AX$178,GEN!$P16:$V16)+SUMIF($AZ$178:$BC$178,AX$178,$AZ188:$BC188)</f>
        <v>0</v>
      </c>
      <c r="AY188" s="232">
        <f>GEN!AF16</f>
        <v>0</v>
      </c>
      <c r="AZ188" s="228">
        <f>GEN!AG16</f>
        <v>0</v>
      </c>
      <c r="BA188" s="229">
        <f>GEN!AH16</f>
        <v>0</v>
      </c>
      <c r="BB188" s="230">
        <f>GEN!AI16</f>
        <v>0</v>
      </c>
      <c r="BC188" s="231">
        <f>GEN!AJ16</f>
        <v>0</v>
      </c>
      <c r="BD188" s="228">
        <f>SUMIF(GEN!$G$120:$M$120,"&gt;0",GEN!$X16:$AD16)</f>
        <v>0</v>
      </c>
      <c r="BE188" s="696"/>
      <c r="BF188" s="228">
        <f>SUMIF(GEN!$BA$6:$BG$6,BF$177,GEN!$BA16:$BG16)</f>
        <v>0</v>
      </c>
      <c r="BG188" s="229">
        <f>SUMIF(GEN!$BA$6:$BG$6,BG$177,GEN!$BA16:$BG16)</f>
        <v>0</v>
      </c>
      <c r="BH188" s="229">
        <f>SUMIF(GEN!$BA$6:$BG$6,BH$177,GEN!$BA16:$BG16)</f>
        <v>0</v>
      </c>
      <c r="BI188" s="229">
        <f>SUMIF(GEN!$BA$6:$BG$6,BI$177,GEN!$BA16:$BG16)</f>
        <v>0</v>
      </c>
      <c r="BJ188" s="229">
        <f>SUMIF(GEN!$BA$6:$BG$6,BJ$177,GEN!$BA16:$BG16)</f>
        <v>0</v>
      </c>
      <c r="BK188" s="229">
        <f>SUMIF(GEN!$BA$6:$BG$6,BK$177,GEN!$BA16:$BG16)</f>
        <v>0</v>
      </c>
      <c r="BL188" s="229">
        <f>SUMIF(GEN!$BA$6:$BG$6,BL$177,GEN!$BA16:$BG16)</f>
        <v>0</v>
      </c>
      <c r="BM188" s="229">
        <f>SUMIF(GEN!$BA$6:$BG$6,BM$177,GEN!$BA16:$BG16)</f>
        <v>0</v>
      </c>
      <c r="BN188" s="229">
        <f>SUMIF(GEN!$BA$6:$BG$6,BN$177,GEN!$BA16:$BG16)</f>
        <v>0</v>
      </c>
      <c r="BO188" s="231">
        <f>SUMIF(GEN!$BA$6:$BG$6,BO$177,GEN!$BA16:$BG16)</f>
        <v>0</v>
      </c>
      <c r="BP188" s="231">
        <f>SUMIF(GEN!$BA$6:$BG$6,BP$177,GEN!$BA16:$BG16)</f>
        <v>0</v>
      </c>
      <c r="BQ188" s="252"/>
      <c r="BR188" s="228">
        <f>SUMIF(GEN!$BA$5:$BG$5,BR$177,GEN!$BA16:$BG16)</f>
        <v>0</v>
      </c>
      <c r="BS188" s="229">
        <f>SUMIF(GEN!$BA$5:$BG$5,BS$177,GEN!$BA16:$BG16)</f>
        <v>0</v>
      </c>
      <c r="BT188" s="229">
        <f>SUMIF(GEN!$BA$5:$BG$5,BT$177,GEN!$BA16:$BG16)</f>
        <v>0</v>
      </c>
      <c r="BU188" s="229">
        <f>SUMIF(GEN!$BA$5:$BG$5,BU$177,GEN!$BA16:$BG16)</f>
        <v>0</v>
      </c>
      <c r="BV188" s="229">
        <f>SUMIF(GEN!$BA$5:$BG$5,BV$177,GEN!$BA16:$BG16)</f>
        <v>0</v>
      </c>
      <c r="BW188" s="229">
        <f>SUMIF(GEN!$BA$5:$BG$5,BW$177,GEN!$BA16:$BG16)</f>
        <v>0</v>
      </c>
      <c r="BX188" s="230">
        <f>SUMIF(GEN!$BA$5:$BG$5,BX$177,GEN!$BA16:$BG16)</f>
        <v>0</v>
      </c>
      <c r="BY188" s="998">
        <f>SUMIF(GEN!$BA$5:$BG$5,BY$177,GEN!$BA16:$BG16)</f>
        <v>0</v>
      </c>
      <c r="CB188" s="252"/>
      <c r="CC188" s="61" t="e">
        <f t="shared" si="30"/>
        <v>#N/A</v>
      </c>
      <c r="CD188" s="61">
        <f t="shared" si="31"/>
        <v>0</v>
      </c>
      <c r="CE188" s="105" t="str">
        <f t="shared" si="32"/>
        <v/>
      </c>
      <c r="CF188" s="61" t="e">
        <f t="shared" si="33"/>
        <v>#N/A</v>
      </c>
      <c r="CG188" s="61" t="e">
        <f t="shared" si="34"/>
        <v>#N/A</v>
      </c>
      <c r="CH188" s="521">
        <f>GEN!AL16-CW188+CR188</f>
        <v>0</v>
      </c>
      <c r="CI188" s="228">
        <f>SUMIF(GEN!$G$121:$M$121,CI$178,GEN!$AM16:$AS16)+SUMIF($CS$178:$CV$178,CI$178,$CS188:$CV188)</f>
        <v>0</v>
      </c>
      <c r="CJ188" s="229">
        <f>SUMIF(GEN!$G$121:$M$121,CJ$178,GEN!$AM16:$AS16)+SUMIF($CS$178:$CV$178,CJ$178,$CS188:$CV188)</f>
        <v>0</v>
      </c>
      <c r="CK188" s="230">
        <f>SUMIF(GEN!$G$121:$M$121,CK$178,GEN!$AM16:$AS16)+SUMIF($CS$178:$CV$178,CK$178,$CS188:$CV188)</f>
        <v>0</v>
      </c>
      <c r="CL188" s="230">
        <f>SUMIF(GEN!$G$121:$M$121,CL$178,GEN!$AM16:$AS16)+SUMIF($CS$178:$CV$178,CL$178,$CS188:$CV188)</f>
        <v>0</v>
      </c>
      <c r="CM188" s="230">
        <f>SUMIF(GEN!$G$121:$M$121,CM$178,GEN!$AM16:$AS16)+SUMIF($CS$178:$CV$178,CM$178,$CS188:$CV188)</f>
        <v>0</v>
      </c>
      <c r="CN188" s="230">
        <f>SUMIF(GEN!$G$121:$M$121,CN$178,GEN!$AM16:$AS16)+SUMIF($CS$178:$CV$178,CN$178,$CS188:$CV188)</f>
        <v>0</v>
      </c>
      <c r="CO188" s="230">
        <f>SUMIF(GEN!$G$121:$M$121,CO$178,GEN!$AM16:$AS16)+SUMIF($CS$178:$CV$178,CO$178,$CS188:$CV188)</f>
        <v>0</v>
      </c>
      <c r="CP188" s="230">
        <f>SUMIF(GEN!$G$121:$M$121,CP$178,GEN!$AM16:$AS16)+SUMIF($CS$178:$CV$178,CP$178,$CS188:$CV188)</f>
        <v>0</v>
      </c>
      <c r="CQ188" s="231">
        <f>SUMIF(GEN!$G$121:$M$121,CQ$178,GEN!$AM16:$AS16)+SUMIF($CS$178:$CV$178,CQ$178,$CS188:$CV188)</f>
        <v>0</v>
      </c>
      <c r="CR188" s="521">
        <f>GEN!AU16</f>
        <v>0</v>
      </c>
      <c r="CS188" s="228">
        <f>GEN!AV16</f>
        <v>0</v>
      </c>
      <c r="CT188" s="229">
        <f>GEN!AW16</f>
        <v>0</v>
      </c>
      <c r="CU188" s="230">
        <f>GEN!AX16</f>
        <v>0</v>
      </c>
      <c r="CV188" s="231">
        <f>GEN!AY16</f>
        <v>0</v>
      </c>
      <c r="CW188" s="521">
        <f>SUM(GEN!AU16:AY16)</f>
        <v>0</v>
      </c>
      <c r="CX188" s="521">
        <f>GEN!AK16</f>
        <v>0</v>
      </c>
      <c r="CY188" s="2"/>
    </row>
    <row r="189" spans="1:103" ht="14.25" hidden="1" customHeight="1" x14ac:dyDescent="0.2">
      <c r="A189" s="2"/>
      <c r="B189" s="105">
        <f t="shared" si="35"/>
        <v>45301</v>
      </c>
      <c r="C189" s="146">
        <f>IF(AND(E189&gt;(E$557-1),E189&lt;(I$557+1)),W$551,IF(ISERROR(HLOOKUP(E189,$E$550:$L$550,1,FALSE)),HLOOKUP(WEEKDAY(E189,2),IMPOSTAZIONI!$C$52:$P$57,6,FALSE),$W$550))</f>
        <v>0</v>
      </c>
      <c r="D189" s="71" t="str">
        <f t="shared" si="36"/>
        <v/>
      </c>
      <c r="E189" s="2258">
        <f t="shared" si="42"/>
        <v>45301</v>
      </c>
      <c r="F189" s="2259"/>
      <c r="G189" s="2228">
        <f>GEN!E17</f>
        <v>0</v>
      </c>
      <c r="H189" s="2229"/>
      <c r="I189" s="2230"/>
      <c r="J189" s="262" t="str">
        <f t="shared" si="25"/>
        <v/>
      </c>
      <c r="K189" s="263"/>
      <c r="L189" s="2217">
        <f>L182+1</f>
        <v>2</v>
      </c>
      <c r="M189" s="2218"/>
      <c r="N189" s="261"/>
      <c r="O189" s="261"/>
      <c r="P189" s="261"/>
      <c r="Q189" s="2219">
        <f t="shared" si="38"/>
        <v>45301</v>
      </c>
      <c r="R189" s="2219"/>
      <c r="S189" s="261"/>
      <c r="T189" s="1173">
        <f t="shared" si="26"/>
        <v>0</v>
      </c>
      <c r="U189" s="261"/>
      <c r="V189" s="261"/>
      <c r="W189" s="261"/>
      <c r="X189" s="261"/>
      <c r="Y189" s="261"/>
      <c r="Z189" s="261"/>
      <c r="AA189" s="261"/>
      <c r="AB189" s="261"/>
      <c r="AC189" s="261"/>
      <c r="AD189" s="261"/>
      <c r="AE189" s="261"/>
      <c r="AF189" s="261"/>
      <c r="AG189" s="1173">
        <f t="shared" si="39"/>
        <v>0</v>
      </c>
      <c r="AH189" s="61" t="str">
        <f t="shared" si="40"/>
        <v/>
      </c>
      <c r="AI189" s="89" t="e">
        <f t="shared" si="41"/>
        <v>#N/A</v>
      </c>
      <c r="AJ189" s="2"/>
      <c r="AK189" s="61">
        <f>IF(G189=G$547,0,IF(OR(G189&lt;&gt;0,CH189&lt;&gt;0,C189="L"),COUNTIF(AK$180:AK188,"&gt;0")+1,0))</f>
        <v>0</v>
      </c>
      <c r="AL189" s="61" t="str">
        <f t="shared" si="27"/>
        <v/>
      </c>
      <c r="AM189" s="61" t="e">
        <f t="shared" si="28"/>
        <v>#N/A</v>
      </c>
      <c r="AN189" s="89" t="e">
        <f t="shared" si="29"/>
        <v>#N/A</v>
      </c>
      <c r="AO189" s="230">
        <f>SUM(GEN!X17:AD17)-BD189+AY189</f>
        <v>0</v>
      </c>
      <c r="AP189" s="228">
        <f>SUMIF(GEN!$G$121:$M$121,AP$178,GEN!$P17:$V17)+SUMIF($AZ$178:$BC$178,AP$178,$AZ189:$BC189)</f>
        <v>0</v>
      </c>
      <c r="AQ189" s="229">
        <f>SUMIF(GEN!$G$121:$M$121,AQ$178,GEN!$P17:$V17)+SUMIF($AZ$178:$BC$178,AQ$178,$AZ189:$BC189)</f>
        <v>0</v>
      </c>
      <c r="AR189" s="230">
        <f>SUMIF(GEN!$G$121:$M$121,AR$178,GEN!$P17:$V17)+SUMIF($AZ$178:$BC$178,AR$178,$AZ189:$BC189)</f>
        <v>0</v>
      </c>
      <c r="AS189" s="230">
        <f>SUMIF(GEN!$G$121:$M$121,AS$178,GEN!$P17:$V17)+SUMIF($AZ$178:$BC$178,AS$178,$AZ189:$BC189)</f>
        <v>0</v>
      </c>
      <c r="AT189" s="230">
        <f>SUMIF(GEN!$G$121:$M$121,AT$178,GEN!$P17:$V17)+SUMIF($AZ$178:$BC$178,AT$178,$AZ189:$BC189)</f>
        <v>0</v>
      </c>
      <c r="AU189" s="230">
        <f>SUMIF(GEN!$G$121:$M$121,AU$178,GEN!$P17:$V17)+SUMIF($AZ$178:$BC$178,AU$178,$AZ189:$BC189)</f>
        <v>0</v>
      </c>
      <c r="AV189" s="230">
        <f>SUMIF(GEN!$G$121:$M$121,AV$178,GEN!$P17:$V17)+SUMIF($AZ$178:$BC$178,AV$178,$AZ189:$BC189)</f>
        <v>0</v>
      </c>
      <c r="AW189" s="230">
        <f>SUMIF(GEN!$G$121:$M$121,AW$178,GEN!$P17:$V17)+SUMIF($AZ$178:$BC$178,AW$178,$AZ189:$BC189)</f>
        <v>0</v>
      </c>
      <c r="AX189" s="231">
        <f>SUMIF(GEN!$G$121:$M$121,AX$178,GEN!$P17:$V17)+SUMIF($AZ$178:$BC$178,AX$178,$AZ189:$BC189)</f>
        <v>0</v>
      </c>
      <c r="AY189" s="232">
        <f>GEN!AF17</f>
        <v>0</v>
      </c>
      <c r="AZ189" s="228">
        <f>GEN!AG17</f>
        <v>0</v>
      </c>
      <c r="BA189" s="229">
        <f>GEN!AH17</f>
        <v>0</v>
      </c>
      <c r="BB189" s="230">
        <f>GEN!AI17</f>
        <v>0</v>
      </c>
      <c r="BC189" s="231">
        <f>GEN!AJ17</f>
        <v>0</v>
      </c>
      <c r="BD189" s="228">
        <f>SUMIF(GEN!$G$120:$M$120,"&gt;0",GEN!$X17:$AD17)</f>
        <v>0</v>
      </c>
      <c r="BE189" s="696"/>
      <c r="BF189" s="228">
        <f>SUMIF(GEN!$BA$6:$BG$6,BF$177,GEN!$BA17:$BG17)</f>
        <v>0</v>
      </c>
      <c r="BG189" s="229">
        <f>SUMIF(GEN!$BA$6:$BG$6,BG$177,GEN!$BA17:$BG17)</f>
        <v>0</v>
      </c>
      <c r="BH189" s="229">
        <f>SUMIF(GEN!$BA$6:$BG$6,BH$177,GEN!$BA17:$BG17)</f>
        <v>0</v>
      </c>
      <c r="BI189" s="229">
        <f>SUMIF(GEN!$BA$6:$BG$6,BI$177,GEN!$BA17:$BG17)</f>
        <v>0</v>
      </c>
      <c r="BJ189" s="229">
        <f>SUMIF(GEN!$BA$6:$BG$6,BJ$177,GEN!$BA17:$BG17)</f>
        <v>0</v>
      </c>
      <c r="BK189" s="229">
        <f>SUMIF(GEN!$BA$6:$BG$6,BK$177,GEN!$BA17:$BG17)</f>
        <v>0</v>
      </c>
      <c r="BL189" s="229">
        <f>SUMIF(GEN!$BA$6:$BG$6,BL$177,GEN!$BA17:$BG17)</f>
        <v>0</v>
      </c>
      <c r="BM189" s="229">
        <f>SUMIF(GEN!$BA$6:$BG$6,BM$177,GEN!$BA17:$BG17)</f>
        <v>0</v>
      </c>
      <c r="BN189" s="229">
        <f>SUMIF(GEN!$BA$6:$BG$6,BN$177,GEN!$BA17:$BG17)</f>
        <v>0</v>
      </c>
      <c r="BO189" s="231">
        <f>SUMIF(GEN!$BA$6:$BG$6,BO$177,GEN!$BA17:$BG17)</f>
        <v>0</v>
      </c>
      <c r="BP189" s="231">
        <f>SUMIF(GEN!$BA$6:$BG$6,BP$177,GEN!$BA17:$BG17)</f>
        <v>0</v>
      </c>
      <c r="BQ189" s="252"/>
      <c r="BR189" s="228">
        <f>SUMIF(GEN!$BA$5:$BG$5,BR$177,GEN!$BA17:$BG17)</f>
        <v>0</v>
      </c>
      <c r="BS189" s="229">
        <f>SUMIF(GEN!$BA$5:$BG$5,BS$177,GEN!$BA17:$BG17)</f>
        <v>0</v>
      </c>
      <c r="BT189" s="229">
        <f>SUMIF(GEN!$BA$5:$BG$5,BT$177,GEN!$BA17:$BG17)</f>
        <v>0</v>
      </c>
      <c r="BU189" s="229">
        <f>SUMIF(GEN!$BA$5:$BG$5,BU$177,GEN!$BA17:$BG17)</f>
        <v>0</v>
      </c>
      <c r="BV189" s="229">
        <f>SUMIF(GEN!$BA$5:$BG$5,BV$177,GEN!$BA17:$BG17)</f>
        <v>0</v>
      </c>
      <c r="BW189" s="229">
        <f>SUMIF(GEN!$BA$5:$BG$5,BW$177,GEN!$BA17:$BG17)</f>
        <v>0</v>
      </c>
      <c r="BX189" s="230">
        <f>SUMIF(GEN!$BA$5:$BG$5,BX$177,GEN!$BA17:$BG17)</f>
        <v>0</v>
      </c>
      <c r="BY189" s="998">
        <f>SUMIF(GEN!$BA$5:$BG$5,BY$177,GEN!$BA17:$BG17)</f>
        <v>0</v>
      </c>
      <c r="CB189" s="252"/>
      <c r="CC189" s="61" t="e">
        <f t="shared" si="30"/>
        <v>#N/A</v>
      </c>
      <c r="CD189" s="61">
        <f t="shared" si="31"/>
        <v>0</v>
      </c>
      <c r="CE189" s="105" t="str">
        <f t="shared" si="32"/>
        <v/>
      </c>
      <c r="CF189" s="61" t="e">
        <f t="shared" si="33"/>
        <v>#N/A</v>
      </c>
      <c r="CG189" s="61" t="e">
        <f t="shared" si="34"/>
        <v>#N/A</v>
      </c>
      <c r="CH189" s="521">
        <f>GEN!AL17-CW189+CR189</f>
        <v>0</v>
      </c>
      <c r="CI189" s="228">
        <f>SUMIF(GEN!$G$121:$M$121,CI$178,GEN!$AM17:$AS17)+SUMIF($CS$178:$CV$178,CI$178,$CS189:$CV189)</f>
        <v>0</v>
      </c>
      <c r="CJ189" s="229">
        <f>SUMIF(GEN!$G$121:$M$121,CJ$178,GEN!$AM17:$AS17)+SUMIF($CS$178:$CV$178,CJ$178,$CS189:$CV189)</f>
        <v>0</v>
      </c>
      <c r="CK189" s="230">
        <f>SUMIF(GEN!$G$121:$M$121,CK$178,GEN!$AM17:$AS17)+SUMIF($CS$178:$CV$178,CK$178,$CS189:$CV189)</f>
        <v>0</v>
      </c>
      <c r="CL189" s="230">
        <f>SUMIF(GEN!$G$121:$M$121,CL$178,GEN!$AM17:$AS17)+SUMIF($CS$178:$CV$178,CL$178,$CS189:$CV189)</f>
        <v>0</v>
      </c>
      <c r="CM189" s="230">
        <f>SUMIF(GEN!$G$121:$M$121,CM$178,GEN!$AM17:$AS17)+SUMIF($CS$178:$CV$178,CM$178,$CS189:$CV189)</f>
        <v>0</v>
      </c>
      <c r="CN189" s="230">
        <f>SUMIF(GEN!$G$121:$M$121,CN$178,GEN!$AM17:$AS17)+SUMIF($CS$178:$CV$178,CN$178,$CS189:$CV189)</f>
        <v>0</v>
      </c>
      <c r="CO189" s="230">
        <f>SUMIF(GEN!$G$121:$M$121,CO$178,GEN!$AM17:$AS17)+SUMIF($CS$178:$CV$178,CO$178,$CS189:$CV189)</f>
        <v>0</v>
      </c>
      <c r="CP189" s="230">
        <f>SUMIF(GEN!$G$121:$M$121,CP$178,GEN!$AM17:$AS17)+SUMIF($CS$178:$CV$178,CP$178,$CS189:$CV189)</f>
        <v>0</v>
      </c>
      <c r="CQ189" s="231">
        <f>SUMIF(GEN!$G$121:$M$121,CQ$178,GEN!$AM17:$AS17)+SUMIF($CS$178:$CV$178,CQ$178,$CS189:$CV189)</f>
        <v>0</v>
      </c>
      <c r="CR189" s="521">
        <f>GEN!AU17</f>
        <v>0</v>
      </c>
      <c r="CS189" s="228">
        <f>GEN!AV17</f>
        <v>0</v>
      </c>
      <c r="CT189" s="229">
        <f>GEN!AW17</f>
        <v>0</v>
      </c>
      <c r="CU189" s="230">
        <f>GEN!AX17</f>
        <v>0</v>
      </c>
      <c r="CV189" s="231">
        <f>GEN!AY17</f>
        <v>0</v>
      </c>
      <c r="CW189" s="521">
        <f>SUM(GEN!AU17:AY17)</f>
        <v>0</v>
      </c>
      <c r="CX189" s="521">
        <f>GEN!AK17</f>
        <v>0</v>
      </c>
      <c r="CY189" s="2"/>
    </row>
    <row r="190" spans="1:103" ht="14.25" hidden="1" customHeight="1" x14ac:dyDescent="0.2">
      <c r="A190" s="2"/>
      <c r="B190" s="105">
        <f t="shared" si="35"/>
        <v>45302</v>
      </c>
      <c r="C190" s="146">
        <f>IF(AND(E190&gt;(E$557-1),E190&lt;(I$557+1)),W$551,IF(ISERROR(HLOOKUP(E190,$E$550:$L$550,1,FALSE)),HLOOKUP(WEEKDAY(E190,2),IMPOSTAZIONI!$C$52:$P$57,6,FALSE),$W$550))</f>
        <v>0</v>
      </c>
      <c r="D190" s="71" t="str">
        <f t="shared" si="36"/>
        <v/>
      </c>
      <c r="E190" s="2258">
        <f t="shared" si="42"/>
        <v>45302</v>
      </c>
      <c r="F190" s="2259"/>
      <c r="G190" s="2228">
        <f>GEN!E18</f>
        <v>0</v>
      </c>
      <c r="H190" s="2229"/>
      <c r="I190" s="2230"/>
      <c r="J190" s="262" t="str">
        <f t="shared" si="25"/>
        <v/>
      </c>
      <c r="K190" s="263"/>
      <c r="L190" s="2217">
        <f t="shared" ref="L190:L253" si="43">L183+1</f>
        <v>2</v>
      </c>
      <c r="M190" s="2218"/>
      <c r="N190" s="261"/>
      <c r="O190" s="261"/>
      <c r="P190" s="261"/>
      <c r="Q190" s="2219">
        <f t="shared" si="38"/>
        <v>45302</v>
      </c>
      <c r="R190" s="2219"/>
      <c r="S190" s="261"/>
      <c r="T190" s="1173">
        <f t="shared" si="26"/>
        <v>0</v>
      </c>
      <c r="U190" s="261"/>
      <c r="V190" s="261"/>
      <c r="W190" s="261"/>
      <c r="X190" s="261"/>
      <c r="Y190" s="261"/>
      <c r="Z190" s="261"/>
      <c r="AA190" s="261"/>
      <c r="AB190" s="261"/>
      <c r="AC190" s="261"/>
      <c r="AD190" s="261"/>
      <c r="AE190" s="261"/>
      <c r="AF190" s="261"/>
      <c r="AG190" s="1173">
        <f t="shared" si="39"/>
        <v>0</v>
      </c>
      <c r="AH190" s="61" t="str">
        <f t="shared" si="40"/>
        <v/>
      </c>
      <c r="AI190" s="89" t="e">
        <f t="shared" si="41"/>
        <v>#N/A</v>
      </c>
      <c r="AJ190" s="2"/>
      <c r="AK190" s="61">
        <f>IF(G190=G$547,0,IF(OR(G190&lt;&gt;0,CH190&lt;&gt;0,C190="L"),COUNTIF(AK$180:AK189,"&gt;0")+1,0))</f>
        <v>0</v>
      </c>
      <c r="AL190" s="61" t="str">
        <f t="shared" si="27"/>
        <v/>
      </c>
      <c r="AM190" s="61" t="e">
        <f t="shared" si="28"/>
        <v>#N/A</v>
      </c>
      <c r="AN190" s="89" t="e">
        <f t="shared" si="29"/>
        <v>#N/A</v>
      </c>
      <c r="AO190" s="230">
        <f>SUM(GEN!X18:AD18)-BD190+AY190</f>
        <v>0</v>
      </c>
      <c r="AP190" s="228">
        <f>SUMIF(GEN!$G$121:$M$121,AP$178,GEN!$P18:$V18)+SUMIF($AZ$178:$BC$178,AP$178,$AZ190:$BC190)</f>
        <v>0</v>
      </c>
      <c r="AQ190" s="229">
        <f>SUMIF(GEN!$G$121:$M$121,AQ$178,GEN!$P18:$V18)+SUMIF($AZ$178:$BC$178,AQ$178,$AZ190:$BC190)</f>
        <v>0</v>
      </c>
      <c r="AR190" s="230">
        <f>SUMIF(GEN!$G$121:$M$121,AR$178,GEN!$P18:$V18)+SUMIF($AZ$178:$BC$178,AR$178,$AZ190:$BC190)</f>
        <v>0</v>
      </c>
      <c r="AS190" s="230">
        <f>SUMIF(GEN!$G$121:$M$121,AS$178,GEN!$P18:$V18)+SUMIF($AZ$178:$BC$178,AS$178,$AZ190:$BC190)</f>
        <v>0</v>
      </c>
      <c r="AT190" s="230">
        <f>SUMIF(GEN!$G$121:$M$121,AT$178,GEN!$P18:$V18)+SUMIF($AZ$178:$BC$178,AT$178,$AZ190:$BC190)</f>
        <v>0</v>
      </c>
      <c r="AU190" s="230">
        <f>SUMIF(GEN!$G$121:$M$121,AU$178,GEN!$P18:$V18)+SUMIF($AZ$178:$BC$178,AU$178,$AZ190:$BC190)</f>
        <v>0</v>
      </c>
      <c r="AV190" s="230">
        <f>SUMIF(GEN!$G$121:$M$121,AV$178,GEN!$P18:$V18)+SUMIF($AZ$178:$BC$178,AV$178,$AZ190:$BC190)</f>
        <v>0</v>
      </c>
      <c r="AW190" s="230">
        <f>SUMIF(GEN!$G$121:$M$121,AW$178,GEN!$P18:$V18)+SUMIF($AZ$178:$BC$178,AW$178,$AZ190:$BC190)</f>
        <v>0</v>
      </c>
      <c r="AX190" s="231">
        <f>SUMIF(GEN!$G$121:$M$121,AX$178,GEN!$P18:$V18)+SUMIF($AZ$178:$BC$178,AX$178,$AZ190:$BC190)</f>
        <v>0</v>
      </c>
      <c r="AY190" s="232">
        <f>GEN!AF18</f>
        <v>0</v>
      </c>
      <c r="AZ190" s="228">
        <f>GEN!AG18</f>
        <v>0</v>
      </c>
      <c r="BA190" s="229">
        <f>GEN!AH18</f>
        <v>0</v>
      </c>
      <c r="BB190" s="230">
        <f>GEN!AI18</f>
        <v>0</v>
      </c>
      <c r="BC190" s="231">
        <f>GEN!AJ18</f>
        <v>0</v>
      </c>
      <c r="BD190" s="228">
        <f>SUMIF(GEN!$G$120:$M$120,"&gt;0",GEN!$X18:$AD18)</f>
        <v>0</v>
      </c>
      <c r="BE190" s="696"/>
      <c r="BF190" s="228">
        <f>SUMIF(GEN!$BA$6:$BG$6,BF$177,GEN!$BA18:$BG18)</f>
        <v>0</v>
      </c>
      <c r="BG190" s="229">
        <f>SUMIF(GEN!$BA$6:$BG$6,BG$177,GEN!$BA18:$BG18)</f>
        <v>0</v>
      </c>
      <c r="BH190" s="229">
        <f>SUMIF(GEN!$BA$6:$BG$6,BH$177,GEN!$BA18:$BG18)</f>
        <v>0</v>
      </c>
      <c r="BI190" s="229">
        <f>SUMIF(GEN!$BA$6:$BG$6,BI$177,GEN!$BA18:$BG18)</f>
        <v>0</v>
      </c>
      <c r="BJ190" s="229">
        <f>SUMIF(GEN!$BA$6:$BG$6,BJ$177,GEN!$BA18:$BG18)</f>
        <v>0</v>
      </c>
      <c r="BK190" s="229">
        <f>SUMIF(GEN!$BA$6:$BG$6,BK$177,GEN!$BA18:$BG18)</f>
        <v>0</v>
      </c>
      <c r="BL190" s="229">
        <f>SUMIF(GEN!$BA$6:$BG$6,BL$177,GEN!$BA18:$BG18)</f>
        <v>0</v>
      </c>
      <c r="BM190" s="229">
        <f>SUMIF(GEN!$BA$6:$BG$6,BM$177,GEN!$BA18:$BG18)</f>
        <v>0</v>
      </c>
      <c r="BN190" s="229">
        <f>SUMIF(GEN!$BA$6:$BG$6,BN$177,GEN!$BA18:$BG18)</f>
        <v>0</v>
      </c>
      <c r="BO190" s="231">
        <f>SUMIF(GEN!$BA$6:$BG$6,BO$177,GEN!$BA18:$BG18)</f>
        <v>0</v>
      </c>
      <c r="BP190" s="231">
        <f>SUMIF(GEN!$BA$6:$BG$6,BP$177,GEN!$BA18:$BG18)</f>
        <v>0</v>
      </c>
      <c r="BQ190" s="252"/>
      <c r="BR190" s="228">
        <f>SUMIF(GEN!$BA$5:$BG$5,BR$177,GEN!$BA18:$BG18)</f>
        <v>0</v>
      </c>
      <c r="BS190" s="229">
        <f>SUMIF(GEN!$BA$5:$BG$5,BS$177,GEN!$BA18:$BG18)</f>
        <v>0</v>
      </c>
      <c r="BT190" s="229">
        <f>SUMIF(GEN!$BA$5:$BG$5,BT$177,GEN!$BA18:$BG18)</f>
        <v>0</v>
      </c>
      <c r="BU190" s="229">
        <f>SUMIF(GEN!$BA$5:$BG$5,BU$177,GEN!$BA18:$BG18)</f>
        <v>0</v>
      </c>
      <c r="BV190" s="229">
        <f>SUMIF(GEN!$BA$5:$BG$5,BV$177,GEN!$BA18:$BG18)</f>
        <v>0</v>
      </c>
      <c r="BW190" s="229">
        <f>SUMIF(GEN!$BA$5:$BG$5,BW$177,GEN!$BA18:$BG18)</f>
        <v>0</v>
      </c>
      <c r="BX190" s="230">
        <f>SUMIF(GEN!$BA$5:$BG$5,BX$177,GEN!$BA18:$BG18)</f>
        <v>0</v>
      </c>
      <c r="BY190" s="998">
        <f>SUMIF(GEN!$BA$5:$BG$5,BY$177,GEN!$BA18:$BG18)</f>
        <v>0</v>
      </c>
      <c r="CB190" s="252"/>
      <c r="CC190" s="61" t="e">
        <f t="shared" si="30"/>
        <v>#N/A</v>
      </c>
      <c r="CD190" s="61">
        <f t="shared" si="31"/>
        <v>0</v>
      </c>
      <c r="CE190" s="105" t="str">
        <f t="shared" si="32"/>
        <v/>
      </c>
      <c r="CF190" s="61" t="e">
        <f t="shared" si="33"/>
        <v>#N/A</v>
      </c>
      <c r="CG190" s="61" t="e">
        <f t="shared" si="34"/>
        <v>#N/A</v>
      </c>
      <c r="CH190" s="521">
        <f>GEN!AL18-CW190+CR190</f>
        <v>0</v>
      </c>
      <c r="CI190" s="228">
        <f>SUMIF(GEN!$G$121:$M$121,CI$178,GEN!$AM18:$AS18)+SUMIF($CS$178:$CV$178,CI$178,$CS190:$CV190)</f>
        <v>0</v>
      </c>
      <c r="CJ190" s="229">
        <f>SUMIF(GEN!$G$121:$M$121,CJ$178,GEN!$AM18:$AS18)+SUMIF($CS$178:$CV$178,CJ$178,$CS190:$CV190)</f>
        <v>0</v>
      </c>
      <c r="CK190" s="230">
        <f>SUMIF(GEN!$G$121:$M$121,CK$178,GEN!$AM18:$AS18)+SUMIF($CS$178:$CV$178,CK$178,$CS190:$CV190)</f>
        <v>0</v>
      </c>
      <c r="CL190" s="230">
        <f>SUMIF(GEN!$G$121:$M$121,CL$178,GEN!$AM18:$AS18)+SUMIF($CS$178:$CV$178,CL$178,$CS190:$CV190)</f>
        <v>0</v>
      </c>
      <c r="CM190" s="230">
        <f>SUMIF(GEN!$G$121:$M$121,CM$178,GEN!$AM18:$AS18)+SUMIF($CS$178:$CV$178,CM$178,$CS190:$CV190)</f>
        <v>0</v>
      </c>
      <c r="CN190" s="230">
        <f>SUMIF(GEN!$G$121:$M$121,CN$178,GEN!$AM18:$AS18)+SUMIF($CS$178:$CV$178,CN$178,$CS190:$CV190)</f>
        <v>0</v>
      </c>
      <c r="CO190" s="230">
        <f>SUMIF(GEN!$G$121:$M$121,CO$178,GEN!$AM18:$AS18)+SUMIF($CS$178:$CV$178,CO$178,$CS190:$CV190)</f>
        <v>0</v>
      </c>
      <c r="CP190" s="230">
        <f>SUMIF(GEN!$G$121:$M$121,CP$178,GEN!$AM18:$AS18)+SUMIF($CS$178:$CV$178,CP$178,$CS190:$CV190)</f>
        <v>0</v>
      </c>
      <c r="CQ190" s="231">
        <f>SUMIF(GEN!$G$121:$M$121,CQ$178,GEN!$AM18:$AS18)+SUMIF($CS$178:$CV$178,CQ$178,$CS190:$CV190)</f>
        <v>0</v>
      </c>
      <c r="CR190" s="521">
        <f>GEN!AU18</f>
        <v>0</v>
      </c>
      <c r="CS190" s="228">
        <f>GEN!AV18</f>
        <v>0</v>
      </c>
      <c r="CT190" s="229">
        <f>GEN!AW18</f>
        <v>0</v>
      </c>
      <c r="CU190" s="230">
        <f>GEN!AX18</f>
        <v>0</v>
      </c>
      <c r="CV190" s="231">
        <f>GEN!AY18</f>
        <v>0</v>
      </c>
      <c r="CW190" s="521">
        <f>SUM(GEN!AU18:AY18)</f>
        <v>0</v>
      </c>
      <c r="CX190" s="521">
        <f>GEN!AK18</f>
        <v>0</v>
      </c>
      <c r="CY190" s="2"/>
    </row>
    <row r="191" spans="1:103" ht="14.25" hidden="1" customHeight="1" x14ac:dyDescent="0.2">
      <c r="A191" s="2"/>
      <c r="B191" s="105">
        <f t="shared" si="35"/>
        <v>45303</v>
      </c>
      <c r="C191" s="146">
        <f>IF(AND(E191&gt;(E$557-1),E191&lt;(I$557+1)),W$551,IF(ISERROR(HLOOKUP(E191,$E$550:$L$550,1,FALSE)),HLOOKUP(WEEKDAY(E191,2),IMPOSTAZIONI!$C$52:$P$57,6,FALSE),$W$550))</f>
        <v>0</v>
      </c>
      <c r="D191" s="71" t="str">
        <f t="shared" si="36"/>
        <v/>
      </c>
      <c r="E191" s="2258">
        <f t="shared" si="42"/>
        <v>45303</v>
      </c>
      <c r="F191" s="2259"/>
      <c r="G191" s="2228">
        <f>GEN!E19</f>
        <v>0</v>
      </c>
      <c r="H191" s="2229"/>
      <c r="I191" s="2230"/>
      <c r="J191" s="262" t="str">
        <f t="shared" si="25"/>
        <v/>
      </c>
      <c r="K191" s="263"/>
      <c r="L191" s="2217">
        <f t="shared" si="43"/>
        <v>2</v>
      </c>
      <c r="M191" s="2218"/>
      <c r="N191" s="261"/>
      <c r="O191" s="261"/>
      <c r="P191" s="261"/>
      <c r="Q191" s="2219">
        <f t="shared" si="38"/>
        <v>45303</v>
      </c>
      <c r="R191" s="2219"/>
      <c r="S191" s="261"/>
      <c r="T191" s="1173">
        <f t="shared" si="26"/>
        <v>0</v>
      </c>
      <c r="U191" s="261"/>
      <c r="V191" s="261"/>
      <c r="W191" s="261"/>
      <c r="X191" s="261"/>
      <c r="Y191" s="261"/>
      <c r="Z191" s="261"/>
      <c r="AA191" s="261"/>
      <c r="AB191" s="261"/>
      <c r="AC191" s="261"/>
      <c r="AD191" s="261"/>
      <c r="AE191" s="261"/>
      <c r="AF191" s="261"/>
      <c r="AG191" s="1173">
        <f t="shared" si="39"/>
        <v>0</v>
      </c>
      <c r="AH191" s="61" t="str">
        <f t="shared" si="40"/>
        <v/>
      </c>
      <c r="AI191" s="89" t="e">
        <f t="shared" si="41"/>
        <v>#N/A</v>
      </c>
      <c r="AJ191" s="2"/>
      <c r="AK191" s="61">
        <f>IF(G191=G$547,0,IF(OR(G191&lt;&gt;0,CH191&lt;&gt;0,C191="L"),COUNTIF(AK$180:AK190,"&gt;0")+1,0))</f>
        <v>0</v>
      </c>
      <c r="AL191" s="61" t="str">
        <f t="shared" si="27"/>
        <v/>
      </c>
      <c r="AM191" s="61" t="e">
        <f t="shared" si="28"/>
        <v>#N/A</v>
      </c>
      <c r="AN191" s="89" t="e">
        <f t="shared" si="29"/>
        <v>#N/A</v>
      </c>
      <c r="AO191" s="230">
        <f>SUM(GEN!X19:AD19)-BD191+AY191</f>
        <v>0</v>
      </c>
      <c r="AP191" s="228">
        <f>SUMIF(GEN!$G$121:$M$121,AP$178,GEN!$P19:$V19)+SUMIF($AZ$178:$BC$178,AP$178,$AZ191:$BC191)</f>
        <v>0</v>
      </c>
      <c r="AQ191" s="229">
        <f>SUMIF(GEN!$G$121:$M$121,AQ$178,GEN!$P19:$V19)+SUMIF($AZ$178:$BC$178,AQ$178,$AZ191:$BC191)</f>
        <v>0</v>
      </c>
      <c r="AR191" s="230">
        <f>SUMIF(GEN!$G$121:$M$121,AR$178,GEN!$P19:$V19)+SUMIF($AZ$178:$BC$178,AR$178,$AZ191:$BC191)</f>
        <v>0</v>
      </c>
      <c r="AS191" s="230">
        <f>SUMIF(GEN!$G$121:$M$121,AS$178,GEN!$P19:$V19)+SUMIF($AZ$178:$BC$178,AS$178,$AZ191:$BC191)</f>
        <v>0</v>
      </c>
      <c r="AT191" s="230">
        <f>SUMIF(GEN!$G$121:$M$121,AT$178,GEN!$P19:$V19)+SUMIF($AZ$178:$BC$178,AT$178,$AZ191:$BC191)</f>
        <v>0</v>
      </c>
      <c r="AU191" s="230">
        <f>SUMIF(GEN!$G$121:$M$121,AU$178,GEN!$P19:$V19)+SUMIF($AZ$178:$BC$178,AU$178,$AZ191:$BC191)</f>
        <v>0</v>
      </c>
      <c r="AV191" s="230">
        <f>SUMIF(GEN!$G$121:$M$121,AV$178,GEN!$P19:$V19)+SUMIF($AZ$178:$BC$178,AV$178,$AZ191:$BC191)</f>
        <v>0</v>
      </c>
      <c r="AW191" s="230">
        <f>SUMIF(GEN!$G$121:$M$121,AW$178,GEN!$P19:$V19)+SUMIF($AZ$178:$BC$178,AW$178,$AZ191:$BC191)</f>
        <v>0</v>
      </c>
      <c r="AX191" s="231">
        <f>SUMIF(GEN!$G$121:$M$121,AX$178,GEN!$P19:$V19)+SUMIF($AZ$178:$BC$178,AX$178,$AZ191:$BC191)</f>
        <v>0</v>
      </c>
      <c r="AY191" s="232">
        <f>GEN!AF19</f>
        <v>0</v>
      </c>
      <c r="AZ191" s="228">
        <f>GEN!AG19</f>
        <v>0</v>
      </c>
      <c r="BA191" s="229">
        <f>GEN!AH19</f>
        <v>0</v>
      </c>
      <c r="BB191" s="230">
        <f>GEN!AI19</f>
        <v>0</v>
      </c>
      <c r="BC191" s="231">
        <f>GEN!AJ19</f>
        <v>0</v>
      </c>
      <c r="BD191" s="228">
        <f>SUMIF(GEN!$G$120:$M$120,"&gt;0",GEN!$X19:$AD19)</f>
        <v>0</v>
      </c>
      <c r="BE191" s="696"/>
      <c r="BF191" s="228">
        <f>SUMIF(GEN!$BA$6:$BG$6,BF$177,GEN!$BA19:$BG19)</f>
        <v>0</v>
      </c>
      <c r="BG191" s="229">
        <f>SUMIF(GEN!$BA$6:$BG$6,BG$177,GEN!$BA19:$BG19)</f>
        <v>0</v>
      </c>
      <c r="BH191" s="229">
        <f>SUMIF(GEN!$BA$6:$BG$6,BH$177,GEN!$BA19:$BG19)</f>
        <v>0</v>
      </c>
      <c r="BI191" s="229">
        <f>SUMIF(GEN!$BA$6:$BG$6,BI$177,GEN!$BA19:$BG19)</f>
        <v>0</v>
      </c>
      <c r="BJ191" s="229">
        <f>SUMIF(GEN!$BA$6:$BG$6,BJ$177,GEN!$BA19:$BG19)</f>
        <v>0</v>
      </c>
      <c r="BK191" s="229">
        <f>SUMIF(GEN!$BA$6:$BG$6,BK$177,GEN!$BA19:$BG19)</f>
        <v>0</v>
      </c>
      <c r="BL191" s="229">
        <f>SUMIF(GEN!$BA$6:$BG$6,BL$177,GEN!$BA19:$BG19)</f>
        <v>0</v>
      </c>
      <c r="BM191" s="229">
        <f>SUMIF(GEN!$BA$6:$BG$6,BM$177,GEN!$BA19:$BG19)</f>
        <v>0</v>
      </c>
      <c r="BN191" s="229">
        <f>SUMIF(GEN!$BA$6:$BG$6,BN$177,GEN!$BA19:$BG19)</f>
        <v>0</v>
      </c>
      <c r="BO191" s="231">
        <f>SUMIF(GEN!$BA$6:$BG$6,BO$177,GEN!$BA19:$BG19)</f>
        <v>0</v>
      </c>
      <c r="BP191" s="231">
        <f>SUMIF(GEN!$BA$6:$BG$6,BP$177,GEN!$BA19:$BG19)</f>
        <v>0</v>
      </c>
      <c r="BQ191" s="252"/>
      <c r="BR191" s="228">
        <f>SUMIF(GEN!$BA$5:$BG$5,BR$177,GEN!$BA19:$BG19)</f>
        <v>0</v>
      </c>
      <c r="BS191" s="229">
        <f>SUMIF(GEN!$BA$5:$BG$5,BS$177,GEN!$BA19:$BG19)</f>
        <v>0</v>
      </c>
      <c r="BT191" s="229">
        <f>SUMIF(GEN!$BA$5:$BG$5,BT$177,GEN!$BA19:$BG19)</f>
        <v>0</v>
      </c>
      <c r="BU191" s="229">
        <f>SUMIF(GEN!$BA$5:$BG$5,BU$177,GEN!$BA19:$BG19)</f>
        <v>0</v>
      </c>
      <c r="BV191" s="229">
        <f>SUMIF(GEN!$BA$5:$BG$5,BV$177,GEN!$BA19:$BG19)</f>
        <v>0</v>
      </c>
      <c r="BW191" s="229">
        <f>SUMIF(GEN!$BA$5:$BG$5,BW$177,GEN!$BA19:$BG19)</f>
        <v>0</v>
      </c>
      <c r="BX191" s="230">
        <f>SUMIF(GEN!$BA$5:$BG$5,BX$177,GEN!$BA19:$BG19)</f>
        <v>0</v>
      </c>
      <c r="BY191" s="998">
        <f>SUMIF(GEN!$BA$5:$BG$5,BY$177,GEN!$BA19:$BG19)</f>
        <v>0</v>
      </c>
      <c r="CB191" s="252"/>
      <c r="CC191" s="61" t="e">
        <f t="shared" si="30"/>
        <v>#N/A</v>
      </c>
      <c r="CD191" s="61">
        <f t="shared" si="31"/>
        <v>0</v>
      </c>
      <c r="CE191" s="105" t="str">
        <f t="shared" si="32"/>
        <v/>
      </c>
      <c r="CF191" s="61" t="e">
        <f t="shared" si="33"/>
        <v>#N/A</v>
      </c>
      <c r="CG191" s="61" t="e">
        <f t="shared" si="34"/>
        <v>#N/A</v>
      </c>
      <c r="CH191" s="521">
        <f>GEN!AL19-CW191+CR191</f>
        <v>0</v>
      </c>
      <c r="CI191" s="228">
        <f>SUMIF(GEN!$G$121:$M$121,CI$178,GEN!$AM19:$AS19)+SUMIF($CS$178:$CV$178,CI$178,$CS191:$CV191)</f>
        <v>0</v>
      </c>
      <c r="CJ191" s="229">
        <f>SUMIF(GEN!$G$121:$M$121,CJ$178,GEN!$AM19:$AS19)+SUMIF($CS$178:$CV$178,CJ$178,$CS191:$CV191)</f>
        <v>0</v>
      </c>
      <c r="CK191" s="230">
        <f>SUMIF(GEN!$G$121:$M$121,CK$178,GEN!$AM19:$AS19)+SUMIF($CS$178:$CV$178,CK$178,$CS191:$CV191)</f>
        <v>0</v>
      </c>
      <c r="CL191" s="230">
        <f>SUMIF(GEN!$G$121:$M$121,CL$178,GEN!$AM19:$AS19)+SUMIF($CS$178:$CV$178,CL$178,$CS191:$CV191)</f>
        <v>0</v>
      </c>
      <c r="CM191" s="230">
        <f>SUMIF(GEN!$G$121:$M$121,CM$178,GEN!$AM19:$AS19)+SUMIF($CS$178:$CV$178,CM$178,$CS191:$CV191)</f>
        <v>0</v>
      </c>
      <c r="CN191" s="230">
        <f>SUMIF(GEN!$G$121:$M$121,CN$178,GEN!$AM19:$AS19)+SUMIF($CS$178:$CV$178,CN$178,$CS191:$CV191)</f>
        <v>0</v>
      </c>
      <c r="CO191" s="230">
        <f>SUMIF(GEN!$G$121:$M$121,CO$178,GEN!$AM19:$AS19)+SUMIF($CS$178:$CV$178,CO$178,$CS191:$CV191)</f>
        <v>0</v>
      </c>
      <c r="CP191" s="230">
        <f>SUMIF(GEN!$G$121:$M$121,CP$178,GEN!$AM19:$AS19)+SUMIF($CS$178:$CV$178,CP$178,$CS191:$CV191)</f>
        <v>0</v>
      </c>
      <c r="CQ191" s="231">
        <f>SUMIF(GEN!$G$121:$M$121,CQ$178,GEN!$AM19:$AS19)+SUMIF($CS$178:$CV$178,CQ$178,$CS191:$CV191)</f>
        <v>0</v>
      </c>
      <c r="CR191" s="521">
        <f>GEN!AU19</f>
        <v>0</v>
      </c>
      <c r="CS191" s="228">
        <f>GEN!AV19</f>
        <v>0</v>
      </c>
      <c r="CT191" s="229">
        <f>GEN!AW19</f>
        <v>0</v>
      </c>
      <c r="CU191" s="230">
        <f>GEN!AX19</f>
        <v>0</v>
      </c>
      <c r="CV191" s="231">
        <f>GEN!AY19</f>
        <v>0</v>
      </c>
      <c r="CW191" s="521">
        <f>SUM(GEN!AU19:AY19)</f>
        <v>0</v>
      </c>
      <c r="CX191" s="521">
        <f>GEN!AK19</f>
        <v>0</v>
      </c>
      <c r="CY191" s="2"/>
    </row>
    <row r="192" spans="1:103" ht="14.25" hidden="1" customHeight="1" x14ac:dyDescent="0.2">
      <c r="A192" s="2"/>
      <c r="B192" s="105">
        <f t="shared" si="35"/>
        <v>45304</v>
      </c>
      <c r="C192" s="146">
        <f>IF(AND(E192&gt;(E$557-1),E192&lt;(I$557+1)),W$551,IF(ISERROR(HLOOKUP(E192,$E$550:$L$550,1,FALSE)),HLOOKUP(WEEKDAY(E192,2),IMPOSTAZIONI!$C$52:$P$57,6,FALSE),$W$550))</f>
        <v>0</v>
      </c>
      <c r="D192" s="71" t="str">
        <f t="shared" si="36"/>
        <v/>
      </c>
      <c r="E192" s="2258">
        <f t="shared" si="42"/>
        <v>45304</v>
      </c>
      <c r="F192" s="2259"/>
      <c r="G192" s="2228">
        <f>GEN!E20</f>
        <v>0</v>
      </c>
      <c r="H192" s="2229"/>
      <c r="I192" s="2230"/>
      <c r="J192" s="262" t="str">
        <f t="shared" si="25"/>
        <v/>
      </c>
      <c r="K192" s="263"/>
      <c r="L192" s="2217">
        <f t="shared" si="43"/>
        <v>2</v>
      </c>
      <c r="M192" s="2218"/>
      <c r="N192" s="261"/>
      <c r="O192" s="261"/>
      <c r="P192" s="261"/>
      <c r="Q192" s="2219">
        <f t="shared" si="38"/>
        <v>45304</v>
      </c>
      <c r="R192" s="2219"/>
      <c r="S192" s="261"/>
      <c r="T192" s="1173">
        <f t="shared" si="26"/>
        <v>0</v>
      </c>
      <c r="U192" s="261"/>
      <c r="V192" s="261"/>
      <c r="W192" s="261"/>
      <c r="X192" s="261"/>
      <c r="Y192" s="261"/>
      <c r="Z192" s="261"/>
      <c r="AA192" s="261"/>
      <c r="AB192" s="261"/>
      <c r="AC192" s="261"/>
      <c r="AD192" s="261"/>
      <c r="AE192" s="261"/>
      <c r="AF192" s="261"/>
      <c r="AG192" s="1173">
        <f t="shared" si="39"/>
        <v>0</v>
      </c>
      <c r="AH192" s="61" t="str">
        <f t="shared" si="40"/>
        <v/>
      </c>
      <c r="AI192" s="89" t="e">
        <f t="shared" si="41"/>
        <v>#N/A</v>
      </c>
      <c r="AJ192" s="2"/>
      <c r="AK192" s="61">
        <f>IF(G192=G$547,0,IF(OR(G192&lt;&gt;0,CH192&lt;&gt;0,C192="L"),COUNTIF(AK$180:AK191,"&gt;0")+1,0))</f>
        <v>0</v>
      </c>
      <c r="AL192" s="61" t="str">
        <f t="shared" si="27"/>
        <v/>
      </c>
      <c r="AM192" s="61" t="e">
        <f t="shared" si="28"/>
        <v>#N/A</v>
      </c>
      <c r="AN192" s="89" t="e">
        <f t="shared" si="29"/>
        <v>#N/A</v>
      </c>
      <c r="AO192" s="230">
        <f>SUM(GEN!X20:AD20)-BD192+AY192</f>
        <v>0</v>
      </c>
      <c r="AP192" s="228">
        <f>SUMIF(GEN!$G$121:$M$121,AP$178,GEN!$P20:$V20)+SUMIF($AZ$178:$BC$178,AP$178,$AZ192:$BC192)</f>
        <v>0</v>
      </c>
      <c r="AQ192" s="229">
        <f>SUMIF(GEN!$G$121:$M$121,AQ$178,GEN!$P20:$V20)+SUMIF($AZ$178:$BC$178,AQ$178,$AZ192:$BC192)</f>
        <v>0</v>
      </c>
      <c r="AR192" s="230">
        <f>SUMIF(GEN!$G$121:$M$121,AR$178,GEN!$P20:$V20)+SUMIF($AZ$178:$BC$178,AR$178,$AZ192:$BC192)</f>
        <v>0</v>
      </c>
      <c r="AS192" s="230">
        <f>SUMIF(GEN!$G$121:$M$121,AS$178,GEN!$P20:$V20)+SUMIF($AZ$178:$BC$178,AS$178,$AZ192:$BC192)</f>
        <v>0</v>
      </c>
      <c r="AT192" s="230">
        <f>SUMIF(GEN!$G$121:$M$121,AT$178,GEN!$P20:$V20)+SUMIF($AZ$178:$BC$178,AT$178,$AZ192:$BC192)</f>
        <v>0</v>
      </c>
      <c r="AU192" s="230">
        <f>SUMIF(GEN!$G$121:$M$121,AU$178,GEN!$P20:$V20)+SUMIF($AZ$178:$BC$178,AU$178,$AZ192:$BC192)</f>
        <v>0</v>
      </c>
      <c r="AV192" s="230">
        <f>SUMIF(GEN!$G$121:$M$121,AV$178,GEN!$P20:$V20)+SUMIF($AZ$178:$BC$178,AV$178,$AZ192:$BC192)</f>
        <v>0</v>
      </c>
      <c r="AW192" s="230">
        <f>SUMIF(GEN!$G$121:$M$121,AW$178,GEN!$P20:$V20)+SUMIF($AZ$178:$BC$178,AW$178,$AZ192:$BC192)</f>
        <v>0</v>
      </c>
      <c r="AX192" s="231">
        <f>SUMIF(GEN!$G$121:$M$121,AX$178,GEN!$P20:$V20)+SUMIF($AZ$178:$BC$178,AX$178,$AZ192:$BC192)</f>
        <v>0</v>
      </c>
      <c r="AY192" s="232">
        <f>GEN!AF20</f>
        <v>0</v>
      </c>
      <c r="AZ192" s="228">
        <f>GEN!AG20</f>
        <v>0</v>
      </c>
      <c r="BA192" s="229">
        <f>GEN!AH20</f>
        <v>0</v>
      </c>
      <c r="BB192" s="230">
        <f>GEN!AI20</f>
        <v>0</v>
      </c>
      <c r="BC192" s="231">
        <f>GEN!AJ20</f>
        <v>0</v>
      </c>
      <c r="BD192" s="228">
        <f>SUMIF(GEN!$G$120:$M$120,"&gt;0",GEN!$X20:$AD20)</f>
        <v>0</v>
      </c>
      <c r="BE192" s="696"/>
      <c r="BF192" s="228">
        <f>SUMIF(GEN!$BA$6:$BG$6,BF$177,GEN!$BA20:$BG20)</f>
        <v>0</v>
      </c>
      <c r="BG192" s="229">
        <f>SUMIF(GEN!$BA$6:$BG$6,BG$177,GEN!$BA20:$BG20)</f>
        <v>0</v>
      </c>
      <c r="BH192" s="229">
        <f>SUMIF(GEN!$BA$6:$BG$6,BH$177,GEN!$BA20:$BG20)</f>
        <v>0</v>
      </c>
      <c r="BI192" s="229">
        <f>SUMIF(GEN!$BA$6:$BG$6,BI$177,GEN!$BA20:$BG20)</f>
        <v>0</v>
      </c>
      <c r="BJ192" s="229">
        <f>SUMIF(GEN!$BA$6:$BG$6,BJ$177,GEN!$BA20:$BG20)</f>
        <v>0</v>
      </c>
      <c r="BK192" s="229">
        <f>SUMIF(GEN!$BA$6:$BG$6,BK$177,GEN!$BA20:$BG20)</f>
        <v>0</v>
      </c>
      <c r="BL192" s="229">
        <f>SUMIF(GEN!$BA$6:$BG$6,BL$177,GEN!$BA20:$BG20)</f>
        <v>0</v>
      </c>
      <c r="BM192" s="229">
        <f>SUMIF(GEN!$BA$6:$BG$6,BM$177,GEN!$BA20:$BG20)</f>
        <v>0</v>
      </c>
      <c r="BN192" s="229">
        <f>SUMIF(GEN!$BA$6:$BG$6,BN$177,GEN!$BA20:$BG20)</f>
        <v>0</v>
      </c>
      <c r="BO192" s="231">
        <f>SUMIF(GEN!$BA$6:$BG$6,BO$177,GEN!$BA20:$BG20)</f>
        <v>0</v>
      </c>
      <c r="BP192" s="231">
        <f>SUMIF(GEN!$BA$6:$BG$6,BP$177,GEN!$BA20:$BG20)</f>
        <v>0</v>
      </c>
      <c r="BQ192" s="252"/>
      <c r="BR192" s="228">
        <f>SUMIF(GEN!$BA$5:$BG$5,BR$177,GEN!$BA20:$BG20)</f>
        <v>0</v>
      </c>
      <c r="BS192" s="229">
        <f>SUMIF(GEN!$BA$5:$BG$5,BS$177,GEN!$BA20:$BG20)</f>
        <v>0</v>
      </c>
      <c r="BT192" s="229">
        <f>SUMIF(GEN!$BA$5:$BG$5,BT$177,GEN!$BA20:$BG20)</f>
        <v>0</v>
      </c>
      <c r="BU192" s="229">
        <f>SUMIF(GEN!$BA$5:$BG$5,BU$177,GEN!$BA20:$BG20)</f>
        <v>0</v>
      </c>
      <c r="BV192" s="229">
        <f>SUMIF(GEN!$BA$5:$BG$5,BV$177,GEN!$BA20:$BG20)</f>
        <v>0</v>
      </c>
      <c r="BW192" s="229">
        <f>SUMIF(GEN!$BA$5:$BG$5,BW$177,GEN!$BA20:$BG20)</f>
        <v>0</v>
      </c>
      <c r="BX192" s="230">
        <f>SUMIF(GEN!$BA$5:$BG$5,BX$177,GEN!$BA20:$BG20)</f>
        <v>0</v>
      </c>
      <c r="BY192" s="998">
        <f>SUMIF(GEN!$BA$5:$BG$5,BY$177,GEN!$BA20:$BG20)</f>
        <v>0</v>
      </c>
      <c r="CB192" s="252"/>
      <c r="CC192" s="61" t="e">
        <f t="shared" si="30"/>
        <v>#N/A</v>
      </c>
      <c r="CD192" s="61">
        <f t="shared" si="31"/>
        <v>0</v>
      </c>
      <c r="CE192" s="105" t="str">
        <f t="shared" si="32"/>
        <v/>
      </c>
      <c r="CF192" s="61" t="e">
        <f t="shared" si="33"/>
        <v>#N/A</v>
      </c>
      <c r="CG192" s="61" t="e">
        <f t="shared" si="34"/>
        <v>#N/A</v>
      </c>
      <c r="CH192" s="521">
        <f>GEN!AL20-CW192+CR192</f>
        <v>0</v>
      </c>
      <c r="CI192" s="228">
        <f>SUMIF(GEN!$G$121:$M$121,CI$178,GEN!$AM20:$AS20)+SUMIF($CS$178:$CV$178,CI$178,$CS192:$CV192)</f>
        <v>0</v>
      </c>
      <c r="CJ192" s="229">
        <f>SUMIF(GEN!$G$121:$M$121,CJ$178,GEN!$AM20:$AS20)+SUMIF($CS$178:$CV$178,CJ$178,$CS192:$CV192)</f>
        <v>0</v>
      </c>
      <c r="CK192" s="230">
        <f>SUMIF(GEN!$G$121:$M$121,CK$178,GEN!$AM20:$AS20)+SUMIF($CS$178:$CV$178,CK$178,$CS192:$CV192)</f>
        <v>0</v>
      </c>
      <c r="CL192" s="230">
        <f>SUMIF(GEN!$G$121:$M$121,CL$178,GEN!$AM20:$AS20)+SUMIF($CS$178:$CV$178,CL$178,$CS192:$CV192)</f>
        <v>0</v>
      </c>
      <c r="CM192" s="230">
        <f>SUMIF(GEN!$G$121:$M$121,CM$178,GEN!$AM20:$AS20)+SUMIF($CS$178:$CV$178,CM$178,$CS192:$CV192)</f>
        <v>0</v>
      </c>
      <c r="CN192" s="230">
        <f>SUMIF(GEN!$G$121:$M$121,CN$178,GEN!$AM20:$AS20)+SUMIF($CS$178:$CV$178,CN$178,$CS192:$CV192)</f>
        <v>0</v>
      </c>
      <c r="CO192" s="230">
        <f>SUMIF(GEN!$G$121:$M$121,CO$178,GEN!$AM20:$AS20)+SUMIF($CS$178:$CV$178,CO$178,$CS192:$CV192)</f>
        <v>0</v>
      </c>
      <c r="CP192" s="230">
        <f>SUMIF(GEN!$G$121:$M$121,CP$178,GEN!$AM20:$AS20)+SUMIF($CS$178:$CV$178,CP$178,$CS192:$CV192)</f>
        <v>0</v>
      </c>
      <c r="CQ192" s="231">
        <f>SUMIF(GEN!$G$121:$M$121,CQ$178,GEN!$AM20:$AS20)+SUMIF($CS$178:$CV$178,CQ$178,$CS192:$CV192)</f>
        <v>0</v>
      </c>
      <c r="CR192" s="521">
        <f>GEN!AU20</f>
        <v>0</v>
      </c>
      <c r="CS192" s="228">
        <f>GEN!AV20</f>
        <v>0</v>
      </c>
      <c r="CT192" s="229">
        <f>GEN!AW20</f>
        <v>0</v>
      </c>
      <c r="CU192" s="230">
        <f>GEN!AX20</f>
        <v>0</v>
      </c>
      <c r="CV192" s="231">
        <f>GEN!AY20</f>
        <v>0</v>
      </c>
      <c r="CW192" s="521">
        <f>SUM(GEN!AU20:AY20)</f>
        <v>0</v>
      </c>
      <c r="CX192" s="521">
        <f>GEN!AK20</f>
        <v>0</v>
      </c>
      <c r="CY192" s="2"/>
    </row>
    <row r="193" spans="1:103" ht="14.25" hidden="1" customHeight="1" x14ac:dyDescent="0.2">
      <c r="A193" s="2"/>
      <c r="B193" s="105">
        <f t="shared" si="35"/>
        <v>45305</v>
      </c>
      <c r="C193" s="146">
        <f>IF(AND(E193&gt;(E$557-1),E193&lt;(I$557+1)),W$551,IF(ISERROR(HLOOKUP(E193,$E$550:$L$550,1,FALSE)),HLOOKUP(WEEKDAY(E193,2),IMPOSTAZIONI!$C$52:$P$57,6,FALSE),$W$550))</f>
        <v>0</v>
      </c>
      <c r="D193" s="71" t="str">
        <f t="shared" si="36"/>
        <v/>
      </c>
      <c r="E193" s="2258">
        <f t="shared" si="42"/>
        <v>45305</v>
      </c>
      <c r="F193" s="2259"/>
      <c r="G193" s="2228">
        <f>GEN!E21</f>
        <v>0</v>
      </c>
      <c r="H193" s="2229"/>
      <c r="I193" s="2230"/>
      <c r="J193" s="262" t="str">
        <f t="shared" si="25"/>
        <v/>
      </c>
      <c r="K193" s="263"/>
      <c r="L193" s="2220">
        <f t="shared" si="43"/>
        <v>2</v>
      </c>
      <c r="M193" s="2221"/>
      <c r="N193" s="261"/>
      <c r="O193" s="261"/>
      <c r="P193" s="261"/>
      <c r="Q193" s="2219">
        <f t="shared" si="38"/>
        <v>45305</v>
      </c>
      <c r="R193" s="2219"/>
      <c r="S193" s="261"/>
      <c r="T193" s="1173">
        <f t="shared" si="26"/>
        <v>0</v>
      </c>
      <c r="U193" s="261"/>
      <c r="V193" s="261"/>
      <c r="W193" s="261"/>
      <c r="X193" s="261"/>
      <c r="Y193" s="261"/>
      <c r="Z193" s="261"/>
      <c r="AA193" s="261"/>
      <c r="AB193" s="261"/>
      <c r="AC193" s="261"/>
      <c r="AD193" s="261"/>
      <c r="AE193" s="261"/>
      <c r="AF193" s="261"/>
      <c r="AG193" s="1173">
        <f t="shared" si="39"/>
        <v>0</v>
      </c>
      <c r="AH193" s="61" t="str">
        <f t="shared" si="40"/>
        <v/>
      </c>
      <c r="AI193" s="89" t="e">
        <f t="shared" si="41"/>
        <v>#N/A</v>
      </c>
      <c r="AJ193" s="2"/>
      <c r="AK193" s="61">
        <f>IF(G193=G$547,0,IF(OR(G193&lt;&gt;0,CH193&lt;&gt;0,C193="L"),COUNTIF(AK$180:AK192,"&gt;0")+1,0))</f>
        <v>0</v>
      </c>
      <c r="AL193" s="61" t="str">
        <f t="shared" si="27"/>
        <v/>
      </c>
      <c r="AM193" s="61" t="e">
        <f t="shared" si="28"/>
        <v>#N/A</v>
      </c>
      <c r="AN193" s="89" t="e">
        <f t="shared" si="29"/>
        <v>#N/A</v>
      </c>
      <c r="AO193" s="230">
        <f>SUM(GEN!X21:AD21)-BD193+AY193</f>
        <v>0</v>
      </c>
      <c r="AP193" s="228">
        <f>SUMIF(GEN!$G$121:$M$121,AP$178,GEN!$P21:$V21)+SUMIF($AZ$178:$BC$178,AP$178,$AZ193:$BC193)</f>
        <v>0</v>
      </c>
      <c r="AQ193" s="229">
        <f>SUMIF(GEN!$G$121:$M$121,AQ$178,GEN!$P21:$V21)+SUMIF($AZ$178:$BC$178,AQ$178,$AZ193:$BC193)</f>
        <v>0</v>
      </c>
      <c r="AR193" s="230">
        <f>SUMIF(GEN!$G$121:$M$121,AR$178,GEN!$P21:$V21)+SUMIF($AZ$178:$BC$178,AR$178,$AZ193:$BC193)</f>
        <v>0</v>
      </c>
      <c r="AS193" s="230">
        <f>SUMIF(GEN!$G$121:$M$121,AS$178,GEN!$P21:$V21)+SUMIF($AZ$178:$BC$178,AS$178,$AZ193:$BC193)</f>
        <v>0</v>
      </c>
      <c r="AT193" s="230">
        <f>SUMIF(GEN!$G$121:$M$121,AT$178,GEN!$P21:$V21)+SUMIF($AZ$178:$BC$178,AT$178,$AZ193:$BC193)</f>
        <v>0</v>
      </c>
      <c r="AU193" s="230">
        <f>SUMIF(GEN!$G$121:$M$121,AU$178,GEN!$P21:$V21)+SUMIF($AZ$178:$BC$178,AU$178,$AZ193:$BC193)</f>
        <v>0</v>
      </c>
      <c r="AV193" s="230">
        <f>SUMIF(GEN!$G$121:$M$121,AV$178,GEN!$P21:$V21)+SUMIF($AZ$178:$BC$178,AV$178,$AZ193:$BC193)</f>
        <v>0</v>
      </c>
      <c r="AW193" s="230">
        <f>SUMIF(GEN!$G$121:$M$121,AW$178,GEN!$P21:$V21)+SUMIF($AZ$178:$BC$178,AW$178,$AZ193:$BC193)</f>
        <v>0</v>
      </c>
      <c r="AX193" s="231">
        <f>SUMIF(GEN!$G$121:$M$121,AX$178,GEN!$P21:$V21)+SUMIF($AZ$178:$BC$178,AX$178,$AZ193:$BC193)</f>
        <v>0</v>
      </c>
      <c r="AY193" s="232">
        <f>GEN!AF21</f>
        <v>0</v>
      </c>
      <c r="AZ193" s="228">
        <f>GEN!AG21</f>
        <v>0</v>
      </c>
      <c r="BA193" s="229">
        <f>GEN!AH21</f>
        <v>0</v>
      </c>
      <c r="BB193" s="230">
        <f>GEN!AI21</f>
        <v>0</v>
      </c>
      <c r="BC193" s="231">
        <f>GEN!AJ21</f>
        <v>0</v>
      </c>
      <c r="BD193" s="228">
        <f>SUMIF(GEN!$G$120:$M$120,"&gt;0",GEN!$X21:$AD21)</f>
        <v>0</v>
      </c>
      <c r="BE193" s="696"/>
      <c r="BF193" s="228">
        <f>SUMIF(GEN!$BA$6:$BG$6,BF$177,GEN!$BA21:$BG21)</f>
        <v>0</v>
      </c>
      <c r="BG193" s="229">
        <f>SUMIF(GEN!$BA$6:$BG$6,BG$177,GEN!$BA21:$BG21)</f>
        <v>0</v>
      </c>
      <c r="BH193" s="229">
        <f>SUMIF(GEN!$BA$6:$BG$6,BH$177,GEN!$BA21:$BG21)</f>
        <v>0</v>
      </c>
      <c r="BI193" s="229">
        <f>SUMIF(GEN!$BA$6:$BG$6,BI$177,GEN!$BA21:$BG21)</f>
        <v>0</v>
      </c>
      <c r="BJ193" s="229">
        <f>SUMIF(GEN!$BA$6:$BG$6,BJ$177,GEN!$BA21:$BG21)</f>
        <v>0</v>
      </c>
      <c r="BK193" s="229">
        <f>SUMIF(GEN!$BA$6:$BG$6,BK$177,GEN!$BA21:$BG21)</f>
        <v>0</v>
      </c>
      <c r="BL193" s="229">
        <f>SUMIF(GEN!$BA$6:$BG$6,BL$177,GEN!$BA21:$BG21)</f>
        <v>0</v>
      </c>
      <c r="BM193" s="229">
        <f>SUMIF(GEN!$BA$6:$BG$6,BM$177,GEN!$BA21:$BG21)</f>
        <v>0</v>
      </c>
      <c r="BN193" s="229">
        <f>SUMIF(GEN!$BA$6:$BG$6,BN$177,GEN!$BA21:$BG21)</f>
        <v>0</v>
      </c>
      <c r="BO193" s="231">
        <f>SUMIF(GEN!$BA$6:$BG$6,BO$177,GEN!$BA21:$BG21)</f>
        <v>0</v>
      </c>
      <c r="BP193" s="231">
        <f>SUMIF(GEN!$BA$6:$BG$6,BP$177,GEN!$BA21:$BG21)</f>
        <v>0</v>
      </c>
      <c r="BQ193" s="252"/>
      <c r="BR193" s="228">
        <f>SUMIF(GEN!$BA$5:$BG$5,BR$177,GEN!$BA21:$BG21)</f>
        <v>0</v>
      </c>
      <c r="BS193" s="229">
        <f>SUMIF(GEN!$BA$5:$BG$5,BS$177,GEN!$BA21:$BG21)</f>
        <v>0</v>
      </c>
      <c r="BT193" s="229">
        <f>SUMIF(GEN!$BA$5:$BG$5,BT$177,GEN!$BA21:$BG21)</f>
        <v>0</v>
      </c>
      <c r="BU193" s="229">
        <f>SUMIF(GEN!$BA$5:$BG$5,BU$177,GEN!$BA21:$BG21)</f>
        <v>0</v>
      </c>
      <c r="BV193" s="229">
        <f>SUMIF(GEN!$BA$5:$BG$5,BV$177,GEN!$BA21:$BG21)</f>
        <v>0</v>
      </c>
      <c r="BW193" s="229">
        <f>SUMIF(GEN!$BA$5:$BG$5,BW$177,GEN!$BA21:$BG21)</f>
        <v>0</v>
      </c>
      <c r="BX193" s="230">
        <f>SUMIF(GEN!$BA$5:$BG$5,BX$177,GEN!$BA21:$BG21)</f>
        <v>0</v>
      </c>
      <c r="BY193" s="998">
        <f>SUMIF(GEN!$BA$5:$BG$5,BY$177,GEN!$BA21:$BG21)</f>
        <v>0</v>
      </c>
      <c r="CB193" s="252"/>
      <c r="CC193" s="61" t="e">
        <f t="shared" si="30"/>
        <v>#N/A</v>
      </c>
      <c r="CD193" s="61">
        <f t="shared" si="31"/>
        <v>0</v>
      </c>
      <c r="CE193" s="105" t="str">
        <f t="shared" si="32"/>
        <v/>
      </c>
      <c r="CF193" s="61" t="e">
        <f t="shared" si="33"/>
        <v>#N/A</v>
      </c>
      <c r="CG193" s="61" t="e">
        <f t="shared" si="34"/>
        <v>#N/A</v>
      </c>
      <c r="CH193" s="521">
        <f>GEN!AL21-CW193+CR193</f>
        <v>0</v>
      </c>
      <c r="CI193" s="228">
        <f>SUMIF(GEN!$G$121:$M$121,CI$178,GEN!$AM21:$AS21)+SUMIF($CS$178:$CV$178,CI$178,$CS193:$CV193)</f>
        <v>0</v>
      </c>
      <c r="CJ193" s="229">
        <f>SUMIF(GEN!$G$121:$M$121,CJ$178,GEN!$AM21:$AS21)+SUMIF($CS$178:$CV$178,CJ$178,$CS193:$CV193)</f>
        <v>0</v>
      </c>
      <c r="CK193" s="230">
        <f>SUMIF(GEN!$G$121:$M$121,CK$178,GEN!$AM21:$AS21)+SUMIF($CS$178:$CV$178,CK$178,$CS193:$CV193)</f>
        <v>0</v>
      </c>
      <c r="CL193" s="230">
        <f>SUMIF(GEN!$G$121:$M$121,CL$178,GEN!$AM21:$AS21)+SUMIF($CS$178:$CV$178,CL$178,$CS193:$CV193)</f>
        <v>0</v>
      </c>
      <c r="CM193" s="230">
        <f>SUMIF(GEN!$G$121:$M$121,CM$178,GEN!$AM21:$AS21)+SUMIF($CS$178:$CV$178,CM$178,$CS193:$CV193)</f>
        <v>0</v>
      </c>
      <c r="CN193" s="230">
        <f>SUMIF(GEN!$G$121:$M$121,CN$178,GEN!$AM21:$AS21)+SUMIF($CS$178:$CV$178,CN$178,$CS193:$CV193)</f>
        <v>0</v>
      </c>
      <c r="CO193" s="230">
        <f>SUMIF(GEN!$G$121:$M$121,CO$178,GEN!$AM21:$AS21)+SUMIF($CS$178:$CV$178,CO$178,$CS193:$CV193)</f>
        <v>0</v>
      </c>
      <c r="CP193" s="230">
        <f>SUMIF(GEN!$G$121:$M$121,CP$178,GEN!$AM21:$AS21)+SUMIF($CS$178:$CV$178,CP$178,$CS193:$CV193)</f>
        <v>0</v>
      </c>
      <c r="CQ193" s="231">
        <f>SUMIF(GEN!$G$121:$M$121,CQ$178,GEN!$AM21:$AS21)+SUMIF($CS$178:$CV$178,CQ$178,$CS193:$CV193)</f>
        <v>0</v>
      </c>
      <c r="CR193" s="521">
        <f>GEN!AU21</f>
        <v>0</v>
      </c>
      <c r="CS193" s="228">
        <f>GEN!AV21</f>
        <v>0</v>
      </c>
      <c r="CT193" s="229">
        <f>GEN!AW21</f>
        <v>0</v>
      </c>
      <c r="CU193" s="230">
        <f>GEN!AX21</f>
        <v>0</v>
      </c>
      <c r="CV193" s="231">
        <f>GEN!AY21</f>
        <v>0</v>
      </c>
      <c r="CW193" s="521">
        <f>SUM(GEN!AU21:AY21)</f>
        <v>0</v>
      </c>
      <c r="CX193" s="521">
        <f>GEN!AK21</f>
        <v>0</v>
      </c>
      <c r="CY193" s="2"/>
    </row>
    <row r="194" spans="1:103" ht="14.25" hidden="1" customHeight="1" x14ac:dyDescent="0.2">
      <c r="A194" s="2"/>
      <c r="B194" s="105">
        <f t="shared" si="35"/>
        <v>45306</v>
      </c>
      <c r="C194" s="146">
        <f>IF(AND(E194&gt;(E$557-1),E194&lt;(I$557+1)),W$551,IF(ISERROR(HLOOKUP(E194,$E$550:$L$550,1,FALSE)),HLOOKUP(WEEKDAY(E194,2),IMPOSTAZIONI!$C$52:$P$57,6,FALSE),$W$550))</f>
        <v>0</v>
      </c>
      <c r="D194" s="71" t="str">
        <f t="shared" si="36"/>
        <v/>
      </c>
      <c r="E194" s="2258">
        <f t="shared" si="42"/>
        <v>45306</v>
      </c>
      <c r="F194" s="2259"/>
      <c r="G194" s="2228">
        <f>GEN!E22</f>
        <v>0</v>
      </c>
      <c r="H194" s="2229"/>
      <c r="I194" s="2230"/>
      <c r="J194" s="262" t="str">
        <f t="shared" si="25"/>
        <v/>
      </c>
      <c r="K194" s="263"/>
      <c r="L194" s="2222">
        <f>L187+1</f>
        <v>3</v>
      </c>
      <c r="M194" s="2223"/>
      <c r="N194" s="261"/>
      <c r="O194" s="261"/>
      <c r="P194" s="261"/>
      <c r="Q194" s="2219">
        <f t="shared" si="38"/>
        <v>45306</v>
      </c>
      <c r="R194" s="2219"/>
      <c r="S194" s="261"/>
      <c r="T194" s="1173">
        <f t="shared" si="26"/>
        <v>0</v>
      </c>
      <c r="U194" s="261"/>
      <c r="V194" s="261"/>
      <c r="W194" s="261"/>
      <c r="X194" s="261"/>
      <c r="Y194" s="261"/>
      <c r="Z194" s="261"/>
      <c r="AA194" s="261"/>
      <c r="AB194" s="261"/>
      <c r="AC194" s="261"/>
      <c r="AD194" s="261"/>
      <c r="AE194" s="261"/>
      <c r="AF194" s="261"/>
      <c r="AG194" s="1173">
        <f t="shared" si="39"/>
        <v>0</v>
      </c>
      <c r="AH194" s="61" t="str">
        <f t="shared" si="40"/>
        <v/>
      </c>
      <c r="AI194" s="89" t="e">
        <f t="shared" si="41"/>
        <v>#N/A</v>
      </c>
      <c r="AJ194" s="2"/>
      <c r="AK194" s="61">
        <f>IF(G194=G$547,0,IF(OR(G194&lt;&gt;0,CH194&lt;&gt;0,C194="L"),COUNTIF(AK$180:AK193,"&gt;0")+1,0))</f>
        <v>0</v>
      </c>
      <c r="AL194" s="61" t="str">
        <f t="shared" si="27"/>
        <v/>
      </c>
      <c r="AM194" s="61" t="e">
        <f t="shared" si="28"/>
        <v>#N/A</v>
      </c>
      <c r="AN194" s="89" t="e">
        <f t="shared" si="29"/>
        <v>#N/A</v>
      </c>
      <c r="AO194" s="230">
        <f>SUM(GEN!X22:AD22)-BD194+AY194</f>
        <v>0</v>
      </c>
      <c r="AP194" s="228">
        <f>SUMIF(GEN!$G$121:$M$121,AP$178,GEN!$P22:$V22)+SUMIF($AZ$178:$BC$178,AP$178,$AZ194:$BC194)</f>
        <v>0</v>
      </c>
      <c r="AQ194" s="229">
        <f>SUMIF(GEN!$G$121:$M$121,AQ$178,GEN!$P22:$V22)+SUMIF($AZ$178:$BC$178,AQ$178,$AZ194:$BC194)</f>
        <v>0</v>
      </c>
      <c r="AR194" s="230">
        <f>SUMIF(GEN!$G$121:$M$121,AR$178,GEN!$P22:$V22)+SUMIF($AZ$178:$BC$178,AR$178,$AZ194:$BC194)</f>
        <v>0</v>
      </c>
      <c r="AS194" s="230">
        <f>SUMIF(GEN!$G$121:$M$121,AS$178,GEN!$P22:$V22)+SUMIF($AZ$178:$BC$178,AS$178,$AZ194:$BC194)</f>
        <v>0</v>
      </c>
      <c r="AT194" s="230">
        <f>SUMIF(GEN!$G$121:$M$121,AT$178,GEN!$P22:$V22)+SUMIF($AZ$178:$BC$178,AT$178,$AZ194:$BC194)</f>
        <v>0</v>
      </c>
      <c r="AU194" s="230">
        <f>SUMIF(GEN!$G$121:$M$121,AU$178,GEN!$P22:$V22)+SUMIF($AZ$178:$BC$178,AU$178,$AZ194:$BC194)</f>
        <v>0</v>
      </c>
      <c r="AV194" s="230">
        <f>SUMIF(GEN!$G$121:$M$121,AV$178,GEN!$P22:$V22)+SUMIF($AZ$178:$BC$178,AV$178,$AZ194:$BC194)</f>
        <v>0</v>
      </c>
      <c r="AW194" s="230">
        <f>SUMIF(GEN!$G$121:$M$121,AW$178,GEN!$P22:$V22)+SUMIF($AZ$178:$BC$178,AW$178,$AZ194:$BC194)</f>
        <v>0</v>
      </c>
      <c r="AX194" s="231">
        <f>SUMIF(GEN!$G$121:$M$121,AX$178,GEN!$P22:$V22)+SUMIF($AZ$178:$BC$178,AX$178,$AZ194:$BC194)</f>
        <v>0</v>
      </c>
      <c r="AY194" s="232">
        <f>GEN!AF22</f>
        <v>0</v>
      </c>
      <c r="AZ194" s="228">
        <f>GEN!AG22</f>
        <v>0</v>
      </c>
      <c r="BA194" s="229">
        <f>GEN!AH22</f>
        <v>0</v>
      </c>
      <c r="BB194" s="230">
        <f>GEN!AI22</f>
        <v>0</v>
      </c>
      <c r="BC194" s="231">
        <f>GEN!AJ22</f>
        <v>0</v>
      </c>
      <c r="BD194" s="228">
        <f>SUMIF(GEN!$G$120:$M$120,"&gt;0",GEN!$X22:$AD22)</f>
        <v>0</v>
      </c>
      <c r="BE194" s="696"/>
      <c r="BF194" s="228">
        <f>SUMIF(GEN!$BA$6:$BG$6,BF$177,GEN!$BA22:$BG22)</f>
        <v>0</v>
      </c>
      <c r="BG194" s="229">
        <f>SUMIF(GEN!$BA$6:$BG$6,BG$177,GEN!$BA22:$BG22)</f>
        <v>0</v>
      </c>
      <c r="BH194" s="229">
        <f>SUMIF(GEN!$BA$6:$BG$6,BH$177,GEN!$BA22:$BG22)</f>
        <v>0</v>
      </c>
      <c r="BI194" s="229">
        <f>SUMIF(GEN!$BA$6:$BG$6,BI$177,GEN!$BA22:$BG22)</f>
        <v>0</v>
      </c>
      <c r="BJ194" s="229">
        <f>SUMIF(GEN!$BA$6:$BG$6,BJ$177,GEN!$BA22:$BG22)</f>
        <v>0</v>
      </c>
      <c r="BK194" s="229">
        <f>SUMIF(GEN!$BA$6:$BG$6,BK$177,GEN!$BA22:$BG22)</f>
        <v>0</v>
      </c>
      <c r="BL194" s="229">
        <f>SUMIF(GEN!$BA$6:$BG$6,BL$177,GEN!$BA22:$BG22)</f>
        <v>0</v>
      </c>
      <c r="BM194" s="229">
        <f>SUMIF(GEN!$BA$6:$BG$6,BM$177,GEN!$BA22:$BG22)</f>
        <v>0</v>
      </c>
      <c r="BN194" s="229">
        <f>SUMIF(GEN!$BA$6:$BG$6,BN$177,GEN!$BA22:$BG22)</f>
        <v>0</v>
      </c>
      <c r="BO194" s="231">
        <f>SUMIF(GEN!$BA$6:$BG$6,BO$177,GEN!$BA22:$BG22)</f>
        <v>0</v>
      </c>
      <c r="BP194" s="231">
        <f>SUMIF(GEN!$BA$6:$BG$6,BP$177,GEN!$BA22:$BG22)</f>
        <v>0</v>
      </c>
      <c r="BQ194" s="252"/>
      <c r="BR194" s="228">
        <f>SUMIF(GEN!$BA$5:$BG$5,BR$177,GEN!$BA22:$BG22)</f>
        <v>0</v>
      </c>
      <c r="BS194" s="229">
        <f>SUMIF(GEN!$BA$5:$BG$5,BS$177,GEN!$BA22:$BG22)</f>
        <v>0</v>
      </c>
      <c r="BT194" s="229">
        <f>SUMIF(GEN!$BA$5:$BG$5,BT$177,GEN!$BA22:$BG22)</f>
        <v>0</v>
      </c>
      <c r="BU194" s="229">
        <f>SUMIF(GEN!$BA$5:$BG$5,BU$177,GEN!$BA22:$BG22)</f>
        <v>0</v>
      </c>
      <c r="BV194" s="229">
        <f>SUMIF(GEN!$BA$5:$BG$5,BV$177,GEN!$BA22:$BG22)</f>
        <v>0</v>
      </c>
      <c r="BW194" s="229">
        <f>SUMIF(GEN!$BA$5:$BG$5,BW$177,GEN!$BA22:$BG22)</f>
        <v>0</v>
      </c>
      <c r="BX194" s="230">
        <f>SUMIF(GEN!$BA$5:$BG$5,BX$177,GEN!$BA22:$BG22)</f>
        <v>0</v>
      </c>
      <c r="BY194" s="998">
        <f>SUMIF(GEN!$BA$5:$BG$5,BY$177,GEN!$BA22:$BG22)</f>
        <v>0</v>
      </c>
      <c r="CB194" s="252"/>
      <c r="CC194" s="61" t="e">
        <f t="shared" si="30"/>
        <v>#N/A</v>
      </c>
      <c r="CD194" s="61">
        <f t="shared" si="31"/>
        <v>0</v>
      </c>
      <c r="CE194" s="105" t="str">
        <f t="shared" si="32"/>
        <v/>
      </c>
      <c r="CF194" s="61" t="e">
        <f t="shared" si="33"/>
        <v>#N/A</v>
      </c>
      <c r="CG194" s="61" t="e">
        <f t="shared" si="34"/>
        <v>#N/A</v>
      </c>
      <c r="CH194" s="521">
        <f>GEN!AL22-CW194+CR194</f>
        <v>0</v>
      </c>
      <c r="CI194" s="228">
        <f>SUMIF(GEN!$G$121:$M$121,CI$178,GEN!$AM22:$AS22)+SUMIF($CS$178:$CV$178,CI$178,$CS194:$CV194)</f>
        <v>0</v>
      </c>
      <c r="CJ194" s="229">
        <f>SUMIF(GEN!$G$121:$M$121,CJ$178,GEN!$AM22:$AS22)+SUMIF($CS$178:$CV$178,CJ$178,$CS194:$CV194)</f>
        <v>0</v>
      </c>
      <c r="CK194" s="230">
        <f>SUMIF(GEN!$G$121:$M$121,CK$178,GEN!$AM22:$AS22)+SUMIF($CS$178:$CV$178,CK$178,$CS194:$CV194)</f>
        <v>0</v>
      </c>
      <c r="CL194" s="230">
        <f>SUMIF(GEN!$G$121:$M$121,CL$178,GEN!$AM22:$AS22)+SUMIF($CS$178:$CV$178,CL$178,$CS194:$CV194)</f>
        <v>0</v>
      </c>
      <c r="CM194" s="230">
        <f>SUMIF(GEN!$G$121:$M$121,CM$178,GEN!$AM22:$AS22)+SUMIF($CS$178:$CV$178,CM$178,$CS194:$CV194)</f>
        <v>0</v>
      </c>
      <c r="CN194" s="230">
        <f>SUMIF(GEN!$G$121:$M$121,CN$178,GEN!$AM22:$AS22)+SUMIF($CS$178:$CV$178,CN$178,$CS194:$CV194)</f>
        <v>0</v>
      </c>
      <c r="CO194" s="230">
        <f>SUMIF(GEN!$G$121:$M$121,CO$178,GEN!$AM22:$AS22)+SUMIF($CS$178:$CV$178,CO$178,$CS194:$CV194)</f>
        <v>0</v>
      </c>
      <c r="CP194" s="230">
        <f>SUMIF(GEN!$G$121:$M$121,CP$178,GEN!$AM22:$AS22)+SUMIF($CS$178:$CV$178,CP$178,$CS194:$CV194)</f>
        <v>0</v>
      </c>
      <c r="CQ194" s="231">
        <f>SUMIF(GEN!$G$121:$M$121,CQ$178,GEN!$AM22:$AS22)+SUMIF($CS$178:$CV$178,CQ$178,$CS194:$CV194)</f>
        <v>0</v>
      </c>
      <c r="CR194" s="521">
        <f>GEN!AU22</f>
        <v>0</v>
      </c>
      <c r="CS194" s="228">
        <f>GEN!AV22</f>
        <v>0</v>
      </c>
      <c r="CT194" s="229">
        <f>GEN!AW22</f>
        <v>0</v>
      </c>
      <c r="CU194" s="230">
        <f>GEN!AX22</f>
        <v>0</v>
      </c>
      <c r="CV194" s="231">
        <f>GEN!AY22</f>
        <v>0</v>
      </c>
      <c r="CW194" s="521">
        <f>SUM(GEN!AU22:AY22)</f>
        <v>0</v>
      </c>
      <c r="CX194" s="521">
        <f>GEN!AK22</f>
        <v>0</v>
      </c>
      <c r="CY194" s="2"/>
    </row>
    <row r="195" spans="1:103" ht="14.25" hidden="1" customHeight="1" x14ac:dyDescent="0.2">
      <c r="A195" s="2"/>
      <c r="B195" s="105">
        <f t="shared" si="35"/>
        <v>45307</v>
      </c>
      <c r="C195" s="146">
        <f>IF(AND(E195&gt;(E$557-1),E195&lt;(I$557+1)),W$551,IF(ISERROR(HLOOKUP(E195,$E$550:$L$550,1,FALSE)),HLOOKUP(WEEKDAY(E195,2),IMPOSTAZIONI!$C$52:$P$57,6,FALSE),$W$550))</f>
        <v>0</v>
      </c>
      <c r="D195" s="71" t="str">
        <f t="shared" si="36"/>
        <v/>
      </c>
      <c r="E195" s="2258">
        <f t="shared" si="42"/>
        <v>45307</v>
      </c>
      <c r="F195" s="2259"/>
      <c r="G195" s="2228">
        <f>GEN!E23</f>
        <v>0</v>
      </c>
      <c r="H195" s="2229"/>
      <c r="I195" s="2230"/>
      <c r="J195" s="262" t="str">
        <f t="shared" si="25"/>
        <v/>
      </c>
      <c r="K195" s="263"/>
      <c r="L195" s="2217">
        <f>L188+1</f>
        <v>3</v>
      </c>
      <c r="M195" s="2218"/>
      <c r="N195" s="261"/>
      <c r="O195" s="261"/>
      <c r="P195" s="261"/>
      <c r="Q195" s="2219">
        <f t="shared" si="38"/>
        <v>45307</v>
      </c>
      <c r="R195" s="2219"/>
      <c r="S195" s="261"/>
      <c r="T195" s="1173">
        <f t="shared" si="26"/>
        <v>0</v>
      </c>
      <c r="U195" s="261"/>
      <c r="V195" s="261"/>
      <c r="W195" s="261"/>
      <c r="X195" s="261"/>
      <c r="Y195" s="261"/>
      <c r="Z195" s="261"/>
      <c r="AA195" s="261"/>
      <c r="AB195" s="261"/>
      <c r="AC195" s="261"/>
      <c r="AD195" s="261"/>
      <c r="AE195" s="261"/>
      <c r="AF195" s="261"/>
      <c r="AG195" s="1173">
        <f t="shared" si="39"/>
        <v>0</v>
      </c>
      <c r="AH195" s="61" t="str">
        <f t="shared" si="40"/>
        <v/>
      </c>
      <c r="AI195" s="89" t="e">
        <f t="shared" si="41"/>
        <v>#N/A</v>
      </c>
      <c r="AJ195" s="2"/>
      <c r="AK195" s="61">
        <f>IF(G195=G$547,0,IF(OR(G195&lt;&gt;0,CH195&lt;&gt;0,C195="L"),COUNTIF(AK$180:AK194,"&gt;0")+1,0))</f>
        <v>0</v>
      </c>
      <c r="AL195" s="61" t="str">
        <f t="shared" si="27"/>
        <v/>
      </c>
      <c r="AM195" s="61" t="e">
        <f t="shared" si="28"/>
        <v>#N/A</v>
      </c>
      <c r="AN195" s="89" t="e">
        <f t="shared" si="29"/>
        <v>#N/A</v>
      </c>
      <c r="AO195" s="230">
        <f>SUM(GEN!X23:AD23)-BD195+AY195</f>
        <v>0</v>
      </c>
      <c r="AP195" s="228">
        <f>SUMIF(GEN!$G$121:$M$121,AP$178,GEN!$P23:$V23)+SUMIF($AZ$178:$BC$178,AP$178,$AZ195:$BC195)</f>
        <v>0</v>
      </c>
      <c r="AQ195" s="229">
        <f>SUMIF(GEN!$G$121:$M$121,AQ$178,GEN!$P23:$V23)+SUMIF($AZ$178:$BC$178,AQ$178,$AZ195:$BC195)</f>
        <v>0</v>
      </c>
      <c r="AR195" s="230">
        <f>SUMIF(GEN!$G$121:$M$121,AR$178,GEN!$P23:$V23)+SUMIF($AZ$178:$BC$178,AR$178,$AZ195:$BC195)</f>
        <v>0</v>
      </c>
      <c r="AS195" s="230">
        <f>SUMIF(GEN!$G$121:$M$121,AS$178,GEN!$P23:$V23)+SUMIF($AZ$178:$BC$178,AS$178,$AZ195:$BC195)</f>
        <v>0</v>
      </c>
      <c r="AT195" s="230">
        <f>SUMIF(GEN!$G$121:$M$121,AT$178,GEN!$P23:$V23)+SUMIF($AZ$178:$BC$178,AT$178,$AZ195:$BC195)</f>
        <v>0</v>
      </c>
      <c r="AU195" s="230">
        <f>SUMIF(GEN!$G$121:$M$121,AU$178,GEN!$P23:$V23)+SUMIF($AZ$178:$BC$178,AU$178,$AZ195:$BC195)</f>
        <v>0</v>
      </c>
      <c r="AV195" s="230">
        <f>SUMIF(GEN!$G$121:$M$121,AV$178,GEN!$P23:$V23)+SUMIF($AZ$178:$BC$178,AV$178,$AZ195:$BC195)</f>
        <v>0</v>
      </c>
      <c r="AW195" s="230">
        <f>SUMIF(GEN!$G$121:$M$121,AW$178,GEN!$P23:$V23)+SUMIF($AZ$178:$BC$178,AW$178,$AZ195:$BC195)</f>
        <v>0</v>
      </c>
      <c r="AX195" s="231">
        <f>SUMIF(GEN!$G$121:$M$121,AX$178,GEN!$P23:$V23)+SUMIF($AZ$178:$BC$178,AX$178,$AZ195:$BC195)</f>
        <v>0</v>
      </c>
      <c r="AY195" s="232">
        <f>GEN!AF23</f>
        <v>0</v>
      </c>
      <c r="AZ195" s="228">
        <f>GEN!AG23</f>
        <v>0</v>
      </c>
      <c r="BA195" s="229">
        <f>GEN!AH23</f>
        <v>0</v>
      </c>
      <c r="BB195" s="230">
        <f>GEN!AI23</f>
        <v>0</v>
      </c>
      <c r="BC195" s="231">
        <f>GEN!AJ23</f>
        <v>0</v>
      </c>
      <c r="BD195" s="228">
        <f>SUMIF(GEN!$G$120:$M$120,"&gt;0",GEN!$X23:$AD23)</f>
        <v>0</v>
      </c>
      <c r="BE195" s="696"/>
      <c r="BF195" s="228">
        <f>SUMIF(GEN!$BA$6:$BG$6,BF$177,GEN!$BA23:$BG23)</f>
        <v>0</v>
      </c>
      <c r="BG195" s="229">
        <f>SUMIF(GEN!$BA$6:$BG$6,BG$177,GEN!$BA23:$BG23)</f>
        <v>0</v>
      </c>
      <c r="BH195" s="229">
        <f>SUMIF(GEN!$BA$6:$BG$6,BH$177,GEN!$BA23:$BG23)</f>
        <v>0</v>
      </c>
      <c r="BI195" s="229">
        <f>SUMIF(GEN!$BA$6:$BG$6,BI$177,GEN!$BA23:$BG23)</f>
        <v>0</v>
      </c>
      <c r="BJ195" s="229">
        <f>SUMIF(GEN!$BA$6:$BG$6,BJ$177,GEN!$BA23:$BG23)</f>
        <v>0</v>
      </c>
      <c r="BK195" s="229">
        <f>SUMIF(GEN!$BA$6:$BG$6,BK$177,GEN!$BA23:$BG23)</f>
        <v>0</v>
      </c>
      <c r="BL195" s="229">
        <f>SUMIF(GEN!$BA$6:$BG$6,BL$177,GEN!$BA23:$BG23)</f>
        <v>0</v>
      </c>
      <c r="BM195" s="229">
        <f>SUMIF(GEN!$BA$6:$BG$6,BM$177,GEN!$BA23:$BG23)</f>
        <v>0</v>
      </c>
      <c r="BN195" s="229">
        <f>SUMIF(GEN!$BA$6:$BG$6,BN$177,GEN!$BA23:$BG23)</f>
        <v>0</v>
      </c>
      <c r="BO195" s="231">
        <f>SUMIF(GEN!$BA$6:$BG$6,BO$177,GEN!$BA23:$BG23)</f>
        <v>0</v>
      </c>
      <c r="BP195" s="231">
        <f>SUMIF(GEN!$BA$6:$BG$6,BP$177,GEN!$BA23:$BG23)</f>
        <v>0</v>
      </c>
      <c r="BQ195" s="252"/>
      <c r="BR195" s="228">
        <f>SUMIF(GEN!$BA$5:$BG$5,BR$177,GEN!$BA23:$BG23)</f>
        <v>0</v>
      </c>
      <c r="BS195" s="229">
        <f>SUMIF(GEN!$BA$5:$BG$5,BS$177,GEN!$BA23:$BG23)</f>
        <v>0</v>
      </c>
      <c r="BT195" s="229">
        <f>SUMIF(GEN!$BA$5:$BG$5,BT$177,GEN!$BA23:$BG23)</f>
        <v>0</v>
      </c>
      <c r="BU195" s="229">
        <f>SUMIF(GEN!$BA$5:$BG$5,BU$177,GEN!$BA23:$BG23)</f>
        <v>0</v>
      </c>
      <c r="BV195" s="229">
        <f>SUMIF(GEN!$BA$5:$BG$5,BV$177,GEN!$BA23:$BG23)</f>
        <v>0</v>
      </c>
      <c r="BW195" s="229">
        <f>SUMIF(GEN!$BA$5:$BG$5,BW$177,GEN!$BA23:$BG23)</f>
        <v>0</v>
      </c>
      <c r="BX195" s="230">
        <f>SUMIF(GEN!$BA$5:$BG$5,BX$177,GEN!$BA23:$BG23)</f>
        <v>0</v>
      </c>
      <c r="BY195" s="998">
        <f>SUMIF(GEN!$BA$5:$BG$5,BY$177,GEN!$BA23:$BG23)</f>
        <v>0</v>
      </c>
      <c r="CB195" s="252"/>
      <c r="CC195" s="61" t="e">
        <f t="shared" si="30"/>
        <v>#N/A</v>
      </c>
      <c r="CD195" s="61">
        <f t="shared" si="31"/>
        <v>0</v>
      </c>
      <c r="CE195" s="105" t="str">
        <f t="shared" si="32"/>
        <v/>
      </c>
      <c r="CF195" s="61" t="e">
        <f t="shared" si="33"/>
        <v>#N/A</v>
      </c>
      <c r="CG195" s="61" t="e">
        <f t="shared" si="34"/>
        <v>#N/A</v>
      </c>
      <c r="CH195" s="521">
        <f>GEN!AL23-CW195+CR195</f>
        <v>0</v>
      </c>
      <c r="CI195" s="228">
        <f>SUMIF(GEN!$G$121:$M$121,CI$178,GEN!$AM23:$AS23)+SUMIF($CS$178:$CV$178,CI$178,$CS195:$CV195)</f>
        <v>0</v>
      </c>
      <c r="CJ195" s="229">
        <f>SUMIF(GEN!$G$121:$M$121,CJ$178,GEN!$AM23:$AS23)+SUMIF($CS$178:$CV$178,CJ$178,$CS195:$CV195)</f>
        <v>0</v>
      </c>
      <c r="CK195" s="230">
        <f>SUMIF(GEN!$G$121:$M$121,CK$178,GEN!$AM23:$AS23)+SUMIF($CS$178:$CV$178,CK$178,$CS195:$CV195)</f>
        <v>0</v>
      </c>
      <c r="CL195" s="230">
        <f>SUMIF(GEN!$G$121:$M$121,CL$178,GEN!$AM23:$AS23)+SUMIF($CS$178:$CV$178,CL$178,$CS195:$CV195)</f>
        <v>0</v>
      </c>
      <c r="CM195" s="230">
        <f>SUMIF(GEN!$G$121:$M$121,CM$178,GEN!$AM23:$AS23)+SUMIF($CS$178:$CV$178,CM$178,$CS195:$CV195)</f>
        <v>0</v>
      </c>
      <c r="CN195" s="230">
        <f>SUMIF(GEN!$G$121:$M$121,CN$178,GEN!$AM23:$AS23)+SUMIF($CS$178:$CV$178,CN$178,$CS195:$CV195)</f>
        <v>0</v>
      </c>
      <c r="CO195" s="230">
        <f>SUMIF(GEN!$G$121:$M$121,CO$178,GEN!$AM23:$AS23)+SUMIF($CS$178:$CV$178,CO$178,$CS195:$CV195)</f>
        <v>0</v>
      </c>
      <c r="CP195" s="230">
        <f>SUMIF(GEN!$G$121:$M$121,CP$178,GEN!$AM23:$AS23)+SUMIF($CS$178:$CV$178,CP$178,$CS195:$CV195)</f>
        <v>0</v>
      </c>
      <c r="CQ195" s="231">
        <f>SUMIF(GEN!$G$121:$M$121,CQ$178,GEN!$AM23:$AS23)+SUMIF($CS$178:$CV$178,CQ$178,$CS195:$CV195)</f>
        <v>0</v>
      </c>
      <c r="CR195" s="521">
        <f>GEN!AU23</f>
        <v>0</v>
      </c>
      <c r="CS195" s="228">
        <f>GEN!AV23</f>
        <v>0</v>
      </c>
      <c r="CT195" s="229">
        <f>GEN!AW23</f>
        <v>0</v>
      </c>
      <c r="CU195" s="230">
        <f>GEN!AX23</f>
        <v>0</v>
      </c>
      <c r="CV195" s="231">
        <f>GEN!AY23</f>
        <v>0</v>
      </c>
      <c r="CW195" s="521">
        <f>SUM(GEN!AU23:AY23)</f>
        <v>0</v>
      </c>
      <c r="CX195" s="521">
        <f>GEN!AK23</f>
        <v>0</v>
      </c>
      <c r="CY195" s="2"/>
    </row>
    <row r="196" spans="1:103" ht="14.25" hidden="1" customHeight="1" x14ac:dyDescent="0.2">
      <c r="A196" s="2"/>
      <c r="B196" s="105">
        <f t="shared" si="35"/>
        <v>45308</v>
      </c>
      <c r="C196" s="146">
        <f>IF(AND(E196&gt;(E$557-1),E196&lt;(I$557+1)),W$551,IF(ISERROR(HLOOKUP(E196,$E$550:$L$550,1,FALSE)),HLOOKUP(WEEKDAY(E196,2),IMPOSTAZIONI!$C$52:$P$57,6,FALSE),$W$550))</f>
        <v>0</v>
      </c>
      <c r="D196" s="71" t="str">
        <f t="shared" si="36"/>
        <v/>
      </c>
      <c r="E196" s="2258">
        <f t="shared" si="42"/>
        <v>45308</v>
      </c>
      <c r="F196" s="2259"/>
      <c r="G196" s="2228">
        <f>GEN!E24</f>
        <v>0</v>
      </c>
      <c r="H196" s="2229"/>
      <c r="I196" s="2230"/>
      <c r="J196" s="262" t="str">
        <f t="shared" si="25"/>
        <v/>
      </c>
      <c r="K196" s="263"/>
      <c r="L196" s="2217">
        <f>L189+1</f>
        <v>3</v>
      </c>
      <c r="M196" s="2218"/>
      <c r="N196" s="261"/>
      <c r="O196" s="261"/>
      <c r="P196" s="261"/>
      <c r="Q196" s="2219">
        <f t="shared" si="38"/>
        <v>45308</v>
      </c>
      <c r="R196" s="2219"/>
      <c r="S196" s="261"/>
      <c r="T196" s="1173">
        <f t="shared" si="26"/>
        <v>0</v>
      </c>
      <c r="U196" s="261"/>
      <c r="V196" s="261"/>
      <c r="W196" s="261"/>
      <c r="X196" s="261"/>
      <c r="Y196" s="261"/>
      <c r="Z196" s="261"/>
      <c r="AA196" s="261"/>
      <c r="AB196" s="261"/>
      <c r="AC196" s="261"/>
      <c r="AD196" s="261"/>
      <c r="AE196" s="261"/>
      <c r="AF196" s="261"/>
      <c r="AG196" s="1173">
        <f t="shared" si="39"/>
        <v>0</v>
      </c>
      <c r="AH196" s="61" t="str">
        <f t="shared" si="40"/>
        <v/>
      </c>
      <c r="AI196" s="89" t="e">
        <f t="shared" si="41"/>
        <v>#N/A</v>
      </c>
      <c r="AJ196" s="2"/>
      <c r="AK196" s="61">
        <f>IF(G196=G$547,0,IF(OR(G196&lt;&gt;0,CH196&lt;&gt;0,C196="L"),COUNTIF(AK$180:AK195,"&gt;0")+1,0))</f>
        <v>0</v>
      </c>
      <c r="AL196" s="61" t="str">
        <f t="shared" si="27"/>
        <v/>
      </c>
      <c r="AM196" s="61" t="e">
        <f t="shared" si="28"/>
        <v>#N/A</v>
      </c>
      <c r="AN196" s="89" t="e">
        <f t="shared" si="29"/>
        <v>#N/A</v>
      </c>
      <c r="AO196" s="230">
        <f>SUM(GEN!X24:AD24)-BD196+AY196</f>
        <v>0</v>
      </c>
      <c r="AP196" s="228">
        <f>SUMIF(GEN!$G$121:$M$121,AP$178,GEN!$P24:$V24)+SUMIF($AZ$178:$BC$178,AP$178,$AZ196:$BC196)</f>
        <v>0</v>
      </c>
      <c r="AQ196" s="229">
        <f>SUMIF(GEN!$G$121:$M$121,AQ$178,GEN!$P24:$V24)+SUMIF($AZ$178:$BC$178,AQ$178,$AZ196:$BC196)</f>
        <v>0</v>
      </c>
      <c r="AR196" s="230">
        <f>SUMIF(GEN!$G$121:$M$121,AR$178,GEN!$P24:$V24)+SUMIF($AZ$178:$BC$178,AR$178,$AZ196:$BC196)</f>
        <v>0</v>
      </c>
      <c r="AS196" s="230">
        <f>SUMIF(GEN!$G$121:$M$121,AS$178,GEN!$P24:$V24)+SUMIF($AZ$178:$BC$178,AS$178,$AZ196:$BC196)</f>
        <v>0</v>
      </c>
      <c r="AT196" s="230">
        <f>SUMIF(GEN!$G$121:$M$121,AT$178,GEN!$P24:$V24)+SUMIF($AZ$178:$BC$178,AT$178,$AZ196:$BC196)</f>
        <v>0</v>
      </c>
      <c r="AU196" s="230">
        <f>SUMIF(GEN!$G$121:$M$121,AU$178,GEN!$P24:$V24)+SUMIF($AZ$178:$BC$178,AU$178,$AZ196:$BC196)</f>
        <v>0</v>
      </c>
      <c r="AV196" s="230">
        <f>SUMIF(GEN!$G$121:$M$121,AV$178,GEN!$P24:$V24)+SUMIF($AZ$178:$BC$178,AV$178,$AZ196:$BC196)</f>
        <v>0</v>
      </c>
      <c r="AW196" s="230">
        <f>SUMIF(GEN!$G$121:$M$121,AW$178,GEN!$P24:$V24)+SUMIF($AZ$178:$BC$178,AW$178,$AZ196:$BC196)</f>
        <v>0</v>
      </c>
      <c r="AX196" s="231">
        <f>SUMIF(GEN!$G$121:$M$121,AX$178,GEN!$P24:$V24)+SUMIF($AZ$178:$BC$178,AX$178,$AZ196:$BC196)</f>
        <v>0</v>
      </c>
      <c r="AY196" s="232">
        <f>GEN!AF24</f>
        <v>0</v>
      </c>
      <c r="AZ196" s="228">
        <f>GEN!AG24</f>
        <v>0</v>
      </c>
      <c r="BA196" s="229">
        <f>GEN!AH24</f>
        <v>0</v>
      </c>
      <c r="BB196" s="230">
        <f>GEN!AI24</f>
        <v>0</v>
      </c>
      <c r="BC196" s="231">
        <f>GEN!AJ24</f>
        <v>0</v>
      </c>
      <c r="BD196" s="228">
        <f>SUMIF(GEN!$G$120:$M$120,"&gt;0",GEN!$X24:$AD24)</f>
        <v>0</v>
      </c>
      <c r="BE196" s="696"/>
      <c r="BF196" s="228">
        <f>SUMIF(GEN!$BA$6:$BG$6,BF$177,GEN!$BA24:$BG24)</f>
        <v>0</v>
      </c>
      <c r="BG196" s="229">
        <f>SUMIF(GEN!$BA$6:$BG$6,BG$177,GEN!$BA24:$BG24)</f>
        <v>0</v>
      </c>
      <c r="BH196" s="229">
        <f>SUMIF(GEN!$BA$6:$BG$6,BH$177,GEN!$BA24:$BG24)</f>
        <v>0</v>
      </c>
      <c r="BI196" s="229">
        <f>SUMIF(GEN!$BA$6:$BG$6,BI$177,GEN!$BA24:$BG24)</f>
        <v>0</v>
      </c>
      <c r="BJ196" s="229">
        <f>SUMIF(GEN!$BA$6:$BG$6,BJ$177,GEN!$BA24:$BG24)</f>
        <v>0</v>
      </c>
      <c r="BK196" s="229">
        <f>SUMIF(GEN!$BA$6:$BG$6,BK$177,GEN!$BA24:$BG24)</f>
        <v>0</v>
      </c>
      <c r="BL196" s="229">
        <f>SUMIF(GEN!$BA$6:$BG$6,BL$177,GEN!$BA24:$BG24)</f>
        <v>0</v>
      </c>
      <c r="BM196" s="229">
        <f>SUMIF(GEN!$BA$6:$BG$6,BM$177,GEN!$BA24:$BG24)</f>
        <v>0</v>
      </c>
      <c r="BN196" s="229">
        <f>SUMIF(GEN!$BA$6:$BG$6,BN$177,GEN!$BA24:$BG24)</f>
        <v>0</v>
      </c>
      <c r="BO196" s="231">
        <f>SUMIF(GEN!$BA$6:$BG$6,BO$177,GEN!$BA24:$BG24)</f>
        <v>0</v>
      </c>
      <c r="BP196" s="231">
        <f>SUMIF(GEN!$BA$6:$BG$6,BP$177,GEN!$BA24:$BG24)</f>
        <v>0</v>
      </c>
      <c r="BQ196" s="252"/>
      <c r="BR196" s="228">
        <f>SUMIF(GEN!$BA$5:$BG$5,BR$177,GEN!$BA24:$BG24)</f>
        <v>0</v>
      </c>
      <c r="BS196" s="229">
        <f>SUMIF(GEN!$BA$5:$BG$5,BS$177,GEN!$BA24:$BG24)</f>
        <v>0</v>
      </c>
      <c r="BT196" s="229">
        <f>SUMIF(GEN!$BA$5:$BG$5,BT$177,GEN!$BA24:$BG24)</f>
        <v>0</v>
      </c>
      <c r="BU196" s="229">
        <f>SUMIF(GEN!$BA$5:$BG$5,BU$177,GEN!$BA24:$BG24)</f>
        <v>0</v>
      </c>
      <c r="BV196" s="229">
        <f>SUMIF(GEN!$BA$5:$BG$5,BV$177,GEN!$BA24:$BG24)</f>
        <v>0</v>
      </c>
      <c r="BW196" s="229">
        <f>SUMIF(GEN!$BA$5:$BG$5,BW$177,GEN!$BA24:$BG24)</f>
        <v>0</v>
      </c>
      <c r="BX196" s="230">
        <f>SUMIF(GEN!$BA$5:$BG$5,BX$177,GEN!$BA24:$BG24)</f>
        <v>0</v>
      </c>
      <c r="BY196" s="998">
        <f>SUMIF(GEN!$BA$5:$BG$5,BY$177,GEN!$BA24:$BG24)</f>
        <v>0</v>
      </c>
      <c r="CB196" s="252"/>
      <c r="CC196" s="61" t="e">
        <f t="shared" si="30"/>
        <v>#N/A</v>
      </c>
      <c r="CD196" s="61">
        <f t="shared" si="31"/>
        <v>0</v>
      </c>
      <c r="CE196" s="105" t="str">
        <f t="shared" si="32"/>
        <v/>
      </c>
      <c r="CF196" s="61" t="e">
        <f t="shared" si="33"/>
        <v>#N/A</v>
      </c>
      <c r="CG196" s="61" t="e">
        <f t="shared" si="34"/>
        <v>#N/A</v>
      </c>
      <c r="CH196" s="521">
        <f>GEN!AL24-CW196+CR196</f>
        <v>0</v>
      </c>
      <c r="CI196" s="228">
        <f>SUMIF(GEN!$G$121:$M$121,CI$178,GEN!$AM24:$AS24)+SUMIF($CS$178:$CV$178,CI$178,$CS196:$CV196)</f>
        <v>0</v>
      </c>
      <c r="CJ196" s="229">
        <f>SUMIF(GEN!$G$121:$M$121,CJ$178,GEN!$AM24:$AS24)+SUMIF($CS$178:$CV$178,CJ$178,$CS196:$CV196)</f>
        <v>0</v>
      </c>
      <c r="CK196" s="230">
        <f>SUMIF(GEN!$G$121:$M$121,CK$178,GEN!$AM24:$AS24)+SUMIF($CS$178:$CV$178,CK$178,$CS196:$CV196)</f>
        <v>0</v>
      </c>
      <c r="CL196" s="230">
        <f>SUMIF(GEN!$G$121:$M$121,CL$178,GEN!$AM24:$AS24)+SUMIF($CS$178:$CV$178,CL$178,$CS196:$CV196)</f>
        <v>0</v>
      </c>
      <c r="CM196" s="230">
        <f>SUMIF(GEN!$G$121:$M$121,CM$178,GEN!$AM24:$AS24)+SUMIF($CS$178:$CV$178,CM$178,$CS196:$CV196)</f>
        <v>0</v>
      </c>
      <c r="CN196" s="230">
        <f>SUMIF(GEN!$G$121:$M$121,CN$178,GEN!$AM24:$AS24)+SUMIF($CS$178:$CV$178,CN$178,$CS196:$CV196)</f>
        <v>0</v>
      </c>
      <c r="CO196" s="230">
        <f>SUMIF(GEN!$G$121:$M$121,CO$178,GEN!$AM24:$AS24)+SUMIF($CS$178:$CV$178,CO$178,$CS196:$CV196)</f>
        <v>0</v>
      </c>
      <c r="CP196" s="230">
        <f>SUMIF(GEN!$G$121:$M$121,CP$178,GEN!$AM24:$AS24)+SUMIF($CS$178:$CV$178,CP$178,$CS196:$CV196)</f>
        <v>0</v>
      </c>
      <c r="CQ196" s="231">
        <f>SUMIF(GEN!$G$121:$M$121,CQ$178,GEN!$AM24:$AS24)+SUMIF($CS$178:$CV$178,CQ$178,$CS196:$CV196)</f>
        <v>0</v>
      </c>
      <c r="CR196" s="521">
        <f>GEN!AU24</f>
        <v>0</v>
      </c>
      <c r="CS196" s="228">
        <f>GEN!AV24</f>
        <v>0</v>
      </c>
      <c r="CT196" s="229">
        <f>GEN!AW24</f>
        <v>0</v>
      </c>
      <c r="CU196" s="230">
        <f>GEN!AX24</f>
        <v>0</v>
      </c>
      <c r="CV196" s="231">
        <f>GEN!AY24</f>
        <v>0</v>
      </c>
      <c r="CW196" s="521">
        <f>SUM(GEN!AU24:AY24)</f>
        <v>0</v>
      </c>
      <c r="CX196" s="521">
        <f>GEN!AK24</f>
        <v>0</v>
      </c>
      <c r="CY196" s="2"/>
    </row>
    <row r="197" spans="1:103" ht="14.25" hidden="1" customHeight="1" x14ac:dyDescent="0.2">
      <c r="A197" s="2"/>
      <c r="B197" s="105">
        <f t="shared" si="35"/>
        <v>45309</v>
      </c>
      <c r="C197" s="146">
        <f>IF(AND(E197&gt;(E$557-1),E197&lt;(I$557+1)),W$551,IF(ISERROR(HLOOKUP(E197,$E$550:$L$550,1,FALSE)),HLOOKUP(WEEKDAY(E197,2),IMPOSTAZIONI!$C$52:$P$57,6,FALSE),$W$550))</f>
        <v>0</v>
      </c>
      <c r="D197" s="71" t="str">
        <f t="shared" si="36"/>
        <v/>
      </c>
      <c r="E197" s="2258">
        <f t="shared" si="42"/>
        <v>45309</v>
      </c>
      <c r="F197" s="2259"/>
      <c r="G197" s="2228">
        <f>GEN!E25</f>
        <v>0</v>
      </c>
      <c r="H197" s="2229"/>
      <c r="I197" s="2230"/>
      <c r="J197" s="262" t="str">
        <f t="shared" si="25"/>
        <v/>
      </c>
      <c r="K197" s="263"/>
      <c r="L197" s="2217">
        <f t="shared" si="43"/>
        <v>3</v>
      </c>
      <c r="M197" s="2218"/>
      <c r="N197" s="261"/>
      <c r="O197" s="261"/>
      <c r="P197" s="261"/>
      <c r="Q197" s="2219">
        <f t="shared" si="38"/>
        <v>45309</v>
      </c>
      <c r="R197" s="2219"/>
      <c r="S197" s="261"/>
      <c r="T197" s="1173">
        <f t="shared" si="26"/>
        <v>0</v>
      </c>
      <c r="U197" s="261"/>
      <c r="V197" s="261"/>
      <c r="W197" s="261"/>
      <c r="X197" s="261"/>
      <c r="Y197" s="261"/>
      <c r="Z197" s="261"/>
      <c r="AA197" s="261"/>
      <c r="AB197" s="261"/>
      <c r="AC197" s="261"/>
      <c r="AD197" s="261"/>
      <c r="AE197" s="261"/>
      <c r="AF197" s="261"/>
      <c r="AG197" s="1173">
        <f t="shared" si="39"/>
        <v>0</v>
      </c>
      <c r="AH197" s="61" t="str">
        <f t="shared" si="40"/>
        <v/>
      </c>
      <c r="AI197" s="89" t="e">
        <f t="shared" si="41"/>
        <v>#N/A</v>
      </c>
      <c r="AJ197" s="2"/>
      <c r="AK197" s="61">
        <f>IF(G197=G$547,0,IF(OR(G197&lt;&gt;0,CH197&lt;&gt;0,C197="L"),COUNTIF(AK$180:AK196,"&gt;0")+1,0))</f>
        <v>0</v>
      </c>
      <c r="AL197" s="61" t="str">
        <f t="shared" si="27"/>
        <v/>
      </c>
      <c r="AM197" s="61" t="e">
        <f t="shared" si="28"/>
        <v>#N/A</v>
      </c>
      <c r="AN197" s="89" t="e">
        <f t="shared" si="29"/>
        <v>#N/A</v>
      </c>
      <c r="AO197" s="230">
        <f>SUM(GEN!X25:AD25)-BD197+AY197</f>
        <v>0</v>
      </c>
      <c r="AP197" s="228">
        <f>SUMIF(GEN!$G$121:$M$121,AP$178,GEN!$P25:$V25)+SUMIF($AZ$178:$BC$178,AP$178,$AZ197:$BC197)</f>
        <v>0</v>
      </c>
      <c r="AQ197" s="229">
        <f>SUMIF(GEN!$G$121:$M$121,AQ$178,GEN!$P25:$V25)+SUMIF($AZ$178:$BC$178,AQ$178,$AZ197:$BC197)</f>
        <v>0</v>
      </c>
      <c r="AR197" s="230">
        <f>SUMIF(GEN!$G$121:$M$121,AR$178,GEN!$P25:$V25)+SUMIF($AZ$178:$BC$178,AR$178,$AZ197:$BC197)</f>
        <v>0</v>
      </c>
      <c r="AS197" s="230">
        <f>SUMIF(GEN!$G$121:$M$121,AS$178,GEN!$P25:$V25)+SUMIF($AZ$178:$BC$178,AS$178,$AZ197:$BC197)</f>
        <v>0</v>
      </c>
      <c r="AT197" s="230">
        <f>SUMIF(GEN!$G$121:$M$121,AT$178,GEN!$P25:$V25)+SUMIF($AZ$178:$BC$178,AT$178,$AZ197:$BC197)</f>
        <v>0</v>
      </c>
      <c r="AU197" s="230">
        <f>SUMIF(GEN!$G$121:$M$121,AU$178,GEN!$P25:$V25)+SUMIF($AZ$178:$BC$178,AU$178,$AZ197:$BC197)</f>
        <v>0</v>
      </c>
      <c r="AV197" s="230">
        <f>SUMIF(GEN!$G$121:$M$121,AV$178,GEN!$P25:$V25)+SUMIF($AZ$178:$BC$178,AV$178,$AZ197:$BC197)</f>
        <v>0</v>
      </c>
      <c r="AW197" s="230">
        <f>SUMIF(GEN!$G$121:$M$121,AW$178,GEN!$P25:$V25)+SUMIF($AZ$178:$BC$178,AW$178,$AZ197:$BC197)</f>
        <v>0</v>
      </c>
      <c r="AX197" s="231">
        <f>SUMIF(GEN!$G$121:$M$121,AX$178,GEN!$P25:$V25)+SUMIF($AZ$178:$BC$178,AX$178,$AZ197:$BC197)</f>
        <v>0</v>
      </c>
      <c r="AY197" s="232">
        <f>GEN!AF25</f>
        <v>0</v>
      </c>
      <c r="AZ197" s="228">
        <f>GEN!AG25</f>
        <v>0</v>
      </c>
      <c r="BA197" s="229">
        <f>GEN!AH25</f>
        <v>0</v>
      </c>
      <c r="BB197" s="230">
        <f>GEN!AI25</f>
        <v>0</v>
      </c>
      <c r="BC197" s="231">
        <f>GEN!AJ25</f>
        <v>0</v>
      </c>
      <c r="BD197" s="228">
        <f>SUMIF(GEN!$G$120:$M$120,"&gt;0",GEN!$X25:$AD25)</f>
        <v>0</v>
      </c>
      <c r="BE197" s="696"/>
      <c r="BF197" s="228">
        <f>SUMIF(GEN!$BA$6:$BG$6,BF$177,GEN!$BA25:$BG25)</f>
        <v>0</v>
      </c>
      <c r="BG197" s="229">
        <f>SUMIF(GEN!$BA$6:$BG$6,BG$177,GEN!$BA25:$BG25)</f>
        <v>0</v>
      </c>
      <c r="BH197" s="229">
        <f>SUMIF(GEN!$BA$6:$BG$6,BH$177,GEN!$BA25:$BG25)</f>
        <v>0</v>
      </c>
      <c r="BI197" s="229">
        <f>SUMIF(GEN!$BA$6:$BG$6,BI$177,GEN!$BA25:$BG25)</f>
        <v>0</v>
      </c>
      <c r="BJ197" s="229">
        <f>SUMIF(GEN!$BA$6:$BG$6,BJ$177,GEN!$BA25:$BG25)</f>
        <v>0</v>
      </c>
      <c r="BK197" s="229">
        <f>SUMIF(GEN!$BA$6:$BG$6,BK$177,GEN!$BA25:$BG25)</f>
        <v>0</v>
      </c>
      <c r="BL197" s="229">
        <f>SUMIF(GEN!$BA$6:$BG$6,BL$177,GEN!$BA25:$BG25)</f>
        <v>0</v>
      </c>
      <c r="BM197" s="229">
        <f>SUMIF(GEN!$BA$6:$BG$6,BM$177,GEN!$BA25:$BG25)</f>
        <v>0</v>
      </c>
      <c r="BN197" s="229">
        <f>SUMIF(GEN!$BA$6:$BG$6,BN$177,GEN!$BA25:$BG25)</f>
        <v>0</v>
      </c>
      <c r="BO197" s="231">
        <f>SUMIF(GEN!$BA$6:$BG$6,BO$177,GEN!$BA25:$BG25)</f>
        <v>0</v>
      </c>
      <c r="BP197" s="231">
        <f>SUMIF(GEN!$BA$6:$BG$6,BP$177,GEN!$BA25:$BG25)</f>
        <v>0</v>
      </c>
      <c r="BQ197" s="252"/>
      <c r="BR197" s="228">
        <f>SUMIF(GEN!$BA$5:$BG$5,BR$177,GEN!$BA25:$BG25)</f>
        <v>0</v>
      </c>
      <c r="BS197" s="229">
        <f>SUMIF(GEN!$BA$5:$BG$5,BS$177,GEN!$BA25:$BG25)</f>
        <v>0</v>
      </c>
      <c r="BT197" s="229">
        <f>SUMIF(GEN!$BA$5:$BG$5,BT$177,GEN!$BA25:$BG25)</f>
        <v>0</v>
      </c>
      <c r="BU197" s="229">
        <f>SUMIF(GEN!$BA$5:$BG$5,BU$177,GEN!$BA25:$BG25)</f>
        <v>0</v>
      </c>
      <c r="BV197" s="229">
        <f>SUMIF(GEN!$BA$5:$BG$5,BV$177,GEN!$BA25:$BG25)</f>
        <v>0</v>
      </c>
      <c r="BW197" s="229">
        <f>SUMIF(GEN!$BA$5:$BG$5,BW$177,GEN!$BA25:$BG25)</f>
        <v>0</v>
      </c>
      <c r="BX197" s="230">
        <f>SUMIF(GEN!$BA$5:$BG$5,BX$177,GEN!$BA25:$BG25)</f>
        <v>0</v>
      </c>
      <c r="BY197" s="998">
        <f>SUMIF(GEN!$BA$5:$BG$5,BY$177,GEN!$BA25:$BG25)</f>
        <v>0</v>
      </c>
      <c r="CB197" s="252"/>
      <c r="CC197" s="61" t="e">
        <f t="shared" si="30"/>
        <v>#N/A</v>
      </c>
      <c r="CD197" s="61">
        <f t="shared" si="31"/>
        <v>0</v>
      </c>
      <c r="CE197" s="105" t="str">
        <f t="shared" si="32"/>
        <v/>
      </c>
      <c r="CF197" s="61" t="e">
        <f t="shared" si="33"/>
        <v>#N/A</v>
      </c>
      <c r="CG197" s="61" t="e">
        <f t="shared" si="34"/>
        <v>#N/A</v>
      </c>
      <c r="CH197" s="521">
        <f>GEN!AL25-CW197+CR197</f>
        <v>0</v>
      </c>
      <c r="CI197" s="228">
        <f>SUMIF(GEN!$G$121:$M$121,CI$178,GEN!$AM25:$AS25)+SUMIF($CS$178:$CV$178,CI$178,$CS197:$CV197)</f>
        <v>0</v>
      </c>
      <c r="CJ197" s="229">
        <f>SUMIF(GEN!$G$121:$M$121,CJ$178,GEN!$AM25:$AS25)+SUMIF($CS$178:$CV$178,CJ$178,$CS197:$CV197)</f>
        <v>0</v>
      </c>
      <c r="CK197" s="230">
        <f>SUMIF(GEN!$G$121:$M$121,CK$178,GEN!$AM25:$AS25)+SUMIF($CS$178:$CV$178,CK$178,$CS197:$CV197)</f>
        <v>0</v>
      </c>
      <c r="CL197" s="230">
        <f>SUMIF(GEN!$G$121:$M$121,CL$178,GEN!$AM25:$AS25)+SUMIF($CS$178:$CV$178,CL$178,$CS197:$CV197)</f>
        <v>0</v>
      </c>
      <c r="CM197" s="230">
        <f>SUMIF(GEN!$G$121:$M$121,CM$178,GEN!$AM25:$AS25)+SUMIF($CS$178:$CV$178,CM$178,$CS197:$CV197)</f>
        <v>0</v>
      </c>
      <c r="CN197" s="230">
        <f>SUMIF(GEN!$G$121:$M$121,CN$178,GEN!$AM25:$AS25)+SUMIF($CS$178:$CV$178,CN$178,$CS197:$CV197)</f>
        <v>0</v>
      </c>
      <c r="CO197" s="230">
        <f>SUMIF(GEN!$G$121:$M$121,CO$178,GEN!$AM25:$AS25)+SUMIF($CS$178:$CV$178,CO$178,$CS197:$CV197)</f>
        <v>0</v>
      </c>
      <c r="CP197" s="230">
        <f>SUMIF(GEN!$G$121:$M$121,CP$178,GEN!$AM25:$AS25)+SUMIF($CS$178:$CV$178,CP$178,$CS197:$CV197)</f>
        <v>0</v>
      </c>
      <c r="CQ197" s="231">
        <f>SUMIF(GEN!$G$121:$M$121,CQ$178,GEN!$AM25:$AS25)+SUMIF($CS$178:$CV$178,CQ$178,$CS197:$CV197)</f>
        <v>0</v>
      </c>
      <c r="CR197" s="521">
        <f>GEN!AU25</f>
        <v>0</v>
      </c>
      <c r="CS197" s="228">
        <f>GEN!AV25</f>
        <v>0</v>
      </c>
      <c r="CT197" s="229">
        <f>GEN!AW25</f>
        <v>0</v>
      </c>
      <c r="CU197" s="230">
        <f>GEN!AX25</f>
        <v>0</v>
      </c>
      <c r="CV197" s="231">
        <f>GEN!AY25</f>
        <v>0</v>
      </c>
      <c r="CW197" s="521">
        <f>SUM(GEN!AU25:AY25)</f>
        <v>0</v>
      </c>
      <c r="CX197" s="521">
        <f>GEN!AK25</f>
        <v>0</v>
      </c>
      <c r="CY197" s="2"/>
    </row>
    <row r="198" spans="1:103" ht="14.25" hidden="1" customHeight="1" x14ac:dyDescent="0.2">
      <c r="A198" s="2"/>
      <c r="B198" s="105">
        <f t="shared" si="35"/>
        <v>45310</v>
      </c>
      <c r="C198" s="146">
        <f>IF(AND(E198&gt;(E$557-1),E198&lt;(I$557+1)),W$551,IF(ISERROR(HLOOKUP(E198,$E$550:$L$550,1,FALSE)),HLOOKUP(WEEKDAY(E198,2),IMPOSTAZIONI!$C$52:$P$57,6,FALSE),$W$550))</f>
        <v>0</v>
      </c>
      <c r="D198" s="71" t="str">
        <f t="shared" si="36"/>
        <v/>
      </c>
      <c r="E198" s="2258">
        <f t="shared" si="42"/>
        <v>45310</v>
      </c>
      <c r="F198" s="2259"/>
      <c r="G198" s="2228">
        <f>GEN!E26</f>
        <v>0</v>
      </c>
      <c r="H198" s="2229"/>
      <c r="I198" s="2230"/>
      <c r="J198" s="262" t="str">
        <f t="shared" si="25"/>
        <v/>
      </c>
      <c r="K198" s="263"/>
      <c r="L198" s="2217">
        <f t="shared" si="43"/>
        <v>3</v>
      </c>
      <c r="M198" s="2218"/>
      <c r="N198" s="261"/>
      <c r="O198" s="261"/>
      <c r="P198" s="261"/>
      <c r="Q198" s="2219">
        <f t="shared" si="38"/>
        <v>45310</v>
      </c>
      <c r="R198" s="2219"/>
      <c r="S198" s="261"/>
      <c r="T198" s="1173">
        <f t="shared" si="26"/>
        <v>0</v>
      </c>
      <c r="U198" s="261"/>
      <c r="V198" s="261"/>
      <c r="W198" s="261"/>
      <c r="X198" s="261"/>
      <c r="Y198" s="261"/>
      <c r="Z198" s="261"/>
      <c r="AA198" s="261"/>
      <c r="AB198" s="261"/>
      <c r="AC198" s="261"/>
      <c r="AD198" s="261"/>
      <c r="AE198" s="261"/>
      <c r="AF198" s="261"/>
      <c r="AG198" s="1173">
        <f t="shared" si="39"/>
        <v>0</v>
      </c>
      <c r="AH198" s="61" t="str">
        <f t="shared" si="40"/>
        <v/>
      </c>
      <c r="AI198" s="89" t="e">
        <f t="shared" si="41"/>
        <v>#N/A</v>
      </c>
      <c r="AJ198" s="2"/>
      <c r="AK198" s="61">
        <f>IF(G198=G$547,0,IF(OR(G198&lt;&gt;0,CH198&lt;&gt;0,C198="L"),COUNTIF(AK$180:AK197,"&gt;0")+1,0))</f>
        <v>0</v>
      </c>
      <c r="AL198" s="61" t="str">
        <f t="shared" si="27"/>
        <v/>
      </c>
      <c r="AM198" s="61" t="e">
        <f t="shared" si="28"/>
        <v>#N/A</v>
      </c>
      <c r="AN198" s="89" t="e">
        <f t="shared" si="29"/>
        <v>#N/A</v>
      </c>
      <c r="AO198" s="230">
        <f>SUM(GEN!X26:AD26)-BD198+AY198</f>
        <v>0</v>
      </c>
      <c r="AP198" s="228">
        <f>SUMIF(GEN!$G$121:$M$121,AP$178,GEN!$P26:$V26)+SUMIF($AZ$178:$BC$178,AP$178,$AZ198:$BC198)</f>
        <v>0</v>
      </c>
      <c r="AQ198" s="229">
        <f>SUMIF(GEN!$G$121:$M$121,AQ$178,GEN!$P26:$V26)+SUMIF($AZ$178:$BC$178,AQ$178,$AZ198:$BC198)</f>
        <v>0</v>
      </c>
      <c r="AR198" s="230">
        <f>SUMIF(GEN!$G$121:$M$121,AR$178,GEN!$P26:$V26)+SUMIF($AZ$178:$BC$178,AR$178,$AZ198:$BC198)</f>
        <v>0</v>
      </c>
      <c r="AS198" s="230">
        <f>SUMIF(GEN!$G$121:$M$121,AS$178,GEN!$P26:$V26)+SUMIF($AZ$178:$BC$178,AS$178,$AZ198:$BC198)</f>
        <v>0</v>
      </c>
      <c r="AT198" s="230">
        <f>SUMIF(GEN!$G$121:$M$121,AT$178,GEN!$P26:$V26)+SUMIF($AZ$178:$BC$178,AT$178,$AZ198:$BC198)</f>
        <v>0</v>
      </c>
      <c r="AU198" s="230">
        <f>SUMIF(GEN!$G$121:$M$121,AU$178,GEN!$P26:$V26)+SUMIF($AZ$178:$BC$178,AU$178,$AZ198:$BC198)</f>
        <v>0</v>
      </c>
      <c r="AV198" s="230">
        <f>SUMIF(GEN!$G$121:$M$121,AV$178,GEN!$P26:$V26)+SUMIF($AZ$178:$BC$178,AV$178,$AZ198:$BC198)</f>
        <v>0</v>
      </c>
      <c r="AW198" s="230">
        <f>SUMIF(GEN!$G$121:$M$121,AW$178,GEN!$P26:$V26)+SUMIF($AZ$178:$BC$178,AW$178,$AZ198:$BC198)</f>
        <v>0</v>
      </c>
      <c r="AX198" s="231">
        <f>SUMIF(GEN!$G$121:$M$121,AX$178,GEN!$P26:$V26)+SUMIF($AZ$178:$BC$178,AX$178,$AZ198:$BC198)</f>
        <v>0</v>
      </c>
      <c r="AY198" s="232">
        <f>GEN!AF26</f>
        <v>0</v>
      </c>
      <c r="AZ198" s="228">
        <f>GEN!AG26</f>
        <v>0</v>
      </c>
      <c r="BA198" s="229">
        <f>GEN!AH26</f>
        <v>0</v>
      </c>
      <c r="BB198" s="230">
        <f>GEN!AI26</f>
        <v>0</v>
      </c>
      <c r="BC198" s="231">
        <f>GEN!AJ26</f>
        <v>0</v>
      </c>
      <c r="BD198" s="228">
        <f>SUMIF(GEN!$G$120:$M$120,"&gt;0",GEN!$X26:$AD26)</f>
        <v>0</v>
      </c>
      <c r="BE198" s="696"/>
      <c r="BF198" s="228">
        <f>SUMIF(GEN!$BA$6:$BG$6,BF$177,GEN!$BA26:$BG26)</f>
        <v>0</v>
      </c>
      <c r="BG198" s="229">
        <f>SUMIF(GEN!$BA$6:$BG$6,BG$177,GEN!$BA26:$BG26)</f>
        <v>0</v>
      </c>
      <c r="BH198" s="229">
        <f>SUMIF(GEN!$BA$6:$BG$6,BH$177,GEN!$BA26:$BG26)</f>
        <v>0</v>
      </c>
      <c r="BI198" s="229">
        <f>SUMIF(GEN!$BA$6:$BG$6,BI$177,GEN!$BA26:$BG26)</f>
        <v>0</v>
      </c>
      <c r="BJ198" s="229">
        <f>SUMIF(GEN!$BA$6:$BG$6,BJ$177,GEN!$BA26:$BG26)</f>
        <v>0</v>
      </c>
      <c r="BK198" s="229">
        <f>SUMIF(GEN!$BA$6:$BG$6,BK$177,GEN!$BA26:$BG26)</f>
        <v>0</v>
      </c>
      <c r="BL198" s="229">
        <f>SUMIF(GEN!$BA$6:$BG$6,BL$177,GEN!$BA26:$BG26)</f>
        <v>0</v>
      </c>
      <c r="BM198" s="229">
        <f>SUMIF(GEN!$BA$6:$BG$6,BM$177,GEN!$BA26:$BG26)</f>
        <v>0</v>
      </c>
      <c r="BN198" s="229">
        <f>SUMIF(GEN!$BA$6:$BG$6,BN$177,GEN!$BA26:$BG26)</f>
        <v>0</v>
      </c>
      <c r="BO198" s="231">
        <f>SUMIF(GEN!$BA$6:$BG$6,BO$177,GEN!$BA26:$BG26)</f>
        <v>0</v>
      </c>
      <c r="BP198" s="231">
        <f>SUMIF(GEN!$BA$6:$BG$6,BP$177,GEN!$BA26:$BG26)</f>
        <v>0</v>
      </c>
      <c r="BQ198" s="252"/>
      <c r="BR198" s="228">
        <f>SUMIF(GEN!$BA$5:$BG$5,BR$177,GEN!$BA26:$BG26)</f>
        <v>0</v>
      </c>
      <c r="BS198" s="229">
        <f>SUMIF(GEN!$BA$5:$BG$5,BS$177,GEN!$BA26:$BG26)</f>
        <v>0</v>
      </c>
      <c r="BT198" s="229">
        <f>SUMIF(GEN!$BA$5:$BG$5,BT$177,GEN!$BA26:$BG26)</f>
        <v>0</v>
      </c>
      <c r="BU198" s="229">
        <f>SUMIF(GEN!$BA$5:$BG$5,BU$177,GEN!$BA26:$BG26)</f>
        <v>0</v>
      </c>
      <c r="BV198" s="229">
        <f>SUMIF(GEN!$BA$5:$BG$5,BV$177,GEN!$BA26:$BG26)</f>
        <v>0</v>
      </c>
      <c r="BW198" s="229">
        <f>SUMIF(GEN!$BA$5:$BG$5,BW$177,GEN!$BA26:$BG26)</f>
        <v>0</v>
      </c>
      <c r="BX198" s="230">
        <f>SUMIF(GEN!$BA$5:$BG$5,BX$177,GEN!$BA26:$BG26)</f>
        <v>0</v>
      </c>
      <c r="BY198" s="998">
        <f>SUMIF(GEN!$BA$5:$BG$5,BY$177,GEN!$BA26:$BG26)</f>
        <v>0</v>
      </c>
      <c r="CB198" s="252"/>
      <c r="CC198" s="61" t="e">
        <f t="shared" si="30"/>
        <v>#N/A</v>
      </c>
      <c r="CD198" s="61">
        <f t="shared" si="31"/>
        <v>0</v>
      </c>
      <c r="CE198" s="105" t="str">
        <f t="shared" si="32"/>
        <v/>
      </c>
      <c r="CF198" s="61" t="e">
        <f t="shared" si="33"/>
        <v>#N/A</v>
      </c>
      <c r="CG198" s="61" t="e">
        <f t="shared" si="34"/>
        <v>#N/A</v>
      </c>
      <c r="CH198" s="521">
        <f>GEN!AL26-CW198+CR198</f>
        <v>0</v>
      </c>
      <c r="CI198" s="228">
        <f>SUMIF(GEN!$G$121:$M$121,CI$178,GEN!$AM26:$AS26)+SUMIF($CS$178:$CV$178,CI$178,$CS198:$CV198)</f>
        <v>0</v>
      </c>
      <c r="CJ198" s="229">
        <f>SUMIF(GEN!$G$121:$M$121,CJ$178,GEN!$AM26:$AS26)+SUMIF($CS$178:$CV$178,CJ$178,$CS198:$CV198)</f>
        <v>0</v>
      </c>
      <c r="CK198" s="230">
        <f>SUMIF(GEN!$G$121:$M$121,CK$178,GEN!$AM26:$AS26)+SUMIF($CS$178:$CV$178,CK$178,$CS198:$CV198)</f>
        <v>0</v>
      </c>
      <c r="CL198" s="230">
        <f>SUMIF(GEN!$G$121:$M$121,CL$178,GEN!$AM26:$AS26)+SUMIF($CS$178:$CV$178,CL$178,$CS198:$CV198)</f>
        <v>0</v>
      </c>
      <c r="CM198" s="230">
        <f>SUMIF(GEN!$G$121:$M$121,CM$178,GEN!$AM26:$AS26)+SUMIF($CS$178:$CV$178,CM$178,$CS198:$CV198)</f>
        <v>0</v>
      </c>
      <c r="CN198" s="230">
        <f>SUMIF(GEN!$G$121:$M$121,CN$178,GEN!$AM26:$AS26)+SUMIF($CS$178:$CV$178,CN$178,$CS198:$CV198)</f>
        <v>0</v>
      </c>
      <c r="CO198" s="230">
        <f>SUMIF(GEN!$G$121:$M$121,CO$178,GEN!$AM26:$AS26)+SUMIF($CS$178:$CV$178,CO$178,$CS198:$CV198)</f>
        <v>0</v>
      </c>
      <c r="CP198" s="230">
        <f>SUMIF(GEN!$G$121:$M$121,CP$178,GEN!$AM26:$AS26)+SUMIF($CS$178:$CV$178,CP$178,$CS198:$CV198)</f>
        <v>0</v>
      </c>
      <c r="CQ198" s="231">
        <f>SUMIF(GEN!$G$121:$M$121,CQ$178,GEN!$AM26:$AS26)+SUMIF($CS$178:$CV$178,CQ$178,$CS198:$CV198)</f>
        <v>0</v>
      </c>
      <c r="CR198" s="521">
        <f>GEN!AU26</f>
        <v>0</v>
      </c>
      <c r="CS198" s="228">
        <f>GEN!AV26</f>
        <v>0</v>
      </c>
      <c r="CT198" s="229">
        <f>GEN!AW26</f>
        <v>0</v>
      </c>
      <c r="CU198" s="230">
        <f>GEN!AX26</f>
        <v>0</v>
      </c>
      <c r="CV198" s="231">
        <f>GEN!AY26</f>
        <v>0</v>
      </c>
      <c r="CW198" s="521">
        <f>SUM(GEN!AU26:AY26)</f>
        <v>0</v>
      </c>
      <c r="CX198" s="521">
        <f>GEN!AK26</f>
        <v>0</v>
      </c>
      <c r="CY198" s="2"/>
    </row>
    <row r="199" spans="1:103" ht="14.25" hidden="1" customHeight="1" x14ac:dyDescent="0.2">
      <c r="A199" s="2"/>
      <c r="B199" s="105">
        <f t="shared" si="35"/>
        <v>45311</v>
      </c>
      <c r="C199" s="146">
        <f>IF(AND(E199&gt;(E$557-1),E199&lt;(I$557+1)),W$551,IF(ISERROR(HLOOKUP(E199,$E$550:$L$550,1,FALSE)),HLOOKUP(WEEKDAY(E199,2),IMPOSTAZIONI!$C$52:$P$57,6,FALSE),$W$550))</f>
        <v>0</v>
      </c>
      <c r="D199" s="71" t="str">
        <f t="shared" si="36"/>
        <v/>
      </c>
      <c r="E199" s="2258">
        <f t="shared" si="42"/>
        <v>45311</v>
      </c>
      <c r="F199" s="2259"/>
      <c r="G199" s="2228">
        <f>GEN!E27</f>
        <v>0</v>
      </c>
      <c r="H199" s="2229"/>
      <c r="I199" s="2230"/>
      <c r="J199" s="262" t="str">
        <f t="shared" si="25"/>
        <v/>
      </c>
      <c r="K199" s="263"/>
      <c r="L199" s="2217">
        <f t="shared" si="43"/>
        <v>3</v>
      </c>
      <c r="M199" s="2218"/>
      <c r="N199" s="261"/>
      <c r="O199" s="261"/>
      <c r="P199" s="261"/>
      <c r="Q199" s="2219">
        <f t="shared" si="38"/>
        <v>45311</v>
      </c>
      <c r="R199" s="2219"/>
      <c r="S199" s="261"/>
      <c r="T199" s="1173">
        <f t="shared" si="26"/>
        <v>0</v>
      </c>
      <c r="U199" s="261"/>
      <c r="V199" s="261"/>
      <c r="W199" s="261"/>
      <c r="X199" s="261"/>
      <c r="Y199" s="261"/>
      <c r="Z199" s="261"/>
      <c r="AA199" s="261"/>
      <c r="AB199" s="261"/>
      <c r="AC199" s="261"/>
      <c r="AD199" s="261"/>
      <c r="AE199" s="261"/>
      <c r="AF199" s="261"/>
      <c r="AG199" s="1173">
        <f t="shared" si="39"/>
        <v>0</v>
      </c>
      <c r="AH199" s="61" t="str">
        <f t="shared" si="40"/>
        <v/>
      </c>
      <c r="AI199" s="89" t="e">
        <f t="shared" si="41"/>
        <v>#N/A</v>
      </c>
      <c r="AJ199" s="2"/>
      <c r="AK199" s="61">
        <f>IF(G199=G$547,0,IF(OR(G199&lt;&gt;0,CH199&lt;&gt;0,C199="L"),COUNTIF(AK$180:AK198,"&gt;0")+1,0))</f>
        <v>0</v>
      </c>
      <c r="AL199" s="61" t="str">
        <f t="shared" si="27"/>
        <v/>
      </c>
      <c r="AM199" s="61" t="e">
        <f t="shared" si="28"/>
        <v>#N/A</v>
      </c>
      <c r="AN199" s="89" t="e">
        <f t="shared" si="29"/>
        <v>#N/A</v>
      </c>
      <c r="AO199" s="230">
        <f>SUM(GEN!X27:AD27)-BD199+AY199</f>
        <v>0</v>
      </c>
      <c r="AP199" s="228">
        <f>SUMIF(GEN!$G$121:$M$121,AP$178,GEN!$P27:$V27)+SUMIF($AZ$178:$BC$178,AP$178,$AZ199:$BC199)</f>
        <v>0</v>
      </c>
      <c r="AQ199" s="229">
        <f>SUMIF(GEN!$G$121:$M$121,AQ$178,GEN!$P27:$V27)+SUMIF($AZ$178:$BC$178,AQ$178,$AZ199:$BC199)</f>
        <v>0</v>
      </c>
      <c r="AR199" s="230">
        <f>SUMIF(GEN!$G$121:$M$121,AR$178,GEN!$P27:$V27)+SUMIF($AZ$178:$BC$178,AR$178,$AZ199:$BC199)</f>
        <v>0</v>
      </c>
      <c r="AS199" s="230">
        <f>SUMIF(GEN!$G$121:$M$121,AS$178,GEN!$P27:$V27)+SUMIF($AZ$178:$BC$178,AS$178,$AZ199:$BC199)</f>
        <v>0</v>
      </c>
      <c r="AT199" s="230">
        <f>SUMIF(GEN!$G$121:$M$121,AT$178,GEN!$P27:$V27)+SUMIF($AZ$178:$BC$178,AT$178,$AZ199:$BC199)</f>
        <v>0</v>
      </c>
      <c r="AU199" s="230">
        <f>SUMIF(GEN!$G$121:$M$121,AU$178,GEN!$P27:$V27)+SUMIF($AZ$178:$BC$178,AU$178,$AZ199:$BC199)</f>
        <v>0</v>
      </c>
      <c r="AV199" s="230">
        <f>SUMIF(GEN!$G$121:$M$121,AV$178,GEN!$P27:$V27)+SUMIF($AZ$178:$BC$178,AV$178,$AZ199:$BC199)</f>
        <v>0</v>
      </c>
      <c r="AW199" s="230">
        <f>SUMIF(GEN!$G$121:$M$121,AW$178,GEN!$P27:$V27)+SUMIF($AZ$178:$BC$178,AW$178,$AZ199:$BC199)</f>
        <v>0</v>
      </c>
      <c r="AX199" s="231">
        <f>SUMIF(GEN!$G$121:$M$121,AX$178,GEN!$P27:$V27)+SUMIF($AZ$178:$BC$178,AX$178,$AZ199:$BC199)</f>
        <v>0</v>
      </c>
      <c r="AY199" s="232">
        <f>GEN!AF27</f>
        <v>0</v>
      </c>
      <c r="AZ199" s="228">
        <f>GEN!AG27</f>
        <v>0</v>
      </c>
      <c r="BA199" s="229">
        <f>GEN!AH27</f>
        <v>0</v>
      </c>
      <c r="BB199" s="230">
        <f>GEN!AI27</f>
        <v>0</v>
      </c>
      <c r="BC199" s="231">
        <f>GEN!AJ27</f>
        <v>0</v>
      </c>
      <c r="BD199" s="228">
        <f>SUMIF(GEN!$G$120:$M$120,"&gt;0",GEN!$X27:$AD27)</f>
        <v>0</v>
      </c>
      <c r="BE199" s="696"/>
      <c r="BF199" s="228">
        <f>SUMIF(GEN!$BA$6:$BG$6,BF$177,GEN!$BA27:$BG27)</f>
        <v>0</v>
      </c>
      <c r="BG199" s="229">
        <f>SUMIF(GEN!$BA$6:$BG$6,BG$177,GEN!$BA27:$BG27)</f>
        <v>0</v>
      </c>
      <c r="BH199" s="229">
        <f>SUMIF(GEN!$BA$6:$BG$6,BH$177,GEN!$BA27:$BG27)</f>
        <v>0</v>
      </c>
      <c r="BI199" s="229">
        <f>SUMIF(GEN!$BA$6:$BG$6,BI$177,GEN!$BA27:$BG27)</f>
        <v>0</v>
      </c>
      <c r="BJ199" s="229">
        <f>SUMIF(GEN!$BA$6:$BG$6,BJ$177,GEN!$BA27:$BG27)</f>
        <v>0</v>
      </c>
      <c r="BK199" s="229">
        <f>SUMIF(GEN!$BA$6:$BG$6,BK$177,GEN!$BA27:$BG27)</f>
        <v>0</v>
      </c>
      <c r="BL199" s="229">
        <f>SUMIF(GEN!$BA$6:$BG$6,BL$177,GEN!$BA27:$BG27)</f>
        <v>0</v>
      </c>
      <c r="BM199" s="229">
        <f>SUMIF(GEN!$BA$6:$BG$6,BM$177,GEN!$BA27:$BG27)</f>
        <v>0</v>
      </c>
      <c r="BN199" s="229">
        <f>SUMIF(GEN!$BA$6:$BG$6,BN$177,GEN!$BA27:$BG27)</f>
        <v>0</v>
      </c>
      <c r="BO199" s="231">
        <f>SUMIF(GEN!$BA$6:$BG$6,BO$177,GEN!$BA27:$BG27)</f>
        <v>0</v>
      </c>
      <c r="BP199" s="231">
        <f>SUMIF(GEN!$BA$6:$BG$6,BP$177,GEN!$BA27:$BG27)</f>
        <v>0</v>
      </c>
      <c r="BQ199" s="252"/>
      <c r="BR199" s="228">
        <f>SUMIF(GEN!$BA$5:$BG$5,BR$177,GEN!$BA27:$BG27)</f>
        <v>0</v>
      </c>
      <c r="BS199" s="229">
        <f>SUMIF(GEN!$BA$5:$BG$5,BS$177,GEN!$BA27:$BG27)</f>
        <v>0</v>
      </c>
      <c r="BT199" s="229">
        <f>SUMIF(GEN!$BA$5:$BG$5,BT$177,GEN!$BA27:$BG27)</f>
        <v>0</v>
      </c>
      <c r="BU199" s="229">
        <f>SUMIF(GEN!$BA$5:$BG$5,BU$177,GEN!$BA27:$BG27)</f>
        <v>0</v>
      </c>
      <c r="BV199" s="229">
        <f>SUMIF(GEN!$BA$5:$BG$5,BV$177,GEN!$BA27:$BG27)</f>
        <v>0</v>
      </c>
      <c r="BW199" s="229">
        <f>SUMIF(GEN!$BA$5:$BG$5,BW$177,GEN!$BA27:$BG27)</f>
        <v>0</v>
      </c>
      <c r="BX199" s="230">
        <f>SUMIF(GEN!$BA$5:$BG$5,BX$177,GEN!$BA27:$BG27)</f>
        <v>0</v>
      </c>
      <c r="BY199" s="998">
        <f>SUMIF(GEN!$BA$5:$BG$5,BY$177,GEN!$BA27:$BG27)</f>
        <v>0</v>
      </c>
      <c r="CB199" s="252"/>
      <c r="CC199" s="61" t="e">
        <f t="shared" si="30"/>
        <v>#N/A</v>
      </c>
      <c r="CD199" s="61">
        <f t="shared" si="31"/>
        <v>0</v>
      </c>
      <c r="CE199" s="105" t="str">
        <f t="shared" si="32"/>
        <v/>
      </c>
      <c r="CF199" s="61" t="e">
        <f t="shared" si="33"/>
        <v>#N/A</v>
      </c>
      <c r="CG199" s="61" t="e">
        <f t="shared" si="34"/>
        <v>#N/A</v>
      </c>
      <c r="CH199" s="521">
        <f>GEN!AL27-CW199+CR199</f>
        <v>0</v>
      </c>
      <c r="CI199" s="228">
        <f>SUMIF(GEN!$G$121:$M$121,CI$178,GEN!$AM27:$AS27)+SUMIF($CS$178:$CV$178,CI$178,$CS199:$CV199)</f>
        <v>0</v>
      </c>
      <c r="CJ199" s="229">
        <f>SUMIF(GEN!$G$121:$M$121,CJ$178,GEN!$AM27:$AS27)+SUMIF($CS$178:$CV$178,CJ$178,$CS199:$CV199)</f>
        <v>0</v>
      </c>
      <c r="CK199" s="230">
        <f>SUMIF(GEN!$G$121:$M$121,CK$178,GEN!$AM27:$AS27)+SUMIF($CS$178:$CV$178,CK$178,$CS199:$CV199)</f>
        <v>0</v>
      </c>
      <c r="CL199" s="230">
        <f>SUMIF(GEN!$G$121:$M$121,CL$178,GEN!$AM27:$AS27)+SUMIF($CS$178:$CV$178,CL$178,$CS199:$CV199)</f>
        <v>0</v>
      </c>
      <c r="CM199" s="230">
        <f>SUMIF(GEN!$G$121:$M$121,CM$178,GEN!$AM27:$AS27)+SUMIF($CS$178:$CV$178,CM$178,$CS199:$CV199)</f>
        <v>0</v>
      </c>
      <c r="CN199" s="230">
        <f>SUMIF(GEN!$G$121:$M$121,CN$178,GEN!$AM27:$AS27)+SUMIF($CS$178:$CV$178,CN$178,$CS199:$CV199)</f>
        <v>0</v>
      </c>
      <c r="CO199" s="230">
        <f>SUMIF(GEN!$G$121:$M$121,CO$178,GEN!$AM27:$AS27)+SUMIF($CS$178:$CV$178,CO$178,$CS199:$CV199)</f>
        <v>0</v>
      </c>
      <c r="CP199" s="230">
        <f>SUMIF(GEN!$G$121:$M$121,CP$178,GEN!$AM27:$AS27)+SUMIF($CS$178:$CV$178,CP$178,$CS199:$CV199)</f>
        <v>0</v>
      </c>
      <c r="CQ199" s="231">
        <f>SUMIF(GEN!$G$121:$M$121,CQ$178,GEN!$AM27:$AS27)+SUMIF($CS$178:$CV$178,CQ$178,$CS199:$CV199)</f>
        <v>0</v>
      </c>
      <c r="CR199" s="521">
        <f>GEN!AU27</f>
        <v>0</v>
      </c>
      <c r="CS199" s="228">
        <f>GEN!AV27</f>
        <v>0</v>
      </c>
      <c r="CT199" s="229">
        <f>GEN!AW27</f>
        <v>0</v>
      </c>
      <c r="CU199" s="230">
        <f>GEN!AX27</f>
        <v>0</v>
      </c>
      <c r="CV199" s="231">
        <f>GEN!AY27</f>
        <v>0</v>
      </c>
      <c r="CW199" s="521">
        <f>SUM(GEN!AU27:AY27)</f>
        <v>0</v>
      </c>
      <c r="CX199" s="521">
        <f>GEN!AK27</f>
        <v>0</v>
      </c>
      <c r="CY199" s="2"/>
    </row>
    <row r="200" spans="1:103" ht="14.25" hidden="1" customHeight="1" x14ac:dyDescent="0.2">
      <c r="A200" s="2"/>
      <c r="B200" s="105">
        <f t="shared" si="35"/>
        <v>45312</v>
      </c>
      <c r="C200" s="146">
        <f>IF(AND(E200&gt;(E$557-1),E200&lt;(I$557+1)),W$551,IF(ISERROR(HLOOKUP(E200,$E$550:$L$550,1,FALSE)),HLOOKUP(WEEKDAY(E200,2),IMPOSTAZIONI!$C$52:$P$57,6,FALSE),$W$550))</f>
        <v>0</v>
      </c>
      <c r="D200" s="71" t="str">
        <f t="shared" si="36"/>
        <v/>
      </c>
      <c r="E200" s="2258">
        <f t="shared" si="42"/>
        <v>45312</v>
      </c>
      <c r="F200" s="2259"/>
      <c r="G200" s="2228">
        <f>GEN!E28</f>
        <v>0</v>
      </c>
      <c r="H200" s="2229"/>
      <c r="I200" s="2230"/>
      <c r="J200" s="262" t="str">
        <f t="shared" si="25"/>
        <v/>
      </c>
      <c r="K200" s="263"/>
      <c r="L200" s="2220">
        <f t="shared" si="43"/>
        <v>3</v>
      </c>
      <c r="M200" s="2221"/>
      <c r="N200" s="261"/>
      <c r="O200" s="261"/>
      <c r="P200" s="261"/>
      <c r="Q200" s="2219">
        <f t="shared" si="38"/>
        <v>45312</v>
      </c>
      <c r="R200" s="2219"/>
      <c r="S200" s="261"/>
      <c r="T200" s="1173">
        <f t="shared" si="26"/>
        <v>0</v>
      </c>
      <c r="U200" s="261"/>
      <c r="V200" s="261"/>
      <c r="W200" s="261"/>
      <c r="X200" s="261"/>
      <c r="Y200" s="261"/>
      <c r="Z200" s="261"/>
      <c r="AA200" s="261"/>
      <c r="AB200" s="261"/>
      <c r="AC200" s="261"/>
      <c r="AD200" s="261"/>
      <c r="AE200" s="261"/>
      <c r="AF200" s="261"/>
      <c r="AG200" s="1173">
        <f t="shared" si="39"/>
        <v>0</v>
      </c>
      <c r="AH200" s="61" t="str">
        <f t="shared" si="40"/>
        <v/>
      </c>
      <c r="AI200" s="89" t="e">
        <f t="shared" si="41"/>
        <v>#N/A</v>
      </c>
      <c r="AJ200" s="2"/>
      <c r="AK200" s="61">
        <f>IF(G200=G$547,0,IF(OR(G200&lt;&gt;0,CH200&lt;&gt;0,C200="L"),COUNTIF(AK$180:AK199,"&gt;0")+1,0))</f>
        <v>0</v>
      </c>
      <c r="AL200" s="61" t="str">
        <f t="shared" si="27"/>
        <v/>
      </c>
      <c r="AM200" s="61" t="e">
        <f t="shared" si="28"/>
        <v>#N/A</v>
      </c>
      <c r="AN200" s="89" t="e">
        <f t="shared" si="29"/>
        <v>#N/A</v>
      </c>
      <c r="AO200" s="230">
        <f>SUM(GEN!X28:AD28)-BD200+AY200</f>
        <v>0</v>
      </c>
      <c r="AP200" s="228">
        <f>SUMIF(GEN!$G$121:$M$121,AP$178,GEN!$P28:$V28)+SUMIF($AZ$178:$BC$178,AP$178,$AZ200:$BC200)</f>
        <v>0</v>
      </c>
      <c r="AQ200" s="229">
        <f>SUMIF(GEN!$G$121:$M$121,AQ$178,GEN!$P28:$V28)+SUMIF($AZ$178:$BC$178,AQ$178,$AZ200:$BC200)</f>
        <v>0</v>
      </c>
      <c r="AR200" s="230">
        <f>SUMIF(GEN!$G$121:$M$121,AR$178,GEN!$P28:$V28)+SUMIF($AZ$178:$BC$178,AR$178,$AZ200:$BC200)</f>
        <v>0</v>
      </c>
      <c r="AS200" s="230">
        <f>SUMIF(GEN!$G$121:$M$121,AS$178,GEN!$P28:$V28)+SUMIF($AZ$178:$BC$178,AS$178,$AZ200:$BC200)</f>
        <v>0</v>
      </c>
      <c r="AT200" s="230">
        <f>SUMIF(GEN!$G$121:$M$121,AT$178,GEN!$P28:$V28)+SUMIF($AZ$178:$BC$178,AT$178,$AZ200:$BC200)</f>
        <v>0</v>
      </c>
      <c r="AU200" s="230">
        <f>SUMIF(GEN!$G$121:$M$121,AU$178,GEN!$P28:$V28)+SUMIF($AZ$178:$BC$178,AU$178,$AZ200:$BC200)</f>
        <v>0</v>
      </c>
      <c r="AV200" s="230">
        <f>SUMIF(GEN!$G$121:$M$121,AV$178,GEN!$P28:$V28)+SUMIF($AZ$178:$BC$178,AV$178,$AZ200:$BC200)</f>
        <v>0</v>
      </c>
      <c r="AW200" s="230">
        <f>SUMIF(GEN!$G$121:$M$121,AW$178,GEN!$P28:$V28)+SUMIF($AZ$178:$BC$178,AW$178,$AZ200:$BC200)</f>
        <v>0</v>
      </c>
      <c r="AX200" s="231">
        <f>SUMIF(GEN!$G$121:$M$121,AX$178,GEN!$P28:$V28)+SUMIF($AZ$178:$BC$178,AX$178,$AZ200:$BC200)</f>
        <v>0</v>
      </c>
      <c r="AY200" s="232">
        <f>GEN!AF28</f>
        <v>0</v>
      </c>
      <c r="AZ200" s="228">
        <f>GEN!AG28</f>
        <v>0</v>
      </c>
      <c r="BA200" s="229">
        <f>GEN!AH28</f>
        <v>0</v>
      </c>
      <c r="BB200" s="230">
        <f>GEN!AI28</f>
        <v>0</v>
      </c>
      <c r="BC200" s="231">
        <f>GEN!AJ28</f>
        <v>0</v>
      </c>
      <c r="BD200" s="228">
        <f>SUMIF(GEN!$G$120:$M$120,"&gt;0",GEN!$X28:$AD28)</f>
        <v>0</v>
      </c>
      <c r="BE200" s="696"/>
      <c r="BF200" s="228">
        <f>SUMIF(GEN!$BA$6:$BG$6,BF$177,GEN!$BA28:$BG28)</f>
        <v>0</v>
      </c>
      <c r="BG200" s="229">
        <f>SUMIF(GEN!$BA$6:$BG$6,BG$177,GEN!$BA28:$BG28)</f>
        <v>0</v>
      </c>
      <c r="BH200" s="229">
        <f>SUMIF(GEN!$BA$6:$BG$6,BH$177,GEN!$BA28:$BG28)</f>
        <v>0</v>
      </c>
      <c r="BI200" s="229">
        <f>SUMIF(GEN!$BA$6:$BG$6,BI$177,GEN!$BA28:$BG28)</f>
        <v>0</v>
      </c>
      <c r="BJ200" s="229">
        <f>SUMIF(GEN!$BA$6:$BG$6,BJ$177,GEN!$BA28:$BG28)</f>
        <v>0</v>
      </c>
      <c r="BK200" s="229">
        <f>SUMIF(GEN!$BA$6:$BG$6,BK$177,GEN!$BA28:$BG28)</f>
        <v>0</v>
      </c>
      <c r="BL200" s="229">
        <f>SUMIF(GEN!$BA$6:$BG$6,BL$177,GEN!$BA28:$BG28)</f>
        <v>0</v>
      </c>
      <c r="BM200" s="229">
        <f>SUMIF(GEN!$BA$6:$BG$6,BM$177,GEN!$BA28:$BG28)</f>
        <v>0</v>
      </c>
      <c r="BN200" s="229">
        <f>SUMIF(GEN!$BA$6:$BG$6,BN$177,GEN!$BA28:$BG28)</f>
        <v>0</v>
      </c>
      <c r="BO200" s="231">
        <f>SUMIF(GEN!$BA$6:$BG$6,BO$177,GEN!$BA28:$BG28)</f>
        <v>0</v>
      </c>
      <c r="BP200" s="231">
        <f>SUMIF(GEN!$BA$6:$BG$6,BP$177,GEN!$BA28:$BG28)</f>
        <v>0</v>
      </c>
      <c r="BQ200" s="252"/>
      <c r="BR200" s="228">
        <f>SUMIF(GEN!$BA$5:$BG$5,BR$177,GEN!$BA28:$BG28)</f>
        <v>0</v>
      </c>
      <c r="BS200" s="229">
        <f>SUMIF(GEN!$BA$5:$BG$5,BS$177,GEN!$BA28:$BG28)</f>
        <v>0</v>
      </c>
      <c r="BT200" s="229">
        <f>SUMIF(GEN!$BA$5:$BG$5,BT$177,GEN!$BA28:$BG28)</f>
        <v>0</v>
      </c>
      <c r="BU200" s="229">
        <f>SUMIF(GEN!$BA$5:$BG$5,BU$177,GEN!$BA28:$BG28)</f>
        <v>0</v>
      </c>
      <c r="BV200" s="229">
        <f>SUMIF(GEN!$BA$5:$BG$5,BV$177,GEN!$BA28:$BG28)</f>
        <v>0</v>
      </c>
      <c r="BW200" s="229">
        <f>SUMIF(GEN!$BA$5:$BG$5,BW$177,GEN!$BA28:$BG28)</f>
        <v>0</v>
      </c>
      <c r="BX200" s="230">
        <f>SUMIF(GEN!$BA$5:$BG$5,BX$177,GEN!$BA28:$BG28)</f>
        <v>0</v>
      </c>
      <c r="BY200" s="998">
        <f>SUMIF(GEN!$BA$5:$BG$5,BY$177,GEN!$BA28:$BG28)</f>
        <v>0</v>
      </c>
      <c r="CB200" s="252"/>
      <c r="CC200" s="61" t="e">
        <f t="shared" si="30"/>
        <v>#N/A</v>
      </c>
      <c r="CD200" s="61">
        <f t="shared" si="31"/>
        <v>0</v>
      </c>
      <c r="CE200" s="105" t="str">
        <f t="shared" si="32"/>
        <v/>
      </c>
      <c r="CF200" s="61" t="e">
        <f t="shared" si="33"/>
        <v>#N/A</v>
      </c>
      <c r="CG200" s="61" t="e">
        <f t="shared" si="34"/>
        <v>#N/A</v>
      </c>
      <c r="CH200" s="521">
        <f>GEN!AL28-CW200+CR200</f>
        <v>0</v>
      </c>
      <c r="CI200" s="228">
        <f>SUMIF(GEN!$G$121:$M$121,CI$178,GEN!$AM28:$AS28)+SUMIF($CS$178:$CV$178,CI$178,$CS200:$CV200)</f>
        <v>0</v>
      </c>
      <c r="CJ200" s="229">
        <f>SUMIF(GEN!$G$121:$M$121,CJ$178,GEN!$AM28:$AS28)+SUMIF($CS$178:$CV$178,CJ$178,$CS200:$CV200)</f>
        <v>0</v>
      </c>
      <c r="CK200" s="230">
        <f>SUMIF(GEN!$G$121:$M$121,CK$178,GEN!$AM28:$AS28)+SUMIF($CS$178:$CV$178,CK$178,$CS200:$CV200)</f>
        <v>0</v>
      </c>
      <c r="CL200" s="230">
        <f>SUMIF(GEN!$G$121:$M$121,CL$178,GEN!$AM28:$AS28)+SUMIF($CS$178:$CV$178,CL$178,$CS200:$CV200)</f>
        <v>0</v>
      </c>
      <c r="CM200" s="230">
        <f>SUMIF(GEN!$G$121:$M$121,CM$178,GEN!$AM28:$AS28)+SUMIF($CS$178:$CV$178,CM$178,$CS200:$CV200)</f>
        <v>0</v>
      </c>
      <c r="CN200" s="230">
        <f>SUMIF(GEN!$G$121:$M$121,CN$178,GEN!$AM28:$AS28)+SUMIF($CS$178:$CV$178,CN$178,$CS200:$CV200)</f>
        <v>0</v>
      </c>
      <c r="CO200" s="230">
        <f>SUMIF(GEN!$G$121:$M$121,CO$178,GEN!$AM28:$AS28)+SUMIF($CS$178:$CV$178,CO$178,$CS200:$CV200)</f>
        <v>0</v>
      </c>
      <c r="CP200" s="230">
        <f>SUMIF(GEN!$G$121:$M$121,CP$178,GEN!$AM28:$AS28)+SUMIF($CS$178:$CV$178,CP$178,$CS200:$CV200)</f>
        <v>0</v>
      </c>
      <c r="CQ200" s="231">
        <f>SUMIF(GEN!$G$121:$M$121,CQ$178,GEN!$AM28:$AS28)+SUMIF($CS$178:$CV$178,CQ$178,$CS200:$CV200)</f>
        <v>0</v>
      </c>
      <c r="CR200" s="521">
        <f>GEN!AU28</f>
        <v>0</v>
      </c>
      <c r="CS200" s="228">
        <f>GEN!AV28</f>
        <v>0</v>
      </c>
      <c r="CT200" s="229">
        <f>GEN!AW28</f>
        <v>0</v>
      </c>
      <c r="CU200" s="230">
        <f>GEN!AX28</f>
        <v>0</v>
      </c>
      <c r="CV200" s="231">
        <f>GEN!AY28</f>
        <v>0</v>
      </c>
      <c r="CW200" s="521">
        <f>SUM(GEN!AU28:AY28)</f>
        <v>0</v>
      </c>
      <c r="CX200" s="521">
        <f>GEN!AK28</f>
        <v>0</v>
      </c>
      <c r="CY200" s="2"/>
    </row>
    <row r="201" spans="1:103" ht="14.25" hidden="1" customHeight="1" x14ac:dyDescent="0.2">
      <c r="A201" s="2"/>
      <c r="B201" s="105">
        <f t="shared" si="35"/>
        <v>45313</v>
      </c>
      <c r="C201" s="146">
        <f>IF(AND(E201&gt;(E$557-1),E201&lt;(I$557+1)),W$551,IF(ISERROR(HLOOKUP(E201,$E$550:$L$550,1,FALSE)),HLOOKUP(WEEKDAY(E201,2),IMPOSTAZIONI!$C$52:$P$57,6,FALSE),$W$550))</f>
        <v>0</v>
      </c>
      <c r="D201" s="71" t="str">
        <f t="shared" si="36"/>
        <v/>
      </c>
      <c r="E201" s="2258">
        <f t="shared" si="42"/>
        <v>45313</v>
      </c>
      <c r="F201" s="2259"/>
      <c r="G201" s="2228">
        <f>GEN!E29</f>
        <v>0</v>
      </c>
      <c r="H201" s="2229"/>
      <c r="I201" s="2230"/>
      <c r="J201" s="262" t="str">
        <f t="shared" si="25"/>
        <v/>
      </c>
      <c r="K201" s="263"/>
      <c r="L201" s="2222">
        <f t="shared" si="43"/>
        <v>4</v>
      </c>
      <c r="M201" s="2223"/>
      <c r="N201" s="261"/>
      <c r="O201" s="261"/>
      <c r="P201" s="261"/>
      <c r="Q201" s="2219">
        <f t="shared" si="38"/>
        <v>45313</v>
      </c>
      <c r="R201" s="2219"/>
      <c r="S201" s="261"/>
      <c r="T201" s="1173">
        <f t="shared" si="26"/>
        <v>0</v>
      </c>
      <c r="U201" s="261"/>
      <c r="V201" s="261"/>
      <c r="W201" s="261"/>
      <c r="X201" s="261"/>
      <c r="Y201" s="261"/>
      <c r="Z201" s="261"/>
      <c r="AA201" s="261"/>
      <c r="AB201" s="261"/>
      <c r="AC201" s="261"/>
      <c r="AD201" s="261"/>
      <c r="AE201" s="261"/>
      <c r="AF201" s="261"/>
      <c r="AG201" s="1173">
        <f t="shared" si="39"/>
        <v>0</v>
      </c>
      <c r="AH201" s="61" t="str">
        <f t="shared" si="40"/>
        <v/>
      </c>
      <c r="AI201" s="89" t="e">
        <f t="shared" si="41"/>
        <v>#N/A</v>
      </c>
      <c r="AJ201" s="2"/>
      <c r="AK201" s="61">
        <f>IF(G201=G$547,0,IF(OR(G201&lt;&gt;0,CH201&lt;&gt;0,C201="L"),COUNTIF(AK$180:AK200,"&gt;0")+1,0))</f>
        <v>0</v>
      </c>
      <c r="AL201" s="61" t="str">
        <f t="shared" si="27"/>
        <v/>
      </c>
      <c r="AM201" s="61" t="e">
        <f t="shared" si="28"/>
        <v>#N/A</v>
      </c>
      <c r="AN201" s="89" t="e">
        <f t="shared" si="29"/>
        <v>#N/A</v>
      </c>
      <c r="AO201" s="230">
        <f>SUM(GEN!X29:AD29)-BD201+AY201</f>
        <v>0</v>
      </c>
      <c r="AP201" s="228">
        <f>SUMIF(GEN!$G$121:$M$121,AP$178,GEN!$P29:$V29)+SUMIF($AZ$178:$BC$178,AP$178,$AZ201:$BC201)</f>
        <v>0</v>
      </c>
      <c r="AQ201" s="229">
        <f>SUMIF(GEN!$G$121:$M$121,AQ$178,GEN!$P29:$V29)+SUMIF($AZ$178:$BC$178,AQ$178,$AZ201:$BC201)</f>
        <v>0</v>
      </c>
      <c r="AR201" s="230">
        <f>SUMIF(GEN!$G$121:$M$121,AR$178,GEN!$P29:$V29)+SUMIF($AZ$178:$BC$178,AR$178,$AZ201:$BC201)</f>
        <v>0</v>
      </c>
      <c r="AS201" s="230">
        <f>SUMIF(GEN!$G$121:$M$121,AS$178,GEN!$P29:$V29)+SUMIF($AZ$178:$BC$178,AS$178,$AZ201:$BC201)</f>
        <v>0</v>
      </c>
      <c r="AT201" s="230">
        <f>SUMIF(GEN!$G$121:$M$121,AT$178,GEN!$P29:$V29)+SUMIF($AZ$178:$BC$178,AT$178,$AZ201:$BC201)</f>
        <v>0</v>
      </c>
      <c r="AU201" s="230">
        <f>SUMIF(GEN!$G$121:$M$121,AU$178,GEN!$P29:$V29)+SUMIF($AZ$178:$BC$178,AU$178,$AZ201:$BC201)</f>
        <v>0</v>
      </c>
      <c r="AV201" s="230">
        <f>SUMIF(GEN!$G$121:$M$121,AV$178,GEN!$P29:$V29)+SUMIF($AZ$178:$BC$178,AV$178,$AZ201:$BC201)</f>
        <v>0</v>
      </c>
      <c r="AW201" s="230">
        <f>SUMIF(GEN!$G$121:$M$121,AW$178,GEN!$P29:$V29)+SUMIF($AZ$178:$BC$178,AW$178,$AZ201:$BC201)</f>
        <v>0</v>
      </c>
      <c r="AX201" s="231">
        <f>SUMIF(GEN!$G$121:$M$121,AX$178,GEN!$P29:$V29)+SUMIF($AZ$178:$BC$178,AX$178,$AZ201:$BC201)</f>
        <v>0</v>
      </c>
      <c r="AY201" s="232">
        <f>GEN!AF29</f>
        <v>0</v>
      </c>
      <c r="AZ201" s="228">
        <f>GEN!AG29</f>
        <v>0</v>
      </c>
      <c r="BA201" s="229">
        <f>GEN!AH29</f>
        <v>0</v>
      </c>
      <c r="BB201" s="230">
        <f>GEN!AI29</f>
        <v>0</v>
      </c>
      <c r="BC201" s="231">
        <f>GEN!AJ29</f>
        <v>0</v>
      </c>
      <c r="BD201" s="228">
        <f>SUMIF(GEN!$G$120:$M$120,"&gt;0",GEN!$X29:$AD29)</f>
        <v>0</v>
      </c>
      <c r="BE201" s="696"/>
      <c r="BF201" s="228">
        <f>SUMIF(GEN!$BA$6:$BG$6,BF$177,GEN!$BA29:$BG29)</f>
        <v>0</v>
      </c>
      <c r="BG201" s="229">
        <f>SUMIF(GEN!$BA$6:$BG$6,BG$177,GEN!$BA29:$BG29)</f>
        <v>0</v>
      </c>
      <c r="BH201" s="229">
        <f>SUMIF(GEN!$BA$6:$BG$6,BH$177,GEN!$BA29:$BG29)</f>
        <v>0</v>
      </c>
      <c r="BI201" s="229">
        <f>SUMIF(GEN!$BA$6:$BG$6,BI$177,GEN!$BA29:$BG29)</f>
        <v>0</v>
      </c>
      <c r="BJ201" s="229">
        <f>SUMIF(GEN!$BA$6:$BG$6,BJ$177,GEN!$BA29:$BG29)</f>
        <v>0</v>
      </c>
      <c r="BK201" s="229">
        <f>SUMIF(GEN!$BA$6:$BG$6,BK$177,GEN!$BA29:$BG29)</f>
        <v>0</v>
      </c>
      <c r="BL201" s="229">
        <f>SUMIF(GEN!$BA$6:$BG$6,BL$177,GEN!$BA29:$BG29)</f>
        <v>0</v>
      </c>
      <c r="BM201" s="229">
        <f>SUMIF(GEN!$BA$6:$BG$6,BM$177,GEN!$BA29:$BG29)</f>
        <v>0</v>
      </c>
      <c r="BN201" s="229">
        <f>SUMIF(GEN!$BA$6:$BG$6,BN$177,GEN!$BA29:$BG29)</f>
        <v>0</v>
      </c>
      <c r="BO201" s="231">
        <f>SUMIF(GEN!$BA$6:$BG$6,BO$177,GEN!$BA29:$BG29)</f>
        <v>0</v>
      </c>
      <c r="BP201" s="231">
        <f>SUMIF(GEN!$BA$6:$BG$6,BP$177,GEN!$BA29:$BG29)</f>
        <v>0</v>
      </c>
      <c r="BQ201" s="252"/>
      <c r="BR201" s="228">
        <f>SUMIF(GEN!$BA$5:$BG$5,BR$177,GEN!$BA29:$BG29)</f>
        <v>0</v>
      </c>
      <c r="BS201" s="229">
        <f>SUMIF(GEN!$BA$5:$BG$5,BS$177,GEN!$BA29:$BG29)</f>
        <v>0</v>
      </c>
      <c r="BT201" s="229">
        <f>SUMIF(GEN!$BA$5:$BG$5,BT$177,GEN!$BA29:$BG29)</f>
        <v>0</v>
      </c>
      <c r="BU201" s="229">
        <f>SUMIF(GEN!$BA$5:$BG$5,BU$177,GEN!$BA29:$BG29)</f>
        <v>0</v>
      </c>
      <c r="BV201" s="229">
        <f>SUMIF(GEN!$BA$5:$BG$5,BV$177,GEN!$BA29:$BG29)</f>
        <v>0</v>
      </c>
      <c r="BW201" s="229">
        <f>SUMIF(GEN!$BA$5:$BG$5,BW$177,GEN!$BA29:$BG29)</f>
        <v>0</v>
      </c>
      <c r="BX201" s="230">
        <f>SUMIF(GEN!$BA$5:$BG$5,BX$177,GEN!$BA29:$BG29)</f>
        <v>0</v>
      </c>
      <c r="BY201" s="998">
        <f>SUMIF(GEN!$BA$5:$BG$5,BY$177,GEN!$BA29:$BG29)</f>
        <v>0</v>
      </c>
      <c r="CB201" s="252"/>
      <c r="CC201" s="61" t="e">
        <f t="shared" si="30"/>
        <v>#N/A</v>
      </c>
      <c r="CD201" s="61">
        <f t="shared" si="31"/>
        <v>0</v>
      </c>
      <c r="CE201" s="105" t="str">
        <f t="shared" si="32"/>
        <v/>
      </c>
      <c r="CF201" s="61" t="e">
        <f t="shared" si="33"/>
        <v>#N/A</v>
      </c>
      <c r="CG201" s="61" t="e">
        <f t="shared" si="34"/>
        <v>#N/A</v>
      </c>
      <c r="CH201" s="521">
        <f>GEN!AL29-CW201+CR201</f>
        <v>0</v>
      </c>
      <c r="CI201" s="228">
        <f>SUMIF(GEN!$G$121:$M$121,CI$178,GEN!$AM29:$AS29)+SUMIF($CS$178:$CV$178,CI$178,$CS201:$CV201)</f>
        <v>0</v>
      </c>
      <c r="CJ201" s="229">
        <f>SUMIF(GEN!$G$121:$M$121,CJ$178,GEN!$AM29:$AS29)+SUMIF($CS$178:$CV$178,CJ$178,$CS201:$CV201)</f>
        <v>0</v>
      </c>
      <c r="CK201" s="230">
        <f>SUMIF(GEN!$G$121:$M$121,CK$178,GEN!$AM29:$AS29)+SUMIF($CS$178:$CV$178,CK$178,$CS201:$CV201)</f>
        <v>0</v>
      </c>
      <c r="CL201" s="230">
        <f>SUMIF(GEN!$G$121:$M$121,CL$178,GEN!$AM29:$AS29)+SUMIF($CS$178:$CV$178,CL$178,$CS201:$CV201)</f>
        <v>0</v>
      </c>
      <c r="CM201" s="230">
        <f>SUMIF(GEN!$G$121:$M$121,CM$178,GEN!$AM29:$AS29)+SUMIF($CS$178:$CV$178,CM$178,$CS201:$CV201)</f>
        <v>0</v>
      </c>
      <c r="CN201" s="230">
        <f>SUMIF(GEN!$G$121:$M$121,CN$178,GEN!$AM29:$AS29)+SUMIF($CS$178:$CV$178,CN$178,$CS201:$CV201)</f>
        <v>0</v>
      </c>
      <c r="CO201" s="230">
        <f>SUMIF(GEN!$G$121:$M$121,CO$178,GEN!$AM29:$AS29)+SUMIF($CS$178:$CV$178,CO$178,$CS201:$CV201)</f>
        <v>0</v>
      </c>
      <c r="CP201" s="230">
        <f>SUMIF(GEN!$G$121:$M$121,CP$178,GEN!$AM29:$AS29)+SUMIF($CS$178:$CV$178,CP$178,$CS201:$CV201)</f>
        <v>0</v>
      </c>
      <c r="CQ201" s="231">
        <f>SUMIF(GEN!$G$121:$M$121,CQ$178,GEN!$AM29:$AS29)+SUMIF($CS$178:$CV$178,CQ$178,$CS201:$CV201)</f>
        <v>0</v>
      </c>
      <c r="CR201" s="521">
        <f>GEN!AU29</f>
        <v>0</v>
      </c>
      <c r="CS201" s="228">
        <f>GEN!AV29</f>
        <v>0</v>
      </c>
      <c r="CT201" s="229">
        <f>GEN!AW29</f>
        <v>0</v>
      </c>
      <c r="CU201" s="230">
        <f>GEN!AX29</f>
        <v>0</v>
      </c>
      <c r="CV201" s="231">
        <f>GEN!AY29</f>
        <v>0</v>
      </c>
      <c r="CW201" s="521">
        <f>SUM(GEN!AU29:AY29)</f>
        <v>0</v>
      </c>
      <c r="CX201" s="521">
        <f>GEN!AK29</f>
        <v>0</v>
      </c>
      <c r="CY201" s="2"/>
    </row>
    <row r="202" spans="1:103" ht="14.25" hidden="1" customHeight="1" x14ac:dyDescent="0.2">
      <c r="A202" s="2"/>
      <c r="B202" s="105">
        <f t="shared" si="35"/>
        <v>45314</v>
      </c>
      <c r="C202" s="146">
        <f>IF(AND(E202&gt;(E$557-1),E202&lt;(I$557+1)),W$551,IF(ISERROR(HLOOKUP(E202,$E$550:$L$550,1,FALSE)),HLOOKUP(WEEKDAY(E202,2),IMPOSTAZIONI!$C$52:$P$57,6,FALSE),$W$550))</f>
        <v>0</v>
      </c>
      <c r="D202" s="71" t="str">
        <f t="shared" si="36"/>
        <v/>
      </c>
      <c r="E202" s="2258">
        <f t="shared" si="42"/>
        <v>45314</v>
      </c>
      <c r="F202" s="2259"/>
      <c r="G202" s="2228">
        <f>GEN!E30</f>
        <v>0</v>
      </c>
      <c r="H202" s="2229"/>
      <c r="I202" s="2230"/>
      <c r="J202" s="262" t="str">
        <f t="shared" si="25"/>
        <v/>
      </c>
      <c r="K202" s="263"/>
      <c r="L202" s="2217">
        <f t="shared" si="43"/>
        <v>4</v>
      </c>
      <c r="M202" s="2218"/>
      <c r="N202" s="261"/>
      <c r="O202" s="261"/>
      <c r="P202" s="261"/>
      <c r="Q202" s="2219">
        <f t="shared" si="38"/>
        <v>45314</v>
      </c>
      <c r="R202" s="2219"/>
      <c r="S202" s="261"/>
      <c r="T202" s="1173">
        <f t="shared" si="26"/>
        <v>0</v>
      </c>
      <c r="U202" s="261"/>
      <c r="V202" s="261"/>
      <c r="W202" s="261"/>
      <c r="X202" s="261"/>
      <c r="Y202" s="261"/>
      <c r="Z202" s="261"/>
      <c r="AA202" s="261"/>
      <c r="AB202" s="261"/>
      <c r="AC202" s="261"/>
      <c r="AD202" s="261"/>
      <c r="AE202" s="261"/>
      <c r="AF202" s="261"/>
      <c r="AG202" s="1173">
        <f t="shared" si="39"/>
        <v>0</v>
      </c>
      <c r="AH202" s="61" t="str">
        <f t="shared" si="40"/>
        <v/>
      </c>
      <c r="AI202" s="89" t="e">
        <f t="shared" si="41"/>
        <v>#N/A</v>
      </c>
      <c r="AJ202" s="2"/>
      <c r="AK202" s="61">
        <f>IF(G202=G$547,0,IF(OR(G202&lt;&gt;0,CH202&lt;&gt;0,C202="L"),COUNTIF(AK$180:AK201,"&gt;0")+1,0))</f>
        <v>0</v>
      </c>
      <c r="AL202" s="61" t="str">
        <f t="shared" si="27"/>
        <v/>
      </c>
      <c r="AM202" s="61" t="e">
        <f t="shared" si="28"/>
        <v>#N/A</v>
      </c>
      <c r="AN202" s="89" t="e">
        <f t="shared" si="29"/>
        <v>#N/A</v>
      </c>
      <c r="AO202" s="230">
        <f>SUM(GEN!X30:AD30)-BD202+AY202</f>
        <v>0</v>
      </c>
      <c r="AP202" s="228">
        <f>SUMIF(GEN!$G$121:$M$121,AP$178,GEN!$P30:$V30)+SUMIF($AZ$178:$BC$178,AP$178,$AZ202:$BC202)</f>
        <v>0</v>
      </c>
      <c r="AQ202" s="229">
        <f>SUMIF(GEN!$G$121:$M$121,AQ$178,GEN!$P30:$V30)+SUMIF($AZ$178:$BC$178,AQ$178,$AZ202:$BC202)</f>
        <v>0</v>
      </c>
      <c r="AR202" s="230">
        <f>SUMIF(GEN!$G$121:$M$121,AR$178,GEN!$P30:$V30)+SUMIF($AZ$178:$BC$178,AR$178,$AZ202:$BC202)</f>
        <v>0</v>
      </c>
      <c r="AS202" s="230">
        <f>SUMIF(GEN!$G$121:$M$121,AS$178,GEN!$P30:$V30)+SUMIF($AZ$178:$BC$178,AS$178,$AZ202:$BC202)</f>
        <v>0</v>
      </c>
      <c r="AT202" s="230">
        <f>SUMIF(GEN!$G$121:$M$121,AT$178,GEN!$P30:$V30)+SUMIF($AZ$178:$BC$178,AT$178,$AZ202:$BC202)</f>
        <v>0</v>
      </c>
      <c r="AU202" s="230">
        <f>SUMIF(GEN!$G$121:$M$121,AU$178,GEN!$P30:$V30)+SUMIF($AZ$178:$BC$178,AU$178,$AZ202:$BC202)</f>
        <v>0</v>
      </c>
      <c r="AV202" s="230">
        <f>SUMIF(GEN!$G$121:$M$121,AV$178,GEN!$P30:$V30)+SUMIF($AZ$178:$BC$178,AV$178,$AZ202:$BC202)</f>
        <v>0</v>
      </c>
      <c r="AW202" s="230">
        <f>SUMIF(GEN!$G$121:$M$121,AW$178,GEN!$P30:$V30)+SUMIF($AZ$178:$BC$178,AW$178,$AZ202:$BC202)</f>
        <v>0</v>
      </c>
      <c r="AX202" s="231">
        <f>SUMIF(GEN!$G$121:$M$121,AX$178,GEN!$P30:$V30)+SUMIF($AZ$178:$BC$178,AX$178,$AZ202:$BC202)</f>
        <v>0</v>
      </c>
      <c r="AY202" s="232">
        <f>GEN!AF30</f>
        <v>0</v>
      </c>
      <c r="AZ202" s="228">
        <f>GEN!AG30</f>
        <v>0</v>
      </c>
      <c r="BA202" s="229">
        <f>GEN!AH30</f>
        <v>0</v>
      </c>
      <c r="BB202" s="230">
        <f>GEN!AI30</f>
        <v>0</v>
      </c>
      <c r="BC202" s="231">
        <f>GEN!AJ30</f>
        <v>0</v>
      </c>
      <c r="BD202" s="228">
        <f>SUMIF(GEN!$G$120:$M$120,"&gt;0",GEN!$X30:$AD30)</f>
        <v>0</v>
      </c>
      <c r="BE202" s="696"/>
      <c r="BF202" s="228">
        <f>SUMIF(GEN!$BA$6:$BG$6,BF$177,GEN!$BA30:$BG30)</f>
        <v>0</v>
      </c>
      <c r="BG202" s="229">
        <f>SUMIF(GEN!$BA$6:$BG$6,BG$177,GEN!$BA30:$BG30)</f>
        <v>0</v>
      </c>
      <c r="BH202" s="229">
        <f>SUMIF(GEN!$BA$6:$BG$6,BH$177,GEN!$BA30:$BG30)</f>
        <v>0</v>
      </c>
      <c r="BI202" s="229">
        <f>SUMIF(GEN!$BA$6:$BG$6,BI$177,GEN!$BA30:$BG30)</f>
        <v>0</v>
      </c>
      <c r="BJ202" s="229">
        <f>SUMIF(GEN!$BA$6:$BG$6,BJ$177,GEN!$BA30:$BG30)</f>
        <v>0</v>
      </c>
      <c r="BK202" s="229">
        <f>SUMIF(GEN!$BA$6:$BG$6,BK$177,GEN!$BA30:$BG30)</f>
        <v>0</v>
      </c>
      <c r="BL202" s="229">
        <f>SUMIF(GEN!$BA$6:$BG$6,BL$177,GEN!$BA30:$BG30)</f>
        <v>0</v>
      </c>
      <c r="BM202" s="229">
        <f>SUMIF(GEN!$BA$6:$BG$6,BM$177,GEN!$BA30:$BG30)</f>
        <v>0</v>
      </c>
      <c r="BN202" s="229">
        <f>SUMIF(GEN!$BA$6:$BG$6,BN$177,GEN!$BA30:$BG30)</f>
        <v>0</v>
      </c>
      <c r="BO202" s="231">
        <f>SUMIF(GEN!$BA$6:$BG$6,BO$177,GEN!$BA30:$BG30)</f>
        <v>0</v>
      </c>
      <c r="BP202" s="231">
        <f>SUMIF(GEN!$BA$6:$BG$6,BP$177,GEN!$BA30:$BG30)</f>
        <v>0</v>
      </c>
      <c r="BQ202" s="252"/>
      <c r="BR202" s="228">
        <f>SUMIF(GEN!$BA$5:$BG$5,BR$177,GEN!$BA30:$BG30)</f>
        <v>0</v>
      </c>
      <c r="BS202" s="229">
        <f>SUMIF(GEN!$BA$5:$BG$5,BS$177,GEN!$BA30:$BG30)</f>
        <v>0</v>
      </c>
      <c r="BT202" s="229">
        <f>SUMIF(GEN!$BA$5:$BG$5,BT$177,GEN!$BA30:$BG30)</f>
        <v>0</v>
      </c>
      <c r="BU202" s="229">
        <f>SUMIF(GEN!$BA$5:$BG$5,BU$177,GEN!$BA30:$BG30)</f>
        <v>0</v>
      </c>
      <c r="BV202" s="229">
        <f>SUMIF(GEN!$BA$5:$BG$5,BV$177,GEN!$BA30:$BG30)</f>
        <v>0</v>
      </c>
      <c r="BW202" s="229">
        <f>SUMIF(GEN!$BA$5:$BG$5,BW$177,GEN!$BA30:$BG30)</f>
        <v>0</v>
      </c>
      <c r="BX202" s="230">
        <f>SUMIF(GEN!$BA$5:$BG$5,BX$177,GEN!$BA30:$BG30)</f>
        <v>0</v>
      </c>
      <c r="BY202" s="998">
        <f>SUMIF(GEN!$BA$5:$BG$5,BY$177,GEN!$BA30:$BG30)</f>
        <v>0</v>
      </c>
      <c r="CB202" s="252"/>
      <c r="CC202" s="61" t="e">
        <f t="shared" si="30"/>
        <v>#N/A</v>
      </c>
      <c r="CD202" s="61">
        <f t="shared" si="31"/>
        <v>0</v>
      </c>
      <c r="CE202" s="105" t="str">
        <f t="shared" si="32"/>
        <v/>
      </c>
      <c r="CF202" s="61" t="e">
        <f t="shared" si="33"/>
        <v>#N/A</v>
      </c>
      <c r="CG202" s="61" t="e">
        <f t="shared" si="34"/>
        <v>#N/A</v>
      </c>
      <c r="CH202" s="521">
        <f>GEN!AL30-CW202+CR202</f>
        <v>0</v>
      </c>
      <c r="CI202" s="228">
        <f>SUMIF(GEN!$G$121:$M$121,CI$178,GEN!$AM30:$AS30)+SUMIF($CS$178:$CV$178,CI$178,$CS202:$CV202)</f>
        <v>0</v>
      </c>
      <c r="CJ202" s="229">
        <f>SUMIF(GEN!$G$121:$M$121,CJ$178,GEN!$AM30:$AS30)+SUMIF($CS$178:$CV$178,CJ$178,$CS202:$CV202)</f>
        <v>0</v>
      </c>
      <c r="CK202" s="230">
        <f>SUMIF(GEN!$G$121:$M$121,CK$178,GEN!$AM30:$AS30)+SUMIF($CS$178:$CV$178,CK$178,$CS202:$CV202)</f>
        <v>0</v>
      </c>
      <c r="CL202" s="230">
        <f>SUMIF(GEN!$G$121:$M$121,CL$178,GEN!$AM30:$AS30)+SUMIF($CS$178:$CV$178,CL$178,$CS202:$CV202)</f>
        <v>0</v>
      </c>
      <c r="CM202" s="230">
        <f>SUMIF(GEN!$G$121:$M$121,CM$178,GEN!$AM30:$AS30)+SUMIF($CS$178:$CV$178,CM$178,$CS202:$CV202)</f>
        <v>0</v>
      </c>
      <c r="CN202" s="230">
        <f>SUMIF(GEN!$G$121:$M$121,CN$178,GEN!$AM30:$AS30)+SUMIF($CS$178:$CV$178,CN$178,$CS202:$CV202)</f>
        <v>0</v>
      </c>
      <c r="CO202" s="230">
        <f>SUMIF(GEN!$G$121:$M$121,CO$178,GEN!$AM30:$AS30)+SUMIF($CS$178:$CV$178,CO$178,$CS202:$CV202)</f>
        <v>0</v>
      </c>
      <c r="CP202" s="230">
        <f>SUMIF(GEN!$G$121:$M$121,CP$178,GEN!$AM30:$AS30)+SUMIF($CS$178:$CV$178,CP$178,$CS202:$CV202)</f>
        <v>0</v>
      </c>
      <c r="CQ202" s="231">
        <f>SUMIF(GEN!$G$121:$M$121,CQ$178,GEN!$AM30:$AS30)+SUMIF($CS$178:$CV$178,CQ$178,$CS202:$CV202)</f>
        <v>0</v>
      </c>
      <c r="CR202" s="521">
        <f>GEN!AU30</f>
        <v>0</v>
      </c>
      <c r="CS202" s="228">
        <f>GEN!AV30</f>
        <v>0</v>
      </c>
      <c r="CT202" s="229">
        <f>GEN!AW30</f>
        <v>0</v>
      </c>
      <c r="CU202" s="230">
        <f>GEN!AX30</f>
        <v>0</v>
      </c>
      <c r="CV202" s="231">
        <f>GEN!AY30</f>
        <v>0</v>
      </c>
      <c r="CW202" s="521">
        <f>SUM(GEN!AU30:AY30)</f>
        <v>0</v>
      </c>
      <c r="CX202" s="521">
        <f>GEN!AK30</f>
        <v>0</v>
      </c>
      <c r="CY202" s="2"/>
    </row>
    <row r="203" spans="1:103" ht="14.25" hidden="1" customHeight="1" x14ac:dyDescent="0.2">
      <c r="A203" s="2"/>
      <c r="B203" s="105">
        <f t="shared" si="35"/>
        <v>45315</v>
      </c>
      <c r="C203" s="146">
        <f>IF(AND(E203&gt;(E$557-1),E203&lt;(I$557+1)),W$551,IF(ISERROR(HLOOKUP(E203,$E$550:$L$550,1,FALSE)),HLOOKUP(WEEKDAY(E203,2),IMPOSTAZIONI!$C$52:$P$57,6,FALSE),$W$550))</f>
        <v>0</v>
      </c>
      <c r="D203" s="71" t="str">
        <f t="shared" si="36"/>
        <v/>
      </c>
      <c r="E203" s="2258">
        <f t="shared" si="42"/>
        <v>45315</v>
      </c>
      <c r="F203" s="2259"/>
      <c r="G203" s="2228">
        <f>GEN!E31</f>
        <v>0</v>
      </c>
      <c r="H203" s="2229"/>
      <c r="I203" s="2230"/>
      <c r="J203" s="262" t="str">
        <f t="shared" si="25"/>
        <v/>
      </c>
      <c r="K203" s="263"/>
      <c r="L203" s="2217">
        <f t="shared" si="43"/>
        <v>4</v>
      </c>
      <c r="M203" s="2218"/>
      <c r="N203" s="261"/>
      <c r="O203" s="261"/>
      <c r="P203" s="261"/>
      <c r="Q203" s="2219">
        <f t="shared" si="38"/>
        <v>45315</v>
      </c>
      <c r="R203" s="2219"/>
      <c r="S203" s="261"/>
      <c r="T203" s="1173">
        <f t="shared" si="26"/>
        <v>0</v>
      </c>
      <c r="U203" s="261"/>
      <c r="V203" s="261"/>
      <c r="W203" s="261"/>
      <c r="X203" s="261"/>
      <c r="Y203" s="261"/>
      <c r="Z203" s="261"/>
      <c r="AA203" s="261"/>
      <c r="AB203" s="261"/>
      <c r="AC203" s="261"/>
      <c r="AD203" s="261"/>
      <c r="AE203" s="261"/>
      <c r="AF203" s="261"/>
      <c r="AG203" s="1173">
        <f t="shared" si="39"/>
        <v>0</v>
      </c>
      <c r="AH203" s="61" t="str">
        <f t="shared" si="40"/>
        <v/>
      </c>
      <c r="AI203" s="89" t="e">
        <f t="shared" si="41"/>
        <v>#N/A</v>
      </c>
      <c r="AJ203" s="2"/>
      <c r="AK203" s="61">
        <f>IF(G203=G$547,0,IF(OR(G203&lt;&gt;0,CH203&lt;&gt;0,C203="L"),COUNTIF(AK$180:AK202,"&gt;0")+1,0))</f>
        <v>0</v>
      </c>
      <c r="AL203" s="61" t="str">
        <f t="shared" si="27"/>
        <v/>
      </c>
      <c r="AM203" s="61" t="e">
        <f t="shared" si="28"/>
        <v>#N/A</v>
      </c>
      <c r="AN203" s="89" t="e">
        <f t="shared" si="29"/>
        <v>#N/A</v>
      </c>
      <c r="AO203" s="230">
        <f>SUM(GEN!X31:AD31)-BD203+AY203</f>
        <v>0</v>
      </c>
      <c r="AP203" s="228">
        <f>SUMIF(GEN!$G$121:$M$121,AP$178,GEN!$P31:$V31)+SUMIF($AZ$178:$BC$178,AP$178,$AZ203:$BC203)</f>
        <v>0</v>
      </c>
      <c r="AQ203" s="229">
        <f>SUMIF(GEN!$G$121:$M$121,AQ$178,GEN!$P31:$V31)+SUMIF($AZ$178:$BC$178,AQ$178,$AZ203:$BC203)</f>
        <v>0</v>
      </c>
      <c r="AR203" s="230">
        <f>SUMIF(GEN!$G$121:$M$121,AR$178,GEN!$P31:$V31)+SUMIF($AZ$178:$BC$178,AR$178,$AZ203:$BC203)</f>
        <v>0</v>
      </c>
      <c r="AS203" s="230">
        <f>SUMIF(GEN!$G$121:$M$121,AS$178,GEN!$P31:$V31)+SUMIF($AZ$178:$BC$178,AS$178,$AZ203:$BC203)</f>
        <v>0</v>
      </c>
      <c r="AT203" s="230">
        <f>SUMIF(GEN!$G$121:$M$121,AT$178,GEN!$P31:$V31)+SUMIF($AZ$178:$BC$178,AT$178,$AZ203:$BC203)</f>
        <v>0</v>
      </c>
      <c r="AU203" s="230">
        <f>SUMIF(GEN!$G$121:$M$121,AU$178,GEN!$P31:$V31)+SUMIF($AZ$178:$BC$178,AU$178,$AZ203:$BC203)</f>
        <v>0</v>
      </c>
      <c r="AV203" s="230">
        <f>SUMIF(GEN!$G$121:$M$121,AV$178,GEN!$P31:$V31)+SUMIF($AZ$178:$BC$178,AV$178,$AZ203:$BC203)</f>
        <v>0</v>
      </c>
      <c r="AW203" s="230">
        <f>SUMIF(GEN!$G$121:$M$121,AW$178,GEN!$P31:$V31)+SUMIF($AZ$178:$BC$178,AW$178,$AZ203:$BC203)</f>
        <v>0</v>
      </c>
      <c r="AX203" s="231">
        <f>SUMIF(GEN!$G$121:$M$121,AX$178,GEN!$P31:$V31)+SUMIF($AZ$178:$BC$178,AX$178,$AZ203:$BC203)</f>
        <v>0</v>
      </c>
      <c r="AY203" s="232">
        <f>GEN!AF31</f>
        <v>0</v>
      </c>
      <c r="AZ203" s="228">
        <f>GEN!AG31</f>
        <v>0</v>
      </c>
      <c r="BA203" s="229">
        <f>GEN!AH31</f>
        <v>0</v>
      </c>
      <c r="BB203" s="230">
        <f>GEN!AI31</f>
        <v>0</v>
      </c>
      <c r="BC203" s="231">
        <f>GEN!AJ31</f>
        <v>0</v>
      </c>
      <c r="BD203" s="228">
        <f>SUMIF(GEN!$G$120:$M$120,"&gt;0",GEN!$X31:$AD31)</f>
        <v>0</v>
      </c>
      <c r="BE203" s="696"/>
      <c r="BF203" s="228">
        <f>SUMIF(GEN!$BA$6:$BG$6,BF$177,GEN!$BA31:$BG31)</f>
        <v>0</v>
      </c>
      <c r="BG203" s="229">
        <f>SUMIF(GEN!$BA$6:$BG$6,BG$177,GEN!$BA31:$BG31)</f>
        <v>0</v>
      </c>
      <c r="BH203" s="229">
        <f>SUMIF(GEN!$BA$6:$BG$6,BH$177,GEN!$BA31:$BG31)</f>
        <v>0</v>
      </c>
      <c r="BI203" s="229">
        <f>SUMIF(GEN!$BA$6:$BG$6,BI$177,GEN!$BA31:$BG31)</f>
        <v>0</v>
      </c>
      <c r="BJ203" s="229">
        <f>SUMIF(GEN!$BA$6:$BG$6,BJ$177,GEN!$BA31:$BG31)</f>
        <v>0</v>
      </c>
      <c r="BK203" s="229">
        <f>SUMIF(GEN!$BA$6:$BG$6,BK$177,GEN!$BA31:$BG31)</f>
        <v>0</v>
      </c>
      <c r="BL203" s="229">
        <f>SUMIF(GEN!$BA$6:$BG$6,BL$177,GEN!$BA31:$BG31)</f>
        <v>0</v>
      </c>
      <c r="BM203" s="229">
        <f>SUMIF(GEN!$BA$6:$BG$6,BM$177,GEN!$BA31:$BG31)</f>
        <v>0</v>
      </c>
      <c r="BN203" s="229">
        <f>SUMIF(GEN!$BA$6:$BG$6,BN$177,GEN!$BA31:$BG31)</f>
        <v>0</v>
      </c>
      <c r="BO203" s="231">
        <f>SUMIF(GEN!$BA$6:$BG$6,BO$177,GEN!$BA31:$BG31)</f>
        <v>0</v>
      </c>
      <c r="BP203" s="231">
        <f>SUMIF(GEN!$BA$6:$BG$6,BP$177,GEN!$BA31:$BG31)</f>
        <v>0</v>
      </c>
      <c r="BQ203" s="252"/>
      <c r="BR203" s="228">
        <f>SUMIF(GEN!$BA$5:$BG$5,BR$177,GEN!$BA31:$BG31)</f>
        <v>0</v>
      </c>
      <c r="BS203" s="229">
        <f>SUMIF(GEN!$BA$5:$BG$5,BS$177,GEN!$BA31:$BG31)</f>
        <v>0</v>
      </c>
      <c r="BT203" s="229">
        <f>SUMIF(GEN!$BA$5:$BG$5,BT$177,GEN!$BA31:$BG31)</f>
        <v>0</v>
      </c>
      <c r="BU203" s="229">
        <f>SUMIF(GEN!$BA$5:$BG$5,BU$177,GEN!$BA31:$BG31)</f>
        <v>0</v>
      </c>
      <c r="BV203" s="229">
        <f>SUMIF(GEN!$BA$5:$BG$5,BV$177,GEN!$BA31:$BG31)</f>
        <v>0</v>
      </c>
      <c r="BW203" s="229">
        <f>SUMIF(GEN!$BA$5:$BG$5,BW$177,GEN!$BA31:$BG31)</f>
        <v>0</v>
      </c>
      <c r="BX203" s="230">
        <f>SUMIF(GEN!$BA$5:$BG$5,BX$177,GEN!$BA31:$BG31)</f>
        <v>0</v>
      </c>
      <c r="BY203" s="998">
        <f>SUMIF(GEN!$BA$5:$BG$5,BY$177,GEN!$BA31:$BG31)</f>
        <v>0</v>
      </c>
      <c r="CB203" s="252"/>
      <c r="CC203" s="61" t="e">
        <f t="shared" si="30"/>
        <v>#N/A</v>
      </c>
      <c r="CD203" s="61">
        <f t="shared" si="31"/>
        <v>0</v>
      </c>
      <c r="CE203" s="105" t="str">
        <f t="shared" si="32"/>
        <v/>
      </c>
      <c r="CF203" s="61" t="e">
        <f t="shared" si="33"/>
        <v>#N/A</v>
      </c>
      <c r="CG203" s="61" t="e">
        <f t="shared" si="34"/>
        <v>#N/A</v>
      </c>
      <c r="CH203" s="521">
        <f>GEN!AL31-CW203+CR203</f>
        <v>0</v>
      </c>
      <c r="CI203" s="228">
        <f>SUMIF(GEN!$G$121:$M$121,CI$178,GEN!$AM31:$AS31)+SUMIF($CS$178:$CV$178,CI$178,$CS203:$CV203)</f>
        <v>0</v>
      </c>
      <c r="CJ203" s="229">
        <f>SUMIF(GEN!$G$121:$M$121,CJ$178,GEN!$AM31:$AS31)+SUMIF($CS$178:$CV$178,CJ$178,$CS203:$CV203)</f>
        <v>0</v>
      </c>
      <c r="CK203" s="230">
        <f>SUMIF(GEN!$G$121:$M$121,CK$178,GEN!$AM31:$AS31)+SUMIF($CS$178:$CV$178,CK$178,$CS203:$CV203)</f>
        <v>0</v>
      </c>
      <c r="CL203" s="230">
        <f>SUMIF(GEN!$G$121:$M$121,CL$178,GEN!$AM31:$AS31)+SUMIF($CS$178:$CV$178,CL$178,$CS203:$CV203)</f>
        <v>0</v>
      </c>
      <c r="CM203" s="230">
        <f>SUMIF(GEN!$G$121:$M$121,CM$178,GEN!$AM31:$AS31)+SUMIF($CS$178:$CV$178,CM$178,$CS203:$CV203)</f>
        <v>0</v>
      </c>
      <c r="CN203" s="230">
        <f>SUMIF(GEN!$G$121:$M$121,CN$178,GEN!$AM31:$AS31)+SUMIF($CS$178:$CV$178,CN$178,$CS203:$CV203)</f>
        <v>0</v>
      </c>
      <c r="CO203" s="230">
        <f>SUMIF(GEN!$G$121:$M$121,CO$178,GEN!$AM31:$AS31)+SUMIF($CS$178:$CV$178,CO$178,$CS203:$CV203)</f>
        <v>0</v>
      </c>
      <c r="CP203" s="230">
        <f>SUMIF(GEN!$G$121:$M$121,CP$178,GEN!$AM31:$AS31)+SUMIF($CS$178:$CV$178,CP$178,$CS203:$CV203)</f>
        <v>0</v>
      </c>
      <c r="CQ203" s="231">
        <f>SUMIF(GEN!$G$121:$M$121,CQ$178,GEN!$AM31:$AS31)+SUMIF($CS$178:$CV$178,CQ$178,$CS203:$CV203)</f>
        <v>0</v>
      </c>
      <c r="CR203" s="521">
        <f>GEN!AU31</f>
        <v>0</v>
      </c>
      <c r="CS203" s="228">
        <f>GEN!AV31</f>
        <v>0</v>
      </c>
      <c r="CT203" s="229">
        <f>GEN!AW31</f>
        <v>0</v>
      </c>
      <c r="CU203" s="230">
        <f>GEN!AX31</f>
        <v>0</v>
      </c>
      <c r="CV203" s="231">
        <f>GEN!AY31</f>
        <v>0</v>
      </c>
      <c r="CW203" s="521">
        <f>SUM(GEN!AU31:AY31)</f>
        <v>0</v>
      </c>
      <c r="CX203" s="521">
        <f>GEN!AK31</f>
        <v>0</v>
      </c>
      <c r="CY203" s="2"/>
    </row>
    <row r="204" spans="1:103" ht="14.25" hidden="1" customHeight="1" x14ac:dyDescent="0.2">
      <c r="A204" s="2"/>
      <c r="B204" s="105">
        <f t="shared" si="35"/>
        <v>45316</v>
      </c>
      <c r="C204" s="146">
        <f>IF(AND(E204&gt;(E$557-1),E204&lt;(I$557+1)),W$551,IF(ISERROR(HLOOKUP(E204,$E$550:$L$550,1,FALSE)),HLOOKUP(WEEKDAY(E204,2),IMPOSTAZIONI!$C$52:$P$57,6,FALSE),$W$550))</f>
        <v>0</v>
      </c>
      <c r="D204" s="71" t="str">
        <f t="shared" si="36"/>
        <v/>
      </c>
      <c r="E204" s="2258">
        <f t="shared" si="42"/>
        <v>45316</v>
      </c>
      <c r="F204" s="2259"/>
      <c r="G204" s="2228">
        <f>GEN!E32</f>
        <v>0</v>
      </c>
      <c r="H204" s="2229"/>
      <c r="I204" s="2230"/>
      <c r="J204" s="262" t="str">
        <f t="shared" si="25"/>
        <v/>
      </c>
      <c r="K204" s="263"/>
      <c r="L204" s="2217">
        <f t="shared" si="43"/>
        <v>4</v>
      </c>
      <c r="M204" s="2218"/>
      <c r="N204" s="261"/>
      <c r="O204" s="261"/>
      <c r="P204" s="261"/>
      <c r="Q204" s="2219">
        <f t="shared" si="38"/>
        <v>45316</v>
      </c>
      <c r="R204" s="2219"/>
      <c r="S204" s="261"/>
      <c r="T204" s="1173">
        <f t="shared" si="26"/>
        <v>0</v>
      </c>
      <c r="U204" s="261"/>
      <c r="V204" s="261"/>
      <c r="W204" s="261"/>
      <c r="X204" s="261"/>
      <c r="Y204" s="261"/>
      <c r="Z204" s="261"/>
      <c r="AA204" s="261"/>
      <c r="AB204" s="261"/>
      <c r="AC204" s="261"/>
      <c r="AD204" s="261"/>
      <c r="AE204" s="261"/>
      <c r="AF204" s="261"/>
      <c r="AG204" s="1173">
        <f t="shared" si="39"/>
        <v>0</v>
      </c>
      <c r="AH204" s="61" t="str">
        <f t="shared" si="40"/>
        <v/>
      </c>
      <c r="AI204" s="89" t="e">
        <f t="shared" si="41"/>
        <v>#N/A</v>
      </c>
      <c r="AJ204" s="2"/>
      <c r="AK204" s="61">
        <f>IF(G204=G$547,0,IF(OR(G204&lt;&gt;0,CH204&lt;&gt;0,C204="L"),COUNTIF(AK$180:AK203,"&gt;0")+1,0))</f>
        <v>0</v>
      </c>
      <c r="AL204" s="61" t="str">
        <f t="shared" si="27"/>
        <v/>
      </c>
      <c r="AM204" s="61" t="e">
        <f t="shared" si="28"/>
        <v>#N/A</v>
      </c>
      <c r="AN204" s="89" t="e">
        <f t="shared" si="29"/>
        <v>#N/A</v>
      </c>
      <c r="AO204" s="230">
        <f>SUM(GEN!X32:AD32)-BD204+AY204</f>
        <v>0</v>
      </c>
      <c r="AP204" s="228">
        <f>SUMIF(GEN!$G$121:$M$121,AP$178,GEN!$P32:$V32)+SUMIF($AZ$178:$BC$178,AP$178,$AZ204:$BC204)</f>
        <v>0</v>
      </c>
      <c r="AQ204" s="229">
        <f>SUMIF(GEN!$G$121:$M$121,AQ$178,GEN!$P32:$V32)+SUMIF($AZ$178:$BC$178,AQ$178,$AZ204:$BC204)</f>
        <v>0</v>
      </c>
      <c r="AR204" s="230">
        <f>SUMIF(GEN!$G$121:$M$121,AR$178,GEN!$P32:$V32)+SUMIF($AZ$178:$BC$178,AR$178,$AZ204:$BC204)</f>
        <v>0</v>
      </c>
      <c r="AS204" s="230">
        <f>SUMIF(GEN!$G$121:$M$121,AS$178,GEN!$P32:$V32)+SUMIF($AZ$178:$BC$178,AS$178,$AZ204:$BC204)</f>
        <v>0</v>
      </c>
      <c r="AT204" s="230">
        <f>SUMIF(GEN!$G$121:$M$121,AT$178,GEN!$P32:$V32)+SUMIF($AZ$178:$BC$178,AT$178,$AZ204:$BC204)</f>
        <v>0</v>
      </c>
      <c r="AU204" s="230">
        <f>SUMIF(GEN!$G$121:$M$121,AU$178,GEN!$P32:$V32)+SUMIF($AZ$178:$BC$178,AU$178,$AZ204:$BC204)</f>
        <v>0</v>
      </c>
      <c r="AV204" s="230">
        <f>SUMIF(GEN!$G$121:$M$121,AV$178,GEN!$P32:$V32)+SUMIF($AZ$178:$BC$178,AV$178,$AZ204:$BC204)</f>
        <v>0</v>
      </c>
      <c r="AW204" s="230">
        <f>SUMIF(GEN!$G$121:$M$121,AW$178,GEN!$P32:$V32)+SUMIF($AZ$178:$BC$178,AW$178,$AZ204:$BC204)</f>
        <v>0</v>
      </c>
      <c r="AX204" s="231">
        <f>SUMIF(GEN!$G$121:$M$121,AX$178,GEN!$P32:$V32)+SUMIF($AZ$178:$BC$178,AX$178,$AZ204:$BC204)</f>
        <v>0</v>
      </c>
      <c r="AY204" s="232">
        <f>GEN!AF32</f>
        <v>0</v>
      </c>
      <c r="AZ204" s="228">
        <f>GEN!AG32</f>
        <v>0</v>
      </c>
      <c r="BA204" s="229">
        <f>GEN!AH32</f>
        <v>0</v>
      </c>
      <c r="BB204" s="230">
        <f>GEN!AI32</f>
        <v>0</v>
      </c>
      <c r="BC204" s="231">
        <f>GEN!AJ32</f>
        <v>0</v>
      </c>
      <c r="BD204" s="228">
        <f>SUMIF(GEN!$G$120:$M$120,"&gt;0",GEN!$X32:$AD32)</f>
        <v>0</v>
      </c>
      <c r="BE204" s="696"/>
      <c r="BF204" s="228">
        <f>SUMIF(GEN!$BA$6:$BG$6,BF$177,GEN!$BA32:$BG32)</f>
        <v>0</v>
      </c>
      <c r="BG204" s="229">
        <f>SUMIF(GEN!$BA$6:$BG$6,BG$177,GEN!$BA32:$BG32)</f>
        <v>0</v>
      </c>
      <c r="BH204" s="229">
        <f>SUMIF(GEN!$BA$6:$BG$6,BH$177,GEN!$BA32:$BG32)</f>
        <v>0</v>
      </c>
      <c r="BI204" s="229">
        <f>SUMIF(GEN!$BA$6:$BG$6,BI$177,GEN!$BA32:$BG32)</f>
        <v>0</v>
      </c>
      <c r="BJ204" s="229">
        <f>SUMIF(GEN!$BA$6:$BG$6,BJ$177,GEN!$BA32:$BG32)</f>
        <v>0</v>
      </c>
      <c r="BK204" s="229">
        <f>SUMIF(GEN!$BA$6:$BG$6,BK$177,GEN!$BA32:$BG32)</f>
        <v>0</v>
      </c>
      <c r="BL204" s="229">
        <f>SUMIF(GEN!$BA$6:$BG$6,BL$177,GEN!$BA32:$BG32)</f>
        <v>0</v>
      </c>
      <c r="BM204" s="229">
        <f>SUMIF(GEN!$BA$6:$BG$6,BM$177,GEN!$BA32:$BG32)</f>
        <v>0</v>
      </c>
      <c r="BN204" s="229">
        <f>SUMIF(GEN!$BA$6:$BG$6,BN$177,GEN!$BA32:$BG32)</f>
        <v>0</v>
      </c>
      <c r="BO204" s="231">
        <f>SUMIF(GEN!$BA$6:$BG$6,BO$177,GEN!$BA32:$BG32)</f>
        <v>0</v>
      </c>
      <c r="BP204" s="231">
        <f>SUMIF(GEN!$BA$6:$BG$6,BP$177,GEN!$BA32:$BG32)</f>
        <v>0</v>
      </c>
      <c r="BQ204" s="252"/>
      <c r="BR204" s="228">
        <f>SUMIF(GEN!$BA$5:$BG$5,BR$177,GEN!$BA32:$BG32)</f>
        <v>0</v>
      </c>
      <c r="BS204" s="229">
        <f>SUMIF(GEN!$BA$5:$BG$5,BS$177,GEN!$BA32:$BG32)</f>
        <v>0</v>
      </c>
      <c r="BT204" s="229">
        <f>SUMIF(GEN!$BA$5:$BG$5,BT$177,GEN!$BA32:$BG32)</f>
        <v>0</v>
      </c>
      <c r="BU204" s="229">
        <f>SUMIF(GEN!$BA$5:$BG$5,BU$177,GEN!$BA32:$BG32)</f>
        <v>0</v>
      </c>
      <c r="BV204" s="229">
        <f>SUMIF(GEN!$BA$5:$BG$5,BV$177,GEN!$BA32:$BG32)</f>
        <v>0</v>
      </c>
      <c r="BW204" s="229">
        <f>SUMIF(GEN!$BA$5:$BG$5,BW$177,GEN!$BA32:$BG32)</f>
        <v>0</v>
      </c>
      <c r="BX204" s="230">
        <f>SUMIF(GEN!$BA$5:$BG$5,BX$177,GEN!$BA32:$BG32)</f>
        <v>0</v>
      </c>
      <c r="BY204" s="998">
        <f>SUMIF(GEN!$BA$5:$BG$5,BY$177,GEN!$BA32:$BG32)</f>
        <v>0</v>
      </c>
      <c r="CB204" s="252"/>
      <c r="CC204" s="61" t="e">
        <f t="shared" si="30"/>
        <v>#N/A</v>
      </c>
      <c r="CD204" s="61">
        <f t="shared" si="31"/>
        <v>0</v>
      </c>
      <c r="CE204" s="105" t="str">
        <f t="shared" si="32"/>
        <v/>
      </c>
      <c r="CF204" s="61" t="e">
        <f t="shared" si="33"/>
        <v>#N/A</v>
      </c>
      <c r="CG204" s="61" t="e">
        <f t="shared" si="34"/>
        <v>#N/A</v>
      </c>
      <c r="CH204" s="521">
        <f>GEN!AL32-CW204+CR204</f>
        <v>0</v>
      </c>
      <c r="CI204" s="228">
        <f>SUMIF(GEN!$G$121:$M$121,CI$178,GEN!$AM32:$AS32)+SUMIF($CS$178:$CV$178,CI$178,$CS204:$CV204)</f>
        <v>0</v>
      </c>
      <c r="CJ204" s="229">
        <f>SUMIF(GEN!$G$121:$M$121,CJ$178,GEN!$AM32:$AS32)+SUMIF($CS$178:$CV$178,CJ$178,$CS204:$CV204)</f>
        <v>0</v>
      </c>
      <c r="CK204" s="230">
        <f>SUMIF(GEN!$G$121:$M$121,CK$178,GEN!$AM32:$AS32)+SUMIF($CS$178:$CV$178,CK$178,$CS204:$CV204)</f>
        <v>0</v>
      </c>
      <c r="CL204" s="230">
        <f>SUMIF(GEN!$G$121:$M$121,CL$178,GEN!$AM32:$AS32)+SUMIF($CS$178:$CV$178,CL$178,$CS204:$CV204)</f>
        <v>0</v>
      </c>
      <c r="CM204" s="230">
        <f>SUMIF(GEN!$G$121:$M$121,CM$178,GEN!$AM32:$AS32)+SUMIF($CS$178:$CV$178,CM$178,$CS204:$CV204)</f>
        <v>0</v>
      </c>
      <c r="CN204" s="230">
        <f>SUMIF(GEN!$G$121:$M$121,CN$178,GEN!$AM32:$AS32)+SUMIF($CS$178:$CV$178,CN$178,$CS204:$CV204)</f>
        <v>0</v>
      </c>
      <c r="CO204" s="230">
        <f>SUMIF(GEN!$G$121:$M$121,CO$178,GEN!$AM32:$AS32)+SUMIF($CS$178:$CV$178,CO$178,$CS204:$CV204)</f>
        <v>0</v>
      </c>
      <c r="CP204" s="230">
        <f>SUMIF(GEN!$G$121:$M$121,CP$178,GEN!$AM32:$AS32)+SUMIF($CS$178:$CV$178,CP$178,$CS204:$CV204)</f>
        <v>0</v>
      </c>
      <c r="CQ204" s="231">
        <f>SUMIF(GEN!$G$121:$M$121,CQ$178,GEN!$AM32:$AS32)+SUMIF($CS$178:$CV$178,CQ$178,$CS204:$CV204)</f>
        <v>0</v>
      </c>
      <c r="CR204" s="521">
        <f>GEN!AU32</f>
        <v>0</v>
      </c>
      <c r="CS204" s="228">
        <f>GEN!AV32</f>
        <v>0</v>
      </c>
      <c r="CT204" s="229">
        <f>GEN!AW32</f>
        <v>0</v>
      </c>
      <c r="CU204" s="230">
        <f>GEN!AX32</f>
        <v>0</v>
      </c>
      <c r="CV204" s="231">
        <f>GEN!AY32</f>
        <v>0</v>
      </c>
      <c r="CW204" s="521">
        <f>SUM(GEN!AU32:AY32)</f>
        <v>0</v>
      </c>
      <c r="CX204" s="521">
        <f>GEN!AK32</f>
        <v>0</v>
      </c>
      <c r="CY204" s="2"/>
    </row>
    <row r="205" spans="1:103" ht="14.25" hidden="1" customHeight="1" x14ac:dyDescent="0.2">
      <c r="A205" s="2"/>
      <c r="B205" s="105">
        <f t="shared" si="35"/>
        <v>45317</v>
      </c>
      <c r="C205" s="146">
        <f>IF(AND(E205&gt;(E$557-1),E205&lt;(I$557+1)),W$551,IF(ISERROR(HLOOKUP(E205,$E$550:$L$550,1,FALSE)),HLOOKUP(WEEKDAY(E205,2),IMPOSTAZIONI!$C$52:$P$57,6,FALSE),$W$550))</f>
        <v>0</v>
      </c>
      <c r="D205" s="71" t="str">
        <f t="shared" si="36"/>
        <v/>
      </c>
      <c r="E205" s="2258">
        <f t="shared" si="42"/>
        <v>45317</v>
      </c>
      <c r="F205" s="2259"/>
      <c r="G205" s="2228">
        <f>GEN!E33</f>
        <v>0</v>
      </c>
      <c r="H205" s="2229"/>
      <c r="I205" s="2230"/>
      <c r="J205" s="262" t="str">
        <f t="shared" si="25"/>
        <v/>
      </c>
      <c r="K205" s="263"/>
      <c r="L205" s="2217">
        <f t="shared" si="43"/>
        <v>4</v>
      </c>
      <c r="M205" s="2218"/>
      <c r="N205" s="261"/>
      <c r="O205" s="261"/>
      <c r="P205" s="261"/>
      <c r="Q205" s="2219">
        <f t="shared" si="38"/>
        <v>45317</v>
      </c>
      <c r="R205" s="2219"/>
      <c r="S205" s="261"/>
      <c r="T205" s="1173">
        <f t="shared" si="26"/>
        <v>0</v>
      </c>
      <c r="U205" s="261"/>
      <c r="V205" s="261"/>
      <c r="W205" s="261"/>
      <c r="X205" s="261"/>
      <c r="Y205" s="261"/>
      <c r="Z205" s="261"/>
      <c r="AA205" s="261"/>
      <c r="AB205" s="261"/>
      <c r="AC205" s="261"/>
      <c r="AD205" s="261"/>
      <c r="AE205" s="261"/>
      <c r="AF205" s="261"/>
      <c r="AG205" s="1173">
        <f t="shared" si="39"/>
        <v>0</v>
      </c>
      <c r="AH205" s="61" t="str">
        <f t="shared" si="40"/>
        <v/>
      </c>
      <c r="AI205" s="89" t="e">
        <f t="shared" si="41"/>
        <v>#N/A</v>
      </c>
      <c r="AJ205" s="2"/>
      <c r="AK205" s="61">
        <f>IF(G205=G$547,0,IF(OR(G205&lt;&gt;0,CH205&lt;&gt;0,C205="L"),COUNTIF(AK$180:AK204,"&gt;0")+1,0))</f>
        <v>0</v>
      </c>
      <c r="AL205" s="61" t="str">
        <f t="shared" si="27"/>
        <v/>
      </c>
      <c r="AM205" s="61" t="e">
        <f t="shared" si="28"/>
        <v>#N/A</v>
      </c>
      <c r="AN205" s="89" t="e">
        <f t="shared" si="29"/>
        <v>#N/A</v>
      </c>
      <c r="AO205" s="230">
        <f>SUM(GEN!X33:AD33)-BD205+AY205</f>
        <v>0</v>
      </c>
      <c r="AP205" s="228">
        <f>SUMIF(GEN!$G$121:$M$121,AP$178,GEN!$P33:$V33)+SUMIF($AZ$178:$BC$178,AP$178,$AZ205:$BC205)</f>
        <v>0</v>
      </c>
      <c r="AQ205" s="229">
        <f>SUMIF(GEN!$G$121:$M$121,AQ$178,GEN!$P33:$V33)+SUMIF($AZ$178:$BC$178,AQ$178,$AZ205:$BC205)</f>
        <v>0</v>
      </c>
      <c r="AR205" s="230">
        <f>SUMIF(GEN!$G$121:$M$121,AR$178,GEN!$P33:$V33)+SUMIF($AZ$178:$BC$178,AR$178,$AZ205:$BC205)</f>
        <v>0</v>
      </c>
      <c r="AS205" s="230">
        <f>SUMIF(GEN!$G$121:$M$121,AS$178,GEN!$P33:$V33)+SUMIF($AZ$178:$BC$178,AS$178,$AZ205:$BC205)</f>
        <v>0</v>
      </c>
      <c r="AT205" s="230">
        <f>SUMIF(GEN!$G$121:$M$121,AT$178,GEN!$P33:$V33)+SUMIF($AZ$178:$BC$178,AT$178,$AZ205:$BC205)</f>
        <v>0</v>
      </c>
      <c r="AU205" s="230">
        <f>SUMIF(GEN!$G$121:$M$121,AU$178,GEN!$P33:$V33)+SUMIF($AZ$178:$BC$178,AU$178,$AZ205:$BC205)</f>
        <v>0</v>
      </c>
      <c r="AV205" s="230">
        <f>SUMIF(GEN!$G$121:$M$121,AV$178,GEN!$P33:$V33)+SUMIF($AZ$178:$BC$178,AV$178,$AZ205:$BC205)</f>
        <v>0</v>
      </c>
      <c r="AW205" s="230">
        <f>SUMIF(GEN!$G$121:$M$121,AW$178,GEN!$P33:$V33)+SUMIF($AZ$178:$BC$178,AW$178,$AZ205:$BC205)</f>
        <v>0</v>
      </c>
      <c r="AX205" s="231">
        <f>SUMIF(GEN!$G$121:$M$121,AX$178,GEN!$P33:$V33)+SUMIF($AZ$178:$BC$178,AX$178,$AZ205:$BC205)</f>
        <v>0</v>
      </c>
      <c r="AY205" s="232">
        <f>GEN!AF33</f>
        <v>0</v>
      </c>
      <c r="AZ205" s="228">
        <f>GEN!AG33</f>
        <v>0</v>
      </c>
      <c r="BA205" s="229">
        <f>GEN!AH33</f>
        <v>0</v>
      </c>
      <c r="BB205" s="230">
        <f>GEN!AI33</f>
        <v>0</v>
      </c>
      <c r="BC205" s="231">
        <f>GEN!AJ33</f>
        <v>0</v>
      </c>
      <c r="BD205" s="228">
        <f>SUMIF(GEN!$G$120:$M$120,"&gt;0",GEN!$X33:$AD33)</f>
        <v>0</v>
      </c>
      <c r="BE205" s="696"/>
      <c r="BF205" s="228">
        <f>SUMIF(GEN!$BA$6:$BG$6,BF$177,GEN!$BA33:$BG33)</f>
        <v>0</v>
      </c>
      <c r="BG205" s="229">
        <f>SUMIF(GEN!$BA$6:$BG$6,BG$177,GEN!$BA33:$BG33)</f>
        <v>0</v>
      </c>
      <c r="BH205" s="229">
        <f>SUMIF(GEN!$BA$6:$BG$6,BH$177,GEN!$BA33:$BG33)</f>
        <v>0</v>
      </c>
      <c r="BI205" s="229">
        <f>SUMIF(GEN!$BA$6:$BG$6,BI$177,GEN!$BA33:$BG33)</f>
        <v>0</v>
      </c>
      <c r="BJ205" s="229">
        <f>SUMIF(GEN!$BA$6:$BG$6,BJ$177,GEN!$BA33:$BG33)</f>
        <v>0</v>
      </c>
      <c r="BK205" s="229">
        <f>SUMIF(GEN!$BA$6:$BG$6,BK$177,GEN!$BA33:$BG33)</f>
        <v>0</v>
      </c>
      <c r="BL205" s="229">
        <f>SUMIF(GEN!$BA$6:$BG$6,BL$177,GEN!$BA33:$BG33)</f>
        <v>0</v>
      </c>
      <c r="BM205" s="229">
        <f>SUMIF(GEN!$BA$6:$BG$6,BM$177,GEN!$BA33:$BG33)</f>
        <v>0</v>
      </c>
      <c r="BN205" s="229">
        <f>SUMIF(GEN!$BA$6:$BG$6,BN$177,GEN!$BA33:$BG33)</f>
        <v>0</v>
      </c>
      <c r="BO205" s="231">
        <f>SUMIF(GEN!$BA$6:$BG$6,BO$177,GEN!$BA33:$BG33)</f>
        <v>0</v>
      </c>
      <c r="BP205" s="231">
        <f>SUMIF(GEN!$BA$6:$BG$6,BP$177,GEN!$BA33:$BG33)</f>
        <v>0</v>
      </c>
      <c r="BQ205" s="252"/>
      <c r="BR205" s="228">
        <f>SUMIF(GEN!$BA$5:$BG$5,BR$177,GEN!$BA33:$BG33)</f>
        <v>0</v>
      </c>
      <c r="BS205" s="229">
        <f>SUMIF(GEN!$BA$5:$BG$5,BS$177,GEN!$BA33:$BG33)</f>
        <v>0</v>
      </c>
      <c r="BT205" s="229">
        <f>SUMIF(GEN!$BA$5:$BG$5,BT$177,GEN!$BA33:$BG33)</f>
        <v>0</v>
      </c>
      <c r="BU205" s="229">
        <f>SUMIF(GEN!$BA$5:$BG$5,BU$177,GEN!$BA33:$BG33)</f>
        <v>0</v>
      </c>
      <c r="BV205" s="229">
        <f>SUMIF(GEN!$BA$5:$BG$5,BV$177,GEN!$BA33:$BG33)</f>
        <v>0</v>
      </c>
      <c r="BW205" s="229">
        <f>SUMIF(GEN!$BA$5:$BG$5,BW$177,GEN!$BA33:$BG33)</f>
        <v>0</v>
      </c>
      <c r="BX205" s="230">
        <f>SUMIF(GEN!$BA$5:$BG$5,BX$177,GEN!$BA33:$BG33)</f>
        <v>0</v>
      </c>
      <c r="BY205" s="998">
        <f>SUMIF(GEN!$BA$5:$BG$5,BY$177,GEN!$BA33:$BG33)</f>
        <v>0</v>
      </c>
      <c r="CB205" s="252"/>
      <c r="CC205" s="61" t="e">
        <f t="shared" si="30"/>
        <v>#N/A</v>
      </c>
      <c r="CD205" s="61">
        <f t="shared" si="31"/>
        <v>0</v>
      </c>
      <c r="CE205" s="105" t="str">
        <f t="shared" si="32"/>
        <v/>
      </c>
      <c r="CF205" s="61" t="e">
        <f t="shared" si="33"/>
        <v>#N/A</v>
      </c>
      <c r="CG205" s="61" t="e">
        <f t="shared" si="34"/>
        <v>#N/A</v>
      </c>
      <c r="CH205" s="521">
        <f>GEN!AL33-CW205+CR205</f>
        <v>0</v>
      </c>
      <c r="CI205" s="228">
        <f>SUMIF(GEN!$G$121:$M$121,CI$178,GEN!$AM33:$AS33)+SUMIF($CS$178:$CV$178,CI$178,$CS205:$CV205)</f>
        <v>0</v>
      </c>
      <c r="CJ205" s="229">
        <f>SUMIF(GEN!$G$121:$M$121,CJ$178,GEN!$AM33:$AS33)+SUMIF($CS$178:$CV$178,CJ$178,$CS205:$CV205)</f>
        <v>0</v>
      </c>
      <c r="CK205" s="230">
        <f>SUMIF(GEN!$G$121:$M$121,CK$178,GEN!$AM33:$AS33)+SUMIF($CS$178:$CV$178,CK$178,$CS205:$CV205)</f>
        <v>0</v>
      </c>
      <c r="CL205" s="230">
        <f>SUMIF(GEN!$G$121:$M$121,CL$178,GEN!$AM33:$AS33)+SUMIF($CS$178:$CV$178,CL$178,$CS205:$CV205)</f>
        <v>0</v>
      </c>
      <c r="CM205" s="230">
        <f>SUMIF(GEN!$G$121:$M$121,CM$178,GEN!$AM33:$AS33)+SUMIF($CS$178:$CV$178,CM$178,$CS205:$CV205)</f>
        <v>0</v>
      </c>
      <c r="CN205" s="230">
        <f>SUMIF(GEN!$G$121:$M$121,CN$178,GEN!$AM33:$AS33)+SUMIF($CS$178:$CV$178,CN$178,$CS205:$CV205)</f>
        <v>0</v>
      </c>
      <c r="CO205" s="230">
        <f>SUMIF(GEN!$G$121:$M$121,CO$178,GEN!$AM33:$AS33)+SUMIF($CS$178:$CV$178,CO$178,$CS205:$CV205)</f>
        <v>0</v>
      </c>
      <c r="CP205" s="230">
        <f>SUMIF(GEN!$G$121:$M$121,CP$178,GEN!$AM33:$AS33)+SUMIF($CS$178:$CV$178,CP$178,$CS205:$CV205)</f>
        <v>0</v>
      </c>
      <c r="CQ205" s="231">
        <f>SUMIF(GEN!$G$121:$M$121,CQ$178,GEN!$AM33:$AS33)+SUMIF($CS$178:$CV$178,CQ$178,$CS205:$CV205)</f>
        <v>0</v>
      </c>
      <c r="CR205" s="521">
        <f>GEN!AU33</f>
        <v>0</v>
      </c>
      <c r="CS205" s="228">
        <f>GEN!AV33</f>
        <v>0</v>
      </c>
      <c r="CT205" s="229">
        <f>GEN!AW33</f>
        <v>0</v>
      </c>
      <c r="CU205" s="230">
        <f>GEN!AX33</f>
        <v>0</v>
      </c>
      <c r="CV205" s="231">
        <f>GEN!AY33</f>
        <v>0</v>
      </c>
      <c r="CW205" s="521">
        <f>SUM(GEN!AU33:AY33)</f>
        <v>0</v>
      </c>
      <c r="CX205" s="521">
        <f>GEN!AK33</f>
        <v>0</v>
      </c>
      <c r="CY205" s="2"/>
    </row>
    <row r="206" spans="1:103" ht="14.25" hidden="1" customHeight="1" x14ac:dyDescent="0.2">
      <c r="A206" s="2"/>
      <c r="B206" s="105">
        <f t="shared" si="35"/>
        <v>45318</v>
      </c>
      <c r="C206" s="146">
        <f>IF(AND(E206&gt;(E$557-1),E206&lt;(I$557+1)),W$551,IF(ISERROR(HLOOKUP(E206,$E$550:$L$550,1,FALSE)),HLOOKUP(WEEKDAY(E206,2),IMPOSTAZIONI!$C$52:$P$57,6,FALSE),$W$550))</f>
        <v>0</v>
      </c>
      <c r="D206" s="71" t="str">
        <f t="shared" si="36"/>
        <v/>
      </c>
      <c r="E206" s="2258">
        <f t="shared" si="42"/>
        <v>45318</v>
      </c>
      <c r="F206" s="2259"/>
      <c r="G206" s="2228">
        <f>GEN!E34</f>
        <v>0</v>
      </c>
      <c r="H206" s="2229"/>
      <c r="I206" s="2230"/>
      <c r="J206" s="262" t="str">
        <f t="shared" si="25"/>
        <v/>
      </c>
      <c r="K206" s="263"/>
      <c r="L206" s="2217">
        <f t="shared" si="43"/>
        <v>4</v>
      </c>
      <c r="M206" s="2218"/>
      <c r="N206" s="261"/>
      <c r="O206" s="261"/>
      <c r="P206" s="261"/>
      <c r="Q206" s="2219">
        <f t="shared" si="38"/>
        <v>45318</v>
      </c>
      <c r="R206" s="2219"/>
      <c r="S206" s="261"/>
      <c r="T206" s="1173">
        <f t="shared" si="26"/>
        <v>0</v>
      </c>
      <c r="U206" s="261"/>
      <c r="V206" s="261"/>
      <c r="W206" s="261"/>
      <c r="X206" s="261"/>
      <c r="Y206" s="261"/>
      <c r="Z206" s="261"/>
      <c r="AA206" s="261"/>
      <c r="AB206" s="261"/>
      <c r="AC206" s="261"/>
      <c r="AD206" s="261"/>
      <c r="AE206" s="261"/>
      <c r="AF206" s="261"/>
      <c r="AG206" s="1173">
        <f t="shared" si="39"/>
        <v>0</v>
      </c>
      <c r="AH206" s="61" t="str">
        <f t="shared" si="40"/>
        <v/>
      </c>
      <c r="AI206" s="89" t="e">
        <f t="shared" si="41"/>
        <v>#N/A</v>
      </c>
      <c r="AJ206" s="2"/>
      <c r="AK206" s="61">
        <f>IF(G206=G$547,0,IF(OR(G206&lt;&gt;0,CH206&lt;&gt;0,C206="L"),COUNTIF(AK$180:AK205,"&gt;0")+1,0))</f>
        <v>0</v>
      </c>
      <c r="AL206" s="61" t="str">
        <f t="shared" si="27"/>
        <v/>
      </c>
      <c r="AM206" s="61" t="e">
        <f t="shared" si="28"/>
        <v>#N/A</v>
      </c>
      <c r="AN206" s="89" t="e">
        <f t="shared" si="29"/>
        <v>#N/A</v>
      </c>
      <c r="AO206" s="230">
        <f>SUM(GEN!X34:AD34)-BD206+AY206</f>
        <v>0</v>
      </c>
      <c r="AP206" s="228">
        <f>SUMIF(GEN!$G$121:$M$121,AP$178,GEN!$P34:$V34)+SUMIF($AZ$178:$BC$178,AP$178,$AZ206:$BC206)</f>
        <v>0</v>
      </c>
      <c r="AQ206" s="229">
        <f>SUMIF(GEN!$G$121:$M$121,AQ$178,GEN!$P34:$V34)+SUMIF($AZ$178:$BC$178,AQ$178,$AZ206:$BC206)</f>
        <v>0</v>
      </c>
      <c r="AR206" s="230">
        <f>SUMIF(GEN!$G$121:$M$121,AR$178,GEN!$P34:$V34)+SUMIF($AZ$178:$BC$178,AR$178,$AZ206:$BC206)</f>
        <v>0</v>
      </c>
      <c r="AS206" s="230">
        <f>SUMIF(GEN!$G$121:$M$121,AS$178,GEN!$P34:$V34)+SUMIF($AZ$178:$BC$178,AS$178,$AZ206:$BC206)</f>
        <v>0</v>
      </c>
      <c r="AT206" s="230">
        <f>SUMIF(GEN!$G$121:$M$121,AT$178,GEN!$P34:$V34)+SUMIF($AZ$178:$BC$178,AT$178,$AZ206:$BC206)</f>
        <v>0</v>
      </c>
      <c r="AU206" s="230">
        <f>SUMIF(GEN!$G$121:$M$121,AU$178,GEN!$P34:$V34)+SUMIF($AZ$178:$BC$178,AU$178,$AZ206:$BC206)</f>
        <v>0</v>
      </c>
      <c r="AV206" s="230">
        <f>SUMIF(GEN!$G$121:$M$121,AV$178,GEN!$P34:$V34)+SUMIF($AZ$178:$BC$178,AV$178,$AZ206:$BC206)</f>
        <v>0</v>
      </c>
      <c r="AW206" s="230">
        <f>SUMIF(GEN!$G$121:$M$121,AW$178,GEN!$P34:$V34)+SUMIF($AZ$178:$BC$178,AW$178,$AZ206:$BC206)</f>
        <v>0</v>
      </c>
      <c r="AX206" s="231">
        <f>SUMIF(GEN!$G$121:$M$121,AX$178,GEN!$P34:$V34)+SUMIF($AZ$178:$BC$178,AX$178,$AZ206:$BC206)</f>
        <v>0</v>
      </c>
      <c r="AY206" s="232">
        <f>GEN!AF34</f>
        <v>0</v>
      </c>
      <c r="AZ206" s="228">
        <f>GEN!AG34</f>
        <v>0</v>
      </c>
      <c r="BA206" s="229">
        <f>GEN!AH34</f>
        <v>0</v>
      </c>
      <c r="BB206" s="230">
        <f>GEN!AI34</f>
        <v>0</v>
      </c>
      <c r="BC206" s="231">
        <f>GEN!AJ34</f>
        <v>0</v>
      </c>
      <c r="BD206" s="228">
        <f>SUMIF(GEN!$G$120:$M$120,"&gt;0",GEN!$X34:$AD34)</f>
        <v>0</v>
      </c>
      <c r="BE206" s="696"/>
      <c r="BF206" s="228">
        <f>SUMIF(GEN!$BA$6:$BG$6,BF$177,GEN!$BA34:$BG34)</f>
        <v>0</v>
      </c>
      <c r="BG206" s="229">
        <f>SUMIF(GEN!$BA$6:$BG$6,BG$177,GEN!$BA34:$BG34)</f>
        <v>0</v>
      </c>
      <c r="BH206" s="229">
        <f>SUMIF(GEN!$BA$6:$BG$6,BH$177,GEN!$BA34:$BG34)</f>
        <v>0</v>
      </c>
      <c r="BI206" s="229">
        <f>SUMIF(GEN!$BA$6:$BG$6,BI$177,GEN!$BA34:$BG34)</f>
        <v>0</v>
      </c>
      <c r="BJ206" s="229">
        <f>SUMIF(GEN!$BA$6:$BG$6,BJ$177,GEN!$BA34:$BG34)</f>
        <v>0</v>
      </c>
      <c r="BK206" s="229">
        <f>SUMIF(GEN!$BA$6:$BG$6,BK$177,GEN!$BA34:$BG34)</f>
        <v>0</v>
      </c>
      <c r="BL206" s="229">
        <f>SUMIF(GEN!$BA$6:$BG$6,BL$177,GEN!$BA34:$BG34)</f>
        <v>0</v>
      </c>
      <c r="BM206" s="229">
        <f>SUMIF(GEN!$BA$6:$BG$6,BM$177,GEN!$BA34:$BG34)</f>
        <v>0</v>
      </c>
      <c r="BN206" s="229">
        <f>SUMIF(GEN!$BA$6:$BG$6,BN$177,GEN!$BA34:$BG34)</f>
        <v>0</v>
      </c>
      <c r="BO206" s="231">
        <f>SUMIF(GEN!$BA$6:$BG$6,BO$177,GEN!$BA34:$BG34)</f>
        <v>0</v>
      </c>
      <c r="BP206" s="231">
        <f>SUMIF(GEN!$BA$6:$BG$6,BP$177,GEN!$BA34:$BG34)</f>
        <v>0</v>
      </c>
      <c r="BQ206" s="252"/>
      <c r="BR206" s="228">
        <f>SUMIF(GEN!$BA$5:$BG$5,BR$177,GEN!$BA34:$BG34)</f>
        <v>0</v>
      </c>
      <c r="BS206" s="229">
        <f>SUMIF(GEN!$BA$5:$BG$5,BS$177,GEN!$BA34:$BG34)</f>
        <v>0</v>
      </c>
      <c r="BT206" s="229">
        <f>SUMIF(GEN!$BA$5:$BG$5,BT$177,GEN!$BA34:$BG34)</f>
        <v>0</v>
      </c>
      <c r="BU206" s="229">
        <f>SUMIF(GEN!$BA$5:$BG$5,BU$177,GEN!$BA34:$BG34)</f>
        <v>0</v>
      </c>
      <c r="BV206" s="229">
        <f>SUMIF(GEN!$BA$5:$BG$5,BV$177,GEN!$BA34:$BG34)</f>
        <v>0</v>
      </c>
      <c r="BW206" s="229">
        <f>SUMIF(GEN!$BA$5:$BG$5,BW$177,GEN!$BA34:$BG34)</f>
        <v>0</v>
      </c>
      <c r="BX206" s="230">
        <f>SUMIF(GEN!$BA$5:$BG$5,BX$177,GEN!$BA34:$BG34)</f>
        <v>0</v>
      </c>
      <c r="BY206" s="998">
        <f>SUMIF(GEN!$BA$5:$BG$5,BY$177,GEN!$BA34:$BG34)</f>
        <v>0</v>
      </c>
      <c r="CB206" s="252"/>
      <c r="CC206" s="61" t="e">
        <f t="shared" si="30"/>
        <v>#N/A</v>
      </c>
      <c r="CD206" s="61">
        <f t="shared" si="31"/>
        <v>0</v>
      </c>
      <c r="CE206" s="105" t="str">
        <f t="shared" si="32"/>
        <v/>
      </c>
      <c r="CF206" s="61" t="e">
        <f t="shared" si="33"/>
        <v>#N/A</v>
      </c>
      <c r="CG206" s="61" t="e">
        <f t="shared" si="34"/>
        <v>#N/A</v>
      </c>
      <c r="CH206" s="521">
        <f>GEN!AL34-CW206+CR206</f>
        <v>0</v>
      </c>
      <c r="CI206" s="228">
        <f>SUMIF(GEN!$G$121:$M$121,CI$178,GEN!$AM34:$AS34)+SUMIF($CS$178:$CV$178,CI$178,$CS206:$CV206)</f>
        <v>0</v>
      </c>
      <c r="CJ206" s="229">
        <f>SUMIF(GEN!$G$121:$M$121,CJ$178,GEN!$AM34:$AS34)+SUMIF($CS$178:$CV$178,CJ$178,$CS206:$CV206)</f>
        <v>0</v>
      </c>
      <c r="CK206" s="230">
        <f>SUMIF(GEN!$G$121:$M$121,CK$178,GEN!$AM34:$AS34)+SUMIF($CS$178:$CV$178,CK$178,$CS206:$CV206)</f>
        <v>0</v>
      </c>
      <c r="CL206" s="230">
        <f>SUMIF(GEN!$G$121:$M$121,CL$178,GEN!$AM34:$AS34)+SUMIF($CS$178:$CV$178,CL$178,$CS206:$CV206)</f>
        <v>0</v>
      </c>
      <c r="CM206" s="230">
        <f>SUMIF(GEN!$G$121:$M$121,CM$178,GEN!$AM34:$AS34)+SUMIF($CS$178:$CV$178,CM$178,$CS206:$CV206)</f>
        <v>0</v>
      </c>
      <c r="CN206" s="230">
        <f>SUMIF(GEN!$G$121:$M$121,CN$178,GEN!$AM34:$AS34)+SUMIF($CS$178:$CV$178,CN$178,$CS206:$CV206)</f>
        <v>0</v>
      </c>
      <c r="CO206" s="230">
        <f>SUMIF(GEN!$G$121:$M$121,CO$178,GEN!$AM34:$AS34)+SUMIF($CS$178:$CV$178,CO$178,$CS206:$CV206)</f>
        <v>0</v>
      </c>
      <c r="CP206" s="230">
        <f>SUMIF(GEN!$G$121:$M$121,CP$178,GEN!$AM34:$AS34)+SUMIF($CS$178:$CV$178,CP$178,$CS206:$CV206)</f>
        <v>0</v>
      </c>
      <c r="CQ206" s="231">
        <f>SUMIF(GEN!$G$121:$M$121,CQ$178,GEN!$AM34:$AS34)+SUMIF($CS$178:$CV$178,CQ$178,$CS206:$CV206)</f>
        <v>0</v>
      </c>
      <c r="CR206" s="521">
        <f>GEN!AU34</f>
        <v>0</v>
      </c>
      <c r="CS206" s="228">
        <f>GEN!AV34</f>
        <v>0</v>
      </c>
      <c r="CT206" s="229">
        <f>GEN!AW34</f>
        <v>0</v>
      </c>
      <c r="CU206" s="230">
        <f>GEN!AX34</f>
        <v>0</v>
      </c>
      <c r="CV206" s="231">
        <f>GEN!AY34</f>
        <v>0</v>
      </c>
      <c r="CW206" s="521">
        <f>SUM(GEN!AU34:AY34)</f>
        <v>0</v>
      </c>
      <c r="CX206" s="521">
        <f>GEN!AK34</f>
        <v>0</v>
      </c>
      <c r="CY206" s="2"/>
    </row>
    <row r="207" spans="1:103" ht="14.25" hidden="1" customHeight="1" x14ac:dyDescent="0.2">
      <c r="A207" s="2"/>
      <c r="B207" s="105">
        <f t="shared" si="35"/>
        <v>45319</v>
      </c>
      <c r="C207" s="146">
        <f>IF(AND(E207&gt;(E$557-1),E207&lt;(I$557+1)),W$551,IF(ISERROR(HLOOKUP(E207,$E$550:$L$550,1,FALSE)),HLOOKUP(WEEKDAY(E207,2),IMPOSTAZIONI!$C$52:$P$57,6,FALSE),$W$550))</f>
        <v>0</v>
      </c>
      <c r="D207" s="71" t="str">
        <f t="shared" si="36"/>
        <v/>
      </c>
      <c r="E207" s="2258">
        <f t="shared" si="42"/>
        <v>45319</v>
      </c>
      <c r="F207" s="2259"/>
      <c r="G207" s="2228">
        <f>GEN!E35</f>
        <v>0</v>
      </c>
      <c r="H207" s="2229"/>
      <c r="I207" s="2230"/>
      <c r="J207" s="262" t="str">
        <f t="shared" si="25"/>
        <v/>
      </c>
      <c r="K207" s="263"/>
      <c r="L207" s="2220">
        <f t="shared" si="43"/>
        <v>4</v>
      </c>
      <c r="M207" s="2221"/>
      <c r="N207" s="261"/>
      <c r="O207" s="261"/>
      <c r="P207" s="261"/>
      <c r="Q207" s="2219">
        <f t="shared" si="38"/>
        <v>45319</v>
      </c>
      <c r="R207" s="2219"/>
      <c r="S207" s="261"/>
      <c r="T207" s="1173">
        <f t="shared" si="26"/>
        <v>0</v>
      </c>
      <c r="U207" s="261"/>
      <c r="V207" s="261"/>
      <c r="W207" s="261"/>
      <c r="X207" s="261"/>
      <c r="Y207" s="261"/>
      <c r="Z207" s="261"/>
      <c r="AA207" s="261"/>
      <c r="AB207" s="261"/>
      <c r="AC207" s="261"/>
      <c r="AD207" s="261"/>
      <c r="AE207" s="261"/>
      <c r="AF207" s="261"/>
      <c r="AG207" s="1173">
        <f t="shared" si="39"/>
        <v>0</v>
      </c>
      <c r="AH207" s="61" t="str">
        <f t="shared" si="40"/>
        <v/>
      </c>
      <c r="AI207" s="89" t="e">
        <f t="shared" si="41"/>
        <v>#N/A</v>
      </c>
      <c r="AJ207" s="2"/>
      <c r="AK207" s="61">
        <f>IF(G207=G$547,0,IF(OR(G207&lt;&gt;0,CH207&lt;&gt;0,C207="L"),COUNTIF(AK$180:AK206,"&gt;0")+1,0))</f>
        <v>0</v>
      </c>
      <c r="AL207" s="61" t="str">
        <f t="shared" si="27"/>
        <v/>
      </c>
      <c r="AM207" s="61" t="e">
        <f t="shared" si="28"/>
        <v>#N/A</v>
      </c>
      <c r="AN207" s="89" t="e">
        <f t="shared" si="29"/>
        <v>#N/A</v>
      </c>
      <c r="AO207" s="230">
        <f>SUM(GEN!X35:AD35)-BD207+AY207</f>
        <v>0</v>
      </c>
      <c r="AP207" s="228">
        <f>SUMIF(GEN!$G$121:$M$121,AP$178,GEN!$P35:$V35)+SUMIF($AZ$178:$BC$178,AP$178,$AZ207:$BC207)</f>
        <v>0</v>
      </c>
      <c r="AQ207" s="229">
        <f>SUMIF(GEN!$G$121:$M$121,AQ$178,GEN!$P35:$V35)+SUMIF($AZ$178:$BC$178,AQ$178,$AZ207:$BC207)</f>
        <v>0</v>
      </c>
      <c r="AR207" s="230">
        <f>SUMIF(GEN!$G$121:$M$121,AR$178,GEN!$P35:$V35)+SUMIF($AZ$178:$BC$178,AR$178,$AZ207:$BC207)</f>
        <v>0</v>
      </c>
      <c r="AS207" s="230">
        <f>SUMIF(GEN!$G$121:$M$121,AS$178,GEN!$P35:$V35)+SUMIF($AZ$178:$BC$178,AS$178,$AZ207:$BC207)</f>
        <v>0</v>
      </c>
      <c r="AT207" s="230">
        <f>SUMIF(GEN!$G$121:$M$121,AT$178,GEN!$P35:$V35)+SUMIF($AZ$178:$BC$178,AT$178,$AZ207:$BC207)</f>
        <v>0</v>
      </c>
      <c r="AU207" s="230">
        <f>SUMIF(GEN!$G$121:$M$121,AU$178,GEN!$P35:$V35)+SUMIF($AZ$178:$BC$178,AU$178,$AZ207:$BC207)</f>
        <v>0</v>
      </c>
      <c r="AV207" s="230">
        <f>SUMIF(GEN!$G$121:$M$121,AV$178,GEN!$P35:$V35)+SUMIF($AZ$178:$BC$178,AV$178,$AZ207:$BC207)</f>
        <v>0</v>
      </c>
      <c r="AW207" s="230">
        <f>SUMIF(GEN!$G$121:$M$121,AW$178,GEN!$P35:$V35)+SUMIF($AZ$178:$BC$178,AW$178,$AZ207:$BC207)</f>
        <v>0</v>
      </c>
      <c r="AX207" s="231">
        <f>SUMIF(GEN!$G$121:$M$121,AX$178,GEN!$P35:$V35)+SUMIF($AZ$178:$BC$178,AX$178,$AZ207:$BC207)</f>
        <v>0</v>
      </c>
      <c r="AY207" s="232">
        <f>GEN!AF35</f>
        <v>0</v>
      </c>
      <c r="AZ207" s="228">
        <f>GEN!AG35</f>
        <v>0</v>
      </c>
      <c r="BA207" s="229">
        <f>GEN!AH35</f>
        <v>0</v>
      </c>
      <c r="BB207" s="230">
        <f>GEN!AI35</f>
        <v>0</v>
      </c>
      <c r="BC207" s="231">
        <f>GEN!AJ35</f>
        <v>0</v>
      </c>
      <c r="BD207" s="228">
        <f>SUMIF(GEN!$G$120:$M$120,"&gt;0",GEN!$X35:$AD35)</f>
        <v>0</v>
      </c>
      <c r="BE207" s="696"/>
      <c r="BF207" s="228">
        <f>SUMIF(GEN!$BA$6:$BG$6,BF$177,GEN!$BA35:$BG35)</f>
        <v>0</v>
      </c>
      <c r="BG207" s="229">
        <f>SUMIF(GEN!$BA$6:$BG$6,BG$177,GEN!$BA35:$BG35)</f>
        <v>0</v>
      </c>
      <c r="BH207" s="229">
        <f>SUMIF(GEN!$BA$6:$BG$6,BH$177,GEN!$BA35:$BG35)</f>
        <v>0</v>
      </c>
      <c r="BI207" s="229">
        <f>SUMIF(GEN!$BA$6:$BG$6,BI$177,GEN!$BA35:$BG35)</f>
        <v>0</v>
      </c>
      <c r="BJ207" s="229">
        <f>SUMIF(GEN!$BA$6:$BG$6,BJ$177,GEN!$BA35:$BG35)</f>
        <v>0</v>
      </c>
      <c r="BK207" s="229">
        <f>SUMIF(GEN!$BA$6:$BG$6,BK$177,GEN!$BA35:$BG35)</f>
        <v>0</v>
      </c>
      <c r="BL207" s="229">
        <f>SUMIF(GEN!$BA$6:$BG$6,BL$177,GEN!$BA35:$BG35)</f>
        <v>0</v>
      </c>
      <c r="BM207" s="229">
        <f>SUMIF(GEN!$BA$6:$BG$6,BM$177,GEN!$BA35:$BG35)</f>
        <v>0</v>
      </c>
      <c r="BN207" s="229">
        <f>SUMIF(GEN!$BA$6:$BG$6,BN$177,GEN!$BA35:$BG35)</f>
        <v>0</v>
      </c>
      <c r="BO207" s="231">
        <f>SUMIF(GEN!$BA$6:$BG$6,BO$177,GEN!$BA35:$BG35)</f>
        <v>0</v>
      </c>
      <c r="BP207" s="231">
        <f>SUMIF(GEN!$BA$6:$BG$6,BP$177,GEN!$BA35:$BG35)</f>
        <v>0</v>
      </c>
      <c r="BQ207" s="252"/>
      <c r="BR207" s="228">
        <f>SUMIF(GEN!$BA$5:$BG$5,BR$177,GEN!$BA35:$BG35)</f>
        <v>0</v>
      </c>
      <c r="BS207" s="229">
        <f>SUMIF(GEN!$BA$5:$BG$5,BS$177,GEN!$BA35:$BG35)</f>
        <v>0</v>
      </c>
      <c r="BT207" s="229">
        <f>SUMIF(GEN!$BA$5:$BG$5,BT$177,GEN!$BA35:$BG35)</f>
        <v>0</v>
      </c>
      <c r="BU207" s="229">
        <f>SUMIF(GEN!$BA$5:$BG$5,BU$177,GEN!$BA35:$BG35)</f>
        <v>0</v>
      </c>
      <c r="BV207" s="229">
        <f>SUMIF(GEN!$BA$5:$BG$5,BV$177,GEN!$BA35:$BG35)</f>
        <v>0</v>
      </c>
      <c r="BW207" s="229">
        <f>SUMIF(GEN!$BA$5:$BG$5,BW$177,GEN!$BA35:$BG35)</f>
        <v>0</v>
      </c>
      <c r="BX207" s="230">
        <f>SUMIF(GEN!$BA$5:$BG$5,BX$177,GEN!$BA35:$BG35)</f>
        <v>0</v>
      </c>
      <c r="BY207" s="998">
        <f>SUMIF(GEN!$BA$5:$BG$5,BY$177,GEN!$BA35:$BG35)</f>
        <v>0</v>
      </c>
      <c r="CB207" s="252"/>
      <c r="CC207" s="61" t="e">
        <f t="shared" si="30"/>
        <v>#N/A</v>
      </c>
      <c r="CD207" s="61">
        <f t="shared" si="31"/>
        <v>0</v>
      </c>
      <c r="CE207" s="105" t="str">
        <f t="shared" si="32"/>
        <v/>
      </c>
      <c r="CF207" s="61" t="e">
        <f t="shared" si="33"/>
        <v>#N/A</v>
      </c>
      <c r="CG207" s="61" t="e">
        <f t="shared" si="34"/>
        <v>#N/A</v>
      </c>
      <c r="CH207" s="521">
        <f>GEN!AL35-CW207+CR207</f>
        <v>0</v>
      </c>
      <c r="CI207" s="228">
        <f>SUMIF(GEN!$G$121:$M$121,CI$178,GEN!$AM35:$AS35)+SUMIF($CS$178:$CV$178,CI$178,$CS207:$CV207)</f>
        <v>0</v>
      </c>
      <c r="CJ207" s="229">
        <f>SUMIF(GEN!$G$121:$M$121,CJ$178,GEN!$AM35:$AS35)+SUMIF($CS$178:$CV$178,CJ$178,$CS207:$CV207)</f>
        <v>0</v>
      </c>
      <c r="CK207" s="230">
        <f>SUMIF(GEN!$G$121:$M$121,CK$178,GEN!$AM35:$AS35)+SUMIF($CS$178:$CV$178,CK$178,$CS207:$CV207)</f>
        <v>0</v>
      </c>
      <c r="CL207" s="230">
        <f>SUMIF(GEN!$G$121:$M$121,CL$178,GEN!$AM35:$AS35)+SUMIF($CS$178:$CV$178,CL$178,$CS207:$CV207)</f>
        <v>0</v>
      </c>
      <c r="CM207" s="230">
        <f>SUMIF(GEN!$G$121:$M$121,CM$178,GEN!$AM35:$AS35)+SUMIF($CS$178:$CV$178,CM$178,$CS207:$CV207)</f>
        <v>0</v>
      </c>
      <c r="CN207" s="230">
        <f>SUMIF(GEN!$G$121:$M$121,CN$178,GEN!$AM35:$AS35)+SUMIF($CS$178:$CV$178,CN$178,$CS207:$CV207)</f>
        <v>0</v>
      </c>
      <c r="CO207" s="230">
        <f>SUMIF(GEN!$G$121:$M$121,CO$178,GEN!$AM35:$AS35)+SUMIF($CS$178:$CV$178,CO$178,$CS207:$CV207)</f>
        <v>0</v>
      </c>
      <c r="CP207" s="230">
        <f>SUMIF(GEN!$G$121:$M$121,CP$178,GEN!$AM35:$AS35)+SUMIF($CS$178:$CV$178,CP$178,$CS207:$CV207)</f>
        <v>0</v>
      </c>
      <c r="CQ207" s="231">
        <f>SUMIF(GEN!$G$121:$M$121,CQ$178,GEN!$AM35:$AS35)+SUMIF($CS$178:$CV$178,CQ$178,$CS207:$CV207)</f>
        <v>0</v>
      </c>
      <c r="CR207" s="521">
        <f>GEN!AU35</f>
        <v>0</v>
      </c>
      <c r="CS207" s="228">
        <f>GEN!AV35</f>
        <v>0</v>
      </c>
      <c r="CT207" s="229">
        <f>GEN!AW35</f>
        <v>0</v>
      </c>
      <c r="CU207" s="230">
        <f>GEN!AX35</f>
        <v>0</v>
      </c>
      <c r="CV207" s="231">
        <f>GEN!AY35</f>
        <v>0</v>
      </c>
      <c r="CW207" s="521">
        <f>SUM(GEN!AU35:AY35)</f>
        <v>0</v>
      </c>
      <c r="CX207" s="521">
        <f>GEN!AK35</f>
        <v>0</v>
      </c>
      <c r="CY207" s="2"/>
    </row>
    <row r="208" spans="1:103" ht="14.25" hidden="1" customHeight="1" x14ac:dyDescent="0.2">
      <c r="A208" s="2"/>
      <c r="B208" s="105">
        <f t="shared" si="35"/>
        <v>45320</v>
      </c>
      <c r="C208" s="146">
        <f>IF(AND(E208&gt;(E$557-1),E208&lt;(I$557+1)),W$551,IF(ISERROR(HLOOKUP(E208,$E$550:$L$550,1,FALSE)),HLOOKUP(WEEKDAY(E208,2),IMPOSTAZIONI!$C$52:$P$57,6,FALSE),$W$550))</f>
        <v>0</v>
      </c>
      <c r="D208" s="71" t="str">
        <f t="shared" si="36"/>
        <v/>
      </c>
      <c r="E208" s="2258">
        <f t="shared" si="42"/>
        <v>45320</v>
      </c>
      <c r="F208" s="2259"/>
      <c r="G208" s="2228">
        <f>GEN!E36</f>
        <v>0</v>
      </c>
      <c r="H208" s="2229"/>
      <c r="I208" s="2230"/>
      <c r="J208" s="262" t="str">
        <f t="shared" si="25"/>
        <v/>
      </c>
      <c r="K208" s="263"/>
      <c r="L208" s="2222">
        <f t="shared" si="43"/>
        <v>5</v>
      </c>
      <c r="M208" s="2223"/>
      <c r="N208" s="261"/>
      <c r="O208" s="261"/>
      <c r="P208" s="261"/>
      <c r="Q208" s="2219">
        <f t="shared" si="38"/>
        <v>45320</v>
      </c>
      <c r="R208" s="2219"/>
      <c r="S208" s="261"/>
      <c r="T208" s="1173">
        <f t="shared" si="26"/>
        <v>0</v>
      </c>
      <c r="U208" s="261"/>
      <c r="V208" s="261"/>
      <c r="W208" s="261"/>
      <c r="X208" s="261"/>
      <c r="Y208" s="261"/>
      <c r="Z208" s="261"/>
      <c r="AA208" s="261"/>
      <c r="AB208" s="261"/>
      <c r="AC208" s="261"/>
      <c r="AD208" s="261"/>
      <c r="AE208" s="261"/>
      <c r="AF208" s="261"/>
      <c r="AG208" s="1173">
        <f t="shared" si="39"/>
        <v>0</v>
      </c>
      <c r="AH208" s="61" t="str">
        <f t="shared" si="40"/>
        <v/>
      </c>
      <c r="AI208" s="89" t="e">
        <f t="shared" si="41"/>
        <v>#N/A</v>
      </c>
      <c r="AJ208" s="2"/>
      <c r="AK208" s="61">
        <f>IF(G208=G$547,0,IF(OR(G208&lt;&gt;0,CH208&lt;&gt;0,C208="L"),COUNTIF(AK$180:AK207,"&gt;0")+1,0))</f>
        <v>0</v>
      </c>
      <c r="AL208" s="61" t="str">
        <f t="shared" si="27"/>
        <v/>
      </c>
      <c r="AM208" s="61" t="e">
        <f t="shared" si="28"/>
        <v>#N/A</v>
      </c>
      <c r="AN208" s="89" t="e">
        <f t="shared" si="29"/>
        <v>#N/A</v>
      </c>
      <c r="AO208" s="230">
        <f>SUM(GEN!X36:AD36)-BD208+AY208</f>
        <v>0</v>
      </c>
      <c r="AP208" s="228">
        <f>SUMIF(GEN!$G$121:$M$121,AP$178,GEN!$P36:$V36)+SUMIF($AZ$178:$BC$178,AP$178,$AZ208:$BC208)</f>
        <v>0</v>
      </c>
      <c r="AQ208" s="229">
        <f>SUMIF(GEN!$G$121:$M$121,AQ$178,GEN!$P36:$V36)+SUMIF($AZ$178:$BC$178,AQ$178,$AZ208:$BC208)</f>
        <v>0</v>
      </c>
      <c r="AR208" s="230">
        <f>SUMIF(GEN!$G$121:$M$121,AR$178,GEN!$P36:$V36)+SUMIF($AZ$178:$BC$178,AR$178,$AZ208:$BC208)</f>
        <v>0</v>
      </c>
      <c r="AS208" s="230">
        <f>SUMIF(GEN!$G$121:$M$121,AS$178,GEN!$P36:$V36)+SUMIF($AZ$178:$BC$178,AS$178,$AZ208:$BC208)</f>
        <v>0</v>
      </c>
      <c r="AT208" s="230">
        <f>SUMIF(GEN!$G$121:$M$121,AT$178,GEN!$P36:$V36)+SUMIF($AZ$178:$BC$178,AT$178,$AZ208:$BC208)</f>
        <v>0</v>
      </c>
      <c r="AU208" s="230">
        <f>SUMIF(GEN!$G$121:$M$121,AU$178,GEN!$P36:$V36)+SUMIF($AZ$178:$BC$178,AU$178,$AZ208:$BC208)</f>
        <v>0</v>
      </c>
      <c r="AV208" s="230">
        <f>SUMIF(GEN!$G$121:$M$121,AV$178,GEN!$P36:$V36)+SUMIF($AZ$178:$BC$178,AV$178,$AZ208:$BC208)</f>
        <v>0</v>
      </c>
      <c r="AW208" s="230">
        <f>SUMIF(GEN!$G$121:$M$121,AW$178,GEN!$P36:$V36)+SUMIF($AZ$178:$BC$178,AW$178,$AZ208:$BC208)</f>
        <v>0</v>
      </c>
      <c r="AX208" s="231">
        <f>SUMIF(GEN!$G$121:$M$121,AX$178,GEN!$P36:$V36)+SUMIF($AZ$178:$BC$178,AX$178,$AZ208:$BC208)</f>
        <v>0</v>
      </c>
      <c r="AY208" s="232">
        <f>GEN!AF36</f>
        <v>0</v>
      </c>
      <c r="AZ208" s="228">
        <f>GEN!AG36</f>
        <v>0</v>
      </c>
      <c r="BA208" s="229">
        <f>GEN!AH36</f>
        <v>0</v>
      </c>
      <c r="BB208" s="230">
        <f>GEN!AI36</f>
        <v>0</v>
      </c>
      <c r="BC208" s="231">
        <f>GEN!AJ36</f>
        <v>0</v>
      </c>
      <c r="BD208" s="228">
        <f>SUMIF(GEN!$G$120:$M$120,"&gt;0",GEN!$X36:$AD36)</f>
        <v>0</v>
      </c>
      <c r="BE208" s="696"/>
      <c r="BF208" s="228">
        <f>SUMIF(GEN!$BA$6:$BG$6,BF$177,GEN!$BA36:$BG36)</f>
        <v>0</v>
      </c>
      <c r="BG208" s="229">
        <f>SUMIF(GEN!$BA$6:$BG$6,BG$177,GEN!$BA36:$BG36)</f>
        <v>0</v>
      </c>
      <c r="BH208" s="229">
        <f>SUMIF(GEN!$BA$6:$BG$6,BH$177,GEN!$BA36:$BG36)</f>
        <v>0</v>
      </c>
      <c r="BI208" s="229">
        <f>SUMIF(GEN!$BA$6:$BG$6,BI$177,GEN!$BA36:$BG36)</f>
        <v>0</v>
      </c>
      <c r="BJ208" s="229">
        <f>SUMIF(GEN!$BA$6:$BG$6,BJ$177,GEN!$BA36:$BG36)</f>
        <v>0</v>
      </c>
      <c r="BK208" s="229">
        <f>SUMIF(GEN!$BA$6:$BG$6,BK$177,GEN!$BA36:$BG36)</f>
        <v>0</v>
      </c>
      <c r="BL208" s="229">
        <f>SUMIF(GEN!$BA$6:$BG$6,BL$177,GEN!$BA36:$BG36)</f>
        <v>0</v>
      </c>
      <c r="BM208" s="229">
        <f>SUMIF(GEN!$BA$6:$BG$6,BM$177,GEN!$BA36:$BG36)</f>
        <v>0</v>
      </c>
      <c r="BN208" s="229">
        <f>SUMIF(GEN!$BA$6:$BG$6,BN$177,GEN!$BA36:$BG36)</f>
        <v>0</v>
      </c>
      <c r="BO208" s="231">
        <f>SUMIF(GEN!$BA$6:$BG$6,BO$177,GEN!$BA36:$BG36)</f>
        <v>0</v>
      </c>
      <c r="BP208" s="231">
        <f>SUMIF(GEN!$BA$6:$BG$6,BP$177,GEN!$BA36:$BG36)</f>
        <v>0</v>
      </c>
      <c r="BQ208" s="252"/>
      <c r="BR208" s="228">
        <f>SUMIF(GEN!$BA$5:$BG$5,BR$177,GEN!$BA36:$BG36)</f>
        <v>0</v>
      </c>
      <c r="BS208" s="229">
        <f>SUMIF(GEN!$BA$5:$BG$5,BS$177,GEN!$BA36:$BG36)</f>
        <v>0</v>
      </c>
      <c r="BT208" s="229">
        <f>SUMIF(GEN!$BA$5:$BG$5,BT$177,GEN!$BA36:$BG36)</f>
        <v>0</v>
      </c>
      <c r="BU208" s="229">
        <f>SUMIF(GEN!$BA$5:$BG$5,BU$177,GEN!$BA36:$BG36)</f>
        <v>0</v>
      </c>
      <c r="BV208" s="229">
        <f>SUMIF(GEN!$BA$5:$BG$5,BV$177,GEN!$BA36:$BG36)</f>
        <v>0</v>
      </c>
      <c r="BW208" s="229">
        <f>SUMIF(GEN!$BA$5:$BG$5,BW$177,GEN!$BA36:$BG36)</f>
        <v>0</v>
      </c>
      <c r="BX208" s="230">
        <f>SUMIF(GEN!$BA$5:$BG$5,BX$177,GEN!$BA36:$BG36)</f>
        <v>0</v>
      </c>
      <c r="BY208" s="998">
        <f>SUMIF(GEN!$BA$5:$BG$5,BY$177,GEN!$BA36:$BG36)</f>
        <v>0</v>
      </c>
      <c r="CB208" s="252"/>
      <c r="CC208" s="61" t="e">
        <f t="shared" si="30"/>
        <v>#N/A</v>
      </c>
      <c r="CD208" s="61">
        <f t="shared" si="31"/>
        <v>0</v>
      </c>
      <c r="CE208" s="105" t="str">
        <f t="shared" si="32"/>
        <v/>
      </c>
      <c r="CF208" s="61" t="e">
        <f t="shared" si="33"/>
        <v>#N/A</v>
      </c>
      <c r="CG208" s="61" t="e">
        <f t="shared" si="34"/>
        <v>#N/A</v>
      </c>
      <c r="CH208" s="521">
        <f>GEN!AL36-CW208+CR208</f>
        <v>0</v>
      </c>
      <c r="CI208" s="228">
        <f>SUMIF(GEN!$G$121:$M$121,CI$178,GEN!$AM36:$AS36)+SUMIF($CS$178:$CV$178,CI$178,$CS208:$CV208)</f>
        <v>0</v>
      </c>
      <c r="CJ208" s="229">
        <f>SUMIF(GEN!$G$121:$M$121,CJ$178,GEN!$AM36:$AS36)+SUMIF($CS$178:$CV$178,CJ$178,$CS208:$CV208)</f>
        <v>0</v>
      </c>
      <c r="CK208" s="230">
        <f>SUMIF(GEN!$G$121:$M$121,CK$178,GEN!$AM36:$AS36)+SUMIF($CS$178:$CV$178,CK$178,$CS208:$CV208)</f>
        <v>0</v>
      </c>
      <c r="CL208" s="230">
        <f>SUMIF(GEN!$G$121:$M$121,CL$178,GEN!$AM36:$AS36)+SUMIF($CS$178:$CV$178,CL$178,$CS208:$CV208)</f>
        <v>0</v>
      </c>
      <c r="CM208" s="230">
        <f>SUMIF(GEN!$G$121:$M$121,CM$178,GEN!$AM36:$AS36)+SUMIF($CS$178:$CV$178,CM$178,$CS208:$CV208)</f>
        <v>0</v>
      </c>
      <c r="CN208" s="230">
        <f>SUMIF(GEN!$G$121:$M$121,CN$178,GEN!$AM36:$AS36)+SUMIF($CS$178:$CV$178,CN$178,$CS208:$CV208)</f>
        <v>0</v>
      </c>
      <c r="CO208" s="230">
        <f>SUMIF(GEN!$G$121:$M$121,CO$178,GEN!$AM36:$AS36)+SUMIF($CS$178:$CV$178,CO$178,$CS208:$CV208)</f>
        <v>0</v>
      </c>
      <c r="CP208" s="230">
        <f>SUMIF(GEN!$G$121:$M$121,CP$178,GEN!$AM36:$AS36)+SUMIF($CS$178:$CV$178,CP$178,$CS208:$CV208)</f>
        <v>0</v>
      </c>
      <c r="CQ208" s="231">
        <f>SUMIF(GEN!$G$121:$M$121,CQ$178,GEN!$AM36:$AS36)+SUMIF($CS$178:$CV$178,CQ$178,$CS208:$CV208)</f>
        <v>0</v>
      </c>
      <c r="CR208" s="521">
        <f>GEN!AU36</f>
        <v>0</v>
      </c>
      <c r="CS208" s="228">
        <f>GEN!AV36</f>
        <v>0</v>
      </c>
      <c r="CT208" s="229">
        <f>GEN!AW36</f>
        <v>0</v>
      </c>
      <c r="CU208" s="230">
        <f>GEN!AX36</f>
        <v>0</v>
      </c>
      <c r="CV208" s="231">
        <f>GEN!AY36</f>
        <v>0</v>
      </c>
      <c r="CW208" s="521">
        <f>SUM(GEN!AU36:AY36)</f>
        <v>0</v>
      </c>
      <c r="CX208" s="521">
        <f>GEN!AK36</f>
        <v>0</v>
      </c>
      <c r="CY208" s="2"/>
    </row>
    <row r="209" spans="1:103" ht="14.25" hidden="1" customHeight="1" x14ac:dyDescent="0.2">
      <c r="A209" s="2"/>
      <c r="B209" s="105">
        <f t="shared" si="35"/>
        <v>45321</v>
      </c>
      <c r="C209" s="146">
        <f>IF(AND(E209&gt;(E$557-1),E209&lt;(I$557+1)),W$551,IF(ISERROR(HLOOKUP(E209,$E$550:$L$550,1,FALSE)),HLOOKUP(WEEKDAY(E209,2),IMPOSTAZIONI!$C$52:$P$57,6,FALSE),$W$550))</f>
        <v>0</v>
      </c>
      <c r="D209" s="71" t="str">
        <f t="shared" si="36"/>
        <v/>
      </c>
      <c r="E209" s="2258">
        <f t="shared" si="42"/>
        <v>45321</v>
      </c>
      <c r="F209" s="2259"/>
      <c r="G209" s="2228">
        <f>GEN!E37</f>
        <v>0</v>
      </c>
      <c r="H209" s="2229"/>
      <c r="I209" s="2230"/>
      <c r="J209" s="262" t="str">
        <f t="shared" si="25"/>
        <v/>
      </c>
      <c r="K209" s="263"/>
      <c r="L209" s="2217">
        <f t="shared" si="43"/>
        <v>5</v>
      </c>
      <c r="M209" s="2218"/>
      <c r="N209" s="261"/>
      <c r="O209" s="261"/>
      <c r="P209" s="261"/>
      <c r="Q209" s="2219">
        <f t="shared" si="38"/>
        <v>45321</v>
      </c>
      <c r="R209" s="2219"/>
      <c r="S209" s="261"/>
      <c r="T209" s="1173">
        <f t="shared" si="26"/>
        <v>0</v>
      </c>
      <c r="U209" s="261"/>
      <c r="V209" s="261"/>
      <c r="W209" s="261"/>
      <c r="X209" s="261"/>
      <c r="Y209" s="261"/>
      <c r="Z209" s="261"/>
      <c r="AA209" s="261"/>
      <c r="AB209" s="261"/>
      <c r="AC209" s="261"/>
      <c r="AD209" s="261"/>
      <c r="AE209" s="261"/>
      <c r="AF209" s="261"/>
      <c r="AG209" s="1173">
        <f t="shared" si="39"/>
        <v>0</v>
      </c>
      <c r="AH209" s="61" t="str">
        <f t="shared" si="40"/>
        <v/>
      </c>
      <c r="AI209" s="89" t="e">
        <f t="shared" si="41"/>
        <v>#N/A</v>
      </c>
      <c r="AJ209" s="2"/>
      <c r="AK209" s="61">
        <f>IF(G209=G$547,0,IF(OR(G209&lt;&gt;0,CH209&lt;&gt;0,C209="L"),COUNTIF(AK$180:AK208,"&gt;0")+1,0))</f>
        <v>0</v>
      </c>
      <c r="AL209" s="61" t="str">
        <f t="shared" si="27"/>
        <v/>
      </c>
      <c r="AM209" s="61" t="e">
        <f t="shared" si="28"/>
        <v>#N/A</v>
      </c>
      <c r="AN209" s="89" t="e">
        <f t="shared" si="29"/>
        <v>#N/A</v>
      </c>
      <c r="AO209" s="230">
        <f>SUM(GEN!X37:AD37)-BD209+AY209</f>
        <v>0</v>
      </c>
      <c r="AP209" s="228">
        <f>SUMIF(GEN!$G$121:$M$121,AP$178,GEN!$P37:$V37)+SUMIF($AZ$178:$BC$178,AP$178,$AZ209:$BC209)</f>
        <v>0</v>
      </c>
      <c r="AQ209" s="229">
        <f>SUMIF(GEN!$G$121:$M$121,AQ$178,GEN!$P37:$V37)+SUMIF($AZ$178:$BC$178,AQ$178,$AZ209:$BC209)</f>
        <v>0</v>
      </c>
      <c r="AR209" s="230">
        <f>SUMIF(GEN!$G$121:$M$121,AR$178,GEN!$P37:$V37)+SUMIF($AZ$178:$BC$178,AR$178,$AZ209:$BC209)</f>
        <v>0</v>
      </c>
      <c r="AS209" s="230">
        <f>SUMIF(GEN!$G$121:$M$121,AS$178,GEN!$P37:$V37)+SUMIF($AZ$178:$BC$178,AS$178,$AZ209:$BC209)</f>
        <v>0</v>
      </c>
      <c r="AT209" s="230">
        <f>SUMIF(GEN!$G$121:$M$121,AT$178,GEN!$P37:$V37)+SUMIF($AZ$178:$BC$178,AT$178,$AZ209:$BC209)</f>
        <v>0</v>
      </c>
      <c r="AU209" s="230">
        <f>SUMIF(GEN!$G$121:$M$121,AU$178,GEN!$P37:$V37)+SUMIF($AZ$178:$BC$178,AU$178,$AZ209:$BC209)</f>
        <v>0</v>
      </c>
      <c r="AV209" s="230">
        <f>SUMIF(GEN!$G$121:$M$121,AV$178,GEN!$P37:$V37)+SUMIF($AZ$178:$BC$178,AV$178,$AZ209:$BC209)</f>
        <v>0</v>
      </c>
      <c r="AW209" s="230">
        <f>SUMIF(GEN!$G$121:$M$121,AW$178,GEN!$P37:$V37)+SUMIF($AZ$178:$BC$178,AW$178,$AZ209:$BC209)</f>
        <v>0</v>
      </c>
      <c r="AX209" s="231">
        <f>SUMIF(GEN!$G$121:$M$121,AX$178,GEN!$P37:$V37)+SUMIF($AZ$178:$BC$178,AX$178,$AZ209:$BC209)</f>
        <v>0</v>
      </c>
      <c r="AY209" s="232">
        <f>GEN!AF37</f>
        <v>0</v>
      </c>
      <c r="AZ209" s="228">
        <f>GEN!AG37</f>
        <v>0</v>
      </c>
      <c r="BA209" s="229">
        <f>GEN!AH37</f>
        <v>0</v>
      </c>
      <c r="BB209" s="230">
        <f>GEN!AI37</f>
        <v>0</v>
      </c>
      <c r="BC209" s="231">
        <f>GEN!AJ37</f>
        <v>0</v>
      </c>
      <c r="BD209" s="228">
        <f>SUMIF(GEN!$G$120:$M$120,"&gt;0",GEN!$X37:$AD37)</f>
        <v>0</v>
      </c>
      <c r="BE209" s="696"/>
      <c r="BF209" s="228">
        <f>SUMIF(GEN!$BA$6:$BG$6,BF$177,GEN!$BA37:$BG37)</f>
        <v>0</v>
      </c>
      <c r="BG209" s="229">
        <f>SUMIF(GEN!$BA$6:$BG$6,BG$177,GEN!$BA37:$BG37)</f>
        <v>0</v>
      </c>
      <c r="BH209" s="229">
        <f>SUMIF(GEN!$BA$6:$BG$6,BH$177,GEN!$BA37:$BG37)</f>
        <v>0</v>
      </c>
      <c r="BI209" s="229">
        <f>SUMIF(GEN!$BA$6:$BG$6,BI$177,GEN!$BA37:$BG37)</f>
        <v>0</v>
      </c>
      <c r="BJ209" s="229">
        <f>SUMIF(GEN!$BA$6:$BG$6,BJ$177,GEN!$BA37:$BG37)</f>
        <v>0</v>
      </c>
      <c r="BK209" s="229">
        <f>SUMIF(GEN!$BA$6:$BG$6,BK$177,GEN!$BA37:$BG37)</f>
        <v>0</v>
      </c>
      <c r="BL209" s="229">
        <f>SUMIF(GEN!$BA$6:$BG$6,BL$177,GEN!$BA37:$BG37)</f>
        <v>0</v>
      </c>
      <c r="BM209" s="229">
        <f>SUMIF(GEN!$BA$6:$BG$6,BM$177,GEN!$BA37:$BG37)</f>
        <v>0</v>
      </c>
      <c r="BN209" s="229">
        <f>SUMIF(GEN!$BA$6:$BG$6,BN$177,GEN!$BA37:$BG37)</f>
        <v>0</v>
      </c>
      <c r="BO209" s="231">
        <f>SUMIF(GEN!$BA$6:$BG$6,BO$177,GEN!$BA37:$BG37)</f>
        <v>0</v>
      </c>
      <c r="BP209" s="231">
        <f>SUMIF(GEN!$BA$6:$BG$6,BP$177,GEN!$BA37:$BG37)</f>
        <v>0</v>
      </c>
      <c r="BQ209" s="252"/>
      <c r="BR209" s="228">
        <f>SUMIF(GEN!$BA$5:$BG$5,BR$177,GEN!$BA37:$BG37)</f>
        <v>0</v>
      </c>
      <c r="BS209" s="229">
        <f>SUMIF(GEN!$BA$5:$BG$5,BS$177,GEN!$BA37:$BG37)</f>
        <v>0</v>
      </c>
      <c r="BT209" s="229">
        <f>SUMIF(GEN!$BA$5:$BG$5,BT$177,GEN!$BA37:$BG37)</f>
        <v>0</v>
      </c>
      <c r="BU209" s="229">
        <f>SUMIF(GEN!$BA$5:$BG$5,BU$177,GEN!$BA37:$BG37)</f>
        <v>0</v>
      </c>
      <c r="BV209" s="229">
        <f>SUMIF(GEN!$BA$5:$BG$5,BV$177,GEN!$BA37:$BG37)</f>
        <v>0</v>
      </c>
      <c r="BW209" s="229">
        <f>SUMIF(GEN!$BA$5:$BG$5,BW$177,GEN!$BA37:$BG37)</f>
        <v>0</v>
      </c>
      <c r="BX209" s="230">
        <f>SUMIF(GEN!$BA$5:$BG$5,BX$177,GEN!$BA37:$BG37)</f>
        <v>0</v>
      </c>
      <c r="BY209" s="998">
        <f>SUMIF(GEN!$BA$5:$BG$5,BY$177,GEN!$BA37:$BG37)</f>
        <v>0</v>
      </c>
      <c r="CB209" s="252"/>
      <c r="CC209" s="61" t="e">
        <f t="shared" si="30"/>
        <v>#N/A</v>
      </c>
      <c r="CD209" s="61">
        <f t="shared" si="31"/>
        <v>0</v>
      </c>
      <c r="CE209" s="105" t="str">
        <f t="shared" si="32"/>
        <v/>
      </c>
      <c r="CF209" s="61" t="e">
        <f t="shared" si="33"/>
        <v>#N/A</v>
      </c>
      <c r="CG209" s="61" t="e">
        <f t="shared" si="34"/>
        <v>#N/A</v>
      </c>
      <c r="CH209" s="521">
        <f>GEN!AL37-CW209+CR209</f>
        <v>0</v>
      </c>
      <c r="CI209" s="228">
        <f>SUMIF(GEN!$G$121:$M$121,CI$178,GEN!$AM37:$AS37)+SUMIF($CS$178:$CV$178,CI$178,$CS209:$CV209)</f>
        <v>0</v>
      </c>
      <c r="CJ209" s="229">
        <f>SUMIF(GEN!$G$121:$M$121,CJ$178,GEN!$AM37:$AS37)+SUMIF($CS$178:$CV$178,CJ$178,$CS209:$CV209)</f>
        <v>0</v>
      </c>
      <c r="CK209" s="230">
        <f>SUMIF(GEN!$G$121:$M$121,CK$178,GEN!$AM37:$AS37)+SUMIF($CS$178:$CV$178,CK$178,$CS209:$CV209)</f>
        <v>0</v>
      </c>
      <c r="CL209" s="230">
        <f>SUMIF(GEN!$G$121:$M$121,CL$178,GEN!$AM37:$AS37)+SUMIF($CS$178:$CV$178,CL$178,$CS209:$CV209)</f>
        <v>0</v>
      </c>
      <c r="CM209" s="230">
        <f>SUMIF(GEN!$G$121:$M$121,CM$178,GEN!$AM37:$AS37)+SUMIF($CS$178:$CV$178,CM$178,$CS209:$CV209)</f>
        <v>0</v>
      </c>
      <c r="CN209" s="230">
        <f>SUMIF(GEN!$G$121:$M$121,CN$178,GEN!$AM37:$AS37)+SUMIF($CS$178:$CV$178,CN$178,$CS209:$CV209)</f>
        <v>0</v>
      </c>
      <c r="CO209" s="230">
        <f>SUMIF(GEN!$G$121:$M$121,CO$178,GEN!$AM37:$AS37)+SUMIF($CS$178:$CV$178,CO$178,$CS209:$CV209)</f>
        <v>0</v>
      </c>
      <c r="CP209" s="230">
        <f>SUMIF(GEN!$G$121:$M$121,CP$178,GEN!$AM37:$AS37)+SUMIF($CS$178:$CV$178,CP$178,$CS209:$CV209)</f>
        <v>0</v>
      </c>
      <c r="CQ209" s="231">
        <f>SUMIF(GEN!$G$121:$M$121,CQ$178,GEN!$AM37:$AS37)+SUMIF($CS$178:$CV$178,CQ$178,$CS209:$CV209)</f>
        <v>0</v>
      </c>
      <c r="CR209" s="521">
        <f>GEN!AU37</f>
        <v>0</v>
      </c>
      <c r="CS209" s="228">
        <f>GEN!AV37</f>
        <v>0</v>
      </c>
      <c r="CT209" s="229">
        <f>GEN!AW37</f>
        <v>0</v>
      </c>
      <c r="CU209" s="230">
        <f>GEN!AX37</f>
        <v>0</v>
      </c>
      <c r="CV209" s="231">
        <f>GEN!AY37</f>
        <v>0</v>
      </c>
      <c r="CW209" s="521">
        <f>SUM(GEN!AU37:AY37)</f>
        <v>0</v>
      </c>
      <c r="CX209" s="521">
        <f>GEN!AK37</f>
        <v>0</v>
      </c>
      <c r="CY209" s="2"/>
    </row>
    <row r="210" spans="1:103" ht="14.25" hidden="1" customHeight="1" x14ac:dyDescent="0.2">
      <c r="A210" s="2"/>
      <c r="B210" s="105">
        <f t="shared" si="35"/>
        <v>45322</v>
      </c>
      <c r="C210" s="146">
        <f>IF(AND(E210&gt;(E$557-1),E210&lt;(I$557+1)),W$551,IF(ISERROR(HLOOKUP(E210,$E$550:$L$550,1,FALSE)),HLOOKUP(WEEKDAY(E210,2),IMPOSTAZIONI!$C$52:$P$57,6,FALSE),$W$550))</f>
        <v>0</v>
      </c>
      <c r="D210" s="71" t="str">
        <f t="shared" si="36"/>
        <v/>
      </c>
      <c r="E210" s="2262">
        <f t="shared" si="42"/>
        <v>45322</v>
      </c>
      <c r="F210" s="2263"/>
      <c r="G210" s="2266">
        <f>GEN!E38</f>
        <v>0</v>
      </c>
      <c r="H210" s="2267"/>
      <c r="I210" s="2268"/>
      <c r="J210" s="262" t="str">
        <f t="shared" si="25"/>
        <v/>
      </c>
      <c r="K210" s="263"/>
      <c r="L210" s="2217">
        <f t="shared" si="43"/>
        <v>5</v>
      </c>
      <c r="M210" s="2218"/>
      <c r="N210" s="261"/>
      <c r="O210" s="261"/>
      <c r="P210" s="261"/>
      <c r="Q210" s="2219">
        <f t="shared" si="38"/>
        <v>45322</v>
      </c>
      <c r="R210" s="2219"/>
      <c r="S210" s="261"/>
      <c r="T210" s="1173">
        <f t="shared" si="26"/>
        <v>0</v>
      </c>
      <c r="U210" s="261"/>
      <c r="V210" s="261"/>
      <c r="W210" s="261"/>
      <c r="X210" s="261"/>
      <c r="Y210" s="261"/>
      <c r="Z210" s="261"/>
      <c r="AA210" s="261"/>
      <c r="AB210" s="261"/>
      <c r="AC210" s="261"/>
      <c r="AD210" s="261"/>
      <c r="AE210" s="261"/>
      <c r="AF210" s="261"/>
      <c r="AG210" s="1173">
        <f t="shared" si="39"/>
        <v>0</v>
      </c>
      <c r="AH210" s="61" t="str">
        <f t="shared" si="40"/>
        <v/>
      </c>
      <c r="AI210" s="89" t="e">
        <f t="shared" si="41"/>
        <v>#N/A</v>
      </c>
      <c r="AJ210" s="2"/>
      <c r="AK210" s="61">
        <f>IF(G210=G$547,0,IF(OR(G210&lt;&gt;0,CH210&lt;&gt;0,C210="L"),COUNTIF(AK$180:AK209,"&gt;0")+1,0))</f>
        <v>0</v>
      </c>
      <c r="AL210" s="61" t="str">
        <f t="shared" si="27"/>
        <v/>
      </c>
      <c r="AM210" s="61" t="e">
        <f t="shared" si="28"/>
        <v>#N/A</v>
      </c>
      <c r="AN210" s="89" t="e">
        <f t="shared" si="29"/>
        <v>#N/A</v>
      </c>
      <c r="AO210" s="235">
        <f>SUM(GEN!X38:AD38)-BD210+AY210</f>
        <v>0</v>
      </c>
      <c r="AP210" s="233">
        <f>SUMIF(GEN!$G$121:$M$121,AP$178,GEN!$P38:$V38)+SUMIF($AZ$178:$BC$178,AP$178,$AZ210:$BC210)</f>
        <v>0</v>
      </c>
      <c r="AQ210" s="234">
        <f>SUMIF(GEN!$G$121:$M$121,AQ$178,GEN!$P38:$V38)+SUMIF($AZ$178:$BC$178,AQ$178,$AZ210:$BC210)</f>
        <v>0</v>
      </c>
      <c r="AR210" s="235">
        <f>SUMIF(GEN!$G$121:$M$121,AR$178,GEN!$P38:$V38)+SUMIF($AZ$178:$BC$178,AR$178,$AZ210:$BC210)</f>
        <v>0</v>
      </c>
      <c r="AS210" s="235">
        <f>SUMIF(GEN!$G$121:$M$121,AS$178,GEN!$P38:$V38)+SUMIF($AZ$178:$BC$178,AS$178,$AZ210:$BC210)</f>
        <v>0</v>
      </c>
      <c r="AT210" s="235">
        <f>SUMIF(GEN!$G$121:$M$121,AT$178,GEN!$P38:$V38)+SUMIF($AZ$178:$BC$178,AT$178,$AZ210:$BC210)</f>
        <v>0</v>
      </c>
      <c r="AU210" s="235">
        <f>SUMIF(GEN!$G$121:$M$121,AU$178,GEN!$P38:$V38)+SUMIF($AZ$178:$BC$178,AU$178,$AZ210:$BC210)</f>
        <v>0</v>
      </c>
      <c r="AV210" s="235">
        <f>SUMIF(GEN!$G$121:$M$121,AV$178,GEN!$P38:$V38)+SUMIF($AZ$178:$BC$178,AV$178,$AZ210:$BC210)</f>
        <v>0</v>
      </c>
      <c r="AW210" s="235">
        <f>SUMIF(GEN!$G$121:$M$121,AW$178,GEN!$P38:$V38)+SUMIF($AZ$178:$BC$178,AW$178,$AZ210:$BC210)</f>
        <v>0</v>
      </c>
      <c r="AX210" s="236">
        <f>SUMIF(GEN!$G$121:$M$121,AX$178,GEN!$P38:$V38)+SUMIF($AZ$178:$BC$178,AX$178,$AZ210:$BC210)</f>
        <v>0</v>
      </c>
      <c r="AY210" s="237">
        <f>GEN!AF38</f>
        <v>0</v>
      </c>
      <c r="AZ210" s="233">
        <f>GEN!AG38</f>
        <v>0</v>
      </c>
      <c r="BA210" s="234">
        <f>GEN!AH38</f>
        <v>0</v>
      </c>
      <c r="BB210" s="235">
        <f>GEN!AI38</f>
        <v>0</v>
      </c>
      <c r="BC210" s="236">
        <f>GEN!AJ38</f>
        <v>0</v>
      </c>
      <c r="BD210" s="233">
        <f>SUMIF(GEN!$G$120:$M$120,"&gt;0",GEN!$X38:$AD38)</f>
        <v>0</v>
      </c>
      <c r="BE210" s="696"/>
      <c r="BF210" s="233">
        <f>SUMIF(GEN!$BA$6:$BG$6,BF$177,GEN!$BA38:$BG38)</f>
        <v>0</v>
      </c>
      <c r="BG210" s="234">
        <f>SUMIF(GEN!$BA$6:$BG$6,BG$177,GEN!$BA38:$BG38)</f>
        <v>0</v>
      </c>
      <c r="BH210" s="234">
        <f>SUMIF(GEN!$BA$6:$BG$6,BH$177,GEN!$BA38:$BG38)</f>
        <v>0</v>
      </c>
      <c r="BI210" s="234">
        <f>SUMIF(GEN!$BA$6:$BG$6,BI$177,GEN!$BA38:$BG38)</f>
        <v>0</v>
      </c>
      <c r="BJ210" s="234">
        <f>SUMIF(GEN!$BA$6:$BG$6,BJ$177,GEN!$BA38:$BG38)</f>
        <v>0</v>
      </c>
      <c r="BK210" s="234">
        <f>SUMIF(GEN!$BA$6:$BG$6,BK$177,GEN!$BA38:$BG38)</f>
        <v>0</v>
      </c>
      <c r="BL210" s="234">
        <f>SUMIF(GEN!$BA$6:$BG$6,BL$177,GEN!$BA38:$BG38)</f>
        <v>0</v>
      </c>
      <c r="BM210" s="234">
        <f>SUMIF(GEN!$BA$6:$BG$6,BM$177,GEN!$BA38:$BG38)</f>
        <v>0</v>
      </c>
      <c r="BN210" s="234">
        <f>SUMIF(GEN!$BA$6:$BG$6,BN$177,GEN!$BA38:$BG38)</f>
        <v>0</v>
      </c>
      <c r="BO210" s="236">
        <f>SUMIF(GEN!$BA$6:$BG$6,BO$177,GEN!$BA38:$BG38)</f>
        <v>0</v>
      </c>
      <c r="BP210" s="236">
        <f>SUMIF(GEN!$BA$6:$BG$6,BP$177,GEN!$BA38:$BG38)</f>
        <v>0</v>
      </c>
      <c r="BQ210" s="252"/>
      <c r="BR210" s="233">
        <f>SUMIF(GEN!$BA$5:$BG$5,BR$177,GEN!$BA38:$BG38)</f>
        <v>0</v>
      </c>
      <c r="BS210" s="234">
        <f>SUMIF(GEN!$BA$5:$BG$5,BS$177,GEN!$BA38:$BG38)</f>
        <v>0</v>
      </c>
      <c r="BT210" s="234">
        <f>SUMIF(GEN!$BA$5:$BG$5,BT$177,GEN!$BA38:$BG38)</f>
        <v>0</v>
      </c>
      <c r="BU210" s="234">
        <f>SUMIF(GEN!$BA$5:$BG$5,BU$177,GEN!$BA38:$BG38)</f>
        <v>0</v>
      </c>
      <c r="BV210" s="234">
        <f>SUMIF(GEN!$BA$5:$BG$5,BV$177,GEN!$BA38:$BG38)</f>
        <v>0</v>
      </c>
      <c r="BW210" s="234">
        <f>SUMIF(GEN!$BA$5:$BG$5,BW$177,GEN!$BA38:$BG38)</f>
        <v>0</v>
      </c>
      <c r="BX210" s="235">
        <f>SUMIF(GEN!$BA$5:$BG$5,BX$177,GEN!$BA38:$BG38)</f>
        <v>0</v>
      </c>
      <c r="BY210" s="999">
        <f>SUMIF(GEN!$BA$5:$BG$5,BY$177,GEN!$BA38:$BG38)</f>
        <v>0</v>
      </c>
      <c r="CB210" s="252"/>
      <c r="CC210" s="61" t="e">
        <f t="shared" si="30"/>
        <v>#N/A</v>
      </c>
      <c r="CD210" s="61">
        <f t="shared" si="31"/>
        <v>0</v>
      </c>
      <c r="CE210" s="105" t="str">
        <f t="shared" si="32"/>
        <v/>
      </c>
      <c r="CF210" s="61" t="e">
        <f t="shared" si="33"/>
        <v>#N/A</v>
      </c>
      <c r="CG210" s="61" t="e">
        <f t="shared" si="34"/>
        <v>#N/A</v>
      </c>
      <c r="CH210" s="522">
        <f>GEN!AL38-CW210+CR210</f>
        <v>0</v>
      </c>
      <c r="CI210" s="233">
        <f>SUMIF(GEN!$G$121:$M$121,CI$178,GEN!$AM38:$AS38)+SUMIF($CS$178:$CV$178,CI$178,$CS210:$CV210)</f>
        <v>0</v>
      </c>
      <c r="CJ210" s="234">
        <f>SUMIF(GEN!$G$121:$M$121,CJ$178,GEN!$AM38:$AS38)+SUMIF($CS$178:$CV$178,CJ$178,$CS210:$CV210)</f>
        <v>0</v>
      </c>
      <c r="CK210" s="235">
        <f>SUMIF(GEN!$G$121:$M$121,CK$178,GEN!$AM38:$AS38)+SUMIF($CS$178:$CV$178,CK$178,$CS210:$CV210)</f>
        <v>0</v>
      </c>
      <c r="CL210" s="235">
        <f>SUMIF(GEN!$G$121:$M$121,CL$178,GEN!$AM38:$AS38)+SUMIF($CS$178:$CV$178,CL$178,$CS210:$CV210)</f>
        <v>0</v>
      </c>
      <c r="CM210" s="235">
        <f>SUMIF(GEN!$G$121:$M$121,CM$178,GEN!$AM38:$AS38)+SUMIF($CS$178:$CV$178,CM$178,$CS210:$CV210)</f>
        <v>0</v>
      </c>
      <c r="CN210" s="235">
        <f>SUMIF(GEN!$G$121:$M$121,CN$178,GEN!$AM38:$AS38)+SUMIF($CS$178:$CV$178,CN$178,$CS210:$CV210)</f>
        <v>0</v>
      </c>
      <c r="CO210" s="235">
        <f>SUMIF(GEN!$G$121:$M$121,CO$178,GEN!$AM38:$AS38)+SUMIF($CS$178:$CV$178,CO$178,$CS210:$CV210)</f>
        <v>0</v>
      </c>
      <c r="CP210" s="235">
        <f>SUMIF(GEN!$G$121:$M$121,CP$178,GEN!$AM38:$AS38)+SUMIF($CS$178:$CV$178,CP$178,$CS210:$CV210)</f>
        <v>0</v>
      </c>
      <c r="CQ210" s="236">
        <f>SUMIF(GEN!$G$121:$M$121,CQ$178,GEN!$AM38:$AS38)+SUMIF($CS$178:$CV$178,CQ$178,$CS210:$CV210)</f>
        <v>0</v>
      </c>
      <c r="CR210" s="522">
        <f>GEN!AU38</f>
        <v>0</v>
      </c>
      <c r="CS210" s="233">
        <f>GEN!AV38</f>
        <v>0</v>
      </c>
      <c r="CT210" s="234">
        <f>GEN!AW38</f>
        <v>0</v>
      </c>
      <c r="CU210" s="235">
        <f>GEN!AX38</f>
        <v>0</v>
      </c>
      <c r="CV210" s="236">
        <f>GEN!AY38</f>
        <v>0</v>
      </c>
      <c r="CW210" s="522">
        <f>SUM(GEN!AU38:AY38)</f>
        <v>0</v>
      </c>
      <c r="CX210" s="522">
        <f>GEN!AK38</f>
        <v>0</v>
      </c>
      <c r="CY210" s="2"/>
    </row>
    <row r="211" spans="1:103" ht="14.25" hidden="1" customHeight="1" x14ac:dyDescent="0.2">
      <c r="A211" s="2"/>
      <c r="B211" s="105">
        <f t="shared" si="35"/>
        <v>45323</v>
      </c>
      <c r="C211" s="146">
        <f>IF(AND(E211&gt;(E$558-1),E211&lt;(I$558+1)),W$551,IF(ISERROR(HLOOKUP(E211,$E$551:$L$551,1,FALSE)),HLOOKUP(WEEKDAY(E211,2),IMPOSTAZIONI!$C$52:$P$57,6,FALSE),$W$550))</f>
        <v>0</v>
      </c>
      <c r="D211" s="71" t="str">
        <f t="shared" si="36"/>
        <v/>
      </c>
      <c r="E211" s="2260">
        <f t="shared" si="42"/>
        <v>45323</v>
      </c>
      <c r="F211" s="2261"/>
      <c r="G211" s="2249">
        <f>FEB!E8</f>
        <v>0</v>
      </c>
      <c r="H211" s="2250"/>
      <c r="I211" s="2251"/>
      <c r="J211" s="262" t="str">
        <f t="shared" si="25"/>
        <v/>
      </c>
      <c r="K211" s="263"/>
      <c r="L211" s="2217">
        <f t="shared" si="43"/>
        <v>5</v>
      </c>
      <c r="M211" s="2218"/>
      <c r="N211" s="261"/>
      <c r="O211" s="261"/>
      <c r="P211" s="261"/>
      <c r="Q211" s="2219">
        <f t="shared" si="38"/>
        <v>45323</v>
      </c>
      <c r="R211" s="2219"/>
      <c r="S211" s="261"/>
      <c r="T211" s="1173">
        <f t="shared" si="26"/>
        <v>0</v>
      </c>
      <c r="U211" s="261"/>
      <c r="V211" s="261"/>
      <c r="W211" s="261"/>
      <c r="X211" s="261"/>
      <c r="Y211" s="261"/>
      <c r="Z211" s="261"/>
      <c r="AA211" s="261"/>
      <c r="AB211" s="261"/>
      <c r="AC211" s="261"/>
      <c r="AD211" s="261"/>
      <c r="AE211" s="261"/>
      <c r="AF211" s="261"/>
      <c r="AG211" s="1173">
        <f t="shared" si="39"/>
        <v>0</v>
      </c>
      <c r="AH211" s="61" t="str">
        <f t="shared" si="40"/>
        <v/>
      </c>
      <c r="AI211" s="89" t="e">
        <f t="shared" si="41"/>
        <v>#N/A</v>
      </c>
      <c r="AJ211" s="89">
        <f>IF(G211=G547,0,COUNTIF(T211:T239,"&gt;0"))</f>
        <v>0</v>
      </c>
      <c r="AK211" s="61">
        <f>IF(G211=G$547,0,IF(OR(G211&lt;&gt;0,CH211&lt;&gt;0,C211="L"),COUNTIF(AK$180:AK210,"&gt;0")+1,0))</f>
        <v>0</v>
      </c>
      <c r="AL211" s="61" t="str">
        <f t="shared" si="27"/>
        <v/>
      </c>
      <c r="AM211" s="61" t="e">
        <f t="shared" si="28"/>
        <v>#N/A</v>
      </c>
      <c r="AN211" s="89" t="e">
        <f t="shared" si="29"/>
        <v>#N/A</v>
      </c>
      <c r="AO211" s="240">
        <f>SUM(FEB!X8:AD8)-BD211+AY211</f>
        <v>0</v>
      </c>
      <c r="AP211" s="238">
        <f>SUMIF(FEB!$G$121:$M$121,AP$178,FEB!$P8:$V8)+SUMIF($AZ$178:$BC$178,AP$178,$AZ211:$BC211)</f>
        <v>0</v>
      </c>
      <c r="AQ211" s="239">
        <f>SUMIF(FEB!$G$121:$M$121,AQ$178,FEB!$P8:$V8)+SUMIF($AZ$178:$BC$178,AQ$178,$AZ211:$BC211)</f>
        <v>0</v>
      </c>
      <c r="AR211" s="240">
        <f>SUMIF(FEB!$G$121:$M$121,AR$178,FEB!$P8:$V8)+SUMIF($AZ$178:$BC$178,AR$178,$AZ211:$BC211)</f>
        <v>0</v>
      </c>
      <c r="AS211" s="240">
        <f>SUMIF(FEB!$G$121:$M$121,AS$178,FEB!$P8:$V8)+SUMIF($AZ$178:$BC$178,AS$178,$AZ211:$BC211)</f>
        <v>0</v>
      </c>
      <c r="AT211" s="240">
        <f>SUMIF(FEB!$G$121:$M$121,AT$178,FEB!$P8:$V8)+SUMIF($AZ$178:$BC$178,AT$178,$AZ211:$BC211)</f>
        <v>0</v>
      </c>
      <c r="AU211" s="240">
        <f>SUMIF(FEB!$G$121:$M$121,AU$178,FEB!$P8:$V8)+SUMIF($AZ$178:$BC$178,AU$178,$AZ211:$BC211)</f>
        <v>0</v>
      </c>
      <c r="AV211" s="240">
        <f>SUMIF(FEB!$G$121:$M$121,AV$178,FEB!$P8:$V8)+SUMIF($AZ$178:$BC$178,AV$178,$AZ211:$BC211)</f>
        <v>0</v>
      </c>
      <c r="AW211" s="240">
        <f>SUMIF(FEB!$G$121:$M$121,AW$178,FEB!$P8:$V8)+SUMIF($AZ$178:$BC$178,AW$178,$AZ211:$BC211)</f>
        <v>0</v>
      </c>
      <c r="AX211" s="241">
        <f>SUMIF(FEB!$G$121:$M$121,AX$178,FEB!$P8:$V8)+SUMIF($AZ$178:$BC$178,AX$178,$AZ211:$BC211)</f>
        <v>0</v>
      </c>
      <c r="AY211" s="232">
        <f>FEB!AF8</f>
        <v>0</v>
      </c>
      <c r="AZ211" s="238">
        <f>FEB!AG8</f>
        <v>0</v>
      </c>
      <c r="BA211" s="239">
        <f>FEB!AH8</f>
        <v>0</v>
      </c>
      <c r="BB211" s="240">
        <f>FEB!AI8</f>
        <v>0</v>
      </c>
      <c r="BC211" s="241">
        <f>FEB!AJ8</f>
        <v>0</v>
      </c>
      <c r="BD211" s="228">
        <f>SUMIF(FEB!$G$120:$M$120,"&gt;0",FEB!$X8:$AD8)</f>
        <v>0</v>
      </c>
      <c r="BE211" s="696"/>
      <c r="BF211" s="254">
        <f>SUMIF(FEB!$BA$6:$BG$6,BF$177,FEB!$BA8:$BG8)</f>
        <v>0</v>
      </c>
      <c r="BG211" s="255">
        <f>SUMIF(FEB!$BA$6:$BG$6,BG$177,FEB!$BA8:$BG8)</f>
        <v>0</v>
      </c>
      <c r="BH211" s="255">
        <f>SUMIF(FEB!$BA$6:$BG$6,BH$177,FEB!$BA8:$BG8)</f>
        <v>0</v>
      </c>
      <c r="BI211" s="255">
        <f>SUMIF(FEB!$BA$6:$BG$6,BI$177,FEB!$BA8:$BG8)</f>
        <v>0</v>
      </c>
      <c r="BJ211" s="255">
        <f>SUMIF(FEB!$BA$6:$BG$6,BJ$177,FEB!$BA8:$BG8)</f>
        <v>0</v>
      </c>
      <c r="BK211" s="255">
        <f>SUMIF(FEB!$BA$6:$BG$6,BK$177,FEB!$BA8:$BG8)</f>
        <v>0</v>
      </c>
      <c r="BL211" s="255">
        <f>SUMIF(FEB!$BA$6:$BG$6,BL$177,FEB!$BA8:$BG8)</f>
        <v>0</v>
      </c>
      <c r="BM211" s="255">
        <f>SUMIF(FEB!$BA$6:$BG$6,BM$177,FEB!$BA8:$BG8)</f>
        <v>0</v>
      </c>
      <c r="BN211" s="255">
        <f>SUMIF(FEB!$BA$6:$BG$6,BN$177,FEB!$BA8:$BG8)</f>
        <v>0</v>
      </c>
      <c r="BO211" s="256">
        <f>SUMIF(FEB!$BA$6:$BG$6,BO$177,FEB!$BA8:$BG8)</f>
        <v>0</v>
      </c>
      <c r="BP211" s="256">
        <f>SUMIF(FEB!$BA$6:$BG$6,BP$177,FEB!$BA8:$BG8)</f>
        <v>0</v>
      </c>
      <c r="BQ211" s="252"/>
      <c r="BR211" s="254">
        <f>SUMIF(FEB!$BA$5:$BG$5,BR$177,FEB!$BA8:$BG8)</f>
        <v>0</v>
      </c>
      <c r="BS211" s="255">
        <f>SUMIF(FEB!$BA$5:$BG$5,BS$177,FEB!$BA8:$BG8)</f>
        <v>0</v>
      </c>
      <c r="BT211" s="255">
        <f>SUMIF(FEB!$BA$5:$BG$5,BT$177,FEB!$BA8:$BG8)</f>
        <v>0</v>
      </c>
      <c r="BU211" s="255">
        <f>SUMIF(FEB!$BA$5:$BG$5,BU$177,FEB!$BA8:$BG8)</f>
        <v>0</v>
      </c>
      <c r="BV211" s="255">
        <f>SUMIF(FEB!$BA$5:$BG$5,BV$177,FEB!$BA8:$BG8)</f>
        <v>0</v>
      </c>
      <c r="BW211" s="255">
        <f>SUMIF(FEB!$BA$5:$BG$5,BW$177,FEB!$BA8:$BG8)</f>
        <v>0</v>
      </c>
      <c r="BX211" s="996">
        <f>SUMIF(FEB!$BA$5:$BG$5,BX$177,FEB!$BA8:$BG8)</f>
        <v>0</v>
      </c>
      <c r="BY211" s="997">
        <f>SUMIF(FEB!$BA$5:$BG$5,BY$177,FEB!$BA8:$BG8)</f>
        <v>0</v>
      </c>
      <c r="CB211" s="252"/>
      <c r="CC211" s="61" t="e">
        <f t="shared" si="30"/>
        <v>#N/A</v>
      </c>
      <c r="CD211" s="61">
        <f t="shared" si="31"/>
        <v>0</v>
      </c>
      <c r="CE211" s="105" t="str">
        <f t="shared" si="32"/>
        <v/>
      </c>
      <c r="CF211" s="61" t="e">
        <f t="shared" si="33"/>
        <v>#N/A</v>
      </c>
      <c r="CG211" s="61" t="e">
        <f t="shared" si="34"/>
        <v>#N/A</v>
      </c>
      <c r="CH211" s="523">
        <f>FEB!AL8-CW211+CR211</f>
        <v>0</v>
      </c>
      <c r="CI211" s="238">
        <f>SUMIF(FEB!$G$121:$M$121,CI$178,FEB!$AM8:$AS8)+SUMIF($CS$178:$CV$178,CI$178,$CS211:$CV211)</f>
        <v>0</v>
      </c>
      <c r="CJ211" s="239">
        <f>SUMIF(FEB!$G$121:$M$121,CJ$178,FEB!$AM8:$AS8)+SUMIF($CS$178:$CV$178,CJ$178,$CS211:$CV211)</f>
        <v>0</v>
      </c>
      <c r="CK211" s="240">
        <f>SUMIF(FEB!$G$121:$M$121,CK$178,FEB!$AM8:$AS8)+SUMIF($CS$178:$CV$178,CK$178,$CS211:$CV211)</f>
        <v>0</v>
      </c>
      <c r="CL211" s="240">
        <f>SUMIF(FEB!$G$121:$M$121,CL$178,FEB!$AM8:$AS8)+SUMIF($CS$178:$CV$178,CL$178,$CS211:$CV211)</f>
        <v>0</v>
      </c>
      <c r="CM211" s="240">
        <f>SUMIF(FEB!$G$121:$M$121,CM$178,FEB!$AM8:$AS8)+SUMIF($CS$178:$CV$178,CM$178,$CS211:$CV211)</f>
        <v>0</v>
      </c>
      <c r="CN211" s="240">
        <f>SUMIF(FEB!$G$121:$M$121,CN$178,FEB!$AM8:$AS8)+SUMIF($CS$178:$CV$178,CN$178,$CS211:$CV211)</f>
        <v>0</v>
      </c>
      <c r="CO211" s="240">
        <f>SUMIF(FEB!$G$121:$M$121,CO$178,FEB!$AM8:$AS8)+SUMIF($CS$178:$CV$178,CO$178,$CS211:$CV211)</f>
        <v>0</v>
      </c>
      <c r="CP211" s="240">
        <f>SUMIF(FEB!$G$121:$M$121,CP$178,FEB!$AM8:$AS8)+SUMIF($CS$178:$CV$178,CP$178,$CS211:$CV211)</f>
        <v>0</v>
      </c>
      <c r="CQ211" s="241">
        <f>SUMIF(FEB!$G$121:$M$121,CQ$178,FEB!$AM8:$AS8)+SUMIF($CS$178:$CV$178,CQ$178,$CS211:$CV211)</f>
        <v>0</v>
      </c>
      <c r="CR211" s="523">
        <f>FEB!AU8</f>
        <v>0</v>
      </c>
      <c r="CS211" s="238">
        <f>FEB!AV8</f>
        <v>0</v>
      </c>
      <c r="CT211" s="239">
        <f>FEB!AW8</f>
        <v>0</v>
      </c>
      <c r="CU211" s="240">
        <f>FEB!AX8</f>
        <v>0</v>
      </c>
      <c r="CV211" s="241">
        <f>FEB!AY8</f>
        <v>0</v>
      </c>
      <c r="CW211" s="523">
        <f>SUM(FEB!AU8:AY8)</f>
        <v>0</v>
      </c>
      <c r="CX211" s="523">
        <f>FEB!AK8</f>
        <v>0</v>
      </c>
      <c r="CY211" s="2"/>
    </row>
    <row r="212" spans="1:103" ht="14.25" hidden="1" customHeight="1" x14ac:dyDescent="0.2">
      <c r="A212" s="2"/>
      <c r="B212" s="105">
        <f t="shared" si="35"/>
        <v>45324</v>
      </c>
      <c r="C212" s="146">
        <f>IF(AND(E212&gt;(E$558-1),E212&lt;(I$558+1)),W$551,IF(ISERROR(HLOOKUP(E212,$E$551:$L$551,1,FALSE)),HLOOKUP(WEEKDAY(E212,2),IMPOSTAZIONI!$C$52:$P$57,6,FALSE),$W$550))</f>
        <v>0</v>
      </c>
      <c r="D212" s="71" t="str">
        <f t="shared" si="36"/>
        <v/>
      </c>
      <c r="E212" s="2258">
        <f t="shared" si="42"/>
        <v>45324</v>
      </c>
      <c r="F212" s="2259"/>
      <c r="G212" s="2228">
        <f>FEB!E9</f>
        <v>0</v>
      </c>
      <c r="H212" s="2229"/>
      <c r="I212" s="2230"/>
      <c r="J212" s="262" t="str">
        <f t="shared" si="25"/>
        <v/>
      </c>
      <c r="K212" s="263"/>
      <c r="L212" s="2217">
        <f t="shared" si="43"/>
        <v>5</v>
      </c>
      <c r="M212" s="2218"/>
      <c r="N212" s="261"/>
      <c r="O212" s="261"/>
      <c r="P212" s="261"/>
      <c r="Q212" s="2219">
        <f t="shared" si="38"/>
        <v>45324</v>
      </c>
      <c r="R212" s="2219"/>
      <c r="S212" s="261"/>
      <c r="T212" s="1173">
        <f t="shared" si="26"/>
        <v>0</v>
      </c>
      <c r="U212" s="261"/>
      <c r="V212" s="261"/>
      <c r="W212" s="261"/>
      <c r="X212" s="261"/>
      <c r="Y212" s="261"/>
      <c r="Z212" s="261"/>
      <c r="AA212" s="261"/>
      <c r="AB212" s="261"/>
      <c r="AC212" s="261"/>
      <c r="AD212" s="261"/>
      <c r="AE212" s="261"/>
      <c r="AF212" s="261"/>
      <c r="AG212" s="1173">
        <f t="shared" si="39"/>
        <v>0</v>
      </c>
      <c r="AH212" s="61" t="str">
        <f t="shared" si="40"/>
        <v/>
      </c>
      <c r="AI212" s="89" t="e">
        <f t="shared" si="41"/>
        <v>#N/A</v>
      </c>
      <c r="AJ212" s="2"/>
      <c r="AK212" s="61">
        <f>IF(G212=G$547,0,IF(OR(G212&lt;&gt;0,CH212&lt;&gt;0,C212="L"),COUNTIF(AK$180:AK211,"&gt;0")+1,0))</f>
        <v>0</v>
      </c>
      <c r="AL212" s="61" t="str">
        <f t="shared" si="27"/>
        <v/>
      </c>
      <c r="AM212" s="61" t="e">
        <f t="shared" si="28"/>
        <v>#N/A</v>
      </c>
      <c r="AN212" s="89" t="e">
        <f t="shared" si="29"/>
        <v>#N/A</v>
      </c>
      <c r="AO212" s="230">
        <f>SUM(FEB!X9:AD9)-BD212+AY212</f>
        <v>0</v>
      </c>
      <c r="AP212" s="228">
        <f>SUMIF(FEB!$G$121:$M$121,AP$178,FEB!$P9:$V9)+SUMIF($AZ$178:$BC$178,AP$178,$AZ212:$BC212)</f>
        <v>0</v>
      </c>
      <c r="AQ212" s="229">
        <f>SUMIF(FEB!$G$121:$M$121,AQ$178,FEB!$P9:$V9)+SUMIF($AZ$178:$BC$178,AQ$178,$AZ212:$BC212)</f>
        <v>0</v>
      </c>
      <c r="AR212" s="230">
        <f>SUMIF(FEB!$G$121:$M$121,AR$178,FEB!$P9:$V9)+SUMIF($AZ$178:$BC$178,AR$178,$AZ212:$BC212)</f>
        <v>0</v>
      </c>
      <c r="AS212" s="230">
        <f>SUMIF(FEB!$G$121:$M$121,AS$178,FEB!$P9:$V9)+SUMIF($AZ$178:$BC$178,AS$178,$AZ212:$BC212)</f>
        <v>0</v>
      </c>
      <c r="AT212" s="230">
        <f>SUMIF(FEB!$G$121:$M$121,AT$178,FEB!$P9:$V9)+SUMIF($AZ$178:$BC$178,AT$178,$AZ212:$BC212)</f>
        <v>0</v>
      </c>
      <c r="AU212" s="230">
        <f>SUMIF(FEB!$G$121:$M$121,AU$178,FEB!$P9:$V9)+SUMIF($AZ$178:$BC$178,AU$178,$AZ212:$BC212)</f>
        <v>0</v>
      </c>
      <c r="AV212" s="230">
        <f>SUMIF(FEB!$G$121:$M$121,AV$178,FEB!$P9:$V9)+SUMIF($AZ$178:$BC$178,AV$178,$AZ212:$BC212)</f>
        <v>0</v>
      </c>
      <c r="AW212" s="230">
        <f>SUMIF(FEB!$G$121:$M$121,AW$178,FEB!$P9:$V9)+SUMIF($AZ$178:$BC$178,AW$178,$AZ212:$BC212)</f>
        <v>0</v>
      </c>
      <c r="AX212" s="231">
        <f>SUMIF(FEB!$G$121:$M$121,AX$178,FEB!$P9:$V9)+SUMIF($AZ$178:$BC$178,AX$178,$AZ212:$BC212)</f>
        <v>0</v>
      </c>
      <c r="AY212" s="232">
        <f>FEB!AF9</f>
        <v>0</v>
      </c>
      <c r="AZ212" s="228">
        <f>FEB!AG9</f>
        <v>0</v>
      </c>
      <c r="BA212" s="229">
        <f>FEB!AH9</f>
        <v>0</v>
      </c>
      <c r="BB212" s="230">
        <f>FEB!AI9</f>
        <v>0</v>
      </c>
      <c r="BC212" s="231">
        <f>FEB!AJ9</f>
        <v>0</v>
      </c>
      <c r="BD212" s="228">
        <f>SUMIF(FEB!$G$120:$M$120,"&gt;0",FEB!$X9:$AD9)</f>
        <v>0</v>
      </c>
      <c r="BE212" s="696"/>
      <c r="BF212" s="228">
        <f>SUMIF(FEB!$BA$6:$BG$6,BF$177,FEB!$BA9:$BG9)</f>
        <v>0</v>
      </c>
      <c r="BG212" s="229">
        <f>SUMIF(FEB!$BA$6:$BG$6,BG$177,FEB!$BA9:$BG9)</f>
        <v>0</v>
      </c>
      <c r="BH212" s="229">
        <f>SUMIF(FEB!$BA$6:$BG$6,BH$177,FEB!$BA9:$BG9)</f>
        <v>0</v>
      </c>
      <c r="BI212" s="229">
        <f>SUMIF(FEB!$BA$6:$BG$6,BI$177,FEB!$BA9:$BG9)</f>
        <v>0</v>
      </c>
      <c r="BJ212" s="229">
        <f>SUMIF(FEB!$BA$6:$BG$6,BJ$177,FEB!$BA9:$BG9)</f>
        <v>0</v>
      </c>
      <c r="BK212" s="229">
        <f>SUMIF(FEB!$BA$6:$BG$6,BK$177,FEB!$BA9:$BG9)</f>
        <v>0</v>
      </c>
      <c r="BL212" s="229">
        <f>SUMIF(FEB!$BA$6:$BG$6,BL$177,FEB!$BA9:$BG9)</f>
        <v>0</v>
      </c>
      <c r="BM212" s="229">
        <f>SUMIF(FEB!$BA$6:$BG$6,BM$177,FEB!$BA9:$BG9)</f>
        <v>0</v>
      </c>
      <c r="BN212" s="229">
        <f>SUMIF(FEB!$BA$6:$BG$6,BN$177,FEB!$BA9:$BG9)</f>
        <v>0</v>
      </c>
      <c r="BO212" s="231">
        <f>SUMIF(FEB!$BA$6:$BG$6,BO$177,FEB!$BA9:$BG9)</f>
        <v>0</v>
      </c>
      <c r="BP212" s="231">
        <f>SUMIF(FEB!$BA$6:$BG$6,BP$177,FEB!$BA9:$BG9)</f>
        <v>0</v>
      </c>
      <c r="BQ212" s="252"/>
      <c r="BR212" s="228">
        <f>SUMIF(FEB!$BA$5:$BG$5,BR$177,FEB!$BA9:$BG9)</f>
        <v>0</v>
      </c>
      <c r="BS212" s="229">
        <f>SUMIF(FEB!$BA$5:$BG$5,BS$177,FEB!$BA9:$BG9)</f>
        <v>0</v>
      </c>
      <c r="BT212" s="229">
        <f>SUMIF(FEB!$BA$5:$BG$5,BT$177,FEB!$BA9:$BG9)</f>
        <v>0</v>
      </c>
      <c r="BU212" s="229">
        <f>SUMIF(FEB!$BA$5:$BG$5,BU$177,FEB!$BA9:$BG9)</f>
        <v>0</v>
      </c>
      <c r="BV212" s="229">
        <f>SUMIF(FEB!$BA$5:$BG$5,BV$177,FEB!$BA9:$BG9)</f>
        <v>0</v>
      </c>
      <c r="BW212" s="229">
        <f>SUMIF(FEB!$BA$5:$BG$5,BW$177,FEB!$BA9:$BG9)</f>
        <v>0</v>
      </c>
      <c r="BX212" s="230">
        <f>SUMIF(FEB!$BA$5:$BG$5,BX$177,FEB!$BA9:$BG9)</f>
        <v>0</v>
      </c>
      <c r="BY212" s="998">
        <f>SUMIF(FEB!$BA$5:$BG$5,BY$177,FEB!$BA9:$BG9)</f>
        <v>0</v>
      </c>
      <c r="CB212" s="252"/>
      <c r="CC212" s="61" t="e">
        <f t="shared" si="30"/>
        <v>#N/A</v>
      </c>
      <c r="CD212" s="61">
        <f t="shared" si="31"/>
        <v>0</v>
      </c>
      <c r="CE212" s="105" t="str">
        <f t="shared" ref="CE212:CE238" si="44">IF(AL212="Y",E212,"")</f>
        <v/>
      </c>
      <c r="CF212" s="61" t="e">
        <f t="shared" si="33"/>
        <v>#N/A</v>
      </c>
      <c r="CG212" s="61" t="e">
        <f t="shared" si="34"/>
        <v>#N/A</v>
      </c>
      <c r="CH212" s="521">
        <f>FEB!AL9-CW212+CR212</f>
        <v>0</v>
      </c>
      <c r="CI212" s="228">
        <f>SUMIF(FEB!$G$121:$M$121,CI$178,FEB!$AM9:$AS9)+SUMIF($CS$178:$CV$178,CI$178,$CS212:$CV212)</f>
        <v>0</v>
      </c>
      <c r="CJ212" s="229">
        <f>SUMIF(FEB!$G$121:$M$121,CJ$178,FEB!$AM9:$AS9)+SUMIF($CS$178:$CV$178,CJ$178,$CS212:$CV212)</f>
        <v>0</v>
      </c>
      <c r="CK212" s="230">
        <f>SUMIF(FEB!$G$121:$M$121,CK$178,FEB!$AM9:$AS9)+SUMIF($CS$178:$CV$178,CK$178,$CS212:$CV212)</f>
        <v>0</v>
      </c>
      <c r="CL212" s="230">
        <f>SUMIF(FEB!$G$121:$M$121,CL$178,FEB!$AM9:$AS9)+SUMIF($CS$178:$CV$178,CL$178,$CS212:$CV212)</f>
        <v>0</v>
      </c>
      <c r="CM212" s="230">
        <f>SUMIF(FEB!$G$121:$M$121,CM$178,FEB!$AM9:$AS9)+SUMIF($CS$178:$CV$178,CM$178,$CS212:$CV212)</f>
        <v>0</v>
      </c>
      <c r="CN212" s="230">
        <f>SUMIF(FEB!$G$121:$M$121,CN$178,FEB!$AM9:$AS9)+SUMIF($CS$178:$CV$178,CN$178,$CS212:$CV212)</f>
        <v>0</v>
      </c>
      <c r="CO212" s="230">
        <f>SUMIF(FEB!$G$121:$M$121,CO$178,FEB!$AM9:$AS9)+SUMIF($CS$178:$CV$178,CO$178,$CS212:$CV212)</f>
        <v>0</v>
      </c>
      <c r="CP212" s="230">
        <f>SUMIF(FEB!$G$121:$M$121,CP$178,FEB!$AM9:$AS9)+SUMIF($CS$178:$CV$178,CP$178,$CS212:$CV212)</f>
        <v>0</v>
      </c>
      <c r="CQ212" s="231">
        <f>SUMIF(FEB!$G$121:$M$121,CQ$178,FEB!$AM9:$AS9)+SUMIF($CS$178:$CV$178,CQ$178,$CS212:$CV212)</f>
        <v>0</v>
      </c>
      <c r="CR212" s="521">
        <f>FEB!AU9</f>
        <v>0</v>
      </c>
      <c r="CS212" s="228">
        <f>FEB!AV9</f>
        <v>0</v>
      </c>
      <c r="CT212" s="229">
        <f>FEB!AW9</f>
        <v>0</v>
      </c>
      <c r="CU212" s="230">
        <f>FEB!AX9</f>
        <v>0</v>
      </c>
      <c r="CV212" s="231">
        <f>FEB!AY9</f>
        <v>0</v>
      </c>
      <c r="CW212" s="521">
        <f>SUM(FEB!AU9:AY9)</f>
        <v>0</v>
      </c>
      <c r="CX212" s="521">
        <f>FEB!AK9</f>
        <v>0</v>
      </c>
      <c r="CY212" s="2"/>
    </row>
    <row r="213" spans="1:103" ht="14.25" hidden="1" customHeight="1" x14ac:dyDescent="0.2">
      <c r="A213" s="2"/>
      <c r="B213" s="105">
        <f t="shared" si="35"/>
        <v>45325</v>
      </c>
      <c r="C213" s="146">
        <f>IF(AND(E213&gt;(E$558-1),E213&lt;(I$558+1)),W$551,IF(ISERROR(HLOOKUP(E213,$E$551:$L$551,1,FALSE)),HLOOKUP(WEEKDAY(E213,2),IMPOSTAZIONI!$C$52:$P$57,6,FALSE),$W$550))</f>
        <v>0</v>
      </c>
      <c r="D213" s="71" t="str">
        <f t="shared" si="36"/>
        <v/>
      </c>
      <c r="E213" s="2258">
        <f t="shared" si="42"/>
        <v>45325</v>
      </c>
      <c r="F213" s="2259"/>
      <c r="G213" s="2228">
        <f>FEB!E10</f>
        <v>0</v>
      </c>
      <c r="H213" s="2229"/>
      <c r="I213" s="2230"/>
      <c r="J213" s="262" t="str">
        <f t="shared" si="25"/>
        <v/>
      </c>
      <c r="K213" s="263"/>
      <c r="L213" s="2217">
        <f t="shared" si="43"/>
        <v>5</v>
      </c>
      <c r="M213" s="2218"/>
      <c r="N213" s="261"/>
      <c r="O213" s="261"/>
      <c r="P213" s="261"/>
      <c r="Q213" s="2219">
        <f t="shared" si="38"/>
        <v>45325</v>
      </c>
      <c r="R213" s="2219"/>
      <c r="S213" s="261"/>
      <c r="T213" s="1173">
        <f t="shared" si="26"/>
        <v>0</v>
      </c>
      <c r="U213" s="261"/>
      <c r="V213" s="261"/>
      <c r="W213" s="261"/>
      <c r="X213" s="261"/>
      <c r="Y213" s="261"/>
      <c r="Z213" s="261"/>
      <c r="AA213" s="261"/>
      <c r="AB213" s="261"/>
      <c r="AC213" s="261"/>
      <c r="AD213" s="261"/>
      <c r="AE213" s="261"/>
      <c r="AF213" s="261"/>
      <c r="AG213" s="1173">
        <f t="shared" si="39"/>
        <v>0</v>
      </c>
      <c r="AH213" s="61" t="str">
        <f t="shared" si="40"/>
        <v/>
      </c>
      <c r="AI213" s="89" t="e">
        <f t="shared" si="41"/>
        <v>#N/A</v>
      </c>
      <c r="AJ213" s="2"/>
      <c r="AK213" s="61">
        <f>IF(G213=G$547,0,IF(OR(G213&lt;&gt;0,CH213&lt;&gt;0,C213="L"),COUNTIF(AK$180:AK212,"&gt;0")+1,0))</f>
        <v>0</v>
      </c>
      <c r="AL213" s="61" t="str">
        <f t="shared" si="27"/>
        <v/>
      </c>
      <c r="AM213" s="61" t="e">
        <f t="shared" si="28"/>
        <v>#N/A</v>
      </c>
      <c r="AN213" s="89" t="e">
        <f t="shared" si="29"/>
        <v>#N/A</v>
      </c>
      <c r="AO213" s="230">
        <f>SUM(FEB!X10:AD10)-BD213+AY213</f>
        <v>0</v>
      </c>
      <c r="AP213" s="228">
        <f>SUMIF(FEB!$G$121:$M$121,AP$178,FEB!$P10:$V10)+SUMIF($AZ$178:$BC$178,AP$178,$AZ213:$BC213)</f>
        <v>0</v>
      </c>
      <c r="AQ213" s="229">
        <f>SUMIF(FEB!$G$121:$M$121,AQ$178,FEB!$P10:$V10)+SUMIF($AZ$178:$BC$178,AQ$178,$AZ213:$BC213)</f>
        <v>0</v>
      </c>
      <c r="AR213" s="230">
        <f>SUMIF(FEB!$G$121:$M$121,AR$178,FEB!$P10:$V10)+SUMIF($AZ$178:$BC$178,AR$178,$AZ213:$BC213)</f>
        <v>0</v>
      </c>
      <c r="AS213" s="230">
        <f>SUMIF(FEB!$G$121:$M$121,AS$178,FEB!$P10:$V10)+SUMIF($AZ$178:$BC$178,AS$178,$AZ213:$BC213)</f>
        <v>0</v>
      </c>
      <c r="AT213" s="230">
        <f>SUMIF(FEB!$G$121:$M$121,AT$178,FEB!$P10:$V10)+SUMIF($AZ$178:$BC$178,AT$178,$AZ213:$BC213)</f>
        <v>0</v>
      </c>
      <c r="AU213" s="230">
        <f>SUMIF(FEB!$G$121:$M$121,AU$178,FEB!$P10:$V10)+SUMIF($AZ$178:$BC$178,AU$178,$AZ213:$BC213)</f>
        <v>0</v>
      </c>
      <c r="AV213" s="230">
        <f>SUMIF(FEB!$G$121:$M$121,AV$178,FEB!$P10:$V10)+SUMIF($AZ$178:$BC$178,AV$178,$AZ213:$BC213)</f>
        <v>0</v>
      </c>
      <c r="AW213" s="230">
        <f>SUMIF(FEB!$G$121:$M$121,AW$178,FEB!$P10:$V10)+SUMIF($AZ$178:$BC$178,AW$178,$AZ213:$BC213)</f>
        <v>0</v>
      </c>
      <c r="AX213" s="231">
        <f>SUMIF(FEB!$G$121:$M$121,AX$178,FEB!$P10:$V10)+SUMIF($AZ$178:$BC$178,AX$178,$AZ213:$BC213)</f>
        <v>0</v>
      </c>
      <c r="AY213" s="232">
        <f>FEB!AF10</f>
        <v>0</v>
      </c>
      <c r="AZ213" s="228">
        <f>FEB!AG10</f>
        <v>0</v>
      </c>
      <c r="BA213" s="229">
        <f>FEB!AH10</f>
        <v>0</v>
      </c>
      <c r="BB213" s="230">
        <f>FEB!AI10</f>
        <v>0</v>
      </c>
      <c r="BC213" s="231">
        <f>FEB!AJ10</f>
        <v>0</v>
      </c>
      <c r="BD213" s="228">
        <f>SUMIF(FEB!$G$120:$M$120,"&gt;0",FEB!$X10:$AD10)</f>
        <v>0</v>
      </c>
      <c r="BE213" s="696"/>
      <c r="BF213" s="228">
        <f>SUMIF(FEB!$BA$6:$BG$6,BF$177,FEB!$BA10:$BG10)</f>
        <v>0</v>
      </c>
      <c r="BG213" s="229">
        <f>SUMIF(FEB!$BA$6:$BG$6,BG$177,FEB!$BA10:$BG10)</f>
        <v>0</v>
      </c>
      <c r="BH213" s="229">
        <f>SUMIF(FEB!$BA$6:$BG$6,BH$177,FEB!$BA10:$BG10)</f>
        <v>0</v>
      </c>
      <c r="BI213" s="229">
        <f>SUMIF(FEB!$BA$6:$BG$6,BI$177,FEB!$BA10:$BG10)</f>
        <v>0</v>
      </c>
      <c r="BJ213" s="229">
        <f>SUMIF(FEB!$BA$6:$BG$6,BJ$177,FEB!$BA10:$BG10)</f>
        <v>0</v>
      </c>
      <c r="BK213" s="229">
        <f>SUMIF(FEB!$BA$6:$BG$6,BK$177,FEB!$BA10:$BG10)</f>
        <v>0</v>
      </c>
      <c r="BL213" s="229">
        <f>SUMIF(FEB!$BA$6:$BG$6,BL$177,FEB!$BA10:$BG10)</f>
        <v>0</v>
      </c>
      <c r="BM213" s="229">
        <f>SUMIF(FEB!$BA$6:$BG$6,BM$177,FEB!$BA10:$BG10)</f>
        <v>0</v>
      </c>
      <c r="BN213" s="229">
        <f>SUMIF(FEB!$BA$6:$BG$6,BN$177,FEB!$BA10:$BG10)</f>
        <v>0</v>
      </c>
      <c r="BO213" s="231">
        <f>SUMIF(FEB!$BA$6:$BG$6,BO$177,FEB!$BA10:$BG10)</f>
        <v>0</v>
      </c>
      <c r="BP213" s="231">
        <f>SUMIF(FEB!$BA$6:$BG$6,BP$177,FEB!$BA10:$BG10)</f>
        <v>0</v>
      </c>
      <c r="BQ213" s="252"/>
      <c r="BR213" s="228">
        <f>SUMIF(FEB!$BA$5:$BG$5,BR$177,FEB!$BA10:$BG10)</f>
        <v>0</v>
      </c>
      <c r="BS213" s="229">
        <f>SUMIF(FEB!$BA$5:$BG$5,BS$177,FEB!$BA10:$BG10)</f>
        <v>0</v>
      </c>
      <c r="BT213" s="229">
        <f>SUMIF(FEB!$BA$5:$BG$5,BT$177,FEB!$BA10:$BG10)</f>
        <v>0</v>
      </c>
      <c r="BU213" s="229">
        <f>SUMIF(FEB!$BA$5:$BG$5,BU$177,FEB!$BA10:$BG10)</f>
        <v>0</v>
      </c>
      <c r="BV213" s="229">
        <f>SUMIF(FEB!$BA$5:$BG$5,BV$177,FEB!$BA10:$BG10)</f>
        <v>0</v>
      </c>
      <c r="BW213" s="229">
        <f>SUMIF(FEB!$BA$5:$BG$5,BW$177,FEB!$BA10:$BG10)</f>
        <v>0</v>
      </c>
      <c r="BX213" s="230">
        <f>SUMIF(FEB!$BA$5:$BG$5,BX$177,FEB!$BA10:$BG10)</f>
        <v>0</v>
      </c>
      <c r="BY213" s="998">
        <f>SUMIF(FEB!$BA$5:$BG$5,BY$177,FEB!$BA10:$BG10)</f>
        <v>0</v>
      </c>
      <c r="CB213" s="252"/>
      <c r="CC213" s="61" t="e">
        <f t="shared" si="30"/>
        <v>#N/A</v>
      </c>
      <c r="CD213" s="61">
        <f t="shared" si="31"/>
        <v>0</v>
      </c>
      <c r="CE213" s="105" t="str">
        <f t="shared" si="44"/>
        <v/>
      </c>
      <c r="CF213" s="61" t="e">
        <f t="shared" si="33"/>
        <v>#N/A</v>
      </c>
      <c r="CG213" s="61" t="e">
        <f t="shared" si="34"/>
        <v>#N/A</v>
      </c>
      <c r="CH213" s="521">
        <f>FEB!AL10-CW213+CR213</f>
        <v>0</v>
      </c>
      <c r="CI213" s="228">
        <f>SUMIF(FEB!$G$121:$M$121,CI$178,FEB!$AM10:$AS10)+SUMIF($CS$178:$CV$178,CI$178,$CS213:$CV213)</f>
        <v>0</v>
      </c>
      <c r="CJ213" s="229">
        <f>SUMIF(FEB!$G$121:$M$121,CJ$178,FEB!$AM10:$AS10)+SUMIF($CS$178:$CV$178,CJ$178,$CS213:$CV213)</f>
        <v>0</v>
      </c>
      <c r="CK213" s="230">
        <f>SUMIF(FEB!$G$121:$M$121,CK$178,FEB!$AM10:$AS10)+SUMIF($CS$178:$CV$178,CK$178,$CS213:$CV213)</f>
        <v>0</v>
      </c>
      <c r="CL213" s="230">
        <f>SUMIF(FEB!$G$121:$M$121,CL$178,FEB!$AM10:$AS10)+SUMIF($CS$178:$CV$178,CL$178,$CS213:$CV213)</f>
        <v>0</v>
      </c>
      <c r="CM213" s="230">
        <f>SUMIF(FEB!$G$121:$M$121,CM$178,FEB!$AM10:$AS10)+SUMIF($CS$178:$CV$178,CM$178,$CS213:$CV213)</f>
        <v>0</v>
      </c>
      <c r="CN213" s="230">
        <f>SUMIF(FEB!$G$121:$M$121,CN$178,FEB!$AM10:$AS10)+SUMIF($CS$178:$CV$178,CN$178,$CS213:$CV213)</f>
        <v>0</v>
      </c>
      <c r="CO213" s="230">
        <f>SUMIF(FEB!$G$121:$M$121,CO$178,FEB!$AM10:$AS10)+SUMIF($CS$178:$CV$178,CO$178,$CS213:$CV213)</f>
        <v>0</v>
      </c>
      <c r="CP213" s="230">
        <f>SUMIF(FEB!$G$121:$M$121,CP$178,FEB!$AM10:$AS10)+SUMIF($CS$178:$CV$178,CP$178,$CS213:$CV213)</f>
        <v>0</v>
      </c>
      <c r="CQ213" s="231">
        <f>SUMIF(FEB!$G$121:$M$121,CQ$178,FEB!$AM10:$AS10)+SUMIF($CS$178:$CV$178,CQ$178,$CS213:$CV213)</f>
        <v>0</v>
      </c>
      <c r="CR213" s="521">
        <f>FEB!AU10</f>
        <v>0</v>
      </c>
      <c r="CS213" s="228">
        <f>FEB!AV10</f>
        <v>0</v>
      </c>
      <c r="CT213" s="229">
        <f>FEB!AW10</f>
        <v>0</v>
      </c>
      <c r="CU213" s="230">
        <f>FEB!AX10</f>
        <v>0</v>
      </c>
      <c r="CV213" s="231">
        <f>FEB!AY10</f>
        <v>0</v>
      </c>
      <c r="CW213" s="521">
        <f>SUM(FEB!AU10:AY10)</f>
        <v>0</v>
      </c>
      <c r="CX213" s="521">
        <f>FEB!AK10</f>
        <v>0</v>
      </c>
      <c r="CY213" s="2"/>
    </row>
    <row r="214" spans="1:103" ht="14.25" hidden="1" customHeight="1" x14ac:dyDescent="0.2">
      <c r="A214" s="2"/>
      <c r="B214" s="105">
        <f t="shared" si="35"/>
        <v>45326</v>
      </c>
      <c r="C214" s="146">
        <f>IF(AND(E214&gt;(E$558-1),E214&lt;(I$558+1)),W$551,IF(ISERROR(HLOOKUP(E214,$E$551:$L$551,1,FALSE)),HLOOKUP(WEEKDAY(E214,2),IMPOSTAZIONI!$C$52:$P$57,6,FALSE),$W$550))</f>
        <v>0</v>
      </c>
      <c r="D214" s="71" t="str">
        <f t="shared" si="36"/>
        <v/>
      </c>
      <c r="E214" s="2258">
        <f t="shared" si="42"/>
        <v>45326</v>
      </c>
      <c r="F214" s="2259"/>
      <c r="G214" s="2228">
        <f>FEB!E11</f>
        <v>0</v>
      </c>
      <c r="H214" s="2229"/>
      <c r="I214" s="2230"/>
      <c r="J214" s="262" t="str">
        <f t="shared" si="25"/>
        <v/>
      </c>
      <c r="K214" s="263"/>
      <c r="L214" s="2220">
        <f t="shared" si="43"/>
        <v>5</v>
      </c>
      <c r="M214" s="2221"/>
      <c r="N214" s="261"/>
      <c r="O214" s="261"/>
      <c r="P214" s="261"/>
      <c r="Q214" s="2219">
        <f t="shared" si="38"/>
        <v>45326</v>
      </c>
      <c r="R214" s="2219"/>
      <c r="S214" s="261"/>
      <c r="T214" s="1173">
        <f t="shared" si="26"/>
        <v>0</v>
      </c>
      <c r="U214" s="261"/>
      <c r="V214" s="261"/>
      <c r="W214" s="261"/>
      <c r="X214" s="261"/>
      <c r="Y214" s="261"/>
      <c r="Z214" s="261"/>
      <c r="AA214" s="261"/>
      <c r="AB214" s="261"/>
      <c r="AC214" s="261"/>
      <c r="AD214" s="261"/>
      <c r="AE214" s="261"/>
      <c r="AF214" s="261"/>
      <c r="AG214" s="1173">
        <f t="shared" si="39"/>
        <v>0</v>
      </c>
      <c r="AH214" s="61" t="str">
        <f t="shared" si="40"/>
        <v/>
      </c>
      <c r="AI214" s="89" t="e">
        <f t="shared" si="41"/>
        <v>#N/A</v>
      </c>
      <c r="AJ214" s="2"/>
      <c r="AK214" s="61">
        <f>IF(G214=G$547,0,IF(OR(G214&lt;&gt;0,CH214&lt;&gt;0,C214="L"),COUNTIF(AK$180:AK213,"&gt;0")+1,0))</f>
        <v>0</v>
      </c>
      <c r="AL214" s="61" t="str">
        <f t="shared" si="27"/>
        <v/>
      </c>
      <c r="AM214" s="61" t="e">
        <f t="shared" si="28"/>
        <v>#N/A</v>
      </c>
      <c r="AN214" s="89" t="e">
        <f t="shared" si="29"/>
        <v>#N/A</v>
      </c>
      <c r="AO214" s="230">
        <f>SUM(FEB!X11:AD11)-BD214+AY214</f>
        <v>0</v>
      </c>
      <c r="AP214" s="228">
        <f>SUMIF(FEB!$G$121:$M$121,AP$178,FEB!$P11:$V11)+SUMIF($AZ$178:$BC$178,AP$178,$AZ214:$BC214)</f>
        <v>0</v>
      </c>
      <c r="AQ214" s="229">
        <f>SUMIF(FEB!$G$121:$M$121,AQ$178,FEB!$P11:$V11)+SUMIF($AZ$178:$BC$178,AQ$178,$AZ214:$BC214)</f>
        <v>0</v>
      </c>
      <c r="AR214" s="230">
        <f>SUMIF(FEB!$G$121:$M$121,AR$178,FEB!$P11:$V11)+SUMIF($AZ$178:$BC$178,AR$178,$AZ214:$BC214)</f>
        <v>0</v>
      </c>
      <c r="AS214" s="230">
        <f>SUMIF(FEB!$G$121:$M$121,AS$178,FEB!$P11:$V11)+SUMIF($AZ$178:$BC$178,AS$178,$AZ214:$BC214)</f>
        <v>0</v>
      </c>
      <c r="AT214" s="230">
        <f>SUMIF(FEB!$G$121:$M$121,AT$178,FEB!$P11:$V11)+SUMIF($AZ$178:$BC$178,AT$178,$AZ214:$BC214)</f>
        <v>0</v>
      </c>
      <c r="AU214" s="230">
        <f>SUMIF(FEB!$G$121:$M$121,AU$178,FEB!$P11:$V11)+SUMIF($AZ$178:$BC$178,AU$178,$AZ214:$BC214)</f>
        <v>0</v>
      </c>
      <c r="AV214" s="230">
        <f>SUMIF(FEB!$G$121:$M$121,AV$178,FEB!$P11:$V11)+SUMIF($AZ$178:$BC$178,AV$178,$AZ214:$BC214)</f>
        <v>0</v>
      </c>
      <c r="AW214" s="230">
        <f>SUMIF(FEB!$G$121:$M$121,AW$178,FEB!$P11:$V11)+SUMIF($AZ$178:$BC$178,AW$178,$AZ214:$BC214)</f>
        <v>0</v>
      </c>
      <c r="AX214" s="231">
        <f>SUMIF(FEB!$G$121:$M$121,AX$178,FEB!$P11:$V11)+SUMIF($AZ$178:$BC$178,AX$178,$AZ214:$BC214)</f>
        <v>0</v>
      </c>
      <c r="AY214" s="232">
        <f>FEB!AF11</f>
        <v>0</v>
      </c>
      <c r="AZ214" s="228">
        <f>FEB!AG11</f>
        <v>0</v>
      </c>
      <c r="BA214" s="229">
        <f>FEB!AH11</f>
        <v>0</v>
      </c>
      <c r="BB214" s="230">
        <f>FEB!AI11</f>
        <v>0</v>
      </c>
      <c r="BC214" s="231">
        <f>FEB!AJ11</f>
        <v>0</v>
      </c>
      <c r="BD214" s="228">
        <f>SUMIF(FEB!$G$120:$M$120,"&gt;0",FEB!$X11:$AD11)</f>
        <v>0</v>
      </c>
      <c r="BE214" s="696"/>
      <c r="BF214" s="228">
        <f>SUMIF(FEB!$BA$6:$BG$6,BF$177,FEB!$BA11:$BG11)</f>
        <v>0</v>
      </c>
      <c r="BG214" s="229">
        <f>SUMIF(FEB!$BA$6:$BG$6,BG$177,FEB!$BA11:$BG11)</f>
        <v>0</v>
      </c>
      <c r="BH214" s="229">
        <f>SUMIF(FEB!$BA$6:$BG$6,BH$177,FEB!$BA11:$BG11)</f>
        <v>0</v>
      </c>
      <c r="BI214" s="229">
        <f>SUMIF(FEB!$BA$6:$BG$6,BI$177,FEB!$BA11:$BG11)</f>
        <v>0</v>
      </c>
      <c r="BJ214" s="229">
        <f>SUMIF(FEB!$BA$6:$BG$6,BJ$177,FEB!$BA11:$BG11)</f>
        <v>0</v>
      </c>
      <c r="BK214" s="229">
        <f>SUMIF(FEB!$BA$6:$BG$6,BK$177,FEB!$BA11:$BG11)</f>
        <v>0</v>
      </c>
      <c r="BL214" s="229">
        <f>SUMIF(FEB!$BA$6:$BG$6,BL$177,FEB!$BA11:$BG11)</f>
        <v>0</v>
      </c>
      <c r="BM214" s="229">
        <f>SUMIF(FEB!$BA$6:$BG$6,BM$177,FEB!$BA11:$BG11)</f>
        <v>0</v>
      </c>
      <c r="BN214" s="229">
        <f>SUMIF(FEB!$BA$6:$BG$6,BN$177,FEB!$BA11:$BG11)</f>
        <v>0</v>
      </c>
      <c r="BO214" s="231">
        <f>SUMIF(FEB!$BA$6:$BG$6,BO$177,FEB!$BA11:$BG11)</f>
        <v>0</v>
      </c>
      <c r="BP214" s="231">
        <f>SUMIF(FEB!$BA$6:$BG$6,BP$177,FEB!$BA11:$BG11)</f>
        <v>0</v>
      </c>
      <c r="BQ214" s="252"/>
      <c r="BR214" s="228">
        <f>SUMIF(FEB!$BA$5:$BG$5,BR$177,FEB!$BA11:$BG11)</f>
        <v>0</v>
      </c>
      <c r="BS214" s="229">
        <f>SUMIF(FEB!$BA$5:$BG$5,BS$177,FEB!$BA11:$BG11)</f>
        <v>0</v>
      </c>
      <c r="BT214" s="229">
        <f>SUMIF(FEB!$BA$5:$BG$5,BT$177,FEB!$BA11:$BG11)</f>
        <v>0</v>
      </c>
      <c r="BU214" s="229">
        <f>SUMIF(FEB!$BA$5:$BG$5,BU$177,FEB!$BA11:$BG11)</f>
        <v>0</v>
      </c>
      <c r="BV214" s="229">
        <f>SUMIF(FEB!$BA$5:$BG$5,BV$177,FEB!$BA11:$BG11)</f>
        <v>0</v>
      </c>
      <c r="BW214" s="229">
        <f>SUMIF(FEB!$BA$5:$BG$5,BW$177,FEB!$BA11:$BG11)</f>
        <v>0</v>
      </c>
      <c r="BX214" s="230">
        <f>SUMIF(FEB!$BA$5:$BG$5,BX$177,FEB!$BA11:$BG11)</f>
        <v>0</v>
      </c>
      <c r="BY214" s="998">
        <f>SUMIF(FEB!$BA$5:$BG$5,BY$177,FEB!$BA11:$BG11)</f>
        <v>0</v>
      </c>
      <c r="CB214" s="252"/>
      <c r="CC214" s="61" t="e">
        <f t="shared" si="30"/>
        <v>#N/A</v>
      </c>
      <c r="CD214" s="61">
        <f t="shared" si="31"/>
        <v>0</v>
      </c>
      <c r="CE214" s="105" t="str">
        <f t="shared" si="44"/>
        <v/>
      </c>
      <c r="CF214" s="61" t="e">
        <f t="shared" si="33"/>
        <v>#N/A</v>
      </c>
      <c r="CG214" s="61" t="e">
        <f t="shared" si="34"/>
        <v>#N/A</v>
      </c>
      <c r="CH214" s="521">
        <f>FEB!AL11-CW214+CR214</f>
        <v>0</v>
      </c>
      <c r="CI214" s="228">
        <f>SUMIF(FEB!$G$121:$M$121,CI$178,FEB!$AM11:$AS11)+SUMIF($CS$178:$CV$178,CI$178,$CS214:$CV214)</f>
        <v>0</v>
      </c>
      <c r="CJ214" s="229">
        <f>SUMIF(FEB!$G$121:$M$121,CJ$178,FEB!$AM11:$AS11)+SUMIF($CS$178:$CV$178,CJ$178,$CS214:$CV214)</f>
        <v>0</v>
      </c>
      <c r="CK214" s="230">
        <f>SUMIF(FEB!$G$121:$M$121,CK$178,FEB!$AM11:$AS11)+SUMIF($CS$178:$CV$178,CK$178,$CS214:$CV214)</f>
        <v>0</v>
      </c>
      <c r="CL214" s="230">
        <f>SUMIF(FEB!$G$121:$M$121,CL$178,FEB!$AM11:$AS11)+SUMIF($CS$178:$CV$178,CL$178,$CS214:$CV214)</f>
        <v>0</v>
      </c>
      <c r="CM214" s="230">
        <f>SUMIF(FEB!$G$121:$M$121,CM$178,FEB!$AM11:$AS11)+SUMIF($CS$178:$CV$178,CM$178,$CS214:$CV214)</f>
        <v>0</v>
      </c>
      <c r="CN214" s="230">
        <f>SUMIF(FEB!$G$121:$M$121,CN$178,FEB!$AM11:$AS11)+SUMIF($CS$178:$CV$178,CN$178,$CS214:$CV214)</f>
        <v>0</v>
      </c>
      <c r="CO214" s="230">
        <f>SUMIF(FEB!$G$121:$M$121,CO$178,FEB!$AM11:$AS11)+SUMIF($CS$178:$CV$178,CO$178,$CS214:$CV214)</f>
        <v>0</v>
      </c>
      <c r="CP214" s="230">
        <f>SUMIF(FEB!$G$121:$M$121,CP$178,FEB!$AM11:$AS11)+SUMIF($CS$178:$CV$178,CP$178,$CS214:$CV214)</f>
        <v>0</v>
      </c>
      <c r="CQ214" s="231">
        <f>SUMIF(FEB!$G$121:$M$121,CQ$178,FEB!$AM11:$AS11)+SUMIF($CS$178:$CV$178,CQ$178,$CS214:$CV214)</f>
        <v>0</v>
      </c>
      <c r="CR214" s="521">
        <f>FEB!AU11</f>
        <v>0</v>
      </c>
      <c r="CS214" s="228">
        <f>FEB!AV11</f>
        <v>0</v>
      </c>
      <c r="CT214" s="229">
        <f>FEB!AW11</f>
        <v>0</v>
      </c>
      <c r="CU214" s="230">
        <f>FEB!AX11</f>
        <v>0</v>
      </c>
      <c r="CV214" s="231">
        <f>FEB!AY11</f>
        <v>0</v>
      </c>
      <c r="CW214" s="521">
        <f>SUM(FEB!AU11:AY11)</f>
        <v>0</v>
      </c>
      <c r="CX214" s="521">
        <f>FEB!AK11</f>
        <v>0</v>
      </c>
      <c r="CY214" s="2"/>
    </row>
    <row r="215" spans="1:103" ht="14.25" hidden="1" customHeight="1" x14ac:dyDescent="0.2">
      <c r="A215" s="2"/>
      <c r="B215" s="105">
        <f t="shared" si="35"/>
        <v>45327</v>
      </c>
      <c r="C215" s="146">
        <f>IF(AND(E215&gt;(E$558-1),E215&lt;(I$558+1)),W$551,IF(ISERROR(HLOOKUP(E215,$E$551:$L$551,1,FALSE)),HLOOKUP(WEEKDAY(E215,2),IMPOSTAZIONI!$C$52:$P$57,6,FALSE),$W$550))</f>
        <v>0</v>
      </c>
      <c r="D215" s="71" t="str">
        <f t="shared" si="36"/>
        <v/>
      </c>
      <c r="E215" s="2258">
        <f t="shared" si="42"/>
        <v>45327</v>
      </c>
      <c r="F215" s="2259"/>
      <c r="G215" s="2228">
        <f>FEB!E12</f>
        <v>0</v>
      </c>
      <c r="H215" s="2229"/>
      <c r="I215" s="2230"/>
      <c r="J215" s="262" t="str">
        <f t="shared" si="25"/>
        <v/>
      </c>
      <c r="K215" s="263"/>
      <c r="L215" s="2222">
        <f t="shared" si="43"/>
        <v>6</v>
      </c>
      <c r="M215" s="2223"/>
      <c r="N215" s="261"/>
      <c r="O215" s="261"/>
      <c r="P215" s="261"/>
      <c r="Q215" s="2219">
        <f t="shared" si="38"/>
        <v>45327</v>
      </c>
      <c r="R215" s="2219"/>
      <c r="S215" s="261"/>
      <c r="T215" s="1173">
        <f t="shared" si="26"/>
        <v>0</v>
      </c>
      <c r="U215" s="261"/>
      <c r="V215" s="261"/>
      <c r="W215" s="261"/>
      <c r="X215" s="261"/>
      <c r="Y215" s="261"/>
      <c r="Z215" s="261"/>
      <c r="AA215" s="261"/>
      <c r="AB215" s="261"/>
      <c r="AC215" s="261"/>
      <c r="AD215" s="261"/>
      <c r="AE215" s="261"/>
      <c r="AF215" s="261"/>
      <c r="AG215" s="1173">
        <f t="shared" si="39"/>
        <v>0</v>
      </c>
      <c r="AH215" s="61" t="str">
        <f t="shared" si="40"/>
        <v/>
      </c>
      <c r="AI215" s="89" t="e">
        <f t="shared" si="41"/>
        <v>#N/A</v>
      </c>
      <c r="AJ215" s="2"/>
      <c r="AK215" s="61">
        <f>IF(G215=G$547,0,IF(OR(G215&lt;&gt;0,CH215&lt;&gt;0,C215="L"),COUNTIF(AK$180:AK214,"&gt;0")+1,0))</f>
        <v>0</v>
      </c>
      <c r="AL215" s="61" t="str">
        <f t="shared" si="27"/>
        <v/>
      </c>
      <c r="AM215" s="61" t="e">
        <f t="shared" si="28"/>
        <v>#N/A</v>
      </c>
      <c r="AN215" s="89" t="e">
        <f t="shared" si="29"/>
        <v>#N/A</v>
      </c>
      <c r="AO215" s="230">
        <f>SUM(FEB!X12:AD12)-BD215+AY215</f>
        <v>0</v>
      </c>
      <c r="AP215" s="228">
        <f>SUMIF(FEB!$G$121:$M$121,AP$178,FEB!$P12:$V12)+SUMIF($AZ$178:$BC$178,AP$178,$AZ215:$BC215)</f>
        <v>0</v>
      </c>
      <c r="AQ215" s="229">
        <f>SUMIF(FEB!$G$121:$M$121,AQ$178,FEB!$P12:$V12)+SUMIF($AZ$178:$BC$178,AQ$178,$AZ215:$BC215)</f>
        <v>0</v>
      </c>
      <c r="AR215" s="230">
        <f>SUMIF(FEB!$G$121:$M$121,AR$178,FEB!$P12:$V12)+SUMIF($AZ$178:$BC$178,AR$178,$AZ215:$BC215)</f>
        <v>0</v>
      </c>
      <c r="AS215" s="230">
        <f>SUMIF(FEB!$G$121:$M$121,AS$178,FEB!$P12:$V12)+SUMIF($AZ$178:$BC$178,AS$178,$AZ215:$BC215)</f>
        <v>0</v>
      </c>
      <c r="AT215" s="230">
        <f>SUMIF(FEB!$G$121:$M$121,AT$178,FEB!$P12:$V12)+SUMIF($AZ$178:$BC$178,AT$178,$AZ215:$BC215)</f>
        <v>0</v>
      </c>
      <c r="AU215" s="230">
        <f>SUMIF(FEB!$G$121:$M$121,AU$178,FEB!$P12:$V12)+SUMIF($AZ$178:$BC$178,AU$178,$AZ215:$BC215)</f>
        <v>0</v>
      </c>
      <c r="AV215" s="230">
        <f>SUMIF(FEB!$G$121:$M$121,AV$178,FEB!$P12:$V12)+SUMIF($AZ$178:$BC$178,AV$178,$AZ215:$BC215)</f>
        <v>0</v>
      </c>
      <c r="AW215" s="230">
        <f>SUMIF(FEB!$G$121:$M$121,AW$178,FEB!$P12:$V12)+SUMIF($AZ$178:$BC$178,AW$178,$AZ215:$BC215)</f>
        <v>0</v>
      </c>
      <c r="AX215" s="231">
        <f>SUMIF(FEB!$G$121:$M$121,AX$178,FEB!$P12:$V12)+SUMIF($AZ$178:$BC$178,AX$178,$AZ215:$BC215)</f>
        <v>0</v>
      </c>
      <c r="AY215" s="232">
        <f>FEB!AF12</f>
        <v>0</v>
      </c>
      <c r="AZ215" s="228">
        <f>FEB!AG12</f>
        <v>0</v>
      </c>
      <c r="BA215" s="229">
        <f>FEB!AH12</f>
        <v>0</v>
      </c>
      <c r="BB215" s="230">
        <f>FEB!AI12</f>
        <v>0</v>
      </c>
      <c r="BC215" s="231">
        <f>FEB!AJ12</f>
        <v>0</v>
      </c>
      <c r="BD215" s="228">
        <f>SUMIF(FEB!$G$120:$M$120,"&gt;0",FEB!$X12:$AD12)</f>
        <v>0</v>
      </c>
      <c r="BE215" s="696"/>
      <c r="BF215" s="228">
        <f>SUMIF(FEB!$BA$6:$BG$6,BF$177,FEB!$BA12:$BG12)</f>
        <v>0</v>
      </c>
      <c r="BG215" s="229">
        <f>SUMIF(FEB!$BA$6:$BG$6,BG$177,FEB!$BA12:$BG12)</f>
        <v>0</v>
      </c>
      <c r="BH215" s="229">
        <f>SUMIF(FEB!$BA$6:$BG$6,BH$177,FEB!$BA12:$BG12)</f>
        <v>0</v>
      </c>
      <c r="BI215" s="229">
        <f>SUMIF(FEB!$BA$6:$BG$6,BI$177,FEB!$BA12:$BG12)</f>
        <v>0</v>
      </c>
      <c r="BJ215" s="229">
        <f>SUMIF(FEB!$BA$6:$BG$6,BJ$177,FEB!$BA12:$BG12)</f>
        <v>0</v>
      </c>
      <c r="BK215" s="229">
        <f>SUMIF(FEB!$BA$6:$BG$6,BK$177,FEB!$BA12:$BG12)</f>
        <v>0</v>
      </c>
      <c r="BL215" s="229">
        <f>SUMIF(FEB!$BA$6:$BG$6,BL$177,FEB!$BA12:$BG12)</f>
        <v>0</v>
      </c>
      <c r="BM215" s="229">
        <f>SUMIF(FEB!$BA$6:$BG$6,BM$177,FEB!$BA12:$BG12)</f>
        <v>0</v>
      </c>
      <c r="BN215" s="229">
        <f>SUMIF(FEB!$BA$6:$BG$6,BN$177,FEB!$BA12:$BG12)</f>
        <v>0</v>
      </c>
      <c r="BO215" s="231">
        <f>SUMIF(FEB!$BA$6:$BG$6,BO$177,FEB!$BA12:$BG12)</f>
        <v>0</v>
      </c>
      <c r="BP215" s="231">
        <f>SUMIF(FEB!$BA$6:$BG$6,BP$177,FEB!$BA12:$BG12)</f>
        <v>0</v>
      </c>
      <c r="BQ215" s="252"/>
      <c r="BR215" s="228">
        <f>SUMIF(FEB!$BA$5:$BG$5,BR$177,FEB!$BA12:$BG12)</f>
        <v>0</v>
      </c>
      <c r="BS215" s="229">
        <f>SUMIF(FEB!$BA$5:$BG$5,BS$177,FEB!$BA12:$BG12)</f>
        <v>0</v>
      </c>
      <c r="BT215" s="229">
        <f>SUMIF(FEB!$BA$5:$BG$5,BT$177,FEB!$BA12:$BG12)</f>
        <v>0</v>
      </c>
      <c r="BU215" s="229">
        <f>SUMIF(FEB!$BA$5:$BG$5,BU$177,FEB!$BA12:$BG12)</f>
        <v>0</v>
      </c>
      <c r="BV215" s="229">
        <f>SUMIF(FEB!$BA$5:$BG$5,BV$177,FEB!$BA12:$BG12)</f>
        <v>0</v>
      </c>
      <c r="BW215" s="229">
        <f>SUMIF(FEB!$BA$5:$BG$5,BW$177,FEB!$BA12:$BG12)</f>
        <v>0</v>
      </c>
      <c r="BX215" s="230">
        <f>SUMIF(FEB!$BA$5:$BG$5,BX$177,FEB!$BA12:$BG12)</f>
        <v>0</v>
      </c>
      <c r="BY215" s="998">
        <f>SUMIF(FEB!$BA$5:$BG$5,BY$177,FEB!$BA12:$BG12)</f>
        <v>0</v>
      </c>
      <c r="CB215" s="252"/>
      <c r="CC215" s="61" t="e">
        <f t="shared" si="30"/>
        <v>#N/A</v>
      </c>
      <c r="CD215" s="61">
        <f t="shared" si="31"/>
        <v>0</v>
      </c>
      <c r="CE215" s="105" t="str">
        <f t="shared" si="44"/>
        <v/>
      </c>
      <c r="CF215" s="61" t="e">
        <f t="shared" si="33"/>
        <v>#N/A</v>
      </c>
      <c r="CG215" s="61" t="e">
        <f t="shared" si="34"/>
        <v>#N/A</v>
      </c>
      <c r="CH215" s="521">
        <f>FEB!AL12-CW215+CR215</f>
        <v>0</v>
      </c>
      <c r="CI215" s="228">
        <f>SUMIF(FEB!$G$121:$M$121,CI$178,FEB!$AM12:$AS12)+SUMIF($CS$178:$CV$178,CI$178,$CS215:$CV215)</f>
        <v>0</v>
      </c>
      <c r="CJ215" s="229">
        <f>SUMIF(FEB!$G$121:$M$121,CJ$178,FEB!$AM12:$AS12)+SUMIF($CS$178:$CV$178,CJ$178,$CS215:$CV215)</f>
        <v>0</v>
      </c>
      <c r="CK215" s="230">
        <f>SUMIF(FEB!$G$121:$M$121,CK$178,FEB!$AM12:$AS12)+SUMIF($CS$178:$CV$178,CK$178,$CS215:$CV215)</f>
        <v>0</v>
      </c>
      <c r="CL215" s="230">
        <f>SUMIF(FEB!$G$121:$M$121,CL$178,FEB!$AM12:$AS12)+SUMIF($CS$178:$CV$178,CL$178,$CS215:$CV215)</f>
        <v>0</v>
      </c>
      <c r="CM215" s="230">
        <f>SUMIF(FEB!$G$121:$M$121,CM$178,FEB!$AM12:$AS12)+SUMIF($CS$178:$CV$178,CM$178,$CS215:$CV215)</f>
        <v>0</v>
      </c>
      <c r="CN215" s="230">
        <f>SUMIF(FEB!$G$121:$M$121,CN$178,FEB!$AM12:$AS12)+SUMIF($CS$178:$CV$178,CN$178,$CS215:$CV215)</f>
        <v>0</v>
      </c>
      <c r="CO215" s="230">
        <f>SUMIF(FEB!$G$121:$M$121,CO$178,FEB!$AM12:$AS12)+SUMIF($CS$178:$CV$178,CO$178,$CS215:$CV215)</f>
        <v>0</v>
      </c>
      <c r="CP215" s="230">
        <f>SUMIF(FEB!$G$121:$M$121,CP$178,FEB!$AM12:$AS12)+SUMIF($CS$178:$CV$178,CP$178,$CS215:$CV215)</f>
        <v>0</v>
      </c>
      <c r="CQ215" s="231">
        <f>SUMIF(FEB!$G$121:$M$121,CQ$178,FEB!$AM12:$AS12)+SUMIF($CS$178:$CV$178,CQ$178,$CS215:$CV215)</f>
        <v>0</v>
      </c>
      <c r="CR215" s="521">
        <f>FEB!AU12</f>
        <v>0</v>
      </c>
      <c r="CS215" s="228">
        <f>FEB!AV12</f>
        <v>0</v>
      </c>
      <c r="CT215" s="229">
        <f>FEB!AW12</f>
        <v>0</v>
      </c>
      <c r="CU215" s="230">
        <f>FEB!AX12</f>
        <v>0</v>
      </c>
      <c r="CV215" s="231">
        <f>FEB!AY12</f>
        <v>0</v>
      </c>
      <c r="CW215" s="521">
        <f>SUM(FEB!AU12:AY12)</f>
        <v>0</v>
      </c>
      <c r="CX215" s="521">
        <f>FEB!AK12</f>
        <v>0</v>
      </c>
      <c r="CY215" s="2"/>
    </row>
    <row r="216" spans="1:103" ht="14.25" hidden="1" customHeight="1" x14ac:dyDescent="0.2">
      <c r="A216" s="2"/>
      <c r="B216" s="105">
        <f t="shared" si="35"/>
        <v>45328</v>
      </c>
      <c r="C216" s="146">
        <f>IF(AND(E216&gt;(E$558-1),E216&lt;(I$558+1)),W$551,IF(ISERROR(HLOOKUP(E216,$E$551:$L$551,1,FALSE)),HLOOKUP(WEEKDAY(E216,2),IMPOSTAZIONI!$C$52:$P$57,6,FALSE),$W$550))</f>
        <v>0</v>
      </c>
      <c r="D216" s="71" t="str">
        <f t="shared" si="36"/>
        <v/>
      </c>
      <c r="E216" s="2258">
        <f t="shared" si="42"/>
        <v>45328</v>
      </c>
      <c r="F216" s="2259"/>
      <c r="G216" s="2228">
        <f>FEB!E13</f>
        <v>0</v>
      </c>
      <c r="H216" s="2229"/>
      <c r="I216" s="2230"/>
      <c r="J216" s="262" t="str">
        <f t="shared" si="25"/>
        <v/>
      </c>
      <c r="K216" s="263"/>
      <c r="L216" s="2217">
        <f t="shared" si="43"/>
        <v>6</v>
      </c>
      <c r="M216" s="2218"/>
      <c r="N216" s="261"/>
      <c r="O216" s="261"/>
      <c r="P216" s="261"/>
      <c r="Q216" s="2219">
        <f t="shared" si="38"/>
        <v>45328</v>
      </c>
      <c r="R216" s="2219"/>
      <c r="S216" s="261"/>
      <c r="T216" s="1173">
        <f t="shared" si="26"/>
        <v>0</v>
      </c>
      <c r="U216" s="261"/>
      <c r="V216" s="261"/>
      <c r="W216" s="261"/>
      <c r="X216" s="261"/>
      <c r="Y216" s="261"/>
      <c r="Z216" s="261"/>
      <c r="AA216" s="261"/>
      <c r="AB216" s="261"/>
      <c r="AC216" s="261"/>
      <c r="AD216" s="261"/>
      <c r="AE216" s="261"/>
      <c r="AF216" s="261"/>
      <c r="AG216" s="1173">
        <f t="shared" si="39"/>
        <v>0</v>
      </c>
      <c r="AH216" s="61" t="str">
        <f t="shared" si="40"/>
        <v/>
      </c>
      <c r="AI216" s="89" t="e">
        <f t="shared" si="41"/>
        <v>#N/A</v>
      </c>
      <c r="AJ216" s="2"/>
      <c r="AK216" s="61">
        <f>IF(G216=G$547,0,IF(OR(G216&lt;&gt;0,CH216&lt;&gt;0,C216="L"),COUNTIF(AK$180:AK215,"&gt;0")+1,0))</f>
        <v>0</v>
      </c>
      <c r="AL216" s="61" t="str">
        <f t="shared" si="27"/>
        <v/>
      </c>
      <c r="AM216" s="61" t="e">
        <f t="shared" si="28"/>
        <v>#N/A</v>
      </c>
      <c r="AN216" s="89" t="e">
        <f t="shared" si="29"/>
        <v>#N/A</v>
      </c>
      <c r="AO216" s="230">
        <f>SUM(FEB!X13:AD13)-BD216+AY216</f>
        <v>0</v>
      </c>
      <c r="AP216" s="228">
        <f>SUMIF(FEB!$G$121:$M$121,AP$178,FEB!$P13:$V13)+SUMIF($AZ$178:$BC$178,AP$178,$AZ216:$BC216)</f>
        <v>0</v>
      </c>
      <c r="AQ216" s="229">
        <f>SUMIF(FEB!$G$121:$M$121,AQ$178,FEB!$P13:$V13)+SUMIF($AZ$178:$BC$178,AQ$178,$AZ216:$BC216)</f>
        <v>0</v>
      </c>
      <c r="AR216" s="230">
        <f>SUMIF(FEB!$G$121:$M$121,AR$178,FEB!$P13:$V13)+SUMIF($AZ$178:$BC$178,AR$178,$AZ216:$BC216)</f>
        <v>0</v>
      </c>
      <c r="AS216" s="230">
        <f>SUMIF(FEB!$G$121:$M$121,AS$178,FEB!$P13:$V13)+SUMIF($AZ$178:$BC$178,AS$178,$AZ216:$BC216)</f>
        <v>0</v>
      </c>
      <c r="AT216" s="230">
        <f>SUMIF(FEB!$G$121:$M$121,AT$178,FEB!$P13:$V13)+SUMIF($AZ$178:$BC$178,AT$178,$AZ216:$BC216)</f>
        <v>0</v>
      </c>
      <c r="AU216" s="230">
        <f>SUMIF(FEB!$G$121:$M$121,AU$178,FEB!$P13:$V13)+SUMIF($AZ$178:$BC$178,AU$178,$AZ216:$BC216)</f>
        <v>0</v>
      </c>
      <c r="AV216" s="230">
        <f>SUMIF(FEB!$G$121:$M$121,AV$178,FEB!$P13:$V13)+SUMIF($AZ$178:$BC$178,AV$178,$AZ216:$BC216)</f>
        <v>0</v>
      </c>
      <c r="AW216" s="230">
        <f>SUMIF(FEB!$G$121:$M$121,AW$178,FEB!$P13:$V13)+SUMIF($AZ$178:$BC$178,AW$178,$AZ216:$BC216)</f>
        <v>0</v>
      </c>
      <c r="AX216" s="231">
        <f>SUMIF(FEB!$G$121:$M$121,AX$178,FEB!$P13:$V13)+SUMIF($AZ$178:$BC$178,AX$178,$AZ216:$BC216)</f>
        <v>0</v>
      </c>
      <c r="AY216" s="232">
        <f>FEB!AF13</f>
        <v>0</v>
      </c>
      <c r="AZ216" s="228">
        <f>FEB!AG13</f>
        <v>0</v>
      </c>
      <c r="BA216" s="229">
        <f>FEB!AH13</f>
        <v>0</v>
      </c>
      <c r="BB216" s="230">
        <f>FEB!AI13</f>
        <v>0</v>
      </c>
      <c r="BC216" s="231">
        <f>FEB!AJ13</f>
        <v>0</v>
      </c>
      <c r="BD216" s="228">
        <f>SUMIF(FEB!$G$120:$M$120,"&gt;0",FEB!$X13:$AD13)</f>
        <v>0</v>
      </c>
      <c r="BE216" s="696"/>
      <c r="BF216" s="228">
        <f>SUMIF(FEB!$BA$6:$BG$6,BF$177,FEB!$BA13:$BG13)</f>
        <v>0</v>
      </c>
      <c r="BG216" s="229">
        <f>SUMIF(FEB!$BA$6:$BG$6,BG$177,FEB!$BA13:$BG13)</f>
        <v>0</v>
      </c>
      <c r="BH216" s="229">
        <f>SUMIF(FEB!$BA$6:$BG$6,BH$177,FEB!$BA13:$BG13)</f>
        <v>0</v>
      </c>
      <c r="BI216" s="229">
        <f>SUMIF(FEB!$BA$6:$BG$6,BI$177,FEB!$BA13:$BG13)</f>
        <v>0</v>
      </c>
      <c r="BJ216" s="229">
        <f>SUMIF(FEB!$BA$6:$BG$6,BJ$177,FEB!$BA13:$BG13)</f>
        <v>0</v>
      </c>
      <c r="BK216" s="229">
        <f>SUMIF(FEB!$BA$6:$BG$6,BK$177,FEB!$BA13:$BG13)</f>
        <v>0</v>
      </c>
      <c r="BL216" s="229">
        <f>SUMIF(FEB!$BA$6:$BG$6,BL$177,FEB!$BA13:$BG13)</f>
        <v>0</v>
      </c>
      <c r="BM216" s="229">
        <f>SUMIF(FEB!$BA$6:$BG$6,BM$177,FEB!$BA13:$BG13)</f>
        <v>0</v>
      </c>
      <c r="BN216" s="229">
        <f>SUMIF(FEB!$BA$6:$BG$6,BN$177,FEB!$BA13:$BG13)</f>
        <v>0</v>
      </c>
      <c r="BO216" s="231">
        <f>SUMIF(FEB!$BA$6:$BG$6,BO$177,FEB!$BA13:$BG13)</f>
        <v>0</v>
      </c>
      <c r="BP216" s="231">
        <f>SUMIF(FEB!$BA$6:$BG$6,BP$177,FEB!$BA13:$BG13)</f>
        <v>0</v>
      </c>
      <c r="BQ216" s="252"/>
      <c r="BR216" s="228">
        <f>SUMIF(FEB!$BA$5:$BG$5,BR$177,FEB!$BA13:$BG13)</f>
        <v>0</v>
      </c>
      <c r="BS216" s="229">
        <f>SUMIF(FEB!$BA$5:$BG$5,BS$177,FEB!$BA13:$BG13)</f>
        <v>0</v>
      </c>
      <c r="BT216" s="229">
        <f>SUMIF(FEB!$BA$5:$BG$5,BT$177,FEB!$BA13:$BG13)</f>
        <v>0</v>
      </c>
      <c r="BU216" s="229">
        <f>SUMIF(FEB!$BA$5:$BG$5,BU$177,FEB!$BA13:$BG13)</f>
        <v>0</v>
      </c>
      <c r="BV216" s="229">
        <f>SUMIF(FEB!$BA$5:$BG$5,BV$177,FEB!$BA13:$BG13)</f>
        <v>0</v>
      </c>
      <c r="BW216" s="229">
        <f>SUMIF(FEB!$BA$5:$BG$5,BW$177,FEB!$BA13:$BG13)</f>
        <v>0</v>
      </c>
      <c r="BX216" s="230">
        <f>SUMIF(FEB!$BA$5:$BG$5,BX$177,FEB!$BA13:$BG13)</f>
        <v>0</v>
      </c>
      <c r="BY216" s="998">
        <f>SUMIF(FEB!$BA$5:$BG$5,BY$177,FEB!$BA13:$BG13)</f>
        <v>0</v>
      </c>
      <c r="CB216" s="252"/>
      <c r="CC216" s="61" t="e">
        <f t="shared" si="30"/>
        <v>#N/A</v>
      </c>
      <c r="CD216" s="61">
        <f t="shared" si="31"/>
        <v>0</v>
      </c>
      <c r="CE216" s="105" t="str">
        <f t="shared" si="44"/>
        <v/>
      </c>
      <c r="CF216" s="61" t="e">
        <f t="shared" si="33"/>
        <v>#N/A</v>
      </c>
      <c r="CG216" s="61" t="e">
        <f t="shared" si="34"/>
        <v>#N/A</v>
      </c>
      <c r="CH216" s="521">
        <f>FEB!AL13-CW216+CR216</f>
        <v>0</v>
      </c>
      <c r="CI216" s="228">
        <f>SUMIF(FEB!$G$121:$M$121,CI$178,FEB!$AM13:$AS13)+SUMIF($CS$178:$CV$178,CI$178,$CS216:$CV216)</f>
        <v>0</v>
      </c>
      <c r="CJ216" s="229">
        <f>SUMIF(FEB!$G$121:$M$121,CJ$178,FEB!$AM13:$AS13)+SUMIF($CS$178:$CV$178,CJ$178,$CS216:$CV216)</f>
        <v>0</v>
      </c>
      <c r="CK216" s="230">
        <f>SUMIF(FEB!$G$121:$M$121,CK$178,FEB!$AM13:$AS13)+SUMIF($CS$178:$CV$178,CK$178,$CS216:$CV216)</f>
        <v>0</v>
      </c>
      <c r="CL216" s="230">
        <f>SUMIF(FEB!$G$121:$M$121,CL$178,FEB!$AM13:$AS13)+SUMIF($CS$178:$CV$178,CL$178,$CS216:$CV216)</f>
        <v>0</v>
      </c>
      <c r="CM216" s="230">
        <f>SUMIF(FEB!$G$121:$M$121,CM$178,FEB!$AM13:$AS13)+SUMIF($CS$178:$CV$178,CM$178,$CS216:$CV216)</f>
        <v>0</v>
      </c>
      <c r="CN216" s="230">
        <f>SUMIF(FEB!$G$121:$M$121,CN$178,FEB!$AM13:$AS13)+SUMIF($CS$178:$CV$178,CN$178,$CS216:$CV216)</f>
        <v>0</v>
      </c>
      <c r="CO216" s="230">
        <f>SUMIF(FEB!$G$121:$M$121,CO$178,FEB!$AM13:$AS13)+SUMIF($CS$178:$CV$178,CO$178,$CS216:$CV216)</f>
        <v>0</v>
      </c>
      <c r="CP216" s="230">
        <f>SUMIF(FEB!$G$121:$M$121,CP$178,FEB!$AM13:$AS13)+SUMIF($CS$178:$CV$178,CP$178,$CS216:$CV216)</f>
        <v>0</v>
      </c>
      <c r="CQ216" s="231">
        <f>SUMIF(FEB!$G$121:$M$121,CQ$178,FEB!$AM13:$AS13)+SUMIF($CS$178:$CV$178,CQ$178,$CS216:$CV216)</f>
        <v>0</v>
      </c>
      <c r="CR216" s="521">
        <f>FEB!AU13</f>
        <v>0</v>
      </c>
      <c r="CS216" s="228">
        <f>FEB!AV13</f>
        <v>0</v>
      </c>
      <c r="CT216" s="229">
        <f>FEB!AW13</f>
        <v>0</v>
      </c>
      <c r="CU216" s="230">
        <f>FEB!AX13</f>
        <v>0</v>
      </c>
      <c r="CV216" s="231">
        <f>FEB!AY13</f>
        <v>0</v>
      </c>
      <c r="CW216" s="521">
        <f>SUM(FEB!AU13:AY13)</f>
        <v>0</v>
      </c>
      <c r="CX216" s="521">
        <f>FEB!AK13</f>
        <v>0</v>
      </c>
      <c r="CY216" s="2"/>
    </row>
    <row r="217" spans="1:103" ht="14.25" hidden="1" customHeight="1" x14ac:dyDescent="0.2">
      <c r="A217" s="2"/>
      <c r="B217" s="105">
        <f t="shared" si="35"/>
        <v>45329</v>
      </c>
      <c r="C217" s="146">
        <f>IF(AND(E217&gt;(E$558-1),E217&lt;(I$558+1)),W$551,IF(ISERROR(HLOOKUP(E217,$E$551:$L$551,1,FALSE)),HLOOKUP(WEEKDAY(E217,2),IMPOSTAZIONI!$C$52:$P$57,6,FALSE),$W$550))</f>
        <v>0</v>
      </c>
      <c r="D217" s="71" t="str">
        <f t="shared" si="36"/>
        <v/>
      </c>
      <c r="E217" s="2258">
        <f t="shared" si="42"/>
        <v>45329</v>
      </c>
      <c r="F217" s="2259"/>
      <c r="G217" s="2228">
        <f>FEB!E14</f>
        <v>0</v>
      </c>
      <c r="H217" s="2229"/>
      <c r="I217" s="2230"/>
      <c r="J217" s="262" t="str">
        <f t="shared" si="25"/>
        <v/>
      </c>
      <c r="K217" s="263"/>
      <c r="L217" s="2217">
        <f t="shared" si="43"/>
        <v>6</v>
      </c>
      <c r="M217" s="2218"/>
      <c r="N217" s="261"/>
      <c r="O217" s="261"/>
      <c r="P217" s="261"/>
      <c r="Q217" s="2219">
        <f t="shared" si="38"/>
        <v>45329</v>
      </c>
      <c r="R217" s="2219"/>
      <c r="S217" s="261"/>
      <c r="T217" s="1173">
        <f t="shared" si="26"/>
        <v>0</v>
      </c>
      <c r="U217" s="261"/>
      <c r="V217" s="261"/>
      <c r="W217" s="261"/>
      <c r="X217" s="261"/>
      <c r="Y217" s="261"/>
      <c r="Z217" s="261"/>
      <c r="AA217" s="261"/>
      <c r="AB217" s="261"/>
      <c r="AC217" s="261"/>
      <c r="AD217" s="261"/>
      <c r="AE217" s="261"/>
      <c r="AF217" s="261"/>
      <c r="AG217" s="1173">
        <f t="shared" si="39"/>
        <v>0</v>
      </c>
      <c r="AH217" s="61" t="str">
        <f t="shared" si="40"/>
        <v/>
      </c>
      <c r="AI217" s="89" t="e">
        <f t="shared" si="41"/>
        <v>#N/A</v>
      </c>
      <c r="AJ217" s="2"/>
      <c r="AK217" s="61">
        <f>IF(G217=G$547,0,IF(OR(G217&lt;&gt;0,CH217&lt;&gt;0,C217="L"),COUNTIF(AK$180:AK216,"&gt;0")+1,0))</f>
        <v>0</v>
      </c>
      <c r="AL217" s="61" t="str">
        <f t="shared" si="27"/>
        <v/>
      </c>
      <c r="AM217" s="61" t="e">
        <f t="shared" si="28"/>
        <v>#N/A</v>
      </c>
      <c r="AN217" s="89" t="e">
        <f t="shared" si="29"/>
        <v>#N/A</v>
      </c>
      <c r="AO217" s="230">
        <f>SUM(FEB!X14:AD14)-BD217+AY217</f>
        <v>0</v>
      </c>
      <c r="AP217" s="228">
        <f>SUMIF(FEB!$G$121:$M$121,AP$178,FEB!$P14:$V14)+SUMIF($AZ$178:$BC$178,AP$178,$AZ217:$BC217)</f>
        <v>0</v>
      </c>
      <c r="AQ217" s="229">
        <f>SUMIF(FEB!$G$121:$M$121,AQ$178,FEB!$P14:$V14)+SUMIF($AZ$178:$BC$178,AQ$178,$AZ217:$BC217)</f>
        <v>0</v>
      </c>
      <c r="AR217" s="230">
        <f>SUMIF(FEB!$G$121:$M$121,AR$178,FEB!$P14:$V14)+SUMIF($AZ$178:$BC$178,AR$178,$AZ217:$BC217)</f>
        <v>0</v>
      </c>
      <c r="AS217" s="230">
        <f>SUMIF(FEB!$G$121:$M$121,AS$178,FEB!$P14:$V14)+SUMIF($AZ$178:$BC$178,AS$178,$AZ217:$BC217)</f>
        <v>0</v>
      </c>
      <c r="AT217" s="230">
        <f>SUMIF(FEB!$G$121:$M$121,AT$178,FEB!$P14:$V14)+SUMIF($AZ$178:$BC$178,AT$178,$AZ217:$BC217)</f>
        <v>0</v>
      </c>
      <c r="AU217" s="230">
        <f>SUMIF(FEB!$G$121:$M$121,AU$178,FEB!$P14:$V14)+SUMIF($AZ$178:$BC$178,AU$178,$AZ217:$BC217)</f>
        <v>0</v>
      </c>
      <c r="AV217" s="230">
        <f>SUMIF(FEB!$G$121:$M$121,AV$178,FEB!$P14:$V14)+SUMIF($AZ$178:$BC$178,AV$178,$AZ217:$BC217)</f>
        <v>0</v>
      </c>
      <c r="AW217" s="230">
        <f>SUMIF(FEB!$G$121:$M$121,AW$178,FEB!$P14:$V14)+SUMIF($AZ$178:$BC$178,AW$178,$AZ217:$BC217)</f>
        <v>0</v>
      </c>
      <c r="AX217" s="231">
        <f>SUMIF(FEB!$G$121:$M$121,AX$178,FEB!$P14:$V14)+SUMIF($AZ$178:$BC$178,AX$178,$AZ217:$BC217)</f>
        <v>0</v>
      </c>
      <c r="AY217" s="232">
        <f>FEB!AF14</f>
        <v>0</v>
      </c>
      <c r="AZ217" s="228">
        <f>FEB!AG14</f>
        <v>0</v>
      </c>
      <c r="BA217" s="229">
        <f>FEB!AH14</f>
        <v>0</v>
      </c>
      <c r="BB217" s="230">
        <f>FEB!AI14</f>
        <v>0</v>
      </c>
      <c r="BC217" s="231">
        <f>FEB!AJ14</f>
        <v>0</v>
      </c>
      <c r="BD217" s="228">
        <f>SUMIF(FEB!$G$120:$M$120,"&gt;0",FEB!$X14:$AD14)</f>
        <v>0</v>
      </c>
      <c r="BE217" s="696"/>
      <c r="BF217" s="228">
        <f>SUMIF(FEB!$BA$6:$BG$6,BF$177,FEB!$BA14:$BG14)</f>
        <v>0</v>
      </c>
      <c r="BG217" s="229">
        <f>SUMIF(FEB!$BA$6:$BG$6,BG$177,FEB!$BA14:$BG14)</f>
        <v>0</v>
      </c>
      <c r="BH217" s="229">
        <f>SUMIF(FEB!$BA$6:$BG$6,BH$177,FEB!$BA14:$BG14)</f>
        <v>0</v>
      </c>
      <c r="BI217" s="229">
        <f>SUMIF(FEB!$BA$6:$BG$6,BI$177,FEB!$BA14:$BG14)</f>
        <v>0</v>
      </c>
      <c r="BJ217" s="229">
        <f>SUMIF(FEB!$BA$6:$BG$6,BJ$177,FEB!$BA14:$BG14)</f>
        <v>0</v>
      </c>
      <c r="BK217" s="229">
        <f>SUMIF(FEB!$BA$6:$BG$6,BK$177,FEB!$BA14:$BG14)</f>
        <v>0</v>
      </c>
      <c r="BL217" s="229">
        <f>SUMIF(FEB!$BA$6:$BG$6,BL$177,FEB!$BA14:$BG14)</f>
        <v>0</v>
      </c>
      <c r="BM217" s="229">
        <f>SUMIF(FEB!$BA$6:$BG$6,BM$177,FEB!$BA14:$BG14)</f>
        <v>0</v>
      </c>
      <c r="BN217" s="229">
        <f>SUMIF(FEB!$BA$6:$BG$6,BN$177,FEB!$BA14:$BG14)</f>
        <v>0</v>
      </c>
      <c r="BO217" s="231">
        <f>SUMIF(FEB!$BA$6:$BG$6,BO$177,FEB!$BA14:$BG14)</f>
        <v>0</v>
      </c>
      <c r="BP217" s="231">
        <f>SUMIF(FEB!$BA$6:$BG$6,BP$177,FEB!$BA14:$BG14)</f>
        <v>0</v>
      </c>
      <c r="BQ217" s="252"/>
      <c r="BR217" s="228">
        <f>SUMIF(FEB!$BA$5:$BG$5,BR$177,FEB!$BA14:$BG14)</f>
        <v>0</v>
      </c>
      <c r="BS217" s="229">
        <f>SUMIF(FEB!$BA$5:$BG$5,BS$177,FEB!$BA14:$BG14)</f>
        <v>0</v>
      </c>
      <c r="BT217" s="229">
        <f>SUMIF(FEB!$BA$5:$BG$5,BT$177,FEB!$BA14:$BG14)</f>
        <v>0</v>
      </c>
      <c r="BU217" s="229">
        <f>SUMIF(FEB!$BA$5:$BG$5,BU$177,FEB!$BA14:$BG14)</f>
        <v>0</v>
      </c>
      <c r="BV217" s="229">
        <f>SUMIF(FEB!$BA$5:$BG$5,BV$177,FEB!$BA14:$BG14)</f>
        <v>0</v>
      </c>
      <c r="BW217" s="229">
        <f>SUMIF(FEB!$BA$5:$BG$5,BW$177,FEB!$BA14:$BG14)</f>
        <v>0</v>
      </c>
      <c r="BX217" s="230">
        <f>SUMIF(FEB!$BA$5:$BG$5,BX$177,FEB!$BA14:$BG14)</f>
        <v>0</v>
      </c>
      <c r="BY217" s="998">
        <f>SUMIF(FEB!$BA$5:$BG$5,BY$177,FEB!$BA14:$BG14)</f>
        <v>0</v>
      </c>
      <c r="CB217" s="252"/>
      <c r="CC217" s="61" t="e">
        <f t="shared" si="30"/>
        <v>#N/A</v>
      </c>
      <c r="CD217" s="61">
        <f t="shared" si="31"/>
        <v>0</v>
      </c>
      <c r="CE217" s="105" t="str">
        <f t="shared" si="44"/>
        <v/>
      </c>
      <c r="CF217" s="61" t="e">
        <f t="shared" si="33"/>
        <v>#N/A</v>
      </c>
      <c r="CG217" s="61" t="e">
        <f t="shared" si="34"/>
        <v>#N/A</v>
      </c>
      <c r="CH217" s="521">
        <f>FEB!AL14-CW217+CR217</f>
        <v>0</v>
      </c>
      <c r="CI217" s="228">
        <f>SUMIF(FEB!$G$121:$M$121,CI$178,FEB!$AM14:$AS14)+SUMIF($CS$178:$CV$178,CI$178,$CS217:$CV217)</f>
        <v>0</v>
      </c>
      <c r="CJ217" s="229">
        <f>SUMIF(FEB!$G$121:$M$121,CJ$178,FEB!$AM14:$AS14)+SUMIF($CS$178:$CV$178,CJ$178,$CS217:$CV217)</f>
        <v>0</v>
      </c>
      <c r="CK217" s="230">
        <f>SUMIF(FEB!$G$121:$M$121,CK$178,FEB!$AM14:$AS14)+SUMIF($CS$178:$CV$178,CK$178,$CS217:$CV217)</f>
        <v>0</v>
      </c>
      <c r="CL217" s="230">
        <f>SUMIF(FEB!$G$121:$M$121,CL$178,FEB!$AM14:$AS14)+SUMIF($CS$178:$CV$178,CL$178,$CS217:$CV217)</f>
        <v>0</v>
      </c>
      <c r="CM217" s="230">
        <f>SUMIF(FEB!$G$121:$M$121,CM$178,FEB!$AM14:$AS14)+SUMIF($CS$178:$CV$178,CM$178,$CS217:$CV217)</f>
        <v>0</v>
      </c>
      <c r="CN217" s="230">
        <f>SUMIF(FEB!$G$121:$M$121,CN$178,FEB!$AM14:$AS14)+SUMIF($CS$178:$CV$178,CN$178,$CS217:$CV217)</f>
        <v>0</v>
      </c>
      <c r="CO217" s="230">
        <f>SUMIF(FEB!$G$121:$M$121,CO$178,FEB!$AM14:$AS14)+SUMIF($CS$178:$CV$178,CO$178,$CS217:$CV217)</f>
        <v>0</v>
      </c>
      <c r="CP217" s="230">
        <f>SUMIF(FEB!$G$121:$M$121,CP$178,FEB!$AM14:$AS14)+SUMIF($CS$178:$CV$178,CP$178,$CS217:$CV217)</f>
        <v>0</v>
      </c>
      <c r="CQ217" s="231">
        <f>SUMIF(FEB!$G$121:$M$121,CQ$178,FEB!$AM14:$AS14)+SUMIF($CS$178:$CV$178,CQ$178,$CS217:$CV217)</f>
        <v>0</v>
      </c>
      <c r="CR217" s="521">
        <f>FEB!AU14</f>
        <v>0</v>
      </c>
      <c r="CS217" s="228">
        <f>FEB!AV14</f>
        <v>0</v>
      </c>
      <c r="CT217" s="229">
        <f>FEB!AW14</f>
        <v>0</v>
      </c>
      <c r="CU217" s="230">
        <f>FEB!AX14</f>
        <v>0</v>
      </c>
      <c r="CV217" s="231">
        <f>FEB!AY14</f>
        <v>0</v>
      </c>
      <c r="CW217" s="521">
        <f>SUM(FEB!AU14:AY14)</f>
        <v>0</v>
      </c>
      <c r="CX217" s="521">
        <f>FEB!AK14</f>
        <v>0</v>
      </c>
      <c r="CY217" s="2"/>
    </row>
    <row r="218" spans="1:103" ht="14.25" hidden="1" customHeight="1" x14ac:dyDescent="0.2">
      <c r="A218" s="2"/>
      <c r="B218" s="105">
        <f t="shared" si="35"/>
        <v>45330</v>
      </c>
      <c r="C218" s="146">
        <f>IF(AND(E218&gt;(E$558-1),E218&lt;(I$558+1)),W$551,IF(ISERROR(HLOOKUP(E218,$E$551:$L$551,1,FALSE)),HLOOKUP(WEEKDAY(E218,2),IMPOSTAZIONI!$C$52:$P$57,6,FALSE),$W$550))</f>
        <v>0</v>
      </c>
      <c r="D218" s="71" t="str">
        <f t="shared" si="36"/>
        <v/>
      </c>
      <c r="E218" s="2258">
        <f t="shared" si="42"/>
        <v>45330</v>
      </c>
      <c r="F218" s="2259"/>
      <c r="G218" s="2228">
        <f>FEB!E15</f>
        <v>0</v>
      </c>
      <c r="H218" s="2229"/>
      <c r="I218" s="2230"/>
      <c r="J218" s="262" t="str">
        <f t="shared" si="25"/>
        <v/>
      </c>
      <c r="K218" s="263"/>
      <c r="L218" s="2217">
        <f t="shared" si="43"/>
        <v>6</v>
      </c>
      <c r="M218" s="2218"/>
      <c r="N218" s="261"/>
      <c r="O218" s="261"/>
      <c r="P218" s="261"/>
      <c r="Q218" s="2219">
        <f t="shared" si="38"/>
        <v>45330</v>
      </c>
      <c r="R218" s="2219"/>
      <c r="S218" s="261"/>
      <c r="T218" s="1173">
        <f t="shared" si="26"/>
        <v>0</v>
      </c>
      <c r="U218" s="261"/>
      <c r="V218" s="261"/>
      <c r="W218" s="261"/>
      <c r="X218" s="261"/>
      <c r="Y218" s="261"/>
      <c r="Z218" s="261"/>
      <c r="AA218" s="261"/>
      <c r="AB218" s="261"/>
      <c r="AC218" s="261"/>
      <c r="AD218" s="261"/>
      <c r="AE218" s="261"/>
      <c r="AF218" s="261"/>
      <c r="AG218" s="1173">
        <f t="shared" si="39"/>
        <v>0</v>
      </c>
      <c r="AH218" s="61" t="str">
        <f t="shared" si="40"/>
        <v/>
      </c>
      <c r="AI218" s="89" t="e">
        <f t="shared" si="41"/>
        <v>#N/A</v>
      </c>
      <c r="AJ218" s="2"/>
      <c r="AK218" s="61">
        <f>IF(G218=G$547,0,IF(OR(G218&lt;&gt;0,CH218&lt;&gt;0,C218="L"),COUNTIF(AK$180:AK217,"&gt;0")+1,0))</f>
        <v>0</v>
      </c>
      <c r="AL218" s="61" t="str">
        <f t="shared" si="27"/>
        <v/>
      </c>
      <c r="AM218" s="61" t="e">
        <f t="shared" si="28"/>
        <v>#N/A</v>
      </c>
      <c r="AN218" s="89" t="e">
        <f t="shared" si="29"/>
        <v>#N/A</v>
      </c>
      <c r="AO218" s="230">
        <f>SUM(FEB!X15:AD15)-BD218+AY218</f>
        <v>0</v>
      </c>
      <c r="AP218" s="228">
        <f>SUMIF(FEB!$G$121:$M$121,AP$178,FEB!$P15:$V15)+SUMIF($AZ$178:$BC$178,AP$178,$AZ218:$BC218)</f>
        <v>0</v>
      </c>
      <c r="AQ218" s="229">
        <f>SUMIF(FEB!$G$121:$M$121,AQ$178,FEB!$P15:$V15)+SUMIF($AZ$178:$BC$178,AQ$178,$AZ218:$BC218)</f>
        <v>0</v>
      </c>
      <c r="AR218" s="230">
        <f>SUMIF(FEB!$G$121:$M$121,AR$178,FEB!$P15:$V15)+SUMIF($AZ$178:$BC$178,AR$178,$AZ218:$BC218)</f>
        <v>0</v>
      </c>
      <c r="AS218" s="230">
        <f>SUMIF(FEB!$G$121:$M$121,AS$178,FEB!$P15:$V15)+SUMIF($AZ$178:$BC$178,AS$178,$AZ218:$BC218)</f>
        <v>0</v>
      </c>
      <c r="AT218" s="230">
        <f>SUMIF(FEB!$G$121:$M$121,AT$178,FEB!$P15:$V15)+SUMIF($AZ$178:$BC$178,AT$178,$AZ218:$BC218)</f>
        <v>0</v>
      </c>
      <c r="AU218" s="230">
        <f>SUMIF(FEB!$G$121:$M$121,AU$178,FEB!$P15:$V15)+SUMIF($AZ$178:$BC$178,AU$178,$AZ218:$BC218)</f>
        <v>0</v>
      </c>
      <c r="AV218" s="230">
        <f>SUMIF(FEB!$G$121:$M$121,AV$178,FEB!$P15:$V15)+SUMIF($AZ$178:$BC$178,AV$178,$AZ218:$BC218)</f>
        <v>0</v>
      </c>
      <c r="AW218" s="230">
        <f>SUMIF(FEB!$G$121:$M$121,AW$178,FEB!$P15:$V15)+SUMIF($AZ$178:$BC$178,AW$178,$AZ218:$BC218)</f>
        <v>0</v>
      </c>
      <c r="AX218" s="231">
        <f>SUMIF(FEB!$G$121:$M$121,AX$178,FEB!$P15:$V15)+SUMIF($AZ$178:$BC$178,AX$178,$AZ218:$BC218)</f>
        <v>0</v>
      </c>
      <c r="AY218" s="232">
        <f>FEB!AF15</f>
        <v>0</v>
      </c>
      <c r="AZ218" s="228">
        <f>FEB!AG15</f>
        <v>0</v>
      </c>
      <c r="BA218" s="229">
        <f>FEB!AH15</f>
        <v>0</v>
      </c>
      <c r="BB218" s="230">
        <f>FEB!AI15</f>
        <v>0</v>
      </c>
      <c r="BC218" s="231">
        <f>FEB!AJ15</f>
        <v>0</v>
      </c>
      <c r="BD218" s="228">
        <f>SUMIF(FEB!$G$120:$M$120,"&gt;0",FEB!$X15:$AD15)</f>
        <v>0</v>
      </c>
      <c r="BE218" s="696"/>
      <c r="BF218" s="228">
        <f>SUMIF(FEB!$BA$6:$BG$6,BF$177,FEB!$BA15:$BG15)</f>
        <v>0</v>
      </c>
      <c r="BG218" s="229">
        <f>SUMIF(FEB!$BA$6:$BG$6,BG$177,FEB!$BA15:$BG15)</f>
        <v>0</v>
      </c>
      <c r="BH218" s="229">
        <f>SUMIF(FEB!$BA$6:$BG$6,BH$177,FEB!$BA15:$BG15)</f>
        <v>0</v>
      </c>
      <c r="BI218" s="229">
        <f>SUMIF(FEB!$BA$6:$BG$6,BI$177,FEB!$BA15:$BG15)</f>
        <v>0</v>
      </c>
      <c r="BJ218" s="229">
        <f>SUMIF(FEB!$BA$6:$BG$6,BJ$177,FEB!$BA15:$BG15)</f>
        <v>0</v>
      </c>
      <c r="BK218" s="229">
        <f>SUMIF(FEB!$BA$6:$BG$6,BK$177,FEB!$BA15:$BG15)</f>
        <v>0</v>
      </c>
      <c r="BL218" s="229">
        <f>SUMIF(FEB!$BA$6:$BG$6,BL$177,FEB!$BA15:$BG15)</f>
        <v>0</v>
      </c>
      <c r="BM218" s="229">
        <f>SUMIF(FEB!$BA$6:$BG$6,BM$177,FEB!$BA15:$BG15)</f>
        <v>0</v>
      </c>
      <c r="BN218" s="229">
        <f>SUMIF(FEB!$BA$6:$BG$6,BN$177,FEB!$BA15:$BG15)</f>
        <v>0</v>
      </c>
      <c r="BO218" s="231">
        <f>SUMIF(FEB!$BA$6:$BG$6,BO$177,FEB!$BA15:$BG15)</f>
        <v>0</v>
      </c>
      <c r="BP218" s="231">
        <f>SUMIF(FEB!$BA$6:$BG$6,BP$177,FEB!$BA15:$BG15)</f>
        <v>0</v>
      </c>
      <c r="BQ218" s="252"/>
      <c r="BR218" s="228">
        <f>SUMIF(FEB!$BA$5:$BG$5,BR$177,FEB!$BA15:$BG15)</f>
        <v>0</v>
      </c>
      <c r="BS218" s="229">
        <f>SUMIF(FEB!$BA$5:$BG$5,BS$177,FEB!$BA15:$BG15)</f>
        <v>0</v>
      </c>
      <c r="BT218" s="229">
        <f>SUMIF(FEB!$BA$5:$BG$5,BT$177,FEB!$BA15:$BG15)</f>
        <v>0</v>
      </c>
      <c r="BU218" s="229">
        <f>SUMIF(FEB!$BA$5:$BG$5,BU$177,FEB!$BA15:$BG15)</f>
        <v>0</v>
      </c>
      <c r="BV218" s="229">
        <f>SUMIF(FEB!$BA$5:$BG$5,BV$177,FEB!$BA15:$BG15)</f>
        <v>0</v>
      </c>
      <c r="BW218" s="229">
        <f>SUMIF(FEB!$BA$5:$BG$5,BW$177,FEB!$BA15:$BG15)</f>
        <v>0</v>
      </c>
      <c r="BX218" s="230">
        <f>SUMIF(FEB!$BA$5:$BG$5,BX$177,FEB!$BA15:$BG15)</f>
        <v>0</v>
      </c>
      <c r="BY218" s="998">
        <f>SUMIF(FEB!$BA$5:$BG$5,BY$177,FEB!$BA15:$BG15)</f>
        <v>0</v>
      </c>
      <c r="CB218" s="252"/>
      <c r="CC218" s="61" t="e">
        <f t="shared" si="30"/>
        <v>#N/A</v>
      </c>
      <c r="CD218" s="61">
        <f t="shared" si="31"/>
        <v>0</v>
      </c>
      <c r="CE218" s="105" t="str">
        <f t="shared" si="44"/>
        <v/>
      </c>
      <c r="CF218" s="61" t="e">
        <f t="shared" si="33"/>
        <v>#N/A</v>
      </c>
      <c r="CG218" s="61" t="e">
        <f t="shared" si="34"/>
        <v>#N/A</v>
      </c>
      <c r="CH218" s="521">
        <f>FEB!AL15-CW218+CR218</f>
        <v>0</v>
      </c>
      <c r="CI218" s="228">
        <f>SUMIF(FEB!$G$121:$M$121,CI$178,FEB!$AM15:$AS15)+SUMIF($CS$178:$CV$178,CI$178,$CS218:$CV218)</f>
        <v>0</v>
      </c>
      <c r="CJ218" s="229">
        <f>SUMIF(FEB!$G$121:$M$121,CJ$178,FEB!$AM15:$AS15)+SUMIF($CS$178:$CV$178,CJ$178,$CS218:$CV218)</f>
        <v>0</v>
      </c>
      <c r="CK218" s="230">
        <f>SUMIF(FEB!$G$121:$M$121,CK$178,FEB!$AM15:$AS15)+SUMIF($CS$178:$CV$178,CK$178,$CS218:$CV218)</f>
        <v>0</v>
      </c>
      <c r="CL218" s="230">
        <f>SUMIF(FEB!$G$121:$M$121,CL$178,FEB!$AM15:$AS15)+SUMIF($CS$178:$CV$178,CL$178,$CS218:$CV218)</f>
        <v>0</v>
      </c>
      <c r="CM218" s="230">
        <f>SUMIF(FEB!$G$121:$M$121,CM$178,FEB!$AM15:$AS15)+SUMIF($CS$178:$CV$178,CM$178,$CS218:$CV218)</f>
        <v>0</v>
      </c>
      <c r="CN218" s="230">
        <f>SUMIF(FEB!$G$121:$M$121,CN$178,FEB!$AM15:$AS15)+SUMIF($CS$178:$CV$178,CN$178,$CS218:$CV218)</f>
        <v>0</v>
      </c>
      <c r="CO218" s="230">
        <f>SUMIF(FEB!$G$121:$M$121,CO$178,FEB!$AM15:$AS15)+SUMIF($CS$178:$CV$178,CO$178,$CS218:$CV218)</f>
        <v>0</v>
      </c>
      <c r="CP218" s="230">
        <f>SUMIF(FEB!$G$121:$M$121,CP$178,FEB!$AM15:$AS15)+SUMIF($CS$178:$CV$178,CP$178,$CS218:$CV218)</f>
        <v>0</v>
      </c>
      <c r="CQ218" s="231">
        <f>SUMIF(FEB!$G$121:$M$121,CQ$178,FEB!$AM15:$AS15)+SUMIF($CS$178:$CV$178,CQ$178,$CS218:$CV218)</f>
        <v>0</v>
      </c>
      <c r="CR218" s="521">
        <f>FEB!AU15</f>
        <v>0</v>
      </c>
      <c r="CS218" s="228">
        <f>FEB!AV15</f>
        <v>0</v>
      </c>
      <c r="CT218" s="229">
        <f>FEB!AW15</f>
        <v>0</v>
      </c>
      <c r="CU218" s="230">
        <f>FEB!AX15</f>
        <v>0</v>
      </c>
      <c r="CV218" s="231">
        <f>FEB!AY15</f>
        <v>0</v>
      </c>
      <c r="CW218" s="521">
        <f>SUM(FEB!AU15:AY15)</f>
        <v>0</v>
      </c>
      <c r="CX218" s="521">
        <f>FEB!AK15</f>
        <v>0</v>
      </c>
      <c r="CY218" s="2"/>
    </row>
    <row r="219" spans="1:103" ht="14.25" hidden="1" customHeight="1" x14ac:dyDescent="0.2">
      <c r="A219" s="2"/>
      <c r="B219" s="105">
        <f t="shared" si="35"/>
        <v>45331</v>
      </c>
      <c r="C219" s="146">
        <f>IF(AND(E219&gt;(E$558-1),E219&lt;(I$558+1)),W$551,IF(ISERROR(HLOOKUP(E219,$E$551:$L$551,1,FALSE)),HLOOKUP(WEEKDAY(E219,2),IMPOSTAZIONI!$C$52:$P$57,6,FALSE),$W$550))</f>
        <v>0</v>
      </c>
      <c r="D219" s="71" t="str">
        <f t="shared" si="36"/>
        <v/>
      </c>
      <c r="E219" s="2258">
        <f t="shared" si="42"/>
        <v>45331</v>
      </c>
      <c r="F219" s="2259"/>
      <c r="G219" s="2228">
        <f>FEB!E16</f>
        <v>0</v>
      </c>
      <c r="H219" s="2229"/>
      <c r="I219" s="2230"/>
      <c r="J219" s="262" t="str">
        <f t="shared" si="25"/>
        <v/>
      </c>
      <c r="K219" s="263"/>
      <c r="L219" s="2217">
        <f t="shared" si="43"/>
        <v>6</v>
      </c>
      <c r="M219" s="2218"/>
      <c r="N219" s="261"/>
      <c r="O219" s="261"/>
      <c r="P219" s="261"/>
      <c r="Q219" s="2219">
        <f t="shared" si="38"/>
        <v>45331</v>
      </c>
      <c r="R219" s="2219"/>
      <c r="S219" s="261"/>
      <c r="T219" s="1173">
        <f t="shared" si="26"/>
        <v>0</v>
      </c>
      <c r="U219" s="261"/>
      <c r="V219" s="261"/>
      <c r="W219" s="261"/>
      <c r="X219" s="261"/>
      <c r="Y219" s="261"/>
      <c r="Z219" s="261"/>
      <c r="AA219" s="261"/>
      <c r="AB219" s="261"/>
      <c r="AC219" s="261"/>
      <c r="AD219" s="261"/>
      <c r="AE219" s="261"/>
      <c r="AF219" s="261"/>
      <c r="AG219" s="1173">
        <f t="shared" si="39"/>
        <v>0</v>
      </c>
      <c r="AH219" s="61" t="str">
        <f t="shared" si="40"/>
        <v/>
      </c>
      <c r="AI219" s="89" t="e">
        <f t="shared" si="41"/>
        <v>#N/A</v>
      </c>
      <c r="AJ219" s="2"/>
      <c r="AK219" s="61">
        <f>IF(G219=G$547,0,IF(OR(G219&lt;&gt;0,CH219&lt;&gt;0,C219="L"),COUNTIF(AK$180:AK218,"&gt;0")+1,0))</f>
        <v>0</v>
      </c>
      <c r="AL219" s="61" t="str">
        <f t="shared" si="27"/>
        <v/>
      </c>
      <c r="AM219" s="61" t="e">
        <f t="shared" si="28"/>
        <v>#N/A</v>
      </c>
      <c r="AN219" s="89" t="e">
        <f t="shared" si="29"/>
        <v>#N/A</v>
      </c>
      <c r="AO219" s="230">
        <f>SUM(FEB!X16:AD16)-BD219+AY219</f>
        <v>0</v>
      </c>
      <c r="AP219" s="228">
        <f>SUMIF(FEB!$G$121:$M$121,AP$178,FEB!$P16:$V16)+SUMIF($AZ$178:$BC$178,AP$178,$AZ219:$BC219)</f>
        <v>0</v>
      </c>
      <c r="AQ219" s="229">
        <f>SUMIF(FEB!$G$121:$M$121,AQ$178,FEB!$P16:$V16)+SUMIF($AZ$178:$BC$178,AQ$178,$AZ219:$BC219)</f>
        <v>0</v>
      </c>
      <c r="AR219" s="230">
        <f>SUMIF(FEB!$G$121:$M$121,AR$178,FEB!$P16:$V16)+SUMIF($AZ$178:$BC$178,AR$178,$AZ219:$BC219)</f>
        <v>0</v>
      </c>
      <c r="AS219" s="230">
        <f>SUMIF(FEB!$G$121:$M$121,AS$178,FEB!$P16:$V16)+SUMIF($AZ$178:$BC$178,AS$178,$AZ219:$BC219)</f>
        <v>0</v>
      </c>
      <c r="AT219" s="230">
        <f>SUMIF(FEB!$G$121:$M$121,AT$178,FEB!$P16:$V16)+SUMIF($AZ$178:$BC$178,AT$178,$AZ219:$BC219)</f>
        <v>0</v>
      </c>
      <c r="AU219" s="230">
        <f>SUMIF(FEB!$G$121:$M$121,AU$178,FEB!$P16:$V16)+SUMIF($AZ$178:$BC$178,AU$178,$AZ219:$BC219)</f>
        <v>0</v>
      </c>
      <c r="AV219" s="230">
        <f>SUMIF(FEB!$G$121:$M$121,AV$178,FEB!$P16:$V16)+SUMIF($AZ$178:$BC$178,AV$178,$AZ219:$BC219)</f>
        <v>0</v>
      </c>
      <c r="AW219" s="230">
        <f>SUMIF(FEB!$G$121:$M$121,AW$178,FEB!$P16:$V16)+SUMIF($AZ$178:$BC$178,AW$178,$AZ219:$BC219)</f>
        <v>0</v>
      </c>
      <c r="AX219" s="231">
        <f>SUMIF(FEB!$G$121:$M$121,AX$178,FEB!$P16:$V16)+SUMIF($AZ$178:$BC$178,AX$178,$AZ219:$BC219)</f>
        <v>0</v>
      </c>
      <c r="AY219" s="232">
        <f>FEB!AF16</f>
        <v>0</v>
      </c>
      <c r="AZ219" s="228">
        <f>FEB!AG16</f>
        <v>0</v>
      </c>
      <c r="BA219" s="229">
        <f>FEB!AH16</f>
        <v>0</v>
      </c>
      <c r="BB219" s="230">
        <f>FEB!AI16</f>
        <v>0</v>
      </c>
      <c r="BC219" s="231">
        <f>FEB!AJ16</f>
        <v>0</v>
      </c>
      <c r="BD219" s="228">
        <f>SUMIF(FEB!$G$120:$M$120,"&gt;0",FEB!$X16:$AD16)</f>
        <v>0</v>
      </c>
      <c r="BE219" s="696"/>
      <c r="BF219" s="228">
        <f>SUMIF(FEB!$BA$6:$BG$6,BF$177,FEB!$BA16:$BG16)</f>
        <v>0</v>
      </c>
      <c r="BG219" s="229">
        <f>SUMIF(FEB!$BA$6:$BG$6,BG$177,FEB!$BA16:$BG16)</f>
        <v>0</v>
      </c>
      <c r="BH219" s="229">
        <f>SUMIF(FEB!$BA$6:$BG$6,BH$177,FEB!$BA16:$BG16)</f>
        <v>0</v>
      </c>
      <c r="BI219" s="229">
        <f>SUMIF(FEB!$BA$6:$BG$6,BI$177,FEB!$BA16:$BG16)</f>
        <v>0</v>
      </c>
      <c r="BJ219" s="229">
        <f>SUMIF(FEB!$BA$6:$BG$6,BJ$177,FEB!$BA16:$BG16)</f>
        <v>0</v>
      </c>
      <c r="BK219" s="229">
        <f>SUMIF(FEB!$BA$6:$BG$6,BK$177,FEB!$BA16:$BG16)</f>
        <v>0</v>
      </c>
      <c r="BL219" s="229">
        <f>SUMIF(FEB!$BA$6:$BG$6,BL$177,FEB!$BA16:$BG16)</f>
        <v>0</v>
      </c>
      <c r="BM219" s="229">
        <f>SUMIF(FEB!$BA$6:$BG$6,BM$177,FEB!$BA16:$BG16)</f>
        <v>0</v>
      </c>
      <c r="BN219" s="229">
        <f>SUMIF(FEB!$BA$6:$BG$6,BN$177,FEB!$BA16:$BG16)</f>
        <v>0</v>
      </c>
      <c r="BO219" s="231">
        <f>SUMIF(FEB!$BA$6:$BG$6,BO$177,FEB!$BA16:$BG16)</f>
        <v>0</v>
      </c>
      <c r="BP219" s="231">
        <f>SUMIF(FEB!$BA$6:$BG$6,BP$177,FEB!$BA16:$BG16)</f>
        <v>0</v>
      </c>
      <c r="BQ219" s="252"/>
      <c r="BR219" s="228">
        <f>SUMIF(FEB!$BA$5:$BG$5,BR$177,FEB!$BA16:$BG16)</f>
        <v>0</v>
      </c>
      <c r="BS219" s="229">
        <f>SUMIF(FEB!$BA$5:$BG$5,BS$177,FEB!$BA16:$BG16)</f>
        <v>0</v>
      </c>
      <c r="BT219" s="229">
        <f>SUMIF(FEB!$BA$5:$BG$5,BT$177,FEB!$BA16:$BG16)</f>
        <v>0</v>
      </c>
      <c r="BU219" s="229">
        <f>SUMIF(FEB!$BA$5:$BG$5,BU$177,FEB!$BA16:$BG16)</f>
        <v>0</v>
      </c>
      <c r="BV219" s="229">
        <f>SUMIF(FEB!$BA$5:$BG$5,BV$177,FEB!$BA16:$BG16)</f>
        <v>0</v>
      </c>
      <c r="BW219" s="229">
        <f>SUMIF(FEB!$BA$5:$BG$5,BW$177,FEB!$BA16:$BG16)</f>
        <v>0</v>
      </c>
      <c r="BX219" s="230">
        <f>SUMIF(FEB!$BA$5:$BG$5,BX$177,FEB!$BA16:$BG16)</f>
        <v>0</v>
      </c>
      <c r="BY219" s="998">
        <f>SUMIF(FEB!$BA$5:$BG$5,BY$177,FEB!$BA16:$BG16)</f>
        <v>0</v>
      </c>
      <c r="CB219" s="252"/>
      <c r="CC219" s="61" t="e">
        <f t="shared" si="30"/>
        <v>#N/A</v>
      </c>
      <c r="CD219" s="61">
        <f t="shared" si="31"/>
        <v>0</v>
      </c>
      <c r="CE219" s="105" t="str">
        <f t="shared" si="44"/>
        <v/>
      </c>
      <c r="CF219" s="61" t="e">
        <f t="shared" si="33"/>
        <v>#N/A</v>
      </c>
      <c r="CG219" s="61" t="e">
        <f t="shared" si="34"/>
        <v>#N/A</v>
      </c>
      <c r="CH219" s="521">
        <f>FEB!AL16-CW219+CR219</f>
        <v>0</v>
      </c>
      <c r="CI219" s="228">
        <f>SUMIF(FEB!$G$121:$M$121,CI$178,FEB!$AM16:$AS16)+SUMIF($CS$178:$CV$178,CI$178,$CS219:$CV219)</f>
        <v>0</v>
      </c>
      <c r="CJ219" s="229">
        <f>SUMIF(FEB!$G$121:$M$121,CJ$178,FEB!$AM16:$AS16)+SUMIF($CS$178:$CV$178,CJ$178,$CS219:$CV219)</f>
        <v>0</v>
      </c>
      <c r="CK219" s="230">
        <f>SUMIF(FEB!$G$121:$M$121,CK$178,FEB!$AM16:$AS16)+SUMIF($CS$178:$CV$178,CK$178,$CS219:$CV219)</f>
        <v>0</v>
      </c>
      <c r="CL219" s="230">
        <f>SUMIF(FEB!$G$121:$M$121,CL$178,FEB!$AM16:$AS16)+SUMIF($CS$178:$CV$178,CL$178,$CS219:$CV219)</f>
        <v>0</v>
      </c>
      <c r="CM219" s="230">
        <f>SUMIF(FEB!$G$121:$M$121,CM$178,FEB!$AM16:$AS16)+SUMIF($CS$178:$CV$178,CM$178,$CS219:$CV219)</f>
        <v>0</v>
      </c>
      <c r="CN219" s="230">
        <f>SUMIF(FEB!$G$121:$M$121,CN$178,FEB!$AM16:$AS16)+SUMIF($CS$178:$CV$178,CN$178,$CS219:$CV219)</f>
        <v>0</v>
      </c>
      <c r="CO219" s="230">
        <f>SUMIF(FEB!$G$121:$M$121,CO$178,FEB!$AM16:$AS16)+SUMIF($CS$178:$CV$178,CO$178,$CS219:$CV219)</f>
        <v>0</v>
      </c>
      <c r="CP219" s="230">
        <f>SUMIF(FEB!$G$121:$M$121,CP$178,FEB!$AM16:$AS16)+SUMIF($CS$178:$CV$178,CP$178,$CS219:$CV219)</f>
        <v>0</v>
      </c>
      <c r="CQ219" s="231">
        <f>SUMIF(FEB!$G$121:$M$121,CQ$178,FEB!$AM16:$AS16)+SUMIF($CS$178:$CV$178,CQ$178,$CS219:$CV219)</f>
        <v>0</v>
      </c>
      <c r="CR219" s="521">
        <f>FEB!AU16</f>
        <v>0</v>
      </c>
      <c r="CS219" s="228">
        <f>FEB!AV16</f>
        <v>0</v>
      </c>
      <c r="CT219" s="229">
        <f>FEB!AW16</f>
        <v>0</v>
      </c>
      <c r="CU219" s="230">
        <f>FEB!AX16</f>
        <v>0</v>
      </c>
      <c r="CV219" s="231">
        <f>FEB!AY16</f>
        <v>0</v>
      </c>
      <c r="CW219" s="521">
        <f>SUM(FEB!AU16:AY16)</f>
        <v>0</v>
      </c>
      <c r="CX219" s="521">
        <f>FEB!AK16</f>
        <v>0</v>
      </c>
      <c r="CY219" s="2"/>
    </row>
    <row r="220" spans="1:103" ht="14.25" hidden="1" customHeight="1" x14ac:dyDescent="0.2">
      <c r="A220" s="2"/>
      <c r="B220" s="105">
        <f t="shared" si="35"/>
        <v>45332</v>
      </c>
      <c r="C220" s="146">
        <f>IF(AND(E220&gt;(E$558-1),E220&lt;(I$558+1)),W$551,IF(ISERROR(HLOOKUP(E220,$E$551:$L$551,1,FALSE)),HLOOKUP(WEEKDAY(E220,2),IMPOSTAZIONI!$C$52:$P$57,6,FALSE),$W$550))</f>
        <v>0</v>
      </c>
      <c r="D220" s="71" t="str">
        <f t="shared" si="36"/>
        <v/>
      </c>
      <c r="E220" s="2258">
        <f t="shared" si="42"/>
        <v>45332</v>
      </c>
      <c r="F220" s="2259"/>
      <c r="G220" s="2228">
        <f>FEB!E17</f>
        <v>0</v>
      </c>
      <c r="H220" s="2229"/>
      <c r="I220" s="2230"/>
      <c r="J220" s="262" t="str">
        <f t="shared" si="25"/>
        <v/>
      </c>
      <c r="K220" s="263"/>
      <c r="L220" s="2217">
        <f t="shared" si="43"/>
        <v>6</v>
      </c>
      <c r="M220" s="2218"/>
      <c r="N220" s="261"/>
      <c r="O220" s="261"/>
      <c r="P220" s="261"/>
      <c r="Q220" s="2219">
        <f t="shared" si="38"/>
        <v>45332</v>
      </c>
      <c r="R220" s="2219"/>
      <c r="S220" s="261"/>
      <c r="T220" s="1173">
        <f t="shared" si="26"/>
        <v>0</v>
      </c>
      <c r="U220" s="261"/>
      <c r="V220" s="261"/>
      <c r="W220" s="261"/>
      <c r="X220" s="261"/>
      <c r="Y220" s="261"/>
      <c r="Z220" s="261"/>
      <c r="AA220" s="261"/>
      <c r="AB220" s="261"/>
      <c r="AC220" s="261"/>
      <c r="AD220" s="261"/>
      <c r="AE220" s="261"/>
      <c r="AF220" s="261"/>
      <c r="AG220" s="1173">
        <f t="shared" si="39"/>
        <v>0</v>
      </c>
      <c r="AH220" s="61" t="str">
        <f t="shared" si="40"/>
        <v/>
      </c>
      <c r="AI220" s="89" t="e">
        <f t="shared" si="41"/>
        <v>#N/A</v>
      </c>
      <c r="AJ220" s="2"/>
      <c r="AK220" s="61">
        <f>IF(G220=G$547,0,IF(OR(G220&lt;&gt;0,CH220&lt;&gt;0,C220="L"),COUNTIF(AK$180:AK219,"&gt;0")+1,0))</f>
        <v>0</v>
      </c>
      <c r="AL220" s="61" t="str">
        <f t="shared" si="27"/>
        <v/>
      </c>
      <c r="AM220" s="61" t="e">
        <f t="shared" si="28"/>
        <v>#N/A</v>
      </c>
      <c r="AN220" s="89" t="e">
        <f t="shared" si="29"/>
        <v>#N/A</v>
      </c>
      <c r="AO220" s="230">
        <f>SUM(FEB!X17:AD17)-BD220+AY220</f>
        <v>0</v>
      </c>
      <c r="AP220" s="228">
        <f>SUMIF(FEB!$G$121:$M$121,AP$178,FEB!$P17:$V17)+SUMIF($AZ$178:$BC$178,AP$178,$AZ220:$BC220)</f>
        <v>0</v>
      </c>
      <c r="AQ220" s="229">
        <f>SUMIF(FEB!$G$121:$M$121,AQ$178,FEB!$P17:$V17)+SUMIF($AZ$178:$BC$178,AQ$178,$AZ220:$BC220)</f>
        <v>0</v>
      </c>
      <c r="AR220" s="230">
        <f>SUMIF(FEB!$G$121:$M$121,AR$178,FEB!$P17:$V17)+SUMIF($AZ$178:$BC$178,AR$178,$AZ220:$BC220)</f>
        <v>0</v>
      </c>
      <c r="AS220" s="230">
        <f>SUMIF(FEB!$G$121:$M$121,AS$178,FEB!$P17:$V17)+SUMIF($AZ$178:$BC$178,AS$178,$AZ220:$BC220)</f>
        <v>0</v>
      </c>
      <c r="AT220" s="230">
        <f>SUMIF(FEB!$G$121:$M$121,AT$178,FEB!$P17:$V17)+SUMIF($AZ$178:$BC$178,AT$178,$AZ220:$BC220)</f>
        <v>0</v>
      </c>
      <c r="AU220" s="230">
        <f>SUMIF(FEB!$G$121:$M$121,AU$178,FEB!$P17:$V17)+SUMIF($AZ$178:$BC$178,AU$178,$AZ220:$BC220)</f>
        <v>0</v>
      </c>
      <c r="AV220" s="230">
        <f>SUMIF(FEB!$G$121:$M$121,AV$178,FEB!$P17:$V17)+SUMIF($AZ$178:$BC$178,AV$178,$AZ220:$BC220)</f>
        <v>0</v>
      </c>
      <c r="AW220" s="230">
        <f>SUMIF(FEB!$G$121:$M$121,AW$178,FEB!$P17:$V17)+SUMIF($AZ$178:$BC$178,AW$178,$AZ220:$BC220)</f>
        <v>0</v>
      </c>
      <c r="AX220" s="231">
        <f>SUMIF(FEB!$G$121:$M$121,AX$178,FEB!$P17:$V17)+SUMIF($AZ$178:$BC$178,AX$178,$AZ220:$BC220)</f>
        <v>0</v>
      </c>
      <c r="AY220" s="232">
        <f>FEB!AF17</f>
        <v>0</v>
      </c>
      <c r="AZ220" s="228">
        <f>FEB!AG17</f>
        <v>0</v>
      </c>
      <c r="BA220" s="229">
        <f>FEB!AH17</f>
        <v>0</v>
      </c>
      <c r="BB220" s="230">
        <f>FEB!AI17</f>
        <v>0</v>
      </c>
      <c r="BC220" s="231">
        <f>FEB!AJ17</f>
        <v>0</v>
      </c>
      <c r="BD220" s="228">
        <f>SUMIF(FEB!$G$120:$M$120,"&gt;0",FEB!$X17:$AD17)</f>
        <v>0</v>
      </c>
      <c r="BE220" s="696"/>
      <c r="BF220" s="228">
        <f>SUMIF(FEB!$BA$6:$BG$6,BF$177,FEB!$BA17:$BG17)</f>
        <v>0</v>
      </c>
      <c r="BG220" s="229">
        <f>SUMIF(FEB!$BA$6:$BG$6,BG$177,FEB!$BA17:$BG17)</f>
        <v>0</v>
      </c>
      <c r="BH220" s="229">
        <f>SUMIF(FEB!$BA$6:$BG$6,BH$177,FEB!$BA17:$BG17)</f>
        <v>0</v>
      </c>
      <c r="BI220" s="229">
        <f>SUMIF(FEB!$BA$6:$BG$6,BI$177,FEB!$BA17:$BG17)</f>
        <v>0</v>
      </c>
      <c r="BJ220" s="229">
        <f>SUMIF(FEB!$BA$6:$BG$6,BJ$177,FEB!$BA17:$BG17)</f>
        <v>0</v>
      </c>
      <c r="BK220" s="229">
        <f>SUMIF(FEB!$BA$6:$BG$6,BK$177,FEB!$BA17:$BG17)</f>
        <v>0</v>
      </c>
      <c r="BL220" s="229">
        <f>SUMIF(FEB!$BA$6:$BG$6,BL$177,FEB!$BA17:$BG17)</f>
        <v>0</v>
      </c>
      <c r="BM220" s="229">
        <f>SUMIF(FEB!$BA$6:$BG$6,BM$177,FEB!$BA17:$BG17)</f>
        <v>0</v>
      </c>
      <c r="BN220" s="229">
        <f>SUMIF(FEB!$BA$6:$BG$6,BN$177,FEB!$BA17:$BG17)</f>
        <v>0</v>
      </c>
      <c r="BO220" s="231">
        <f>SUMIF(FEB!$BA$6:$BG$6,BO$177,FEB!$BA17:$BG17)</f>
        <v>0</v>
      </c>
      <c r="BP220" s="231">
        <f>SUMIF(FEB!$BA$6:$BG$6,BP$177,FEB!$BA17:$BG17)</f>
        <v>0</v>
      </c>
      <c r="BQ220" s="252"/>
      <c r="BR220" s="228">
        <f>SUMIF(FEB!$BA$5:$BG$5,BR$177,FEB!$BA17:$BG17)</f>
        <v>0</v>
      </c>
      <c r="BS220" s="229">
        <f>SUMIF(FEB!$BA$5:$BG$5,BS$177,FEB!$BA17:$BG17)</f>
        <v>0</v>
      </c>
      <c r="BT220" s="229">
        <f>SUMIF(FEB!$BA$5:$BG$5,BT$177,FEB!$BA17:$BG17)</f>
        <v>0</v>
      </c>
      <c r="BU220" s="229">
        <f>SUMIF(FEB!$BA$5:$BG$5,BU$177,FEB!$BA17:$BG17)</f>
        <v>0</v>
      </c>
      <c r="BV220" s="229">
        <f>SUMIF(FEB!$BA$5:$BG$5,BV$177,FEB!$BA17:$BG17)</f>
        <v>0</v>
      </c>
      <c r="BW220" s="229">
        <f>SUMIF(FEB!$BA$5:$BG$5,BW$177,FEB!$BA17:$BG17)</f>
        <v>0</v>
      </c>
      <c r="BX220" s="230">
        <f>SUMIF(FEB!$BA$5:$BG$5,BX$177,FEB!$BA17:$BG17)</f>
        <v>0</v>
      </c>
      <c r="BY220" s="998">
        <f>SUMIF(FEB!$BA$5:$BG$5,BY$177,FEB!$BA17:$BG17)</f>
        <v>0</v>
      </c>
      <c r="CB220" s="252"/>
      <c r="CC220" s="61" t="e">
        <f t="shared" si="30"/>
        <v>#N/A</v>
      </c>
      <c r="CD220" s="61">
        <f t="shared" si="31"/>
        <v>0</v>
      </c>
      <c r="CE220" s="105" t="str">
        <f t="shared" si="44"/>
        <v/>
      </c>
      <c r="CF220" s="61" t="e">
        <f t="shared" si="33"/>
        <v>#N/A</v>
      </c>
      <c r="CG220" s="61" t="e">
        <f t="shared" si="34"/>
        <v>#N/A</v>
      </c>
      <c r="CH220" s="521">
        <f>FEB!AL17-CW220+CR220</f>
        <v>0</v>
      </c>
      <c r="CI220" s="228">
        <f>SUMIF(FEB!$G$121:$M$121,CI$178,FEB!$AM17:$AS17)+SUMIF($CS$178:$CV$178,CI$178,$CS220:$CV220)</f>
        <v>0</v>
      </c>
      <c r="CJ220" s="229">
        <f>SUMIF(FEB!$G$121:$M$121,CJ$178,FEB!$AM17:$AS17)+SUMIF($CS$178:$CV$178,CJ$178,$CS220:$CV220)</f>
        <v>0</v>
      </c>
      <c r="CK220" s="230">
        <f>SUMIF(FEB!$G$121:$M$121,CK$178,FEB!$AM17:$AS17)+SUMIF($CS$178:$CV$178,CK$178,$CS220:$CV220)</f>
        <v>0</v>
      </c>
      <c r="CL220" s="230">
        <f>SUMIF(FEB!$G$121:$M$121,CL$178,FEB!$AM17:$AS17)+SUMIF($CS$178:$CV$178,CL$178,$CS220:$CV220)</f>
        <v>0</v>
      </c>
      <c r="CM220" s="230">
        <f>SUMIF(FEB!$G$121:$M$121,CM$178,FEB!$AM17:$AS17)+SUMIF($CS$178:$CV$178,CM$178,$CS220:$CV220)</f>
        <v>0</v>
      </c>
      <c r="CN220" s="230">
        <f>SUMIF(FEB!$G$121:$M$121,CN$178,FEB!$AM17:$AS17)+SUMIF($CS$178:$CV$178,CN$178,$CS220:$CV220)</f>
        <v>0</v>
      </c>
      <c r="CO220" s="230">
        <f>SUMIF(FEB!$G$121:$M$121,CO$178,FEB!$AM17:$AS17)+SUMIF($CS$178:$CV$178,CO$178,$CS220:$CV220)</f>
        <v>0</v>
      </c>
      <c r="CP220" s="230">
        <f>SUMIF(FEB!$G$121:$M$121,CP$178,FEB!$AM17:$AS17)+SUMIF($CS$178:$CV$178,CP$178,$CS220:$CV220)</f>
        <v>0</v>
      </c>
      <c r="CQ220" s="231">
        <f>SUMIF(FEB!$G$121:$M$121,CQ$178,FEB!$AM17:$AS17)+SUMIF($CS$178:$CV$178,CQ$178,$CS220:$CV220)</f>
        <v>0</v>
      </c>
      <c r="CR220" s="521">
        <f>FEB!AU17</f>
        <v>0</v>
      </c>
      <c r="CS220" s="228">
        <f>FEB!AV17</f>
        <v>0</v>
      </c>
      <c r="CT220" s="229">
        <f>FEB!AW17</f>
        <v>0</v>
      </c>
      <c r="CU220" s="230">
        <f>FEB!AX17</f>
        <v>0</v>
      </c>
      <c r="CV220" s="231">
        <f>FEB!AY17</f>
        <v>0</v>
      </c>
      <c r="CW220" s="521">
        <f>SUM(FEB!AU17:AY17)</f>
        <v>0</v>
      </c>
      <c r="CX220" s="521">
        <f>FEB!AK17</f>
        <v>0</v>
      </c>
      <c r="CY220" s="2"/>
    </row>
    <row r="221" spans="1:103" ht="14.25" hidden="1" customHeight="1" x14ac:dyDescent="0.2">
      <c r="A221" s="2"/>
      <c r="B221" s="105">
        <f t="shared" si="35"/>
        <v>45333</v>
      </c>
      <c r="C221" s="146">
        <f>IF(AND(E221&gt;(E$558-1),E221&lt;(I$558+1)),W$551,IF(ISERROR(HLOOKUP(E221,$E$551:$L$551,1,FALSE)),HLOOKUP(WEEKDAY(E221,2),IMPOSTAZIONI!$C$52:$P$57,6,FALSE),$W$550))</f>
        <v>0</v>
      </c>
      <c r="D221" s="71" t="str">
        <f t="shared" si="36"/>
        <v/>
      </c>
      <c r="E221" s="2258">
        <f t="shared" si="42"/>
        <v>45333</v>
      </c>
      <c r="F221" s="2259"/>
      <c r="G221" s="2228">
        <f>FEB!E18</f>
        <v>0</v>
      </c>
      <c r="H221" s="2229"/>
      <c r="I221" s="2230"/>
      <c r="J221" s="262" t="str">
        <f t="shared" si="25"/>
        <v/>
      </c>
      <c r="K221" s="263"/>
      <c r="L221" s="2220">
        <f t="shared" si="43"/>
        <v>6</v>
      </c>
      <c r="M221" s="2221"/>
      <c r="N221" s="261"/>
      <c r="O221" s="261"/>
      <c r="P221" s="261"/>
      <c r="Q221" s="2219">
        <f t="shared" si="38"/>
        <v>45333</v>
      </c>
      <c r="R221" s="2219"/>
      <c r="S221" s="261"/>
      <c r="T221" s="1173">
        <f t="shared" si="26"/>
        <v>0</v>
      </c>
      <c r="U221" s="261"/>
      <c r="V221" s="261"/>
      <c r="W221" s="261"/>
      <c r="X221" s="261"/>
      <c r="Y221" s="261"/>
      <c r="Z221" s="261"/>
      <c r="AA221" s="261"/>
      <c r="AB221" s="261"/>
      <c r="AC221" s="261"/>
      <c r="AD221" s="261"/>
      <c r="AE221" s="261"/>
      <c r="AF221" s="261"/>
      <c r="AG221" s="1173">
        <f t="shared" si="39"/>
        <v>0</v>
      </c>
      <c r="AH221" s="61" t="str">
        <f t="shared" si="40"/>
        <v/>
      </c>
      <c r="AI221" s="89" t="e">
        <f t="shared" si="41"/>
        <v>#N/A</v>
      </c>
      <c r="AJ221" s="2"/>
      <c r="AK221" s="61">
        <f>IF(G221=G$547,0,IF(OR(G221&lt;&gt;0,CH221&lt;&gt;0,C221="L"),COUNTIF(AK$180:AK220,"&gt;0")+1,0))</f>
        <v>0</v>
      </c>
      <c r="AL221" s="61" t="str">
        <f t="shared" si="27"/>
        <v/>
      </c>
      <c r="AM221" s="61" t="e">
        <f t="shared" si="28"/>
        <v>#N/A</v>
      </c>
      <c r="AN221" s="89" t="e">
        <f t="shared" si="29"/>
        <v>#N/A</v>
      </c>
      <c r="AO221" s="230">
        <f>SUM(FEB!X18:AD18)-BD221+AY221</f>
        <v>0</v>
      </c>
      <c r="AP221" s="228">
        <f>SUMIF(FEB!$G$121:$M$121,AP$178,FEB!$P18:$V18)+SUMIF($AZ$178:$BC$178,AP$178,$AZ221:$BC221)</f>
        <v>0</v>
      </c>
      <c r="AQ221" s="229">
        <f>SUMIF(FEB!$G$121:$M$121,AQ$178,FEB!$P18:$V18)+SUMIF($AZ$178:$BC$178,AQ$178,$AZ221:$BC221)</f>
        <v>0</v>
      </c>
      <c r="AR221" s="230">
        <f>SUMIF(FEB!$G$121:$M$121,AR$178,FEB!$P18:$V18)+SUMIF($AZ$178:$BC$178,AR$178,$AZ221:$BC221)</f>
        <v>0</v>
      </c>
      <c r="AS221" s="230">
        <f>SUMIF(FEB!$G$121:$M$121,AS$178,FEB!$P18:$V18)+SUMIF($AZ$178:$BC$178,AS$178,$AZ221:$BC221)</f>
        <v>0</v>
      </c>
      <c r="AT221" s="230">
        <f>SUMIF(FEB!$G$121:$M$121,AT$178,FEB!$P18:$V18)+SUMIF($AZ$178:$BC$178,AT$178,$AZ221:$BC221)</f>
        <v>0</v>
      </c>
      <c r="AU221" s="230">
        <f>SUMIF(FEB!$G$121:$M$121,AU$178,FEB!$P18:$V18)+SUMIF($AZ$178:$BC$178,AU$178,$AZ221:$BC221)</f>
        <v>0</v>
      </c>
      <c r="AV221" s="230">
        <f>SUMIF(FEB!$G$121:$M$121,AV$178,FEB!$P18:$V18)+SUMIF($AZ$178:$BC$178,AV$178,$AZ221:$BC221)</f>
        <v>0</v>
      </c>
      <c r="AW221" s="230">
        <f>SUMIF(FEB!$G$121:$M$121,AW$178,FEB!$P18:$V18)+SUMIF($AZ$178:$BC$178,AW$178,$AZ221:$BC221)</f>
        <v>0</v>
      </c>
      <c r="AX221" s="231">
        <f>SUMIF(FEB!$G$121:$M$121,AX$178,FEB!$P18:$V18)+SUMIF($AZ$178:$BC$178,AX$178,$AZ221:$BC221)</f>
        <v>0</v>
      </c>
      <c r="AY221" s="232">
        <f>FEB!AF18</f>
        <v>0</v>
      </c>
      <c r="AZ221" s="228">
        <f>FEB!AG18</f>
        <v>0</v>
      </c>
      <c r="BA221" s="229">
        <f>FEB!AH18</f>
        <v>0</v>
      </c>
      <c r="BB221" s="230">
        <f>FEB!AI18</f>
        <v>0</v>
      </c>
      <c r="BC221" s="231">
        <f>FEB!AJ18</f>
        <v>0</v>
      </c>
      <c r="BD221" s="228">
        <f>SUMIF(FEB!$G$120:$M$120,"&gt;0",FEB!$X18:$AD18)</f>
        <v>0</v>
      </c>
      <c r="BE221" s="696"/>
      <c r="BF221" s="228">
        <f>SUMIF(FEB!$BA$6:$BG$6,BF$177,FEB!$BA18:$BG18)</f>
        <v>0</v>
      </c>
      <c r="BG221" s="229">
        <f>SUMIF(FEB!$BA$6:$BG$6,BG$177,FEB!$BA18:$BG18)</f>
        <v>0</v>
      </c>
      <c r="BH221" s="229">
        <f>SUMIF(FEB!$BA$6:$BG$6,BH$177,FEB!$BA18:$BG18)</f>
        <v>0</v>
      </c>
      <c r="BI221" s="229">
        <f>SUMIF(FEB!$BA$6:$BG$6,BI$177,FEB!$BA18:$BG18)</f>
        <v>0</v>
      </c>
      <c r="BJ221" s="229">
        <f>SUMIF(FEB!$BA$6:$BG$6,BJ$177,FEB!$BA18:$BG18)</f>
        <v>0</v>
      </c>
      <c r="BK221" s="229">
        <f>SUMIF(FEB!$BA$6:$BG$6,BK$177,FEB!$BA18:$BG18)</f>
        <v>0</v>
      </c>
      <c r="BL221" s="229">
        <f>SUMIF(FEB!$BA$6:$BG$6,BL$177,FEB!$BA18:$BG18)</f>
        <v>0</v>
      </c>
      <c r="BM221" s="229">
        <f>SUMIF(FEB!$BA$6:$BG$6,BM$177,FEB!$BA18:$BG18)</f>
        <v>0</v>
      </c>
      <c r="BN221" s="229">
        <f>SUMIF(FEB!$BA$6:$BG$6,BN$177,FEB!$BA18:$BG18)</f>
        <v>0</v>
      </c>
      <c r="BO221" s="231">
        <f>SUMIF(FEB!$BA$6:$BG$6,BO$177,FEB!$BA18:$BG18)</f>
        <v>0</v>
      </c>
      <c r="BP221" s="231">
        <f>SUMIF(FEB!$BA$6:$BG$6,BP$177,FEB!$BA18:$BG18)</f>
        <v>0</v>
      </c>
      <c r="BQ221" s="252"/>
      <c r="BR221" s="228">
        <f>SUMIF(FEB!$BA$5:$BG$5,BR$177,FEB!$BA18:$BG18)</f>
        <v>0</v>
      </c>
      <c r="BS221" s="229">
        <f>SUMIF(FEB!$BA$5:$BG$5,BS$177,FEB!$BA18:$BG18)</f>
        <v>0</v>
      </c>
      <c r="BT221" s="229">
        <f>SUMIF(FEB!$BA$5:$BG$5,BT$177,FEB!$BA18:$BG18)</f>
        <v>0</v>
      </c>
      <c r="BU221" s="229">
        <f>SUMIF(FEB!$BA$5:$BG$5,BU$177,FEB!$BA18:$BG18)</f>
        <v>0</v>
      </c>
      <c r="BV221" s="229">
        <f>SUMIF(FEB!$BA$5:$BG$5,BV$177,FEB!$BA18:$BG18)</f>
        <v>0</v>
      </c>
      <c r="BW221" s="229">
        <f>SUMIF(FEB!$BA$5:$BG$5,BW$177,FEB!$BA18:$BG18)</f>
        <v>0</v>
      </c>
      <c r="BX221" s="230">
        <f>SUMIF(FEB!$BA$5:$BG$5,BX$177,FEB!$BA18:$BG18)</f>
        <v>0</v>
      </c>
      <c r="BY221" s="998">
        <f>SUMIF(FEB!$BA$5:$BG$5,BY$177,FEB!$BA18:$BG18)</f>
        <v>0</v>
      </c>
      <c r="CB221" s="252"/>
      <c r="CC221" s="61" t="e">
        <f t="shared" si="30"/>
        <v>#N/A</v>
      </c>
      <c r="CD221" s="61">
        <f t="shared" si="31"/>
        <v>0</v>
      </c>
      <c r="CE221" s="105" t="str">
        <f t="shared" si="44"/>
        <v/>
      </c>
      <c r="CF221" s="61" t="e">
        <f t="shared" si="33"/>
        <v>#N/A</v>
      </c>
      <c r="CG221" s="61" t="e">
        <f t="shared" si="34"/>
        <v>#N/A</v>
      </c>
      <c r="CH221" s="521">
        <f>FEB!AL18-CW221+CR221</f>
        <v>0</v>
      </c>
      <c r="CI221" s="228">
        <f>SUMIF(FEB!$G$121:$M$121,CI$178,FEB!$AM18:$AS18)+SUMIF($CS$178:$CV$178,CI$178,$CS221:$CV221)</f>
        <v>0</v>
      </c>
      <c r="CJ221" s="229">
        <f>SUMIF(FEB!$G$121:$M$121,CJ$178,FEB!$AM18:$AS18)+SUMIF($CS$178:$CV$178,CJ$178,$CS221:$CV221)</f>
        <v>0</v>
      </c>
      <c r="CK221" s="230">
        <f>SUMIF(FEB!$G$121:$M$121,CK$178,FEB!$AM18:$AS18)+SUMIF($CS$178:$CV$178,CK$178,$CS221:$CV221)</f>
        <v>0</v>
      </c>
      <c r="CL221" s="230">
        <f>SUMIF(FEB!$G$121:$M$121,CL$178,FEB!$AM18:$AS18)+SUMIF($CS$178:$CV$178,CL$178,$CS221:$CV221)</f>
        <v>0</v>
      </c>
      <c r="CM221" s="230">
        <f>SUMIF(FEB!$G$121:$M$121,CM$178,FEB!$AM18:$AS18)+SUMIF($CS$178:$CV$178,CM$178,$CS221:$CV221)</f>
        <v>0</v>
      </c>
      <c r="CN221" s="230">
        <f>SUMIF(FEB!$G$121:$M$121,CN$178,FEB!$AM18:$AS18)+SUMIF($CS$178:$CV$178,CN$178,$CS221:$CV221)</f>
        <v>0</v>
      </c>
      <c r="CO221" s="230">
        <f>SUMIF(FEB!$G$121:$M$121,CO$178,FEB!$AM18:$AS18)+SUMIF($CS$178:$CV$178,CO$178,$CS221:$CV221)</f>
        <v>0</v>
      </c>
      <c r="CP221" s="230">
        <f>SUMIF(FEB!$G$121:$M$121,CP$178,FEB!$AM18:$AS18)+SUMIF($CS$178:$CV$178,CP$178,$CS221:$CV221)</f>
        <v>0</v>
      </c>
      <c r="CQ221" s="231">
        <f>SUMIF(FEB!$G$121:$M$121,CQ$178,FEB!$AM18:$AS18)+SUMIF($CS$178:$CV$178,CQ$178,$CS221:$CV221)</f>
        <v>0</v>
      </c>
      <c r="CR221" s="521">
        <f>FEB!AU18</f>
        <v>0</v>
      </c>
      <c r="CS221" s="228">
        <f>FEB!AV18</f>
        <v>0</v>
      </c>
      <c r="CT221" s="229">
        <f>FEB!AW18</f>
        <v>0</v>
      </c>
      <c r="CU221" s="230">
        <f>FEB!AX18</f>
        <v>0</v>
      </c>
      <c r="CV221" s="231">
        <f>FEB!AY18</f>
        <v>0</v>
      </c>
      <c r="CW221" s="521">
        <f>SUM(FEB!AU18:AY18)</f>
        <v>0</v>
      </c>
      <c r="CX221" s="521">
        <f>FEB!AK18</f>
        <v>0</v>
      </c>
      <c r="CY221" s="2"/>
    </row>
    <row r="222" spans="1:103" ht="14.25" hidden="1" customHeight="1" x14ac:dyDescent="0.2">
      <c r="A222" s="2"/>
      <c r="B222" s="105">
        <f t="shared" si="35"/>
        <v>45334</v>
      </c>
      <c r="C222" s="146">
        <f>IF(AND(E222&gt;(E$558-1),E222&lt;(I$558+1)),W$551,IF(ISERROR(HLOOKUP(E222,$E$551:$L$551,1,FALSE)),HLOOKUP(WEEKDAY(E222,2),IMPOSTAZIONI!$C$52:$P$57,6,FALSE),$W$550))</f>
        <v>0</v>
      </c>
      <c r="D222" s="71" t="str">
        <f t="shared" si="36"/>
        <v/>
      </c>
      <c r="E222" s="2258">
        <f t="shared" si="42"/>
        <v>45334</v>
      </c>
      <c r="F222" s="2259"/>
      <c r="G222" s="2228">
        <f>FEB!E19</f>
        <v>0</v>
      </c>
      <c r="H222" s="2229"/>
      <c r="I222" s="2230"/>
      <c r="J222" s="262" t="str">
        <f t="shared" si="25"/>
        <v/>
      </c>
      <c r="K222" s="263"/>
      <c r="L222" s="2222">
        <f t="shared" si="43"/>
        <v>7</v>
      </c>
      <c r="M222" s="2223"/>
      <c r="N222" s="261"/>
      <c r="O222" s="261"/>
      <c r="P222" s="261"/>
      <c r="Q222" s="2219">
        <f t="shared" si="38"/>
        <v>45334</v>
      </c>
      <c r="R222" s="2219"/>
      <c r="S222" s="261"/>
      <c r="T222" s="1173">
        <f t="shared" si="26"/>
        <v>0</v>
      </c>
      <c r="U222" s="261"/>
      <c r="V222" s="261"/>
      <c r="W222" s="261"/>
      <c r="X222" s="261"/>
      <c r="Y222" s="261"/>
      <c r="Z222" s="261"/>
      <c r="AA222" s="261"/>
      <c r="AB222" s="261"/>
      <c r="AC222" s="261"/>
      <c r="AD222" s="261"/>
      <c r="AE222" s="261"/>
      <c r="AF222" s="261"/>
      <c r="AG222" s="1173">
        <f t="shared" si="39"/>
        <v>0</v>
      </c>
      <c r="AH222" s="61" t="str">
        <f t="shared" si="40"/>
        <v/>
      </c>
      <c r="AI222" s="89" t="e">
        <f t="shared" si="41"/>
        <v>#N/A</v>
      </c>
      <c r="AJ222" s="2"/>
      <c r="AK222" s="61">
        <f>IF(G222=G$547,0,IF(OR(G222&lt;&gt;0,CH222&lt;&gt;0,C222="L"),COUNTIF(AK$180:AK221,"&gt;0")+1,0))</f>
        <v>0</v>
      </c>
      <c r="AL222" s="61" t="str">
        <f t="shared" si="27"/>
        <v/>
      </c>
      <c r="AM222" s="61" t="e">
        <f t="shared" si="28"/>
        <v>#N/A</v>
      </c>
      <c r="AN222" s="89" t="e">
        <f t="shared" si="29"/>
        <v>#N/A</v>
      </c>
      <c r="AO222" s="230">
        <f>SUM(FEB!X19:AD19)-BD222+AY222</f>
        <v>0</v>
      </c>
      <c r="AP222" s="228">
        <f>SUMIF(FEB!$G$121:$M$121,AP$178,FEB!$P19:$V19)+SUMIF($AZ$178:$BC$178,AP$178,$AZ222:$BC222)</f>
        <v>0</v>
      </c>
      <c r="AQ222" s="229">
        <f>SUMIF(FEB!$G$121:$M$121,AQ$178,FEB!$P19:$V19)+SUMIF($AZ$178:$BC$178,AQ$178,$AZ222:$BC222)</f>
        <v>0</v>
      </c>
      <c r="AR222" s="230">
        <f>SUMIF(FEB!$G$121:$M$121,AR$178,FEB!$P19:$V19)+SUMIF($AZ$178:$BC$178,AR$178,$AZ222:$BC222)</f>
        <v>0</v>
      </c>
      <c r="AS222" s="230">
        <f>SUMIF(FEB!$G$121:$M$121,AS$178,FEB!$P19:$V19)+SUMIF($AZ$178:$BC$178,AS$178,$AZ222:$BC222)</f>
        <v>0</v>
      </c>
      <c r="AT222" s="230">
        <f>SUMIF(FEB!$G$121:$M$121,AT$178,FEB!$P19:$V19)+SUMIF($AZ$178:$BC$178,AT$178,$AZ222:$BC222)</f>
        <v>0</v>
      </c>
      <c r="AU222" s="230">
        <f>SUMIF(FEB!$G$121:$M$121,AU$178,FEB!$P19:$V19)+SUMIF($AZ$178:$BC$178,AU$178,$AZ222:$BC222)</f>
        <v>0</v>
      </c>
      <c r="AV222" s="230">
        <f>SUMIF(FEB!$G$121:$M$121,AV$178,FEB!$P19:$V19)+SUMIF($AZ$178:$BC$178,AV$178,$AZ222:$BC222)</f>
        <v>0</v>
      </c>
      <c r="AW222" s="230">
        <f>SUMIF(FEB!$G$121:$M$121,AW$178,FEB!$P19:$V19)+SUMIF($AZ$178:$BC$178,AW$178,$AZ222:$BC222)</f>
        <v>0</v>
      </c>
      <c r="AX222" s="231">
        <f>SUMIF(FEB!$G$121:$M$121,AX$178,FEB!$P19:$V19)+SUMIF($AZ$178:$BC$178,AX$178,$AZ222:$BC222)</f>
        <v>0</v>
      </c>
      <c r="AY222" s="232">
        <f>FEB!AF19</f>
        <v>0</v>
      </c>
      <c r="AZ222" s="228">
        <f>FEB!AG19</f>
        <v>0</v>
      </c>
      <c r="BA222" s="229">
        <f>FEB!AH19</f>
        <v>0</v>
      </c>
      <c r="BB222" s="230">
        <f>FEB!AI19</f>
        <v>0</v>
      </c>
      <c r="BC222" s="231">
        <f>FEB!AJ19</f>
        <v>0</v>
      </c>
      <c r="BD222" s="228">
        <f>SUMIF(FEB!$G$120:$M$120,"&gt;0",FEB!$X19:$AD19)</f>
        <v>0</v>
      </c>
      <c r="BE222" s="696"/>
      <c r="BF222" s="228">
        <f>SUMIF(FEB!$BA$6:$BG$6,BF$177,FEB!$BA19:$BG19)</f>
        <v>0</v>
      </c>
      <c r="BG222" s="229">
        <f>SUMIF(FEB!$BA$6:$BG$6,BG$177,FEB!$BA19:$BG19)</f>
        <v>0</v>
      </c>
      <c r="BH222" s="229">
        <f>SUMIF(FEB!$BA$6:$BG$6,BH$177,FEB!$BA19:$BG19)</f>
        <v>0</v>
      </c>
      <c r="BI222" s="229">
        <f>SUMIF(FEB!$BA$6:$BG$6,BI$177,FEB!$BA19:$BG19)</f>
        <v>0</v>
      </c>
      <c r="BJ222" s="229">
        <f>SUMIF(FEB!$BA$6:$BG$6,BJ$177,FEB!$BA19:$BG19)</f>
        <v>0</v>
      </c>
      <c r="BK222" s="229">
        <f>SUMIF(FEB!$BA$6:$BG$6,BK$177,FEB!$BA19:$BG19)</f>
        <v>0</v>
      </c>
      <c r="BL222" s="229">
        <f>SUMIF(FEB!$BA$6:$BG$6,BL$177,FEB!$BA19:$BG19)</f>
        <v>0</v>
      </c>
      <c r="BM222" s="229">
        <f>SUMIF(FEB!$BA$6:$BG$6,BM$177,FEB!$BA19:$BG19)</f>
        <v>0</v>
      </c>
      <c r="BN222" s="229">
        <f>SUMIF(FEB!$BA$6:$BG$6,BN$177,FEB!$BA19:$BG19)</f>
        <v>0</v>
      </c>
      <c r="BO222" s="231">
        <f>SUMIF(FEB!$BA$6:$BG$6,BO$177,FEB!$BA19:$BG19)</f>
        <v>0</v>
      </c>
      <c r="BP222" s="231">
        <f>SUMIF(FEB!$BA$6:$BG$6,BP$177,FEB!$BA19:$BG19)</f>
        <v>0</v>
      </c>
      <c r="BQ222" s="252"/>
      <c r="BR222" s="228">
        <f>SUMIF(FEB!$BA$5:$BG$5,BR$177,FEB!$BA19:$BG19)</f>
        <v>0</v>
      </c>
      <c r="BS222" s="229">
        <f>SUMIF(FEB!$BA$5:$BG$5,BS$177,FEB!$BA19:$BG19)</f>
        <v>0</v>
      </c>
      <c r="BT222" s="229">
        <f>SUMIF(FEB!$BA$5:$BG$5,BT$177,FEB!$BA19:$BG19)</f>
        <v>0</v>
      </c>
      <c r="BU222" s="229">
        <f>SUMIF(FEB!$BA$5:$BG$5,BU$177,FEB!$BA19:$BG19)</f>
        <v>0</v>
      </c>
      <c r="BV222" s="229">
        <f>SUMIF(FEB!$BA$5:$BG$5,BV$177,FEB!$BA19:$BG19)</f>
        <v>0</v>
      </c>
      <c r="BW222" s="229">
        <f>SUMIF(FEB!$BA$5:$BG$5,BW$177,FEB!$BA19:$BG19)</f>
        <v>0</v>
      </c>
      <c r="BX222" s="230">
        <f>SUMIF(FEB!$BA$5:$BG$5,BX$177,FEB!$BA19:$BG19)</f>
        <v>0</v>
      </c>
      <c r="BY222" s="998">
        <f>SUMIF(FEB!$BA$5:$BG$5,BY$177,FEB!$BA19:$BG19)</f>
        <v>0</v>
      </c>
      <c r="CB222" s="252"/>
      <c r="CC222" s="61" t="e">
        <f t="shared" si="30"/>
        <v>#N/A</v>
      </c>
      <c r="CD222" s="61">
        <f t="shared" si="31"/>
        <v>0</v>
      </c>
      <c r="CE222" s="105" t="str">
        <f t="shared" si="44"/>
        <v/>
      </c>
      <c r="CF222" s="61" t="e">
        <f t="shared" si="33"/>
        <v>#N/A</v>
      </c>
      <c r="CG222" s="61" t="e">
        <f t="shared" si="34"/>
        <v>#N/A</v>
      </c>
      <c r="CH222" s="521">
        <f>FEB!AL19-CW222+CR222</f>
        <v>0</v>
      </c>
      <c r="CI222" s="228">
        <f>SUMIF(FEB!$G$121:$M$121,CI$178,FEB!$AM19:$AS19)+SUMIF($CS$178:$CV$178,CI$178,$CS222:$CV222)</f>
        <v>0</v>
      </c>
      <c r="CJ222" s="229">
        <f>SUMIF(FEB!$G$121:$M$121,CJ$178,FEB!$AM19:$AS19)+SUMIF($CS$178:$CV$178,CJ$178,$CS222:$CV222)</f>
        <v>0</v>
      </c>
      <c r="CK222" s="230">
        <f>SUMIF(FEB!$G$121:$M$121,CK$178,FEB!$AM19:$AS19)+SUMIF($CS$178:$CV$178,CK$178,$CS222:$CV222)</f>
        <v>0</v>
      </c>
      <c r="CL222" s="230">
        <f>SUMIF(FEB!$G$121:$M$121,CL$178,FEB!$AM19:$AS19)+SUMIF($CS$178:$CV$178,CL$178,$CS222:$CV222)</f>
        <v>0</v>
      </c>
      <c r="CM222" s="230">
        <f>SUMIF(FEB!$G$121:$M$121,CM$178,FEB!$AM19:$AS19)+SUMIF($CS$178:$CV$178,CM$178,$CS222:$CV222)</f>
        <v>0</v>
      </c>
      <c r="CN222" s="230">
        <f>SUMIF(FEB!$G$121:$M$121,CN$178,FEB!$AM19:$AS19)+SUMIF($CS$178:$CV$178,CN$178,$CS222:$CV222)</f>
        <v>0</v>
      </c>
      <c r="CO222" s="230">
        <f>SUMIF(FEB!$G$121:$M$121,CO$178,FEB!$AM19:$AS19)+SUMIF($CS$178:$CV$178,CO$178,$CS222:$CV222)</f>
        <v>0</v>
      </c>
      <c r="CP222" s="230">
        <f>SUMIF(FEB!$G$121:$M$121,CP$178,FEB!$AM19:$AS19)+SUMIF($CS$178:$CV$178,CP$178,$CS222:$CV222)</f>
        <v>0</v>
      </c>
      <c r="CQ222" s="231">
        <f>SUMIF(FEB!$G$121:$M$121,CQ$178,FEB!$AM19:$AS19)+SUMIF($CS$178:$CV$178,CQ$178,$CS222:$CV222)</f>
        <v>0</v>
      </c>
      <c r="CR222" s="521">
        <f>FEB!AU19</f>
        <v>0</v>
      </c>
      <c r="CS222" s="228">
        <f>FEB!AV19</f>
        <v>0</v>
      </c>
      <c r="CT222" s="229">
        <f>FEB!AW19</f>
        <v>0</v>
      </c>
      <c r="CU222" s="230">
        <f>FEB!AX19</f>
        <v>0</v>
      </c>
      <c r="CV222" s="231">
        <f>FEB!AY19</f>
        <v>0</v>
      </c>
      <c r="CW222" s="521">
        <f>SUM(FEB!AU19:AY19)</f>
        <v>0</v>
      </c>
      <c r="CX222" s="521">
        <f>FEB!AK19</f>
        <v>0</v>
      </c>
      <c r="CY222" s="2"/>
    </row>
    <row r="223" spans="1:103" ht="14.25" hidden="1" customHeight="1" x14ac:dyDescent="0.2">
      <c r="A223" s="2"/>
      <c r="B223" s="105">
        <f t="shared" si="35"/>
        <v>45335</v>
      </c>
      <c r="C223" s="146">
        <f>IF(AND(E223&gt;(E$558-1),E223&lt;(I$558+1)),W$551,IF(ISERROR(HLOOKUP(E223,$E$551:$L$551,1,FALSE)),HLOOKUP(WEEKDAY(E223,2),IMPOSTAZIONI!$C$52:$P$57,6,FALSE),$W$550))</f>
        <v>0</v>
      </c>
      <c r="D223" s="71" t="str">
        <f t="shared" si="36"/>
        <v/>
      </c>
      <c r="E223" s="2258">
        <f t="shared" si="42"/>
        <v>45335</v>
      </c>
      <c r="F223" s="2259"/>
      <c r="G223" s="2228">
        <f>FEB!E20</f>
        <v>0</v>
      </c>
      <c r="H223" s="2229"/>
      <c r="I223" s="2230"/>
      <c r="J223" s="262" t="str">
        <f t="shared" si="25"/>
        <v/>
      </c>
      <c r="K223" s="263"/>
      <c r="L223" s="2217">
        <f t="shared" si="43"/>
        <v>7</v>
      </c>
      <c r="M223" s="2218"/>
      <c r="N223" s="261"/>
      <c r="O223" s="261"/>
      <c r="P223" s="261"/>
      <c r="Q223" s="2219">
        <f t="shared" si="38"/>
        <v>45335</v>
      </c>
      <c r="R223" s="2219"/>
      <c r="S223" s="261"/>
      <c r="T223" s="1173">
        <f t="shared" si="26"/>
        <v>0</v>
      </c>
      <c r="U223" s="261"/>
      <c r="V223" s="261"/>
      <c r="W223" s="261"/>
      <c r="X223" s="261"/>
      <c r="Y223" s="261"/>
      <c r="Z223" s="261"/>
      <c r="AA223" s="261"/>
      <c r="AB223" s="261"/>
      <c r="AC223" s="261"/>
      <c r="AD223" s="261"/>
      <c r="AE223" s="261"/>
      <c r="AF223" s="261"/>
      <c r="AG223" s="1173">
        <f t="shared" si="39"/>
        <v>0</v>
      </c>
      <c r="AH223" s="61" t="str">
        <f t="shared" si="40"/>
        <v/>
      </c>
      <c r="AI223" s="89" t="e">
        <f t="shared" si="41"/>
        <v>#N/A</v>
      </c>
      <c r="AJ223" s="2"/>
      <c r="AK223" s="61">
        <f>IF(G223=G$547,0,IF(OR(G223&lt;&gt;0,CH223&lt;&gt;0,C223="L"),COUNTIF(AK$180:AK222,"&gt;0")+1,0))</f>
        <v>0</v>
      </c>
      <c r="AL223" s="61" t="str">
        <f t="shared" si="27"/>
        <v/>
      </c>
      <c r="AM223" s="61" t="e">
        <f t="shared" si="28"/>
        <v>#N/A</v>
      </c>
      <c r="AN223" s="89" t="e">
        <f t="shared" si="29"/>
        <v>#N/A</v>
      </c>
      <c r="AO223" s="230">
        <f>SUM(FEB!X20:AD20)-BD223+AY223</f>
        <v>0</v>
      </c>
      <c r="AP223" s="228">
        <f>SUMIF(FEB!$G$121:$M$121,AP$178,FEB!$P20:$V20)+SUMIF($AZ$178:$BC$178,AP$178,$AZ223:$BC223)</f>
        <v>0</v>
      </c>
      <c r="AQ223" s="229">
        <f>SUMIF(FEB!$G$121:$M$121,AQ$178,FEB!$P20:$V20)+SUMIF($AZ$178:$BC$178,AQ$178,$AZ223:$BC223)</f>
        <v>0</v>
      </c>
      <c r="AR223" s="230">
        <f>SUMIF(FEB!$G$121:$M$121,AR$178,FEB!$P20:$V20)+SUMIF($AZ$178:$BC$178,AR$178,$AZ223:$BC223)</f>
        <v>0</v>
      </c>
      <c r="AS223" s="230">
        <f>SUMIF(FEB!$G$121:$M$121,AS$178,FEB!$P20:$V20)+SUMIF($AZ$178:$BC$178,AS$178,$AZ223:$BC223)</f>
        <v>0</v>
      </c>
      <c r="AT223" s="230">
        <f>SUMIF(FEB!$G$121:$M$121,AT$178,FEB!$P20:$V20)+SUMIF($AZ$178:$BC$178,AT$178,$AZ223:$BC223)</f>
        <v>0</v>
      </c>
      <c r="AU223" s="230">
        <f>SUMIF(FEB!$G$121:$M$121,AU$178,FEB!$P20:$V20)+SUMIF($AZ$178:$BC$178,AU$178,$AZ223:$BC223)</f>
        <v>0</v>
      </c>
      <c r="AV223" s="230">
        <f>SUMIF(FEB!$G$121:$M$121,AV$178,FEB!$P20:$V20)+SUMIF($AZ$178:$BC$178,AV$178,$AZ223:$BC223)</f>
        <v>0</v>
      </c>
      <c r="AW223" s="230">
        <f>SUMIF(FEB!$G$121:$M$121,AW$178,FEB!$P20:$V20)+SUMIF($AZ$178:$BC$178,AW$178,$AZ223:$BC223)</f>
        <v>0</v>
      </c>
      <c r="AX223" s="231">
        <f>SUMIF(FEB!$G$121:$M$121,AX$178,FEB!$P20:$V20)+SUMIF($AZ$178:$BC$178,AX$178,$AZ223:$BC223)</f>
        <v>0</v>
      </c>
      <c r="AY223" s="232">
        <f>FEB!AF20</f>
        <v>0</v>
      </c>
      <c r="AZ223" s="228">
        <f>FEB!AG20</f>
        <v>0</v>
      </c>
      <c r="BA223" s="229">
        <f>FEB!AH20</f>
        <v>0</v>
      </c>
      <c r="BB223" s="230">
        <f>FEB!AI20</f>
        <v>0</v>
      </c>
      <c r="BC223" s="231">
        <f>FEB!AJ20</f>
        <v>0</v>
      </c>
      <c r="BD223" s="228">
        <f>SUMIF(FEB!$G$120:$M$120,"&gt;0",FEB!$X20:$AD20)</f>
        <v>0</v>
      </c>
      <c r="BE223" s="696"/>
      <c r="BF223" s="228">
        <f>SUMIF(FEB!$BA$6:$BG$6,BF$177,FEB!$BA20:$BG20)</f>
        <v>0</v>
      </c>
      <c r="BG223" s="229">
        <f>SUMIF(FEB!$BA$6:$BG$6,BG$177,FEB!$BA20:$BG20)</f>
        <v>0</v>
      </c>
      <c r="BH223" s="229">
        <f>SUMIF(FEB!$BA$6:$BG$6,BH$177,FEB!$BA20:$BG20)</f>
        <v>0</v>
      </c>
      <c r="BI223" s="229">
        <f>SUMIF(FEB!$BA$6:$BG$6,BI$177,FEB!$BA20:$BG20)</f>
        <v>0</v>
      </c>
      <c r="BJ223" s="229">
        <f>SUMIF(FEB!$BA$6:$BG$6,BJ$177,FEB!$BA20:$BG20)</f>
        <v>0</v>
      </c>
      <c r="BK223" s="229">
        <f>SUMIF(FEB!$BA$6:$BG$6,BK$177,FEB!$BA20:$BG20)</f>
        <v>0</v>
      </c>
      <c r="BL223" s="229">
        <f>SUMIF(FEB!$BA$6:$BG$6,BL$177,FEB!$BA20:$BG20)</f>
        <v>0</v>
      </c>
      <c r="BM223" s="229">
        <f>SUMIF(FEB!$BA$6:$BG$6,BM$177,FEB!$BA20:$BG20)</f>
        <v>0</v>
      </c>
      <c r="BN223" s="229">
        <f>SUMIF(FEB!$BA$6:$BG$6,BN$177,FEB!$BA20:$BG20)</f>
        <v>0</v>
      </c>
      <c r="BO223" s="231">
        <f>SUMIF(FEB!$BA$6:$BG$6,BO$177,FEB!$BA20:$BG20)</f>
        <v>0</v>
      </c>
      <c r="BP223" s="231">
        <f>SUMIF(FEB!$BA$6:$BG$6,BP$177,FEB!$BA20:$BG20)</f>
        <v>0</v>
      </c>
      <c r="BQ223" s="252"/>
      <c r="BR223" s="228">
        <f>SUMIF(FEB!$BA$5:$BG$5,BR$177,FEB!$BA20:$BG20)</f>
        <v>0</v>
      </c>
      <c r="BS223" s="229">
        <f>SUMIF(FEB!$BA$5:$BG$5,BS$177,FEB!$BA20:$BG20)</f>
        <v>0</v>
      </c>
      <c r="BT223" s="229">
        <f>SUMIF(FEB!$BA$5:$BG$5,BT$177,FEB!$BA20:$BG20)</f>
        <v>0</v>
      </c>
      <c r="BU223" s="229">
        <f>SUMIF(FEB!$BA$5:$BG$5,BU$177,FEB!$BA20:$BG20)</f>
        <v>0</v>
      </c>
      <c r="BV223" s="229">
        <f>SUMIF(FEB!$BA$5:$BG$5,BV$177,FEB!$BA20:$BG20)</f>
        <v>0</v>
      </c>
      <c r="BW223" s="229">
        <f>SUMIF(FEB!$BA$5:$BG$5,BW$177,FEB!$BA20:$BG20)</f>
        <v>0</v>
      </c>
      <c r="BX223" s="230">
        <f>SUMIF(FEB!$BA$5:$BG$5,BX$177,FEB!$BA20:$BG20)</f>
        <v>0</v>
      </c>
      <c r="BY223" s="998">
        <f>SUMIF(FEB!$BA$5:$BG$5,BY$177,FEB!$BA20:$BG20)</f>
        <v>0</v>
      </c>
      <c r="CB223" s="252"/>
      <c r="CC223" s="61" t="e">
        <f t="shared" si="30"/>
        <v>#N/A</v>
      </c>
      <c r="CD223" s="61">
        <f t="shared" si="31"/>
        <v>0</v>
      </c>
      <c r="CE223" s="105" t="str">
        <f t="shared" si="44"/>
        <v/>
      </c>
      <c r="CF223" s="61" t="e">
        <f t="shared" si="33"/>
        <v>#N/A</v>
      </c>
      <c r="CG223" s="61" t="e">
        <f t="shared" si="34"/>
        <v>#N/A</v>
      </c>
      <c r="CH223" s="521">
        <f>FEB!AL20-CW223+CR223</f>
        <v>0</v>
      </c>
      <c r="CI223" s="228">
        <f>SUMIF(FEB!$G$121:$M$121,CI$178,FEB!$AM20:$AS20)+SUMIF($CS$178:$CV$178,CI$178,$CS223:$CV223)</f>
        <v>0</v>
      </c>
      <c r="CJ223" s="229">
        <f>SUMIF(FEB!$G$121:$M$121,CJ$178,FEB!$AM20:$AS20)+SUMIF($CS$178:$CV$178,CJ$178,$CS223:$CV223)</f>
        <v>0</v>
      </c>
      <c r="CK223" s="230">
        <f>SUMIF(FEB!$G$121:$M$121,CK$178,FEB!$AM20:$AS20)+SUMIF($CS$178:$CV$178,CK$178,$CS223:$CV223)</f>
        <v>0</v>
      </c>
      <c r="CL223" s="230">
        <f>SUMIF(FEB!$G$121:$M$121,CL$178,FEB!$AM20:$AS20)+SUMIF($CS$178:$CV$178,CL$178,$CS223:$CV223)</f>
        <v>0</v>
      </c>
      <c r="CM223" s="230">
        <f>SUMIF(FEB!$G$121:$M$121,CM$178,FEB!$AM20:$AS20)+SUMIF($CS$178:$CV$178,CM$178,$CS223:$CV223)</f>
        <v>0</v>
      </c>
      <c r="CN223" s="230">
        <f>SUMIF(FEB!$G$121:$M$121,CN$178,FEB!$AM20:$AS20)+SUMIF($CS$178:$CV$178,CN$178,$CS223:$CV223)</f>
        <v>0</v>
      </c>
      <c r="CO223" s="230">
        <f>SUMIF(FEB!$G$121:$M$121,CO$178,FEB!$AM20:$AS20)+SUMIF($CS$178:$CV$178,CO$178,$CS223:$CV223)</f>
        <v>0</v>
      </c>
      <c r="CP223" s="230">
        <f>SUMIF(FEB!$G$121:$M$121,CP$178,FEB!$AM20:$AS20)+SUMIF($CS$178:$CV$178,CP$178,$CS223:$CV223)</f>
        <v>0</v>
      </c>
      <c r="CQ223" s="231">
        <f>SUMIF(FEB!$G$121:$M$121,CQ$178,FEB!$AM20:$AS20)+SUMIF($CS$178:$CV$178,CQ$178,$CS223:$CV223)</f>
        <v>0</v>
      </c>
      <c r="CR223" s="521">
        <f>FEB!AU20</f>
        <v>0</v>
      </c>
      <c r="CS223" s="228">
        <f>FEB!AV20</f>
        <v>0</v>
      </c>
      <c r="CT223" s="229">
        <f>FEB!AW20</f>
        <v>0</v>
      </c>
      <c r="CU223" s="230">
        <f>FEB!AX20</f>
        <v>0</v>
      </c>
      <c r="CV223" s="231">
        <f>FEB!AY20</f>
        <v>0</v>
      </c>
      <c r="CW223" s="521">
        <f>SUM(FEB!AU20:AY20)</f>
        <v>0</v>
      </c>
      <c r="CX223" s="521">
        <f>FEB!AK20</f>
        <v>0</v>
      </c>
      <c r="CY223" s="2"/>
    </row>
    <row r="224" spans="1:103" ht="14.25" hidden="1" customHeight="1" x14ac:dyDescent="0.2">
      <c r="A224" s="2"/>
      <c r="B224" s="105">
        <f t="shared" si="35"/>
        <v>45336</v>
      </c>
      <c r="C224" s="146">
        <f>IF(AND(E224&gt;(E$558-1),E224&lt;(I$558+1)),W$551,IF(ISERROR(HLOOKUP(E224,$E$551:$L$551,1,FALSE)),HLOOKUP(WEEKDAY(E224,2),IMPOSTAZIONI!$C$52:$P$57,6,FALSE),$W$550))</f>
        <v>0</v>
      </c>
      <c r="D224" s="71" t="str">
        <f t="shared" si="36"/>
        <v/>
      </c>
      <c r="E224" s="2258">
        <f t="shared" si="42"/>
        <v>45336</v>
      </c>
      <c r="F224" s="2259"/>
      <c r="G224" s="2228">
        <f>FEB!E21</f>
        <v>0</v>
      </c>
      <c r="H224" s="2229"/>
      <c r="I224" s="2230"/>
      <c r="J224" s="262" t="str">
        <f t="shared" si="25"/>
        <v/>
      </c>
      <c r="K224" s="263"/>
      <c r="L224" s="2217">
        <f t="shared" si="43"/>
        <v>7</v>
      </c>
      <c r="M224" s="2218"/>
      <c r="N224" s="261"/>
      <c r="O224" s="261"/>
      <c r="P224" s="261"/>
      <c r="Q224" s="2219">
        <f t="shared" si="38"/>
        <v>45336</v>
      </c>
      <c r="R224" s="2219"/>
      <c r="S224" s="261"/>
      <c r="T224" s="1173">
        <f t="shared" si="26"/>
        <v>0</v>
      </c>
      <c r="U224" s="261"/>
      <c r="V224" s="261"/>
      <c r="W224" s="261"/>
      <c r="X224" s="261"/>
      <c r="Y224" s="261"/>
      <c r="Z224" s="261"/>
      <c r="AA224" s="261"/>
      <c r="AB224" s="261"/>
      <c r="AC224" s="261"/>
      <c r="AD224" s="261"/>
      <c r="AE224" s="261"/>
      <c r="AF224" s="261"/>
      <c r="AG224" s="1173">
        <f t="shared" si="39"/>
        <v>0</v>
      </c>
      <c r="AH224" s="61" t="str">
        <f t="shared" si="40"/>
        <v/>
      </c>
      <c r="AI224" s="89" t="e">
        <f t="shared" si="41"/>
        <v>#N/A</v>
      </c>
      <c r="AJ224" s="2"/>
      <c r="AK224" s="61">
        <f>IF(G224=G$547,0,IF(OR(G224&lt;&gt;0,CH224&lt;&gt;0,C224="L"),COUNTIF(AK$180:AK223,"&gt;0")+1,0))</f>
        <v>0</v>
      </c>
      <c r="AL224" s="61" t="str">
        <f t="shared" si="27"/>
        <v/>
      </c>
      <c r="AM224" s="61" t="e">
        <f t="shared" si="28"/>
        <v>#N/A</v>
      </c>
      <c r="AN224" s="89" t="e">
        <f t="shared" si="29"/>
        <v>#N/A</v>
      </c>
      <c r="AO224" s="230">
        <f>SUM(FEB!X21:AD21)-BD224+AY224</f>
        <v>0</v>
      </c>
      <c r="AP224" s="228">
        <f>SUMIF(FEB!$G$121:$M$121,AP$178,FEB!$P21:$V21)+SUMIF($AZ$178:$BC$178,AP$178,$AZ224:$BC224)</f>
        <v>0</v>
      </c>
      <c r="AQ224" s="229">
        <f>SUMIF(FEB!$G$121:$M$121,AQ$178,FEB!$P21:$V21)+SUMIF($AZ$178:$BC$178,AQ$178,$AZ224:$BC224)</f>
        <v>0</v>
      </c>
      <c r="AR224" s="230">
        <f>SUMIF(FEB!$G$121:$M$121,AR$178,FEB!$P21:$V21)+SUMIF($AZ$178:$BC$178,AR$178,$AZ224:$BC224)</f>
        <v>0</v>
      </c>
      <c r="AS224" s="230">
        <f>SUMIF(FEB!$G$121:$M$121,AS$178,FEB!$P21:$V21)+SUMIF($AZ$178:$BC$178,AS$178,$AZ224:$BC224)</f>
        <v>0</v>
      </c>
      <c r="AT224" s="230">
        <f>SUMIF(FEB!$G$121:$M$121,AT$178,FEB!$P21:$V21)+SUMIF($AZ$178:$BC$178,AT$178,$AZ224:$BC224)</f>
        <v>0</v>
      </c>
      <c r="AU224" s="230">
        <f>SUMIF(FEB!$G$121:$M$121,AU$178,FEB!$P21:$V21)+SUMIF($AZ$178:$BC$178,AU$178,$AZ224:$BC224)</f>
        <v>0</v>
      </c>
      <c r="AV224" s="230">
        <f>SUMIF(FEB!$G$121:$M$121,AV$178,FEB!$P21:$V21)+SUMIF($AZ$178:$BC$178,AV$178,$AZ224:$BC224)</f>
        <v>0</v>
      </c>
      <c r="AW224" s="230">
        <f>SUMIF(FEB!$G$121:$M$121,AW$178,FEB!$P21:$V21)+SUMIF($AZ$178:$BC$178,AW$178,$AZ224:$BC224)</f>
        <v>0</v>
      </c>
      <c r="AX224" s="231">
        <f>SUMIF(FEB!$G$121:$M$121,AX$178,FEB!$P21:$V21)+SUMIF($AZ$178:$BC$178,AX$178,$AZ224:$BC224)</f>
        <v>0</v>
      </c>
      <c r="AY224" s="232">
        <f>FEB!AF21</f>
        <v>0</v>
      </c>
      <c r="AZ224" s="228">
        <f>FEB!AG21</f>
        <v>0</v>
      </c>
      <c r="BA224" s="229">
        <f>FEB!AH21</f>
        <v>0</v>
      </c>
      <c r="BB224" s="230">
        <f>FEB!AI21</f>
        <v>0</v>
      </c>
      <c r="BC224" s="231">
        <f>FEB!AJ21</f>
        <v>0</v>
      </c>
      <c r="BD224" s="228">
        <f>SUMIF(FEB!$G$120:$M$120,"&gt;0",FEB!$X21:$AD21)</f>
        <v>0</v>
      </c>
      <c r="BE224" s="696"/>
      <c r="BF224" s="228">
        <f>SUMIF(FEB!$BA$6:$BG$6,BF$177,FEB!$BA21:$BG21)</f>
        <v>0</v>
      </c>
      <c r="BG224" s="229">
        <f>SUMIF(FEB!$BA$6:$BG$6,BG$177,FEB!$BA21:$BG21)</f>
        <v>0</v>
      </c>
      <c r="BH224" s="229">
        <f>SUMIF(FEB!$BA$6:$BG$6,BH$177,FEB!$BA21:$BG21)</f>
        <v>0</v>
      </c>
      <c r="BI224" s="229">
        <f>SUMIF(FEB!$BA$6:$BG$6,BI$177,FEB!$BA21:$BG21)</f>
        <v>0</v>
      </c>
      <c r="BJ224" s="229">
        <f>SUMIF(FEB!$BA$6:$BG$6,BJ$177,FEB!$BA21:$BG21)</f>
        <v>0</v>
      </c>
      <c r="BK224" s="229">
        <f>SUMIF(FEB!$BA$6:$BG$6,BK$177,FEB!$BA21:$BG21)</f>
        <v>0</v>
      </c>
      <c r="BL224" s="229">
        <f>SUMIF(FEB!$BA$6:$BG$6,BL$177,FEB!$BA21:$BG21)</f>
        <v>0</v>
      </c>
      <c r="BM224" s="229">
        <f>SUMIF(FEB!$BA$6:$BG$6,BM$177,FEB!$BA21:$BG21)</f>
        <v>0</v>
      </c>
      <c r="BN224" s="229">
        <f>SUMIF(FEB!$BA$6:$BG$6,BN$177,FEB!$BA21:$BG21)</f>
        <v>0</v>
      </c>
      <c r="BO224" s="231">
        <f>SUMIF(FEB!$BA$6:$BG$6,BO$177,FEB!$BA21:$BG21)</f>
        <v>0</v>
      </c>
      <c r="BP224" s="231">
        <f>SUMIF(FEB!$BA$6:$BG$6,BP$177,FEB!$BA21:$BG21)</f>
        <v>0</v>
      </c>
      <c r="BQ224" s="252"/>
      <c r="BR224" s="228">
        <f>SUMIF(FEB!$BA$5:$BG$5,BR$177,FEB!$BA21:$BG21)</f>
        <v>0</v>
      </c>
      <c r="BS224" s="229">
        <f>SUMIF(FEB!$BA$5:$BG$5,BS$177,FEB!$BA21:$BG21)</f>
        <v>0</v>
      </c>
      <c r="BT224" s="229">
        <f>SUMIF(FEB!$BA$5:$BG$5,BT$177,FEB!$BA21:$BG21)</f>
        <v>0</v>
      </c>
      <c r="BU224" s="229">
        <f>SUMIF(FEB!$BA$5:$BG$5,BU$177,FEB!$BA21:$BG21)</f>
        <v>0</v>
      </c>
      <c r="BV224" s="229">
        <f>SUMIF(FEB!$BA$5:$BG$5,BV$177,FEB!$BA21:$BG21)</f>
        <v>0</v>
      </c>
      <c r="BW224" s="229">
        <f>SUMIF(FEB!$BA$5:$BG$5,BW$177,FEB!$BA21:$BG21)</f>
        <v>0</v>
      </c>
      <c r="BX224" s="230">
        <f>SUMIF(FEB!$BA$5:$BG$5,BX$177,FEB!$BA21:$BG21)</f>
        <v>0</v>
      </c>
      <c r="BY224" s="998">
        <f>SUMIF(FEB!$BA$5:$BG$5,BY$177,FEB!$BA21:$BG21)</f>
        <v>0</v>
      </c>
      <c r="CB224" s="252"/>
      <c r="CC224" s="61" t="e">
        <f t="shared" si="30"/>
        <v>#N/A</v>
      </c>
      <c r="CD224" s="61">
        <f t="shared" si="31"/>
        <v>0</v>
      </c>
      <c r="CE224" s="105" t="str">
        <f t="shared" si="44"/>
        <v/>
      </c>
      <c r="CF224" s="61" t="e">
        <f t="shared" si="33"/>
        <v>#N/A</v>
      </c>
      <c r="CG224" s="61" t="e">
        <f t="shared" si="34"/>
        <v>#N/A</v>
      </c>
      <c r="CH224" s="521">
        <f>FEB!AL21-CW224+CR224</f>
        <v>0</v>
      </c>
      <c r="CI224" s="228">
        <f>SUMIF(FEB!$G$121:$M$121,CI$178,FEB!$AM21:$AS21)+SUMIF($CS$178:$CV$178,CI$178,$CS224:$CV224)</f>
        <v>0</v>
      </c>
      <c r="CJ224" s="229">
        <f>SUMIF(FEB!$G$121:$M$121,CJ$178,FEB!$AM21:$AS21)+SUMIF($CS$178:$CV$178,CJ$178,$CS224:$CV224)</f>
        <v>0</v>
      </c>
      <c r="CK224" s="230">
        <f>SUMIF(FEB!$G$121:$M$121,CK$178,FEB!$AM21:$AS21)+SUMIF($CS$178:$CV$178,CK$178,$CS224:$CV224)</f>
        <v>0</v>
      </c>
      <c r="CL224" s="230">
        <f>SUMIF(FEB!$G$121:$M$121,CL$178,FEB!$AM21:$AS21)+SUMIF($CS$178:$CV$178,CL$178,$CS224:$CV224)</f>
        <v>0</v>
      </c>
      <c r="CM224" s="230">
        <f>SUMIF(FEB!$G$121:$M$121,CM$178,FEB!$AM21:$AS21)+SUMIF($CS$178:$CV$178,CM$178,$CS224:$CV224)</f>
        <v>0</v>
      </c>
      <c r="CN224" s="230">
        <f>SUMIF(FEB!$G$121:$M$121,CN$178,FEB!$AM21:$AS21)+SUMIF($CS$178:$CV$178,CN$178,$CS224:$CV224)</f>
        <v>0</v>
      </c>
      <c r="CO224" s="230">
        <f>SUMIF(FEB!$G$121:$M$121,CO$178,FEB!$AM21:$AS21)+SUMIF($CS$178:$CV$178,CO$178,$CS224:$CV224)</f>
        <v>0</v>
      </c>
      <c r="CP224" s="230">
        <f>SUMIF(FEB!$G$121:$M$121,CP$178,FEB!$AM21:$AS21)+SUMIF($CS$178:$CV$178,CP$178,$CS224:$CV224)</f>
        <v>0</v>
      </c>
      <c r="CQ224" s="231">
        <f>SUMIF(FEB!$G$121:$M$121,CQ$178,FEB!$AM21:$AS21)+SUMIF($CS$178:$CV$178,CQ$178,$CS224:$CV224)</f>
        <v>0</v>
      </c>
      <c r="CR224" s="521">
        <f>FEB!AU21</f>
        <v>0</v>
      </c>
      <c r="CS224" s="228">
        <f>FEB!AV21</f>
        <v>0</v>
      </c>
      <c r="CT224" s="229">
        <f>FEB!AW21</f>
        <v>0</v>
      </c>
      <c r="CU224" s="230">
        <f>FEB!AX21</f>
        <v>0</v>
      </c>
      <c r="CV224" s="231">
        <f>FEB!AY21</f>
        <v>0</v>
      </c>
      <c r="CW224" s="521">
        <f>SUM(FEB!AU21:AY21)</f>
        <v>0</v>
      </c>
      <c r="CX224" s="521">
        <f>FEB!AK21</f>
        <v>0</v>
      </c>
      <c r="CY224" s="2"/>
    </row>
    <row r="225" spans="1:103" ht="14.25" hidden="1" customHeight="1" x14ac:dyDescent="0.2">
      <c r="A225" s="2"/>
      <c r="B225" s="105">
        <f t="shared" si="35"/>
        <v>45337</v>
      </c>
      <c r="C225" s="146">
        <f>IF(AND(E225&gt;(E$558-1),E225&lt;(I$558+1)),W$551,IF(ISERROR(HLOOKUP(E225,$E$551:$L$551,1,FALSE)),HLOOKUP(WEEKDAY(E225,2),IMPOSTAZIONI!$C$52:$P$57,6,FALSE),$W$550))</f>
        <v>0</v>
      </c>
      <c r="D225" s="71" t="str">
        <f t="shared" si="36"/>
        <v/>
      </c>
      <c r="E225" s="2258">
        <f t="shared" si="42"/>
        <v>45337</v>
      </c>
      <c r="F225" s="2259"/>
      <c r="G225" s="2228">
        <f>FEB!E22</f>
        <v>0</v>
      </c>
      <c r="H225" s="2229"/>
      <c r="I225" s="2230"/>
      <c r="J225" s="262" t="str">
        <f t="shared" si="25"/>
        <v/>
      </c>
      <c r="K225" s="263"/>
      <c r="L225" s="2217">
        <f t="shared" si="43"/>
        <v>7</v>
      </c>
      <c r="M225" s="2218"/>
      <c r="N225" s="261"/>
      <c r="O225" s="261"/>
      <c r="P225" s="261"/>
      <c r="Q225" s="2219">
        <f t="shared" si="38"/>
        <v>45337</v>
      </c>
      <c r="R225" s="2219"/>
      <c r="S225" s="261"/>
      <c r="T225" s="1173">
        <f t="shared" si="26"/>
        <v>0</v>
      </c>
      <c r="U225" s="261"/>
      <c r="V225" s="261"/>
      <c r="W225" s="261"/>
      <c r="X225" s="261"/>
      <c r="Y225" s="261"/>
      <c r="Z225" s="261"/>
      <c r="AA225" s="261"/>
      <c r="AB225" s="261"/>
      <c r="AC225" s="261"/>
      <c r="AD225" s="261"/>
      <c r="AE225" s="261"/>
      <c r="AF225" s="261"/>
      <c r="AG225" s="1173">
        <f t="shared" si="39"/>
        <v>0</v>
      </c>
      <c r="AH225" s="61" t="str">
        <f t="shared" si="40"/>
        <v/>
      </c>
      <c r="AI225" s="89" t="e">
        <f t="shared" si="41"/>
        <v>#N/A</v>
      </c>
      <c r="AJ225" s="2"/>
      <c r="AK225" s="61">
        <f>IF(G225=G$547,0,IF(OR(G225&lt;&gt;0,CH225&lt;&gt;0,C225="L"),COUNTIF(AK$180:AK224,"&gt;0")+1,0))</f>
        <v>0</v>
      </c>
      <c r="AL225" s="61" t="str">
        <f t="shared" si="27"/>
        <v/>
      </c>
      <c r="AM225" s="61" t="e">
        <f t="shared" si="28"/>
        <v>#N/A</v>
      </c>
      <c r="AN225" s="89" t="e">
        <f t="shared" si="29"/>
        <v>#N/A</v>
      </c>
      <c r="AO225" s="230">
        <f>SUM(FEB!X22:AD22)-BD225+AY225</f>
        <v>0</v>
      </c>
      <c r="AP225" s="228">
        <f>SUMIF(FEB!$G$121:$M$121,AP$178,FEB!$P22:$V22)+SUMIF($AZ$178:$BC$178,AP$178,$AZ225:$BC225)</f>
        <v>0</v>
      </c>
      <c r="AQ225" s="229">
        <f>SUMIF(FEB!$G$121:$M$121,AQ$178,FEB!$P22:$V22)+SUMIF($AZ$178:$BC$178,AQ$178,$AZ225:$BC225)</f>
        <v>0</v>
      </c>
      <c r="AR225" s="230">
        <f>SUMIF(FEB!$G$121:$M$121,AR$178,FEB!$P22:$V22)+SUMIF($AZ$178:$BC$178,AR$178,$AZ225:$BC225)</f>
        <v>0</v>
      </c>
      <c r="AS225" s="230">
        <f>SUMIF(FEB!$G$121:$M$121,AS$178,FEB!$P22:$V22)+SUMIF($AZ$178:$BC$178,AS$178,$AZ225:$BC225)</f>
        <v>0</v>
      </c>
      <c r="AT225" s="230">
        <f>SUMIF(FEB!$G$121:$M$121,AT$178,FEB!$P22:$V22)+SUMIF($AZ$178:$BC$178,AT$178,$AZ225:$BC225)</f>
        <v>0</v>
      </c>
      <c r="AU225" s="230">
        <f>SUMIF(FEB!$G$121:$M$121,AU$178,FEB!$P22:$V22)+SUMIF($AZ$178:$BC$178,AU$178,$AZ225:$BC225)</f>
        <v>0</v>
      </c>
      <c r="AV225" s="230">
        <f>SUMIF(FEB!$G$121:$M$121,AV$178,FEB!$P22:$V22)+SUMIF($AZ$178:$BC$178,AV$178,$AZ225:$BC225)</f>
        <v>0</v>
      </c>
      <c r="AW225" s="230">
        <f>SUMIF(FEB!$G$121:$M$121,AW$178,FEB!$P22:$V22)+SUMIF($AZ$178:$BC$178,AW$178,$AZ225:$BC225)</f>
        <v>0</v>
      </c>
      <c r="AX225" s="231">
        <f>SUMIF(FEB!$G$121:$M$121,AX$178,FEB!$P22:$V22)+SUMIF($AZ$178:$BC$178,AX$178,$AZ225:$BC225)</f>
        <v>0</v>
      </c>
      <c r="AY225" s="232">
        <f>FEB!AF22</f>
        <v>0</v>
      </c>
      <c r="AZ225" s="228">
        <f>FEB!AG22</f>
        <v>0</v>
      </c>
      <c r="BA225" s="229">
        <f>FEB!AH22</f>
        <v>0</v>
      </c>
      <c r="BB225" s="230">
        <f>FEB!AI22</f>
        <v>0</v>
      </c>
      <c r="BC225" s="231">
        <f>FEB!AJ22</f>
        <v>0</v>
      </c>
      <c r="BD225" s="228">
        <f>SUMIF(FEB!$G$120:$M$120,"&gt;0",FEB!$X22:$AD22)</f>
        <v>0</v>
      </c>
      <c r="BE225" s="696"/>
      <c r="BF225" s="228">
        <f>SUMIF(FEB!$BA$6:$BG$6,BF$177,FEB!$BA22:$BG22)</f>
        <v>0</v>
      </c>
      <c r="BG225" s="229">
        <f>SUMIF(FEB!$BA$6:$BG$6,BG$177,FEB!$BA22:$BG22)</f>
        <v>0</v>
      </c>
      <c r="BH225" s="229">
        <f>SUMIF(FEB!$BA$6:$BG$6,BH$177,FEB!$BA22:$BG22)</f>
        <v>0</v>
      </c>
      <c r="BI225" s="229">
        <f>SUMIF(FEB!$BA$6:$BG$6,BI$177,FEB!$BA22:$BG22)</f>
        <v>0</v>
      </c>
      <c r="BJ225" s="229">
        <f>SUMIF(FEB!$BA$6:$BG$6,BJ$177,FEB!$BA22:$BG22)</f>
        <v>0</v>
      </c>
      <c r="BK225" s="229">
        <f>SUMIF(FEB!$BA$6:$BG$6,BK$177,FEB!$BA22:$BG22)</f>
        <v>0</v>
      </c>
      <c r="BL225" s="229">
        <f>SUMIF(FEB!$BA$6:$BG$6,BL$177,FEB!$BA22:$BG22)</f>
        <v>0</v>
      </c>
      <c r="BM225" s="229">
        <f>SUMIF(FEB!$BA$6:$BG$6,BM$177,FEB!$BA22:$BG22)</f>
        <v>0</v>
      </c>
      <c r="BN225" s="229">
        <f>SUMIF(FEB!$BA$6:$BG$6,BN$177,FEB!$BA22:$BG22)</f>
        <v>0</v>
      </c>
      <c r="BO225" s="231">
        <f>SUMIF(FEB!$BA$6:$BG$6,BO$177,FEB!$BA22:$BG22)</f>
        <v>0</v>
      </c>
      <c r="BP225" s="231">
        <f>SUMIF(FEB!$BA$6:$BG$6,BP$177,FEB!$BA22:$BG22)</f>
        <v>0</v>
      </c>
      <c r="BQ225" s="252"/>
      <c r="BR225" s="228">
        <f>SUMIF(FEB!$BA$5:$BG$5,BR$177,FEB!$BA22:$BG22)</f>
        <v>0</v>
      </c>
      <c r="BS225" s="229">
        <f>SUMIF(FEB!$BA$5:$BG$5,BS$177,FEB!$BA22:$BG22)</f>
        <v>0</v>
      </c>
      <c r="BT225" s="229">
        <f>SUMIF(FEB!$BA$5:$BG$5,BT$177,FEB!$BA22:$BG22)</f>
        <v>0</v>
      </c>
      <c r="BU225" s="229">
        <f>SUMIF(FEB!$BA$5:$BG$5,BU$177,FEB!$BA22:$BG22)</f>
        <v>0</v>
      </c>
      <c r="BV225" s="229">
        <f>SUMIF(FEB!$BA$5:$BG$5,BV$177,FEB!$BA22:$BG22)</f>
        <v>0</v>
      </c>
      <c r="BW225" s="229">
        <f>SUMIF(FEB!$BA$5:$BG$5,BW$177,FEB!$BA22:$BG22)</f>
        <v>0</v>
      </c>
      <c r="BX225" s="230">
        <f>SUMIF(FEB!$BA$5:$BG$5,BX$177,FEB!$BA22:$BG22)</f>
        <v>0</v>
      </c>
      <c r="BY225" s="998">
        <f>SUMIF(FEB!$BA$5:$BG$5,BY$177,FEB!$BA22:$BG22)</f>
        <v>0</v>
      </c>
      <c r="CB225" s="252"/>
      <c r="CC225" s="61" t="e">
        <f t="shared" si="30"/>
        <v>#N/A</v>
      </c>
      <c r="CD225" s="61">
        <f t="shared" si="31"/>
        <v>0</v>
      </c>
      <c r="CE225" s="105" t="str">
        <f t="shared" si="44"/>
        <v/>
      </c>
      <c r="CF225" s="61" t="e">
        <f t="shared" si="33"/>
        <v>#N/A</v>
      </c>
      <c r="CG225" s="61" t="e">
        <f t="shared" si="34"/>
        <v>#N/A</v>
      </c>
      <c r="CH225" s="521">
        <f>FEB!AL22-CW225+CR225</f>
        <v>0</v>
      </c>
      <c r="CI225" s="228">
        <f>SUMIF(FEB!$G$121:$M$121,CI$178,FEB!$AM22:$AS22)+SUMIF($CS$178:$CV$178,CI$178,$CS225:$CV225)</f>
        <v>0</v>
      </c>
      <c r="CJ225" s="229">
        <f>SUMIF(FEB!$G$121:$M$121,CJ$178,FEB!$AM22:$AS22)+SUMIF($CS$178:$CV$178,CJ$178,$CS225:$CV225)</f>
        <v>0</v>
      </c>
      <c r="CK225" s="230">
        <f>SUMIF(FEB!$G$121:$M$121,CK$178,FEB!$AM22:$AS22)+SUMIF($CS$178:$CV$178,CK$178,$CS225:$CV225)</f>
        <v>0</v>
      </c>
      <c r="CL225" s="230">
        <f>SUMIF(FEB!$G$121:$M$121,CL$178,FEB!$AM22:$AS22)+SUMIF($CS$178:$CV$178,CL$178,$CS225:$CV225)</f>
        <v>0</v>
      </c>
      <c r="CM225" s="230">
        <f>SUMIF(FEB!$G$121:$M$121,CM$178,FEB!$AM22:$AS22)+SUMIF($CS$178:$CV$178,CM$178,$CS225:$CV225)</f>
        <v>0</v>
      </c>
      <c r="CN225" s="230">
        <f>SUMIF(FEB!$G$121:$M$121,CN$178,FEB!$AM22:$AS22)+SUMIF($CS$178:$CV$178,CN$178,$CS225:$CV225)</f>
        <v>0</v>
      </c>
      <c r="CO225" s="230">
        <f>SUMIF(FEB!$G$121:$M$121,CO$178,FEB!$AM22:$AS22)+SUMIF($CS$178:$CV$178,CO$178,$CS225:$CV225)</f>
        <v>0</v>
      </c>
      <c r="CP225" s="230">
        <f>SUMIF(FEB!$G$121:$M$121,CP$178,FEB!$AM22:$AS22)+SUMIF($CS$178:$CV$178,CP$178,$CS225:$CV225)</f>
        <v>0</v>
      </c>
      <c r="CQ225" s="231">
        <f>SUMIF(FEB!$G$121:$M$121,CQ$178,FEB!$AM22:$AS22)+SUMIF($CS$178:$CV$178,CQ$178,$CS225:$CV225)</f>
        <v>0</v>
      </c>
      <c r="CR225" s="521">
        <f>FEB!AU22</f>
        <v>0</v>
      </c>
      <c r="CS225" s="228">
        <f>FEB!AV22</f>
        <v>0</v>
      </c>
      <c r="CT225" s="229">
        <f>FEB!AW22</f>
        <v>0</v>
      </c>
      <c r="CU225" s="230">
        <f>FEB!AX22</f>
        <v>0</v>
      </c>
      <c r="CV225" s="231">
        <f>FEB!AY22</f>
        <v>0</v>
      </c>
      <c r="CW225" s="521">
        <f>SUM(FEB!AU22:AY22)</f>
        <v>0</v>
      </c>
      <c r="CX225" s="521">
        <f>FEB!AK22</f>
        <v>0</v>
      </c>
      <c r="CY225" s="2"/>
    </row>
    <row r="226" spans="1:103" ht="14.25" hidden="1" customHeight="1" x14ac:dyDescent="0.2">
      <c r="A226" s="2"/>
      <c r="B226" s="105">
        <f t="shared" si="35"/>
        <v>45338</v>
      </c>
      <c r="C226" s="146">
        <f>IF(AND(E226&gt;(E$558-1),E226&lt;(I$558+1)),W$551,IF(ISERROR(HLOOKUP(E226,$E$551:$L$551,1,FALSE)),HLOOKUP(WEEKDAY(E226,2),IMPOSTAZIONI!$C$52:$P$57,6,FALSE),$W$550))</f>
        <v>0</v>
      </c>
      <c r="D226" s="71" t="str">
        <f t="shared" si="36"/>
        <v/>
      </c>
      <c r="E226" s="2258">
        <f t="shared" si="42"/>
        <v>45338</v>
      </c>
      <c r="F226" s="2259"/>
      <c r="G226" s="2228">
        <f>FEB!E23</f>
        <v>0</v>
      </c>
      <c r="H226" s="2229"/>
      <c r="I226" s="2230"/>
      <c r="J226" s="262" t="str">
        <f t="shared" si="25"/>
        <v/>
      </c>
      <c r="K226" s="263"/>
      <c r="L226" s="2217">
        <f t="shared" si="43"/>
        <v>7</v>
      </c>
      <c r="M226" s="2218"/>
      <c r="N226" s="261"/>
      <c r="O226" s="261"/>
      <c r="P226" s="261"/>
      <c r="Q226" s="2219">
        <f t="shared" si="38"/>
        <v>45338</v>
      </c>
      <c r="R226" s="2219"/>
      <c r="S226" s="261"/>
      <c r="T226" s="1173">
        <f t="shared" si="26"/>
        <v>0</v>
      </c>
      <c r="U226" s="261"/>
      <c r="V226" s="261"/>
      <c r="W226" s="261"/>
      <c r="X226" s="261"/>
      <c r="Y226" s="261"/>
      <c r="Z226" s="261"/>
      <c r="AA226" s="261"/>
      <c r="AB226" s="261"/>
      <c r="AC226" s="261"/>
      <c r="AD226" s="261"/>
      <c r="AE226" s="261"/>
      <c r="AF226" s="261"/>
      <c r="AG226" s="1173">
        <f t="shared" si="39"/>
        <v>0</v>
      </c>
      <c r="AH226" s="61" t="str">
        <f t="shared" si="40"/>
        <v/>
      </c>
      <c r="AI226" s="89" t="e">
        <f t="shared" si="41"/>
        <v>#N/A</v>
      </c>
      <c r="AJ226" s="2"/>
      <c r="AK226" s="61">
        <f>IF(G226=G$547,0,IF(OR(G226&lt;&gt;0,CH226&lt;&gt;0,C226="L"),COUNTIF(AK$180:AK225,"&gt;0")+1,0))</f>
        <v>0</v>
      </c>
      <c r="AL226" s="61" t="str">
        <f t="shared" si="27"/>
        <v/>
      </c>
      <c r="AM226" s="61" t="e">
        <f t="shared" si="28"/>
        <v>#N/A</v>
      </c>
      <c r="AN226" s="89" t="e">
        <f t="shared" si="29"/>
        <v>#N/A</v>
      </c>
      <c r="AO226" s="230">
        <f>SUM(FEB!X23:AD23)-BD226+AY226</f>
        <v>0</v>
      </c>
      <c r="AP226" s="228">
        <f>SUMIF(FEB!$G$121:$M$121,AP$178,FEB!$P23:$V23)+SUMIF($AZ$178:$BC$178,AP$178,$AZ226:$BC226)</f>
        <v>0</v>
      </c>
      <c r="AQ226" s="229">
        <f>SUMIF(FEB!$G$121:$M$121,AQ$178,FEB!$P23:$V23)+SUMIF($AZ$178:$BC$178,AQ$178,$AZ226:$BC226)</f>
        <v>0</v>
      </c>
      <c r="AR226" s="230">
        <f>SUMIF(FEB!$G$121:$M$121,AR$178,FEB!$P23:$V23)+SUMIF($AZ$178:$BC$178,AR$178,$AZ226:$BC226)</f>
        <v>0</v>
      </c>
      <c r="AS226" s="230">
        <f>SUMIF(FEB!$G$121:$M$121,AS$178,FEB!$P23:$V23)+SUMIF($AZ$178:$BC$178,AS$178,$AZ226:$BC226)</f>
        <v>0</v>
      </c>
      <c r="AT226" s="230">
        <f>SUMIF(FEB!$G$121:$M$121,AT$178,FEB!$P23:$V23)+SUMIF($AZ$178:$BC$178,AT$178,$AZ226:$BC226)</f>
        <v>0</v>
      </c>
      <c r="AU226" s="230">
        <f>SUMIF(FEB!$G$121:$M$121,AU$178,FEB!$P23:$V23)+SUMIF($AZ$178:$BC$178,AU$178,$AZ226:$BC226)</f>
        <v>0</v>
      </c>
      <c r="AV226" s="230">
        <f>SUMIF(FEB!$G$121:$M$121,AV$178,FEB!$P23:$V23)+SUMIF($AZ$178:$BC$178,AV$178,$AZ226:$BC226)</f>
        <v>0</v>
      </c>
      <c r="AW226" s="230">
        <f>SUMIF(FEB!$G$121:$M$121,AW$178,FEB!$P23:$V23)+SUMIF($AZ$178:$BC$178,AW$178,$AZ226:$BC226)</f>
        <v>0</v>
      </c>
      <c r="AX226" s="231">
        <f>SUMIF(FEB!$G$121:$M$121,AX$178,FEB!$P23:$V23)+SUMIF($AZ$178:$BC$178,AX$178,$AZ226:$BC226)</f>
        <v>0</v>
      </c>
      <c r="AY226" s="232">
        <f>FEB!AF23</f>
        <v>0</v>
      </c>
      <c r="AZ226" s="228">
        <f>FEB!AG23</f>
        <v>0</v>
      </c>
      <c r="BA226" s="229">
        <f>FEB!AH23</f>
        <v>0</v>
      </c>
      <c r="BB226" s="230">
        <f>FEB!AI23</f>
        <v>0</v>
      </c>
      <c r="BC226" s="231">
        <f>FEB!AJ23</f>
        <v>0</v>
      </c>
      <c r="BD226" s="228">
        <f>SUMIF(FEB!$G$120:$M$120,"&gt;0",FEB!$X23:$AD23)</f>
        <v>0</v>
      </c>
      <c r="BE226" s="696"/>
      <c r="BF226" s="228">
        <f>SUMIF(FEB!$BA$6:$BG$6,BF$177,FEB!$BA23:$BG23)</f>
        <v>0</v>
      </c>
      <c r="BG226" s="229">
        <f>SUMIF(FEB!$BA$6:$BG$6,BG$177,FEB!$BA23:$BG23)</f>
        <v>0</v>
      </c>
      <c r="BH226" s="229">
        <f>SUMIF(FEB!$BA$6:$BG$6,BH$177,FEB!$BA23:$BG23)</f>
        <v>0</v>
      </c>
      <c r="BI226" s="229">
        <f>SUMIF(FEB!$BA$6:$BG$6,BI$177,FEB!$BA23:$BG23)</f>
        <v>0</v>
      </c>
      <c r="BJ226" s="229">
        <f>SUMIF(FEB!$BA$6:$BG$6,BJ$177,FEB!$BA23:$BG23)</f>
        <v>0</v>
      </c>
      <c r="BK226" s="229">
        <f>SUMIF(FEB!$BA$6:$BG$6,BK$177,FEB!$BA23:$BG23)</f>
        <v>0</v>
      </c>
      <c r="BL226" s="229">
        <f>SUMIF(FEB!$BA$6:$BG$6,BL$177,FEB!$BA23:$BG23)</f>
        <v>0</v>
      </c>
      <c r="BM226" s="229">
        <f>SUMIF(FEB!$BA$6:$BG$6,BM$177,FEB!$BA23:$BG23)</f>
        <v>0</v>
      </c>
      <c r="BN226" s="229">
        <f>SUMIF(FEB!$BA$6:$BG$6,BN$177,FEB!$BA23:$BG23)</f>
        <v>0</v>
      </c>
      <c r="BO226" s="231">
        <f>SUMIF(FEB!$BA$6:$BG$6,BO$177,FEB!$BA23:$BG23)</f>
        <v>0</v>
      </c>
      <c r="BP226" s="231">
        <f>SUMIF(FEB!$BA$6:$BG$6,BP$177,FEB!$BA23:$BG23)</f>
        <v>0</v>
      </c>
      <c r="BQ226" s="252"/>
      <c r="BR226" s="228">
        <f>SUMIF(FEB!$BA$5:$BG$5,BR$177,FEB!$BA23:$BG23)</f>
        <v>0</v>
      </c>
      <c r="BS226" s="229">
        <f>SUMIF(FEB!$BA$5:$BG$5,BS$177,FEB!$BA23:$BG23)</f>
        <v>0</v>
      </c>
      <c r="BT226" s="229">
        <f>SUMIF(FEB!$BA$5:$BG$5,BT$177,FEB!$BA23:$BG23)</f>
        <v>0</v>
      </c>
      <c r="BU226" s="229">
        <f>SUMIF(FEB!$BA$5:$BG$5,BU$177,FEB!$BA23:$BG23)</f>
        <v>0</v>
      </c>
      <c r="BV226" s="229">
        <f>SUMIF(FEB!$BA$5:$BG$5,BV$177,FEB!$BA23:$BG23)</f>
        <v>0</v>
      </c>
      <c r="BW226" s="229">
        <f>SUMIF(FEB!$BA$5:$BG$5,BW$177,FEB!$BA23:$BG23)</f>
        <v>0</v>
      </c>
      <c r="BX226" s="230">
        <f>SUMIF(FEB!$BA$5:$BG$5,BX$177,FEB!$BA23:$BG23)</f>
        <v>0</v>
      </c>
      <c r="BY226" s="998">
        <f>SUMIF(FEB!$BA$5:$BG$5,BY$177,FEB!$BA23:$BG23)</f>
        <v>0</v>
      </c>
      <c r="CB226" s="252"/>
      <c r="CC226" s="61" t="e">
        <f t="shared" si="30"/>
        <v>#N/A</v>
      </c>
      <c r="CD226" s="61">
        <f t="shared" si="31"/>
        <v>0</v>
      </c>
      <c r="CE226" s="105" t="str">
        <f t="shared" si="44"/>
        <v/>
      </c>
      <c r="CF226" s="61" t="e">
        <f t="shared" si="33"/>
        <v>#N/A</v>
      </c>
      <c r="CG226" s="61" t="e">
        <f t="shared" si="34"/>
        <v>#N/A</v>
      </c>
      <c r="CH226" s="521">
        <f>FEB!AL23-CW226+CR226</f>
        <v>0</v>
      </c>
      <c r="CI226" s="228">
        <f>SUMIF(FEB!$G$121:$M$121,CI$178,FEB!$AM23:$AS23)+SUMIF($CS$178:$CV$178,CI$178,$CS226:$CV226)</f>
        <v>0</v>
      </c>
      <c r="CJ226" s="229">
        <f>SUMIF(FEB!$G$121:$M$121,CJ$178,FEB!$AM23:$AS23)+SUMIF($CS$178:$CV$178,CJ$178,$CS226:$CV226)</f>
        <v>0</v>
      </c>
      <c r="CK226" s="230">
        <f>SUMIF(FEB!$G$121:$M$121,CK$178,FEB!$AM23:$AS23)+SUMIF($CS$178:$CV$178,CK$178,$CS226:$CV226)</f>
        <v>0</v>
      </c>
      <c r="CL226" s="230">
        <f>SUMIF(FEB!$G$121:$M$121,CL$178,FEB!$AM23:$AS23)+SUMIF($CS$178:$CV$178,CL$178,$CS226:$CV226)</f>
        <v>0</v>
      </c>
      <c r="CM226" s="230">
        <f>SUMIF(FEB!$G$121:$M$121,CM$178,FEB!$AM23:$AS23)+SUMIF($CS$178:$CV$178,CM$178,$CS226:$CV226)</f>
        <v>0</v>
      </c>
      <c r="CN226" s="230">
        <f>SUMIF(FEB!$G$121:$M$121,CN$178,FEB!$AM23:$AS23)+SUMIF($CS$178:$CV$178,CN$178,$CS226:$CV226)</f>
        <v>0</v>
      </c>
      <c r="CO226" s="230">
        <f>SUMIF(FEB!$G$121:$M$121,CO$178,FEB!$AM23:$AS23)+SUMIF($CS$178:$CV$178,CO$178,$CS226:$CV226)</f>
        <v>0</v>
      </c>
      <c r="CP226" s="230">
        <f>SUMIF(FEB!$G$121:$M$121,CP$178,FEB!$AM23:$AS23)+SUMIF($CS$178:$CV$178,CP$178,$CS226:$CV226)</f>
        <v>0</v>
      </c>
      <c r="CQ226" s="231">
        <f>SUMIF(FEB!$G$121:$M$121,CQ$178,FEB!$AM23:$AS23)+SUMIF($CS$178:$CV$178,CQ$178,$CS226:$CV226)</f>
        <v>0</v>
      </c>
      <c r="CR226" s="521">
        <f>FEB!AU23</f>
        <v>0</v>
      </c>
      <c r="CS226" s="228">
        <f>FEB!AV23</f>
        <v>0</v>
      </c>
      <c r="CT226" s="229">
        <f>FEB!AW23</f>
        <v>0</v>
      </c>
      <c r="CU226" s="230">
        <f>FEB!AX23</f>
        <v>0</v>
      </c>
      <c r="CV226" s="231">
        <f>FEB!AY23</f>
        <v>0</v>
      </c>
      <c r="CW226" s="521">
        <f>SUM(FEB!AU23:AY23)</f>
        <v>0</v>
      </c>
      <c r="CX226" s="521">
        <f>FEB!AK23</f>
        <v>0</v>
      </c>
      <c r="CY226" s="2"/>
    </row>
    <row r="227" spans="1:103" ht="14.25" hidden="1" customHeight="1" x14ac:dyDescent="0.2">
      <c r="A227" s="2"/>
      <c r="B227" s="105">
        <f t="shared" si="35"/>
        <v>45339</v>
      </c>
      <c r="C227" s="146">
        <f>IF(AND(E227&gt;(E$558-1),E227&lt;(I$558+1)),W$551,IF(ISERROR(HLOOKUP(E227,$E$551:$L$551,1,FALSE)),HLOOKUP(WEEKDAY(E227,2),IMPOSTAZIONI!$C$52:$P$57,6,FALSE),$W$550))</f>
        <v>0</v>
      </c>
      <c r="D227" s="71" t="str">
        <f t="shared" si="36"/>
        <v/>
      </c>
      <c r="E227" s="2258">
        <f t="shared" si="42"/>
        <v>45339</v>
      </c>
      <c r="F227" s="2259"/>
      <c r="G227" s="2228">
        <f>FEB!E24</f>
        <v>0</v>
      </c>
      <c r="H227" s="2229"/>
      <c r="I227" s="2230"/>
      <c r="J227" s="262" t="str">
        <f t="shared" si="25"/>
        <v/>
      </c>
      <c r="K227" s="263"/>
      <c r="L227" s="2217">
        <f t="shared" si="43"/>
        <v>7</v>
      </c>
      <c r="M227" s="2218"/>
      <c r="N227" s="261"/>
      <c r="O227" s="261"/>
      <c r="P227" s="261"/>
      <c r="Q227" s="2219">
        <f t="shared" si="38"/>
        <v>45339</v>
      </c>
      <c r="R227" s="2219"/>
      <c r="S227" s="261"/>
      <c r="T227" s="1173">
        <f t="shared" si="26"/>
        <v>0</v>
      </c>
      <c r="U227" s="261"/>
      <c r="V227" s="261"/>
      <c r="W227" s="261"/>
      <c r="X227" s="261"/>
      <c r="Y227" s="261"/>
      <c r="Z227" s="261"/>
      <c r="AA227" s="261"/>
      <c r="AB227" s="261"/>
      <c r="AC227" s="261"/>
      <c r="AD227" s="261"/>
      <c r="AE227" s="261"/>
      <c r="AF227" s="261"/>
      <c r="AG227" s="1173">
        <f t="shared" si="39"/>
        <v>0</v>
      </c>
      <c r="AH227" s="61" t="str">
        <f t="shared" si="40"/>
        <v/>
      </c>
      <c r="AI227" s="89" t="e">
        <f t="shared" si="41"/>
        <v>#N/A</v>
      </c>
      <c r="AJ227" s="2"/>
      <c r="AK227" s="61">
        <f>IF(G227=G$547,0,IF(OR(G227&lt;&gt;0,CH227&lt;&gt;0,C227="L"),COUNTIF(AK$180:AK226,"&gt;0")+1,0))</f>
        <v>0</v>
      </c>
      <c r="AL227" s="61" t="str">
        <f t="shared" si="27"/>
        <v/>
      </c>
      <c r="AM227" s="61" t="e">
        <f t="shared" si="28"/>
        <v>#N/A</v>
      </c>
      <c r="AN227" s="89" t="e">
        <f t="shared" si="29"/>
        <v>#N/A</v>
      </c>
      <c r="AO227" s="230">
        <f>SUM(FEB!X24:AD24)-BD227+AY227</f>
        <v>0</v>
      </c>
      <c r="AP227" s="228">
        <f>SUMIF(FEB!$G$121:$M$121,AP$178,FEB!$P24:$V24)+SUMIF($AZ$178:$BC$178,AP$178,$AZ227:$BC227)</f>
        <v>0</v>
      </c>
      <c r="AQ227" s="229">
        <f>SUMIF(FEB!$G$121:$M$121,AQ$178,FEB!$P24:$V24)+SUMIF($AZ$178:$BC$178,AQ$178,$AZ227:$BC227)</f>
        <v>0</v>
      </c>
      <c r="AR227" s="230">
        <f>SUMIF(FEB!$G$121:$M$121,AR$178,FEB!$P24:$V24)+SUMIF($AZ$178:$BC$178,AR$178,$AZ227:$BC227)</f>
        <v>0</v>
      </c>
      <c r="AS227" s="230">
        <f>SUMIF(FEB!$G$121:$M$121,AS$178,FEB!$P24:$V24)+SUMIF($AZ$178:$BC$178,AS$178,$AZ227:$BC227)</f>
        <v>0</v>
      </c>
      <c r="AT227" s="230">
        <f>SUMIF(FEB!$G$121:$M$121,AT$178,FEB!$P24:$V24)+SUMIF($AZ$178:$BC$178,AT$178,$AZ227:$BC227)</f>
        <v>0</v>
      </c>
      <c r="AU227" s="230">
        <f>SUMIF(FEB!$G$121:$M$121,AU$178,FEB!$P24:$V24)+SUMIF($AZ$178:$BC$178,AU$178,$AZ227:$BC227)</f>
        <v>0</v>
      </c>
      <c r="AV227" s="230">
        <f>SUMIF(FEB!$G$121:$M$121,AV$178,FEB!$P24:$V24)+SUMIF($AZ$178:$BC$178,AV$178,$AZ227:$BC227)</f>
        <v>0</v>
      </c>
      <c r="AW227" s="230">
        <f>SUMIF(FEB!$G$121:$M$121,AW$178,FEB!$P24:$V24)+SUMIF($AZ$178:$BC$178,AW$178,$AZ227:$BC227)</f>
        <v>0</v>
      </c>
      <c r="AX227" s="231">
        <f>SUMIF(FEB!$G$121:$M$121,AX$178,FEB!$P24:$V24)+SUMIF($AZ$178:$BC$178,AX$178,$AZ227:$BC227)</f>
        <v>0</v>
      </c>
      <c r="AY227" s="232">
        <f>FEB!AF24</f>
        <v>0</v>
      </c>
      <c r="AZ227" s="228">
        <f>FEB!AG24</f>
        <v>0</v>
      </c>
      <c r="BA227" s="229">
        <f>FEB!AH24</f>
        <v>0</v>
      </c>
      <c r="BB227" s="230">
        <f>FEB!AI24</f>
        <v>0</v>
      </c>
      <c r="BC227" s="231">
        <f>FEB!AJ24</f>
        <v>0</v>
      </c>
      <c r="BD227" s="228">
        <f>SUMIF(FEB!$G$120:$M$120,"&gt;0",FEB!$X24:$AD24)</f>
        <v>0</v>
      </c>
      <c r="BE227" s="696"/>
      <c r="BF227" s="228">
        <f>SUMIF(FEB!$BA$6:$BG$6,BF$177,FEB!$BA24:$BG24)</f>
        <v>0</v>
      </c>
      <c r="BG227" s="229">
        <f>SUMIF(FEB!$BA$6:$BG$6,BG$177,FEB!$BA24:$BG24)</f>
        <v>0</v>
      </c>
      <c r="BH227" s="229">
        <f>SUMIF(FEB!$BA$6:$BG$6,BH$177,FEB!$BA24:$BG24)</f>
        <v>0</v>
      </c>
      <c r="BI227" s="229">
        <f>SUMIF(FEB!$BA$6:$BG$6,BI$177,FEB!$BA24:$BG24)</f>
        <v>0</v>
      </c>
      <c r="BJ227" s="229">
        <f>SUMIF(FEB!$BA$6:$BG$6,BJ$177,FEB!$BA24:$BG24)</f>
        <v>0</v>
      </c>
      <c r="BK227" s="229">
        <f>SUMIF(FEB!$BA$6:$BG$6,BK$177,FEB!$BA24:$BG24)</f>
        <v>0</v>
      </c>
      <c r="BL227" s="229">
        <f>SUMIF(FEB!$BA$6:$BG$6,BL$177,FEB!$BA24:$BG24)</f>
        <v>0</v>
      </c>
      <c r="BM227" s="229">
        <f>SUMIF(FEB!$BA$6:$BG$6,BM$177,FEB!$BA24:$BG24)</f>
        <v>0</v>
      </c>
      <c r="BN227" s="229">
        <f>SUMIF(FEB!$BA$6:$BG$6,BN$177,FEB!$BA24:$BG24)</f>
        <v>0</v>
      </c>
      <c r="BO227" s="231">
        <f>SUMIF(FEB!$BA$6:$BG$6,BO$177,FEB!$BA24:$BG24)</f>
        <v>0</v>
      </c>
      <c r="BP227" s="231">
        <f>SUMIF(FEB!$BA$6:$BG$6,BP$177,FEB!$BA24:$BG24)</f>
        <v>0</v>
      </c>
      <c r="BQ227" s="252"/>
      <c r="BR227" s="228">
        <f>SUMIF(FEB!$BA$5:$BG$5,BR$177,FEB!$BA24:$BG24)</f>
        <v>0</v>
      </c>
      <c r="BS227" s="229">
        <f>SUMIF(FEB!$BA$5:$BG$5,BS$177,FEB!$BA24:$BG24)</f>
        <v>0</v>
      </c>
      <c r="BT227" s="229">
        <f>SUMIF(FEB!$BA$5:$BG$5,BT$177,FEB!$BA24:$BG24)</f>
        <v>0</v>
      </c>
      <c r="BU227" s="229">
        <f>SUMIF(FEB!$BA$5:$BG$5,BU$177,FEB!$BA24:$BG24)</f>
        <v>0</v>
      </c>
      <c r="BV227" s="229">
        <f>SUMIF(FEB!$BA$5:$BG$5,BV$177,FEB!$BA24:$BG24)</f>
        <v>0</v>
      </c>
      <c r="BW227" s="229">
        <f>SUMIF(FEB!$BA$5:$BG$5,BW$177,FEB!$BA24:$BG24)</f>
        <v>0</v>
      </c>
      <c r="BX227" s="230">
        <f>SUMIF(FEB!$BA$5:$BG$5,BX$177,FEB!$BA24:$BG24)</f>
        <v>0</v>
      </c>
      <c r="BY227" s="998">
        <f>SUMIF(FEB!$BA$5:$BG$5,BY$177,FEB!$BA24:$BG24)</f>
        <v>0</v>
      </c>
      <c r="CB227" s="252"/>
      <c r="CC227" s="61" t="e">
        <f t="shared" si="30"/>
        <v>#N/A</v>
      </c>
      <c r="CD227" s="61">
        <f t="shared" si="31"/>
        <v>0</v>
      </c>
      <c r="CE227" s="105" t="str">
        <f t="shared" si="44"/>
        <v/>
      </c>
      <c r="CF227" s="61" t="e">
        <f t="shared" si="33"/>
        <v>#N/A</v>
      </c>
      <c r="CG227" s="61" t="e">
        <f t="shared" si="34"/>
        <v>#N/A</v>
      </c>
      <c r="CH227" s="521">
        <f>FEB!AL24-CW227+CR227</f>
        <v>0</v>
      </c>
      <c r="CI227" s="228">
        <f>SUMIF(FEB!$G$121:$M$121,CI$178,FEB!$AM24:$AS24)+SUMIF($CS$178:$CV$178,CI$178,$CS227:$CV227)</f>
        <v>0</v>
      </c>
      <c r="CJ227" s="229">
        <f>SUMIF(FEB!$G$121:$M$121,CJ$178,FEB!$AM24:$AS24)+SUMIF($CS$178:$CV$178,CJ$178,$CS227:$CV227)</f>
        <v>0</v>
      </c>
      <c r="CK227" s="230">
        <f>SUMIF(FEB!$G$121:$M$121,CK$178,FEB!$AM24:$AS24)+SUMIF($CS$178:$CV$178,CK$178,$CS227:$CV227)</f>
        <v>0</v>
      </c>
      <c r="CL227" s="230">
        <f>SUMIF(FEB!$G$121:$M$121,CL$178,FEB!$AM24:$AS24)+SUMIF($CS$178:$CV$178,CL$178,$CS227:$CV227)</f>
        <v>0</v>
      </c>
      <c r="CM227" s="230">
        <f>SUMIF(FEB!$G$121:$M$121,CM$178,FEB!$AM24:$AS24)+SUMIF($CS$178:$CV$178,CM$178,$CS227:$CV227)</f>
        <v>0</v>
      </c>
      <c r="CN227" s="230">
        <f>SUMIF(FEB!$G$121:$M$121,CN$178,FEB!$AM24:$AS24)+SUMIF($CS$178:$CV$178,CN$178,$CS227:$CV227)</f>
        <v>0</v>
      </c>
      <c r="CO227" s="230">
        <f>SUMIF(FEB!$G$121:$M$121,CO$178,FEB!$AM24:$AS24)+SUMIF($CS$178:$CV$178,CO$178,$CS227:$CV227)</f>
        <v>0</v>
      </c>
      <c r="CP227" s="230">
        <f>SUMIF(FEB!$G$121:$M$121,CP$178,FEB!$AM24:$AS24)+SUMIF($CS$178:$CV$178,CP$178,$CS227:$CV227)</f>
        <v>0</v>
      </c>
      <c r="CQ227" s="231">
        <f>SUMIF(FEB!$G$121:$M$121,CQ$178,FEB!$AM24:$AS24)+SUMIF($CS$178:$CV$178,CQ$178,$CS227:$CV227)</f>
        <v>0</v>
      </c>
      <c r="CR227" s="521">
        <f>FEB!AU24</f>
        <v>0</v>
      </c>
      <c r="CS227" s="228">
        <f>FEB!AV24</f>
        <v>0</v>
      </c>
      <c r="CT227" s="229">
        <f>FEB!AW24</f>
        <v>0</v>
      </c>
      <c r="CU227" s="230">
        <f>FEB!AX24</f>
        <v>0</v>
      </c>
      <c r="CV227" s="231">
        <f>FEB!AY24</f>
        <v>0</v>
      </c>
      <c r="CW227" s="521">
        <f>SUM(FEB!AU24:AY24)</f>
        <v>0</v>
      </c>
      <c r="CX227" s="521">
        <f>FEB!AK24</f>
        <v>0</v>
      </c>
      <c r="CY227" s="2"/>
    </row>
    <row r="228" spans="1:103" ht="14.25" hidden="1" customHeight="1" x14ac:dyDescent="0.2">
      <c r="A228" s="2"/>
      <c r="B228" s="105">
        <f t="shared" si="35"/>
        <v>45340</v>
      </c>
      <c r="C228" s="146">
        <f>IF(AND(E228&gt;(E$558-1),E228&lt;(I$558+1)),W$551,IF(ISERROR(HLOOKUP(E228,$E$551:$L$551,1,FALSE)),HLOOKUP(WEEKDAY(E228,2),IMPOSTAZIONI!$C$52:$P$57,6,FALSE),$W$550))</f>
        <v>0</v>
      </c>
      <c r="D228" s="71" t="str">
        <f t="shared" si="36"/>
        <v/>
      </c>
      <c r="E228" s="2258">
        <f t="shared" si="42"/>
        <v>45340</v>
      </c>
      <c r="F228" s="2259"/>
      <c r="G228" s="2228">
        <f>FEB!E25</f>
        <v>0</v>
      </c>
      <c r="H228" s="2229"/>
      <c r="I228" s="2230"/>
      <c r="J228" s="262" t="str">
        <f t="shared" si="25"/>
        <v/>
      </c>
      <c r="K228" s="263"/>
      <c r="L228" s="2220">
        <f t="shared" si="43"/>
        <v>7</v>
      </c>
      <c r="M228" s="2221"/>
      <c r="N228" s="261"/>
      <c r="O228" s="261"/>
      <c r="P228" s="261"/>
      <c r="Q228" s="2219">
        <f t="shared" si="38"/>
        <v>45340</v>
      </c>
      <c r="R228" s="2219"/>
      <c r="S228" s="261"/>
      <c r="T228" s="1173">
        <f t="shared" si="26"/>
        <v>0</v>
      </c>
      <c r="U228" s="261"/>
      <c r="V228" s="261"/>
      <c r="W228" s="261"/>
      <c r="X228" s="261"/>
      <c r="Y228" s="261"/>
      <c r="Z228" s="261"/>
      <c r="AA228" s="261"/>
      <c r="AB228" s="261"/>
      <c r="AC228" s="261"/>
      <c r="AD228" s="261"/>
      <c r="AE228" s="261"/>
      <c r="AF228" s="261"/>
      <c r="AG228" s="1173">
        <f t="shared" si="39"/>
        <v>0</v>
      </c>
      <c r="AH228" s="61" t="str">
        <f t="shared" si="40"/>
        <v/>
      </c>
      <c r="AI228" s="89" t="e">
        <f t="shared" si="41"/>
        <v>#N/A</v>
      </c>
      <c r="AJ228" s="2"/>
      <c r="AK228" s="61">
        <f>IF(G228=G$547,0,IF(OR(G228&lt;&gt;0,CH228&lt;&gt;0,C228="L"),COUNTIF(AK$180:AK227,"&gt;0")+1,0))</f>
        <v>0</v>
      </c>
      <c r="AL228" s="61" t="str">
        <f t="shared" si="27"/>
        <v/>
      </c>
      <c r="AM228" s="61" t="e">
        <f t="shared" si="28"/>
        <v>#N/A</v>
      </c>
      <c r="AN228" s="89" t="e">
        <f t="shared" si="29"/>
        <v>#N/A</v>
      </c>
      <c r="AO228" s="230">
        <f>SUM(FEB!X25:AD25)-BD228+AY228</f>
        <v>0</v>
      </c>
      <c r="AP228" s="228">
        <f>SUMIF(FEB!$G$121:$M$121,AP$178,FEB!$P25:$V25)+SUMIF($AZ$178:$BC$178,AP$178,$AZ228:$BC228)</f>
        <v>0</v>
      </c>
      <c r="AQ228" s="229">
        <f>SUMIF(FEB!$G$121:$M$121,AQ$178,FEB!$P25:$V25)+SUMIF($AZ$178:$BC$178,AQ$178,$AZ228:$BC228)</f>
        <v>0</v>
      </c>
      <c r="AR228" s="230">
        <f>SUMIF(FEB!$G$121:$M$121,AR$178,FEB!$P25:$V25)+SUMIF($AZ$178:$BC$178,AR$178,$AZ228:$BC228)</f>
        <v>0</v>
      </c>
      <c r="AS228" s="230">
        <f>SUMIF(FEB!$G$121:$M$121,AS$178,FEB!$P25:$V25)+SUMIF($AZ$178:$BC$178,AS$178,$AZ228:$BC228)</f>
        <v>0</v>
      </c>
      <c r="AT228" s="230">
        <f>SUMIF(FEB!$G$121:$M$121,AT$178,FEB!$P25:$V25)+SUMIF($AZ$178:$BC$178,AT$178,$AZ228:$BC228)</f>
        <v>0</v>
      </c>
      <c r="AU228" s="230">
        <f>SUMIF(FEB!$G$121:$M$121,AU$178,FEB!$P25:$V25)+SUMIF($AZ$178:$BC$178,AU$178,$AZ228:$BC228)</f>
        <v>0</v>
      </c>
      <c r="AV228" s="230">
        <f>SUMIF(FEB!$G$121:$M$121,AV$178,FEB!$P25:$V25)+SUMIF($AZ$178:$BC$178,AV$178,$AZ228:$BC228)</f>
        <v>0</v>
      </c>
      <c r="AW228" s="230">
        <f>SUMIF(FEB!$G$121:$M$121,AW$178,FEB!$P25:$V25)+SUMIF($AZ$178:$BC$178,AW$178,$AZ228:$BC228)</f>
        <v>0</v>
      </c>
      <c r="AX228" s="231">
        <f>SUMIF(FEB!$G$121:$M$121,AX$178,FEB!$P25:$V25)+SUMIF($AZ$178:$BC$178,AX$178,$AZ228:$BC228)</f>
        <v>0</v>
      </c>
      <c r="AY228" s="232">
        <f>FEB!AF25</f>
        <v>0</v>
      </c>
      <c r="AZ228" s="228">
        <f>FEB!AG25</f>
        <v>0</v>
      </c>
      <c r="BA228" s="229">
        <f>FEB!AH25</f>
        <v>0</v>
      </c>
      <c r="BB228" s="230">
        <f>FEB!AI25</f>
        <v>0</v>
      </c>
      <c r="BC228" s="231">
        <f>FEB!AJ25</f>
        <v>0</v>
      </c>
      <c r="BD228" s="228">
        <f>SUMIF(FEB!$G$120:$M$120,"&gt;0",FEB!$X25:$AD25)</f>
        <v>0</v>
      </c>
      <c r="BE228" s="696"/>
      <c r="BF228" s="228">
        <f>SUMIF(FEB!$BA$6:$BG$6,BF$177,FEB!$BA25:$BG25)</f>
        <v>0</v>
      </c>
      <c r="BG228" s="229">
        <f>SUMIF(FEB!$BA$6:$BG$6,BG$177,FEB!$BA25:$BG25)</f>
        <v>0</v>
      </c>
      <c r="BH228" s="229">
        <f>SUMIF(FEB!$BA$6:$BG$6,BH$177,FEB!$BA25:$BG25)</f>
        <v>0</v>
      </c>
      <c r="BI228" s="229">
        <f>SUMIF(FEB!$BA$6:$BG$6,BI$177,FEB!$BA25:$BG25)</f>
        <v>0</v>
      </c>
      <c r="BJ228" s="229">
        <f>SUMIF(FEB!$BA$6:$BG$6,BJ$177,FEB!$BA25:$BG25)</f>
        <v>0</v>
      </c>
      <c r="BK228" s="229">
        <f>SUMIF(FEB!$BA$6:$BG$6,BK$177,FEB!$BA25:$BG25)</f>
        <v>0</v>
      </c>
      <c r="BL228" s="229">
        <f>SUMIF(FEB!$BA$6:$BG$6,BL$177,FEB!$BA25:$BG25)</f>
        <v>0</v>
      </c>
      <c r="BM228" s="229">
        <f>SUMIF(FEB!$BA$6:$BG$6,BM$177,FEB!$BA25:$BG25)</f>
        <v>0</v>
      </c>
      <c r="BN228" s="229">
        <f>SUMIF(FEB!$BA$6:$BG$6,BN$177,FEB!$BA25:$BG25)</f>
        <v>0</v>
      </c>
      <c r="BO228" s="231">
        <f>SUMIF(FEB!$BA$6:$BG$6,BO$177,FEB!$BA25:$BG25)</f>
        <v>0</v>
      </c>
      <c r="BP228" s="231">
        <f>SUMIF(FEB!$BA$6:$BG$6,BP$177,FEB!$BA25:$BG25)</f>
        <v>0</v>
      </c>
      <c r="BQ228" s="252"/>
      <c r="BR228" s="228">
        <f>SUMIF(FEB!$BA$5:$BG$5,BR$177,FEB!$BA25:$BG25)</f>
        <v>0</v>
      </c>
      <c r="BS228" s="229">
        <f>SUMIF(FEB!$BA$5:$BG$5,BS$177,FEB!$BA25:$BG25)</f>
        <v>0</v>
      </c>
      <c r="BT228" s="229">
        <f>SUMIF(FEB!$BA$5:$BG$5,BT$177,FEB!$BA25:$BG25)</f>
        <v>0</v>
      </c>
      <c r="BU228" s="229">
        <f>SUMIF(FEB!$BA$5:$BG$5,BU$177,FEB!$BA25:$BG25)</f>
        <v>0</v>
      </c>
      <c r="BV228" s="229">
        <f>SUMIF(FEB!$BA$5:$BG$5,BV$177,FEB!$BA25:$BG25)</f>
        <v>0</v>
      </c>
      <c r="BW228" s="229">
        <f>SUMIF(FEB!$BA$5:$BG$5,BW$177,FEB!$BA25:$BG25)</f>
        <v>0</v>
      </c>
      <c r="BX228" s="230">
        <f>SUMIF(FEB!$BA$5:$BG$5,BX$177,FEB!$BA25:$BG25)</f>
        <v>0</v>
      </c>
      <c r="BY228" s="998">
        <f>SUMIF(FEB!$BA$5:$BG$5,BY$177,FEB!$BA25:$BG25)</f>
        <v>0</v>
      </c>
      <c r="CB228" s="252"/>
      <c r="CC228" s="61" t="e">
        <f t="shared" si="30"/>
        <v>#N/A</v>
      </c>
      <c r="CD228" s="61">
        <f t="shared" si="31"/>
        <v>0</v>
      </c>
      <c r="CE228" s="105" t="str">
        <f t="shared" si="44"/>
        <v/>
      </c>
      <c r="CF228" s="61" t="e">
        <f t="shared" si="33"/>
        <v>#N/A</v>
      </c>
      <c r="CG228" s="61" t="e">
        <f t="shared" si="34"/>
        <v>#N/A</v>
      </c>
      <c r="CH228" s="521">
        <f>FEB!AL25-CW228+CR228</f>
        <v>0</v>
      </c>
      <c r="CI228" s="228">
        <f>SUMIF(FEB!$G$121:$M$121,CI$178,FEB!$AM25:$AS25)+SUMIF($CS$178:$CV$178,CI$178,$CS228:$CV228)</f>
        <v>0</v>
      </c>
      <c r="CJ228" s="229">
        <f>SUMIF(FEB!$G$121:$M$121,CJ$178,FEB!$AM25:$AS25)+SUMIF($CS$178:$CV$178,CJ$178,$CS228:$CV228)</f>
        <v>0</v>
      </c>
      <c r="CK228" s="230">
        <f>SUMIF(FEB!$G$121:$M$121,CK$178,FEB!$AM25:$AS25)+SUMIF($CS$178:$CV$178,CK$178,$CS228:$CV228)</f>
        <v>0</v>
      </c>
      <c r="CL228" s="230">
        <f>SUMIF(FEB!$G$121:$M$121,CL$178,FEB!$AM25:$AS25)+SUMIF($CS$178:$CV$178,CL$178,$CS228:$CV228)</f>
        <v>0</v>
      </c>
      <c r="CM228" s="230">
        <f>SUMIF(FEB!$G$121:$M$121,CM$178,FEB!$AM25:$AS25)+SUMIF($CS$178:$CV$178,CM$178,$CS228:$CV228)</f>
        <v>0</v>
      </c>
      <c r="CN228" s="230">
        <f>SUMIF(FEB!$G$121:$M$121,CN$178,FEB!$AM25:$AS25)+SUMIF($CS$178:$CV$178,CN$178,$CS228:$CV228)</f>
        <v>0</v>
      </c>
      <c r="CO228" s="230">
        <f>SUMIF(FEB!$G$121:$M$121,CO$178,FEB!$AM25:$AS25)+SUMIF($CS$178:$CV$178,CO$178,$CS228:$CV228)</f>
        <v>0</v>
      </c>
      <c r="CP228" s="230">
        <f>SUMIF(FEB!$G$121:$M$121,CP$178,FEB!$AM25:$AS25)+SUMIF($CS$178:$CV$178,CP$178,$CS228:$CV228)</f>
        <v>0</v>
      </c>
      <c r="CQ228" s="231">
        <f>SUMIF(FEB!$G$121:$M$121,CQ$178,FEB!$AM25:$AS25)+SUMIF($CS$178:$CV$178,CQ$178,$CS228:$CV228)</f>
        <v>0</v>
      </c>
      <c r="CR228" s="521">
        <f>FEB!AU25</f>
        <v>0</v>
      </c>
      <c r="CS228" s="228">
        <f>FEB!AV25</f>
        <v>0</v>
      </c>
      <c r="CT228" s="229">
        <f>FEB!AW25</f>
        <v>0</v>
      </c>
      <c r="CU228" s="230">
        <f>FEB!AX25</f>
        <v>0</v>
      </c>
      <c r="CV228" s="231">
        <f>FEB!AY25</f>
        <v>0</v>
      </c>
      <c r="CW228" s="521">
        <f>SUM(FEB!AU25:AY25)</f>
        <v>0</v>
      </c>
      <c r="CX228" s="521">
        <f>FEB!AK25</f>
        <v>0</v>
      </c>
      <c r="CY228" s="2"/>
    </row>
    <row r="229" spans="1:103" ht="14.25" hidden="1" customHeight="1" x14ac:dyDescent="0.2">
      <c r="A229" s="2"/>
      <c r="B229" s="105">
        <f t="shared" si="35"/>
        <v>45341</v>
      </c>
      <c r="C229" s="146">
        <f>IF(AND(E229&gt;(E$558-1),E229&lt;(I$558+1)),W$551,IF(ISERROR(HLOOKUP(E229,$E$551:$L$551,1,FALSE)),HLOOKUP(WEEKDAY(E229,2),IMPOSTAZIONI!$C$52:$P$57,6,FALSE),$W$550))</f>
        <v>0</v>
      </c>
      <c r="D229" s="71" t="str">
        <f t="shared" si="36"/>
        <v/>
      </c>
      <c r="E229" s="2258">
        <f t="shared" si="42"/>
        <v>45341</v>
      </c>
      <c r="F229" s="2259"/>
      <c r="G229" s="2228">
        <f>FEB!E26</f>
        <v>0</v>
      </c>
      <c r="H229" s="2229"/>
      <c r="I229" s="2230"/>
      <c r="J229" s="262" t="str">
        <f t="shared" si="25"/>
        <v/>
      </c>
      <c r="K229" s="263"/>
      <c r="L229" s="2222">
        <f t="shared" si="43"/>
        <v>8</v>
      </c>
      <c r="M229" s="2223"/>
      <c r="N229" s="261"/>
      <c r="O229" s="261"/>
      <c r="P229" s="261"/>
      <c r="Q229" s="2219">
        <f t="shared" si="38"/>
        <v>45341</v>
      </c>
      <c r="R229" s="2219"/>
      <c r="S229" s="261"/>
      <c r="T229" s="1173">
        <f t="shared" si="26"/>
        <v>0</v>
      </c>
      <c r="U229" s="261"/>
      <c r="V229" s="261"/>
      <c r="W229" s="261"/>
      <c r="X229" s="261"/>
      <c r="Y229" s="261"/>
      <c r="Z229" s="261"/>
      <c r="AA229" s="261"/>
      <c r="AB229" s="261"/>
      <c r="AC229" s="261"/>
      <c r="AD229" s="261"/>
      <c r="AE229" s="261"/>
      <c r="AF229" s="261"/>
      <c r="AG229" s="1173">
        <f t="shared" si="39"/>
        <v>0</v>
      </c>
      <c r="AH229" s="61" t="str">
        <f t="shared" si="40"/>
        <v/>
      </c>
      <c r="AI229" s="89" t="e">
        <f t="shared" si="41"/>
        <v>#N/A</v>
      </c>
      <c r="AJ229" s="2"/>
      <c r="AK229" s="61">
        <f>IF(G229=G$547,0,IF(OR(G229&lt;&gt;0,CH229&lt;&gt;0,C229="L"),COUNTIF(AK$180:AK228,"&gt;0")+1,0))</f>
        <v>0</v>
      </c>
      <c r="AL229" s="61" t="str">
        <f t="shared" si="27"/>
        <v/>
      </c>
      <c r="AM229" s="61" t="e">
        <f t="shared" si="28"/>
        <v>#N/A</v>
      </c>
      <c r="AN229" s="89" t="e">
        <f t="shared" si="29"/>
        <v>#N/A</v>
      </c>
      <c r="AO229" s="230">
        <f>SUM(FEB!X26:AD26)-BD229+AY229</f>
        <v>0</v>
      </c>
      <c r="AP229" s="228">
        <f>SUMIF(FEB!$G$121:$M$121,AP$178,FEB!$P26:$V26)+SUMIF($AZ$178:$BC$178,AP$178,$AZ229:$BC229)</f>
        <v>0</v>
      </c>
      <c r="AQ229" s="229">
        <f>SUMIF(FEB!$G$121:$M$121,AQ$178,FEB!$P26:$V26)+SUMIF($AZ$178:$BC$178,AQ$178,$AZ229:$BC229)</f>
        <v>0</v>
      </c>
      <c r="AR229" s="230">
        <f>SUMIF(FEB!$G$121:$M$121,AR$178,FEB!$P26:$V26)+SUMIF($AZ$178:$BC$178,AR$178,$AZ229:$BC229)</f>
        <v>0</v>
      </c>
      <c r="AS229" s="230">
        <f>SUMIF(FEB!$G$121:$M$121,AS$178,FEB!$P26:$V26)+SUMIF($AZ$178:$BC$178,AS$178,$AZ229:$BC229)</f>
        <v>0</v>
      </c>
      <c r="AT229" s="230">
        <f>SUMIF(FEB!$G$121:$M$121,AT$178,FEB!$P26:$V26)+SUMIF($AZ$178:$BC$178,AT$178,$AZ229:$BC229)</f>
        <v>0</v>
      </c>
      <c r="AU229" s="230">
        <f>SUMIF(FEB!$G$121:$M$121,AU$178,FEB!$P26:$V26)+SUMIF($AZ$178:$BC$178,AU$178,$AZ229:$BC229)</f>
        <v>0</v>
      </c>
      <c r="AV229" s="230">
        <f>SUMIF(FEB!$G$121:$M$121,AV$178,FEB!$P26:$V26)+SUMIF($AZ$178:$BC$178,AV$178,$AZ229:$BC229)</f>
        <v>0</v>
      </c>
      <c r="AW229" s="230">
        <f>SUMIF(FEB!$G$121:$M$121,AW$178,FEB!$P26:$V26)+SUMIF($AZ$178:$BC$178,AW$178,$AZ229:$BC229)</f>
        <v>0</v>
      </c>
      <c r="AX229" s="231">
        <f>SUMIF(FEB!$G$121:$M$121,AX$178,FEB!$P26:$V26)+SUMIF($AZ$178:$BC$178,AX$178,$AZ229:$BC229)</f>
        <v>0</v>
      </c>
      <c r="AY229" s="232">
        <f>FEB!AF26</f>
        <v>0</v>
      </c>
      <c r="AZ229" s="228">
        <f>FEB!AG26</f>
        <v>0</v>
      </c>
      <c r="BA229" s="229">
        <f>FEB!AH26</f>
        <v>0</v>
      </c>
      <c r="BB229" s="230">
        <f>FEB!AI26</f>
        <v>0</v>
      </c>
      <c r="BC229" s="231">
        <f>FEB!AJ26</f>
        <v>0</v>
      </c>
      <c r="BD229" s="228">
        <f>SUMIF(FEB!$G$120:$M$120,"&gt;0",FEB!$X26:$AD26)</f>
        <v>0</v>
      </c>
      <c r="BE229" s="696"/>
      <c r="BF229" s="228">
        <f>SUMIF(FEB!$BA$6:$BG$6,BF$177,FEB!$BA26:$BG26)</f>
        <v>0</v>
      </c>
      <c r="BG229" s="229">
        <f>SUMIF(FEB!$BA$6:$BG$6,BG$177,FEB!$BA26:$BG26)</f>
        <v>0</v>
      </c>
      <c r="BH229" s="229">
        <f>SUMIF(FEB!$BA$6:$BG$6,BH$177,FEB!$BA26:$BG26)</f>
        <v>0</v>
      </c>
      <c r="BI229" s="229">
        <f>SUMIF(FEB!$BA$6:$BG$6,BI$177,FEB!$BA26:$BG26)</f>
        <v>0</v>
      </c>
      <c r="BJ229" s="229">
        <f>SUMIF(FEB!$BA$6:$BG$6,BJ$177,FEB!$BA26:$BG26)</f>
        <v>0</v>
      </c>
      <c r="BK229" s="229">
        <f>SUMIF(FEB!$BA$6:$BG$6,BK$177,FEB!$BA26:$BG26)</f>
        <v>0</v>
      </c>
      <c r="BL229" s="229">
        <f>SUMIF(FEB!$BA$6:$BG$6,BL$177,FEB!$BA26:$BG26)</f>
        <v>0</v>
      </c>
      <c r="BM229" s="229">
        <f>SUMIF(FEB!$BA$6:$BG$6,BM$177,FEB!$BA26:$BG26)</f>
        <v>0</v>
      </c>
      <c r="BN229" s="229">
        <f>SUMIF(FEB!$BA$6:$BG$6,BN$177,FEB!$BA26:$BG26)</f>
        <v>0</v>
      </c>
      <c r="BO229" s="231">
        <f>SUMIF(FEB!$BA$6:$BG$6,BO$177,FEB!$BA26:$BG26)</f>
        <v>0</v>
      </c>
      <c r="BP229" s="231">
        <f>SUMIF(FEB!$BA$6:$BG$6,BP$177,FEB!$BA26:$BG26)</f>
        <v>0</v>
      </c>
      <c r="BQ229" s="252"/>
      <c r="BR229" s="228">
        <f>SUMIF(FEB!$BA$5:$BG$5,BR$177,FEB!$BA26:$BG26)</f>
        <v>0</v>
      </c>
      <c r="BS229" s="229">
        <f>SUMIF(FEB!$BA$5:$BG$5,BS$177,FEB!$BA26:$BG26)</f>
        <v>0</v>
      </c>
      <c r="BT229" s="229">
        <f>SUMIF(FEB!$BA$5:$BG$5,BT$177,FEB!$BA26:$BG26)</f>
        <v>0</v>
      </c>
      <c r="BU229" s="229">
        <f>SUMIF(FEB!$BA$5:$BG$5,BU$177,FEB!$BA26:$BG26)</f>
        <v>0</v>
      </c>
      <c r="BV229" s="229">
        <f>SUMIF(FEB!$BA$5:$BG$5,BV$177,FEB!$BA26:$BG26)</f>
        <v>0</v>
      </c>
      <c r="BW229" s="229">
        <f>SUMIF(FEB!$BA$5:$BG$5,BW$177,FEB!$BA26:$BG26)</f>
        <v>0</v>
      </c>
      <c r="BX229" s="230">
        <f>SUMIF(FEB!$BA$5:$BG$5,BX$177,FEB!$BA26:$BG26)</f>
        <v>0</v>
      </c>
      <c r="BY229" s="998">
        <f>SUMIF(FEB!$BA$5:$BG$5,BY$177,FEB!$BA26:$BG26)</f>
        <v>0</v>
      </c>
      <c r="CB229" s="252"/>
      <c r="CC229" s="61" t="e">
        <f t="shared" si="30"/>
        <v>#N/A</v>
      </c>
      <c r="CD229" s="61">
        <f t="shared" si="31"/>
        <v>0</v>
      </c>
      <c r="CE229" s="105" t="str">
        <f t="shared" si="44"/>
        <v/>
      </c>
      <c r="CF229" s="61" t="e">
        <f t="shared" si="33"/>
        <v>#N/A</v>
      </c>
      <c r="CG229" s="61" t="e">
        <f t="shared" si="34"/>
        <v>#N/A</v>
      </c>
      <c r="CH229" s="521">
        <f>FEB!AL26-CW229+CR229</f>
        <v>0</v>
      </c>
      <c r="CI229" s="228">
        <f>SUMIF(FEB!$G$121:$M$121,CI$178,FEB!$AM26:$AS26)+SUMIF($CS$178:$CV$178,CI$178,$CS229:$CV229)</f>
        <v>0</v>
      </c>
      <c r="CJ229" s="229">
        <f>SUMIF(FEB!$G$121:$M$121,CJ$178,FEB!$AM26:$AS26)+SUMIF($CS$178:$CV$178,CJ$178,$CS229:$CV229)</f>
        <v>0</v>
      </c>
      <c r="CK229" s="230">
        <f>SUMIF(FEB!$G$121:$M$121,CK$178,FEB!$AM26:$AS26)+SUMIF($CS$178:$CV$178,CK$178,$CS229:$CV229)</f>
        <v>0</v>
      </c>
      <c r="CL229" s="230">
        <f>SUMIF(FEB!$G$121:$M$121,CL$178,FEB!$AM26:$AS26)+SUMIF($CS$178:$CV$178,CL$178,$CS229:$CV229)</f>
        <v>0</v>
      </c>
      <c r="CM229" s="230">
        <f>SUMIF(FEB!$G$121:$M$121,CM$178,FEB!$AM26:$AS26)+SUMIF($CS$178:$CV$178,CM$178,$CS229:$CV229)</f>
        <v>0</v>
      </c>
      <c r="CN229" s="230">
        <f>SUMIF(FEB!$G$121:$M$121,CN$178,FEB!$AM26:$AS26)+SUMIF($CS$178:$CV$178,CN$178,$CS229:$CV229)</f>
        <v>0</v>
      </c>
      <c r="CO229" s="230">
        <f>SUMIF(FEB!$G$121:$M$121,CO$178,FEB!$AM26:$AS26)+SUMIF($CS$178:$CV$178,CO$178,$CS229:$CV229)</f>
        <v>0</v>
      </c>
      <c r="CP229" s="230">
        <f>SUMIF(FEB!$G$121:$M$121,CP$178,FEB!$AM26:$AS26)+SUMIF($CS$178:$CV$178,CP$178,$CS229:$CV229)</f>
        <v>0</v>
      </c>
      <c r="CQ229" s="231">
        <f>SUMIF(FEB!$G$121:$M$121,CQ$178,FEB!$AM26:$AS26)+SUMIF($CS$178:$CV$178,CQ$178,$CS229:$CV229)</f>
        <v>0</v>
      </c>
      <c r="CR229" s="521">
        <f>FEB!AU26</f>
        <v>0</v>
      </c>
      <c r="CS229" s="228">
        <f>FEB!AV26</f>
        <v>0</v>
      </c>
      <c r="CT229" s="229">
        <f>FEB!AW26</f>
        <v>0</v>
      </c>
      <c r="CU229" s="230">
        <f>FEB!AX26</f>
        <v>0</v>
      </c>
      <c r="CV229" s="231">
        <f>FEB!AY26</f>
        <v>0</v>
      </c>
      <c r="CW229" s="521">
        <f>SUM(FEB!AU26:AY26)</f>
        <v>0</v>
      </c>
      <c r="CX229" s="521">
        <f>FEB!AK26</f>
        <v>0</v>
      </c>
      <c r="CY229" s="2"/>
    </row>
    <row r="230" spans="1:103" ht="14.25" hidden="1" customHeight="1" x14ac:dyDescent="0.2">
      <c r="A230" s="2"/>
      <c r="B230" s="105">
        <f t="shared" si="35"/>
        <v>45342</v>
      </c>
      <c r="C230" s="146">
        <f>IF(AND(E230&gt;(E$558-1),E230&lt;(I$558+1)),W$551,IF(ISERROR(HLOOKUP(E230,$E$551:$L$551,1,FALSE)),HLOOKUP(WEEKDAY(E230,2),IMPOSTAZIONI!$C$52:$P$57,6,FALSE),$W$550))</f>
        <v>0</v>
      </c>
      <c r="D230" s="71" t="str">
        <f t="shared" si="36"/>
        <v/>
      </c>
      <c r="E230" s="2258">
        <f t="shared" si="42"/>
        <v>45342</v>
      </c>
      <c r="F230" s="2259"/>
      <c r="G230" s="2228">
        <f>FEB!E27</f>
        <v>0</v>
      </c>
      <c r="H230" s="2229"/>
      <c r="I230" s="2230"/>
      <c r="J230" s="262" t="str">
        <f t="shared" si="25"/>
        <v/>
      </c>
      <c r="K230" s="263"/>
      <c r="L230" s="2217">
        <f t="shared" si="43"/>
        <v>8</v>
      </c>
      <c r="M230" s="2218"/>
      <c r="N230" s="261"/>
      <c r="O230" s="261"/>
      <c r="P230" s="261"/>
      <c r="Q230" s="2219">
        <f t="shared" si="38"/>
        <v>45342</v>
      </c>
      <c r="R230" s="2219"/>
      <c r="S230" s="261"/>
      <c r="T230" s="1173">
        <f t="shared" si="26"/>
        <v>0</v>
      </c>
      <c r="U230" s="261"/>
      <c r="V230" s="261"/>
      <c r="W230" s="261"/>
      <c r="X230" s="261"/>
      <c r="Y230" s="261"/>
      <c r="Z230" s="261"/>
      <c r="AA230" s="261"/>
      <c r="AB230" s="261"/>
      <c r="AC230" s="261"/>
      <c r="AD230" s="261"/>
      <c r="AE230" s="261"/>
      <c r="AF230" s="261"/>
      <c r="AG230" s="1173">
        <f t="shared" si="39"/>
        <v>0</v>
      </c>
      <c r="AH230" s="61" t="str">
        <f t="shared" si="40"/>
        <v/>
      </c>
      <c r="AI230" s="89" t="e">
        <f t="shared" si="41"/>
        <v>#N/A</v>
      </c>
      <c r="AJ230" s="2"/>
      <c r="AK230" s="61">
        <f>IF(G230=G$547,0,IF(OR(G230&lt;&gt;0,CH230&lt;&gt;0,C230="L"),COUNTIF(AK$180:AK229,"&gt;0")+1,0))</f>
        <v>0</v>
      </c>
      <c r="AL230" s="61" t="str">
        <f t="shared" si="27"/>
        <v/>
      </c>
      <c r="AM230" s="61" t="e">
        <f t="shared" si="28"/>
        <v>#N/A</v>
      </c>
      <c r="AN230" s="89" t="e">
        <f t="shared" si="29"/>
        <v>#N/A</v>
      </c>
      <c r="AO230" s="230">
        <f>SUM(FEB!X27:AD27)-BD230+AY230</f>
        <v>0</v>
      </c>
      <c r="AP230" s="228">
        <f>SUMIF(FEB!$G$121:$M$121,AP$178,FEB!$P27:$V27)+SUMIF($AZ$178:$BC$178,AP$178,$AZ230:$BC230)</f>
        <v>0</v>
      </c>
      <c r="AQ230" s="229">
        <f>SUMIF(FEB!$G$121:$M$121,AQ$178,FEB!$P27:$V27)+SUMIF($AZ$178:$BC$178,AQ$178,$AZ230:$BC230)</f>
        <v>0</v>
      </c>
      <c r="AR230" s="230">
        <f>SUMIF(FEB!$G$121:$M$121,AR$178,FEB!$P27:$V27)+SUMIF($AZ$178:$BC$178,AR$178,$AZ230:$BC230)</f>
        <v>0</v>
      </c>
      <c r="AS230" s="230">
        <f>SUMIF(FEB!$G$121:$M$121,AS$178,FEB!$P27:$V27)+SUMIF($AZ$178:$BC$178,AS$178,$AZ230:$BC230)</f>
        <v>0</v>
      </c>
      <c r="AT230" s="230">
        <f>SUMIF(FEB!$G$121:$M$121,AT$178,FEB!$P27:$V27)+SUMIF($AZ$178:$BC$178,AT$178,$AZ230:$BC230)</f>
        <v>0</v>
      </c>
      <c r="AU230" s="230">
        <f>SUMIF(FEB!$G$121:$M$121,AU$178,FEB!$P27:$V27)+SUMIF($AZ$178:$BC$178,AU$178,$AZ230:$BC230)</f>
        <v>0</v>
      </c>
      <c r="AV230" s="230">
        <f>SUMIF(FEB!$G$121:$M$121,AV$178,FEB!$P27:$V27)+SUMIF($AZ$178:$BC$178,AV$178,$AZ230:$BC230)</f>
        <v>0</v>
      </c>
      <c r="AW230" s="230">
        <f>SUMIF(FEB!$G$121:$M$121,AW$178,FEB!$P27:$V27)+SUMIF($AZ$178:$BC$178,AW$178,$AZ230:$BC230)</f>
        <v>0</v>
      </c>
      <c r="AX230" s="231">
        <f>SUMIF(FEB!$G$121:$M$121,AX$178,FEB!$P27:$V27)+SUMIF($AZ$178:$BC$178,AX$178,$AZ230:$BC230)</f>
        <v>0</v>
      </c>
      <c r="AY230" s="232">
        <f>FEB!AF27</f>
        <v>0</v>
      </c>
      <c r="AZ230" s="228">
        <f>FEB!AG27</f>
        <v>0</v>
      </c>
      <c r="BA230" s="229">
        <f>FEB!AH27</f>
        <v>0</v>
      </c>
      <c r="BB230" s="230">
        <f>FEB!AI27</f>
        <v>0</v>
      </c>
      <c r="BC230" s="231">
        <f>FEB!AJ27</f>
        <v>0</v>
      </c>
      <c r="BD230" s="228">
        <f>SUMIF(FEB!$G$120:$M$120,"&gt;0",FEB!$X27:$AD27)</f>
        <v>0</v>
      </c>
      <c r="BE230" s="696"/>
      <c r="BF230" s="228">
        <f>SUMIF(FEB!$BA$6:$BG$6,BF$177,FEB!$BA27:$BG27)</f>
        <v>0</v>
      </c>
      <c r="BG230" s="229">
        <f>SUMIF(FEB!$BA$6:$BG$6,BG$177,FEB!$BA27:$BG27)</f>
        <v>0</v>
      </c>
      <c r="BH230" s="229">
        <f>SUMIF(FEB!$BA$6:$BG$6,BH$177,FEB!$BA27:$BG27)</f>
        <v>0</v>
      </c>
      <c r="BI230" s="229">
        <f>SUMIF(FEB!$BA$6:$BG$6,BI$177,FEB!$BA27:$BG27)</f>
        <v>0</v>
      </c>
      <c r="BJ230" s="229">
        <f>SUMIF(FEB!$BA$6:$BG$6,BJ$177,FEB!$BA27:$BG27)</f>
        <v>0</v>
      </c>
      <c r="BK230" s="229">
        <f>SUMIF(FEB!$BA$6:$BG$6,BK$177,FEB!$BA27:$BG27)</f>
        <v>0</v>
      </c>
      <c r="BL230" s="229">
        <f>SUMIF(FEB!$BA$6:$BG$6,BL$177,FEB!$BA27:$BG27)</f>
        <v>0</v>
      </c>
      <c r="BM230" s="229">
        <f>SUMIF(FEB!$BA$6:$BG$6,BM$177,FEB!$BA27:$BG27)</f>
        <v>0</v>
      </c>
      <c r="BN230" s="229">
        <f>SUMIF(FEB!$BA$6:$BG$6,BN$177,FEB!$BA27:$BG27)</f>
        <v>0</v>
      </c>
      <c r="BO230" s="231">
        <f>SUMIF(FEB!$BA$6:$BG$6,BO$177,FEB!$BA27:$BG27)</f>
        <v>0</v>
      </c>
      <c r="BP230" s="231">
        <f>SUMIF(FEB!$BA$6:$BG$6,BP$177,FEB!$BA27:$BG27)</f>
        <v>0</v>
      </c>
      <c r="BQ230" s="252"/>
      <c r="BR230" s="228">
        <f>SUMIF(FEB!$BA$5:$BG$5,BR$177,FEB!$BA27:$BG27)</f>
        <v>0</v>
      </c>
      <c r="BS230" s="229">
        <f>SUMIF(FEB!$BA$5:$BG$5,BS$177,FEB!$BA27:$BG27)</f>
        <v>0</v>
      </c>
      <c r="BT230" s="229">
        <f>SUMIF(FEB!$BA$5:$BG$5,BT$177,FEB!$BA27:$BG27)</f>
        <v>0</v>
      </c>
      <c r="BU230" s="229">
        <f>SUMIF(FEB!$BA$5:$BG$5,BU$177,FEB!$BA27:$BG27)</f>
        <v>0</v>
      </c>
      <c r="BV230" s="229">
        <f>SUMIF(FEB!$BA$5:$BG$5,BV$177,FEB!$BA27:$BG27)</f>
        <v>0</v>
      </c>
      <c r="BW230" s="229">
        <f>SUMIF(FEB!$BA$5:$BG$5,BW$177,FEB!$BA27:$BG27)</f>
        <v>0</v>
      </c>
      <c r="BX230" s="230">
        <f>SUMIF(FEB!$BA$5:$BG$5,BX$177,FEB!$BA27:$BG27)</f>
        <v>0</v>
      </c>
      <c r="BY230" s="998">
        <f>SUMIF(FEB!$BA$5:$BG$5,BY$177,FEB!$BA27:$BG27)</f>
        <v>0</v>
      </c>
      <c r="CB230" s="252"/>
      <c r="CC230" s="61" t="e">
        <f t="shared" si="30"/>
        <v>#N/A</v>
      </c>
      <c r="CD230" s="61">
        <f t="shared" si="31"/>
        <v>0</v>
      </c>
      <c r="CE230" s="105" t="str">
        <f t="shared" si="44"/>
        <v/>
      </c>
      <c r="CF230" s="61" t="e">
        <f t="shared" si="33"/>
        <v>#N/A</v>
      </c>
      <c r="CG230" s="61" t="e">
        <f t="shared" si="34"/>
        <v>#N/A</v>
      </c>
      <c r="CH230" s="521">
        <f>FEB!AL27-CW230+CR230</f>
        <v>0</v>
      </c>
      <c r="CI230" s="228">
        <f>SUMIF(FEB!$G$121:$M$121,CI$178,FEB!$AM27:$AS27)+SUMIF($CS$178:$CV$178,CI$178,$CS230:$CV230)</f>
        <v>0</v>
      </c>
      <c r="CJ230" s="229">
        <f>SUMIF(FEB!$G$121:$M$121,CJ$178,FEB!$AM27:$AS27)+SUMIF($CS$178:$CV$178,CJ$178,$CS230:$CV230)</f>
        <v>0</v>
      </c>
      <c r="CK230" s="230">
        <f>SUMIF(FEB!$G$121:$M$121,CK$178,FEB!$AM27:$AS27)+SUMIF($CS$178:$CV$178,CK$178,$CS230:$CV230)</f>
        <v>0</v>
      </c>
      <c r="CL230" s="230">
        <f>SUMIF(FEB!$G$121:$M$121,CL$178,FEB!$AM27:$AS27)+SUMIF($CS$178:$CV$178,CL$178,$CS230:$CV230)</f>
        <v>0</v>
      </c>
      <c r="CM230" s="230">
        <f>SUMIF(FEB!$G$121:$M$121,CM$178,FEB!$AM27:$AS27)+SUMIF($CS$178:$CV$178,CM$178,$CS230:$CV230)</f>
        <v>0</v>
      </c>
      <c r="CN230" s="230">
        <f>SUMIF(FEB!$G$121:$M$121,CN$178,FEB!$AM27:$AS27)+SUMIF($CS$178:$CV$178,CN$178,$CS230:$CV230)</f>
        <v>0</v>
      </c>
      <c r="CO230" s="230">
        <f>SUMIF(FEB!$G$121:$M$121,CO$178,FEB!$AM27:$AS27)+SUMIF($CS$178:$CV$178,CO$178,$CS230:$CV230)</f>
        <v>0</v>
      </c>
      <c r="CP230" s="230">
        <f>SUMIF(FEB!$G$121:$M$121,CP$178,FEB!$AM27:$AS27)+SUMIF($CS$178:$CV$178,CP$178,$CS230:$CV230)</f>
        <v>0</v>
      </c>
      <c r="CQ230" s="231">
        <f>SUMIF(FEB!$G$121:$M$121,CQ$178,FEB!$AM27:$AS27)+SUMIF($CS$178:$CV$178,CQ$178,$CS230:$CV230)</f>
        <v>0</v>
      </c>
      <c r="CR230" s="521">
        <f>FEB!AU27</f>
        <v>0</v>
      </c>
      <c r="CS230" s="228">
        <f>FEB!AV27</f>
        <v>0</v>
      </c>
      <c r="CT230" s="229">
        <f>FEB!AW27</f>
        <v>0</v>
      </c>
      <c r="CU230" s="230">
        <f>FEB!AX27</f>
        <v>0</v>
      </c>
      <c r="CV230" s="231">
        <f>FEB!AY27</f>
        <v>0</v>
      </c>
      <c r="CW230" s="521">
        <f>SUM(FEB!AU27:AY27)</f>
        <v>0</v>
      </c>
      <c r="CX230" s="521">
        <f>FEB!AK27</f>
        <v>0</v>
      </c>
      <c r="CY230" s="2"/>
    </row>
    <row r="231" spans="1:103" ht="14.25" hidden="1" customHeight="1" x14ac:dyDescent="0.2">
      <c r="A231" s="2"/>
      <c r="B231" s="105">
        <f t="shared" si="35"/>
        <v>45343</v>
      </c>
      <c r="C231" s="146">
        <f>IF(AND(E231&gt;(E$558-1),E231&lt;(I$558+1)),W$551,IF(ISERROR(HLOOKUP(E231,$E$551:$L$551,1,FALSE)),HLOOKUP(WEEKDAY(E231,2),IMPOSTAZIONI!$C$52:$P$57,6,FALSE),$W$550))</f>
        <v>0</v>
      </c>
      <c r="D231" s="71" t="str">
        <f t="shared" si="36"/>
        <v/>
      </c>
      <c r="E231" s="2258">
        <f t="shared" si="42"/>
        <v>45343</v>
      </c>
      <c r="F231" s="2259"/>
      <c r="G231" s="2228">
        <f>FEB!E28</f>
        <v>0</v>
      </c>
      <c r="H231" s="2229"/>
      <c r="I231" s="2230"/>
      <c r="J231" s="262" t="str">
        <f t="shared" si="25"/>
        <v/>
      </c>
      <c r="K231" s="263"/>
      <c r="L231" s="2217">
        <f t="shared" si="43"/>
        <v>8</v>
      </c>
      <c r="M231" s="2218"/>
      <c r="N231" s="261"/>
      <c r="O231" s="261"/>
      <c r="P231" s="261"/>
      <c r="Q231" s="2219">
        <f t="shared" si="38"/>
        <v>45343</v>
      </c>
      <c r="R231" s="2219"/>
      <c r="S231" s="261"/>
      <c r="T231" s="1173">
        <f t="shared" si="26"/>
        <v>0</v>
      </c>
      <c r="U231" s="261"/>
      <c r="V231" s="261"/>
      <c r="W231" s="261"/>
      <c r="X231" s="261"/>
      <c r="Y231" s="261"/>
      <c r="Z231" s="261"/>
      <c r="AA231" s="261"/>
      <c r="AB231" s="261"/>
      <c r="AC231" s="261"/>
      <c r="AD231" s="261"/>
      <c r="AE231" s="261"/>
      <c r="AF231" s="261"/>
      <c r="AG231" s="1173">
        <f t="shared" si="39"/>
        <v>0</v>
      </c>
      <c r="AH231" s="61" t="str">
        <f t="shared" si="40"/>
        <v/>
      </c>
      <c r="AI231" s="89" t="e">
        <f t="shared" si="41"/>
        <v>#N/A</v>
      </c>
      <c r="AJ231" s="2"/>
      <c r="AK231" s="61">
        <f>IF(G231=G$547,0,IF(OR(G231&lt;&gt;0,CH231&lt;&gt;0,C231="L"),COUNTIF(AK$180:AK230,"&gt;0")+1,0))</f>
        <v>0</v>
      </c>
      <c r="AL231" s="61" t="str">
        <f t="shared" si="27"/>
        <v/>
      </c>
      <c r="AM231" s="61" t="e">
        <f t="shared" si="28"/>
        <v>#N/A</v>
      </c>
      <c r="AN231" s="89" t="e">
        <f t="shared" si="29"/>
        <v>#N/A</v>
      </c>
      <c r="AO231" s="230">
        <f>SUM(FEB!X28:AD28)-BD231+AY231</f>
        <v>0</v>
      </c>
      <c r="AP231" s="228">
        <f>SUMIF(FEB!$G$121:$M$121,AP$178,FEB!$P28:$V28)+SUMIF($AZ$178:$BC$178,AP$178,$AZ231:$BC231)</f>
        <v>0</v>
      </c>
      <c r="AQ231" s="229">
        <f>SUMIF(FEB!$G$121:$M$121,AQ$178,FEB!$P28:$V28)+SUMIF($AZ$178:$BC$178,AQ$178,$AZ231:$BC231)</f>
        <v>0</v>
      </c>
      <c r="AR231" s="230">
        <f>SUMIF(FEB!$G$121:$M$121,AR$178,FEB!$P28:$V28)+SUMIF($AZ$178:$BC$178,AR$178,$AZ231:$BC231)</f>
        <v>0</v>
      </c>
      <c r="AS231" s="230">
        <f>SUMIF(FEB!$G$121:$M$121,AS$178,FEB!$P28:$V28)+SUMIF($AZ$178:$BC$178,AS$178,$AZ231:$BC231)</f>
        <v>0</v>
      </c>
      <c r="AT231" s="230">
        <f>SUMIF(FEB!$G$121:$M$121,AT$178,FEB!$P28:$V28)+SUMIF($AZ$178:$BC$178,AT$178,$AZ231:$BC231)</f>
        <v>0</v>
      </c>
      <c r="AU231" s="230">
        <f>SUMIF(FEB!$G$121:$M$121,AU$178,FEB!$P28:$V28)+SUMIF($AZ$178:$BC$178,AU$178,$AZ231:$BC231)</f>
        <v>0</v>
      </c>
      <c r="AV231" s="230">
        <f>SUMIF(FEB!$G$121:$M$121,AV$178,FEB!$P28:$V28)+SUMIF($AZ$178:$BC$178,AV$178,$AZ231:$BC231)</f>
        <v>0</v>
      </c>
      <c r="AW231" s="230">
        <f>SUMIF(FEB!$G$121:$M$121,AW$178,FEB!$P28:$V28)+SUMIF($AZ$178:$BC$178,AW$178,$AZ231:$BC231)</f>
        <v>0</v>
      </c>
      <c r="AX231" s="231">
        <f>SUMIF(FEB!$G$121:$M$121,AX$178,FEB!$P28:$V28)+SUMIF($AZ$178:$BC$178,AX$178,$AZ231:$BC231)</f>
        <v>0</v>
      </c>
      <c r="AY231" s="232">
        <f>FEB!AF28</f>
        <v>0</v>
      </c>
      <c r="AZ231" s="228">
        <f>FEB!AG28</f>
        <v>0</v>
      </c>
      <c r="BA231" s="229">
        <f>FEB!AH28</f>
        <v>0</v>
      </c>
      <c r="BB231" s="230">
        <f>FEB!AI28</f>
        <v>0</v>
      </c>
      <c r="BC231" s="231">
        <f>FEB!AJ28</f>
        <v>0</v>
      </c>
      <c r="BD231" s="228">
        <f>SUMIF(FEB!$G$120:$M$120,"&gt;0",FEB!$X28:$AD28)</f>
        <v>0</v>
      </c>
      <c r="BE231" s="696"/>
      <c r="BF231" s="228">
        <f>SUMIF(FEB!$BA$6:$BG$6,BF$177,FEB!$BA28:$BG28)</f>
        <v>0</v>
      </c>
      <c r="BG231" s="229">
        <f>SUMIF(FEB!$BA$6:$BG$6,BG$177,FEB!$BA28:$BG28)</f>
        <v>0</v>
      </c>
      <c r="BH231" s="229">
        <f>SUMIF(FEB!$BA$6:$BG$6,BH$177,FEB!$BA28:$BG28)</f>
        <v>0</v>
      </c>
      <c r="BI231" s="229">
        <f>SUMIF(FEB!$BA$6:$BG$6,BI$177,FEB!$BA28:$BG28)</f>
        <v>0</v>
      </c>
      <c r="BJ231" s="229">
        <f>SUMIF(FEB!$BA$6:$BG$6,BJ$177,FEB!$BA28:$BG28)</f>
        <v>0</v>
      </c>
      <c r="BK231" s="229">
        <f>SUMIF(FEB!$BA$6:$BG$6,BK$177,FEB!$BA28:$BG28)</f>
        <v>0</v>
      </c>
      <c r="BL231" s="229">
        <f>SUMIF(FEB!$BA$6:$BG$6,BL$177,FEB!$BA28:$BG28)</f>
        <v>0</v>
      </c>
      <c r="BM231" s="229">
        <f>SUMIF(FEB!$BA$6:$BG$6,BM$177,FEB!$BA28:$BG28)</f>
        <v>0</v>
      </c>
      <c r="BN231" s="229">
        <f>SUMIF(FEB!$BA$6:$BG$6,BN$177,FEB!$BA28:$BG28)</f>
        <v>0</v>
      </c>
      <c r="BO231" s="231">
        <f>SUMIF(FEB!$BA$6:$BG$6,BO$177,FEB!$BA28:$BG28)</f>
        <v>0</v>
      </c>
      <c r="BP231" s="231">
        <f>SUMIF(FEB!$BA$6:$BG$6,BP$177,FEB!$BA28:$BG28)</f>
        <v>0</v>
      </c>
      <c r="BQ231" s="252"/>
      <c r="BR231" s="228">
        <f>SUMIF(FEB!$BA$5:$BG$5,BR$177,FEB!$BA28:$BG28)</f>
        <v>0</v>
      </c>
      <c r="BS231" s="229">
        <f>SUMIF(FEB!$BA$5:$BG$5,BS$177,FEB!$BA28:$BG28)</f>
        <v>0</v>
      </c>
      <c r="BT231" s="229">
        <f>SUMIF(FEB!$BA$5:$BG$5,BT$177,FEB!$BA28:$BG28)</f>
        <v>0</v>
      </c>
      <c r="BU231" s="229">
        <f>SUMIF(FEB!$BA$5:$BG$5,BU$177,FEB!$BA28:$BG28)</f>
        <v>0</v>
      </c>
      <c r="BV231" s="229">
        <f>SUMIF(FEB!$BA$5:$BG$5,BV$177,FEB!$BA28:$BG28)</f>
        <v>0</v>
      </c>
      <c r="BW231" s="229">
        <f>SUMIF(FEB!$BA$5:$BG$5,BW$177,FEB!$BA28:$BG28)</f>
        <v>0</v>
      </c>
      <c r="BX231" s="230">
        <f>SUMIF(FEB!$BA$5:$BG$5,BX$177,FEB!$BA28:$BG28)</f>
        <v>0</v>
      </c>
      <c r="BY231" s="998">
        <f>SUMIF(FEB!$BA$5:$BG$5,BY$177,FEB!$BA28:$BG28)</f>
        <v>0</v>
      </c>
      <c r="CB231" s="252"/>
      <c r="CC231" s="61" t="e">
        <f t="shared" si="30"/>
        <v>#N/A</v>
      </c>
      <c r="CD231" s="61">
        <f t="shared" si="31"/>
        <v>0</v>
      </c>
      <c r="CE231" s="105" t="str">
        <f t="shared" si="44"/>
        <v/>
      </c>
      <c r="CF231" s="61" t="e">
        <f t="shared" si="33"/>
        <v>#N/A</v>
      </c>
      <c r="CG231" s="61" t="e">
        <f t="shared" si="34"/>
        <v>#N/A</v>
      </c>
      <c r="CH231" s="521">
        <f>FEB!AL28-CW231+CR231</f>
        <v>0</v>
      </c>
      <c r="CI231" s="228">
        <f>SUMIF(FEB!$G$121:$M$121,CI$178,FEB!$AM28:$AS28)+SUMIF($CS$178:$CV$178,CI$178,$CS231:$CV231)</f>
        <v>0</v>
      </c>
      <c r="CJ231" s="229">
        <f>SUMIF(FEB!$G$121:$M$121,CJ$178,FEB!$AM28:$AS28)+SUMIF($CS$178:$CV$178,CJ$178,$CS231:$CV231)</f>
        <v>0</v>
      </c>
      <c r="CK231" s="230">
        <f>SUMIF(FEB!$G$121:$M$121,CK$178,FEB!$AM28:$AS28)+SUMIF($CS$178:$CV$178,CK$178,$CS231:$CV231)</f>
        <v>0</v>
      </c>
      <c r="CL231" s="230">
        <f>SUMIF(FEB!$G$121:$M$121,CL$178,FEB!$AM28:$AS28)+SUMIF($CS$178:$CV$178,CL$178,$CS231:$CV231)</f>
        <v>0</v>
      </c>
      <c r="CM231" s="230">
        <f>SUMIF(FEB!$G$121:$M$121,CM$178,FEB!$AM28:$AS28)+SUMIF($CS$178:$CV$178,CM$178,$CS231:$CV231)</f>
        <v>0</v>
      </c>
      <c r="CN231" s="230">
        <f>SUMIF(FEB!$G$121:$M$121,CN$178,FEB!$AM28:$AS28)+SUMIF($CS$178:$CV$178,CN$178,$CS231:$CV231)</f>
        <v>0</v>
      </c>
      <c r="CO231" s="230">
        <f>SUMIF(FEB!$G$121:$M$121,CO$178,FEB!$AM28:$AS28)+SUMIF($CS$178:$CV$178,CO$178,$CS231:$CV231)</f>
        <v>0</v>
      </c>
      <c r="CP231" s="230">
        <f>SUMIF(FEB!$G$121:$M$121,CP$178,FEB!$AM28:$AS28)+SUMIF($CS$178:$CV$178,CP$178,$CS231:$CV231)</f>
        <v>0</v>
      </c>
      <c r="CQ231" s="231">
        <f>SUMIF(FEB!$G$121:$M$121,CQ$178,FEB!$AM28:$AS28)+SUMIF($CS$178:$CV$178,CQ$178,$CS231:$CV231)</f>
        <v>0</v>
      </c>
      <c r="CR231" s="521">
        <f>FEB!AU28</f>
        <v>0</v>
      </c>
      <c r="CS231" s="228">
        <f>FEB!AV28</f>
        <v>0</v>
      </c>
      <c r="CT231" s="229">
        <f>FEB!AW28</f>
        <v>0</v>
      </c>
      <c r="CU231" s="230">
        <f>FEB!AX28</f>
        <v>0</v>
      </c>
      <c r="CV231" s="231">
        <f>FEB!AY28</f>
        <v>0</v>
      </c>
      <c r="CW231" s="521">
        <f>SUM(FEB!AU28:AY28)</f>
        <v>0</v>
      </c>
      <c r="CX231" s="521">
        <f>FEB!AK28</f>
        <v>0</v>
      </c>
      <c r="CY231" s="2"/>
    </row>
    <row r="232" spans="1:103" ht="14.25" hidden="1" customHeight="1" x14ac:dyDescent="0.2">
      <c r="A232" s="2"/>
      <c r="B232" s="105">
        <f t="shared" si="35"/>
        <v>45344</v>
      </c>
      <c r="C232" s="146">
        <f>IF(AND(E232&gt;(E$558-1),E232&lt;(I$558+1)),W$551,IF(ISERROR(HLOOKUP(E232,$E$551:$L$551,1,FALSE)),HLOOKUP(WEEKDAY(E232,2),IMPOSTAZIONI!$C$52:$P$57,6,FALSE),$W$550))</f>
        <v>0</v>
      </c>
      <c r="D232" s="71" t="str">
        <f t="shared" si="36"/>
        <v/>
      </c>
      <c r="E232" s="2258">
        <f t="shared" si="42"/>
        <v>45344</v>
      </c>
      <c r="F232" s="2259"/>
      <c r="G232" s="2228">
        <f>FEB!E29</f>
        <v>0</v>
      </c>
      <c r="H232" s="2229"/>
      <c r="I232" s="2230"/>
      <c r="J232" s="262" t="str">
        <f t="shared" si="25"/>
        <v/>
      </c>
      <c r="K232" s="263"/>
      <c r="L232" s="2217">
        <f t="shared" si="43"/>
        <v>8</v>
      </c>
      <c r="M232" s="2218"/>
      <c r="N232" s="261"/>
      <c r="O232" s="261"/>
      <c r="P232" s="261"/>
      <c r="Q232" s="2219">
        <f t="shared" si="38"/>
        <v>45344</v>
      </c>
      <c r="R232" s="2219"/>
      <c r="S232" s="261"/>
      <c r="T232" s="1173">
        <f t="shared" si="26"/>
        <v>0</v>
      </c>
      <c r="U232" s="261"/>
      <c r="V232" s="261"/>
      <c r="W232" s="261"/>
      <c r="X232" s="261"/>
      <c r="Y232" s="261"/>
      <c r="Z232" s="261"/>
      <c r="AA232" s="261"/>
      <c r="AB232" s="261"/>
      <c r="AC232" s="261"/>
      <c r="AD232" s="261"/>
      <c r="AE232" s="261"/>
      <c r="AF232" s="261"/>
      <c r="AG232" s="1173">
        <f t="shared" si="39"/>
        <v>0</v>
      </c>
      <c r="AH232" s="61" t="str">
        <f t="shared" si="40"/>
        <v/>
      </c>
      <c r="AI232" s="89" t="e">
        <f t="shared" si="41"/>
        <v>#N/A</v>
      </c>
      <c r="AJ232" s="2"/>
      <c r="AK232" s="61">
        <f>IF(G232=G$547,0,IF(OR(G232&lt;&gt;0,CH232&lt;&gt;0,C232="L"),COUNTIF(AK$180:AK231,"&gt;0")+1,0))</f>
        <v>0</v>
      </c>
      <c r="AL232" s="61" t="str">
        <f t="shared" si="27"/>
        <v/>
      </c>
      <c r="AM232" s="61" t="e">
        <f t="shared" si="28"/>
        <v>#N/A</v>
      </c>
      <c r="AN232" s="89" t="e">
        <f t="shared" si="29"/>
        <v>#N/A</v>
      </c>
      <c r="AO232" s="230">
        <f>SUM(FEB!X29:AD29)-BD232+AY232</f>
        <v>0</v>
      </c>
      <c r="AP232" s="228">
        <f>SUMIF(FEB!$G$121:$M$121,AP$178,FEB!$P29:$V29)+SUMIF($AZ$178:$BC$178,AP$178,$AZ232:$BC232)</f>
        <v>0</v>
      </c>
      <c r="AQ232" s="229">
        <f>SUMIF(FEB!$G$121:$M$121,AQ$178,FEB!$P29:$V29)+SUMIF($AZ$178:$BC$178,AQ$178,$AZ232:$BC232)</f>
        <v>0</v>
      </c>
      <c r="AR232" s="230">
        <f>SUMIF(FEB!$G$121:$M$121,AR$178,FEB!$P29:$V29)+SUMIF($AZ$178:$BC$178,AR$178,$AZ232:$BC232)</f>
        <v>0</v>
      </c>
      <c r="AS232" s="230">
        <f>SUMIF(FEB!$G$121:$M$121,AS$178,FEB!$P29:$V29)+SUMIF($AZ$178:$BC$178,AS$178,$AZ232:$BC232)</f>
        <v>0</v>
      </c>
      <c r="AT232" s="230">
        <f>SUMIF(FEB!$G$121:$M$121,AT$178,FEB!$P29:$V29)+SUMIF($AZ$178:$BC$178,AT$178,$AZ232:$BC232)</f>
        <v>0</v>
      </c>
      <c r="AU232" s="230">
        <f>SUMIF(FEB!$G$121:$M$121,AU$178,FEB!$P29:$V29)+SUMIF($AZ$178:$BC$178,AU$178,$AZ232:$BC232)</f>
        <v>0</v>
      </c>
      <c r="AV232" s="230">
        <f>SUMIF(FEB!$G$121:$M$121,AV$178,FEB!$P29:$V29)+SUMIF($AZ$178:$BC$178,AV$178,$AZ232:$BC232)</f>
        <v>0</v>
      </c>
      <c r="AW232" s="230">
        <f>SUMIF(FEB!$G$121:$M$121,AW$178,FEB!$P29:$V29)+SUMIF($AZ$178:$BC$178,AW$178,$AZ232:$BC232)</f>
        <v>0</v>
      </c>
      <c r="AX232" s="231">
        <f>SUMIF(FEB!$G$121:$M$121,AX$178,FEB!$P29:$V29)+SUMIF($AZ$178:$BC$178,AX$178,$AZ232:$BC232)</f>
        <v>0</v>
      </c>
      <c r="AY232" s="232">
        <f>FEB!AF29</f>
        <v>0</v>
      </c>
      <c r="AZ232" s="228">
        <f>FEB!AG29</f>
        <v>0</v>
      </c>
      <c r="BA232" s="229">
        <f>FEB!AH29</f>
        <v>0</v>
      </c>
      <c r="BB232" s="230">
        <f>FEB!AI29</f>
        <v>0</v>
      </c>
      <c r="BC232" s="231">
        <f>FEB!AJ29</f>
        <v>0</v>
      </c>
      <c r="BD232" s="228">
        <f>SUMIF(FEB!$G$120:$M$120,"&gt;0",FEB!$X29:$AD29)</f>
        <v>0</v>
      </c>
      <c r="BE232" s="696"/>
      <c r="BF232" s="228">
        <f>SUMIF(FEB!$BA$6:$BG$6,BF$177,FEB!$BA29:$BG29)</f>
        <v>0</v>
      </c>
      <c r="BG232" s="229">
        <f>SUMIF(FEB!$BA$6:$BG$6,BG$177,FEB!$BA29:$BG29)</f>
        <v>0</v>
      </c>
      <c r="BH232" s="229">
        <f>SUMIF(FEB!$BA$6:$BG$6,BH$177,FEB!$BA29:$BG29)</f>
        <v>0</v>
      </c>
      <c r="BI232" s="229">
        <f>SUMIF(FEB!$BA$6:$BG$6,BI$177,FEB!$BA29:$BG29)</f>
        <v>0</v>
      </c>
      <c r="BJ232" s="229">
        <f>SUMIF(FEB!$BA$6:$BG$6,BJ$177,FEB!$BA29:$BG29)</f>
        <v>0</v>
      </c>
      <c r="BK232" s="229">
        <f>SUMIF(FEB!$BA$6:$BG$6,BK$177,FEB!$BA29:$BG29)</f>
        <v>0</v>
      </c>
      <c r="BL232" s="229">
        <f>SUMIF(FEB!$BA$6:$BG$6,BL$177,FEB!$BA29:$BG29)</f>
        <v>0</v>
      </c>
      <c r="BM232" s="229">
        <f>SUMIF(FEB!$BA$6:$BG$6,BM$177,FEB!$BA29:$BG29)</f>
        <v>0</v>
      </c>
      <c r="BN232" s="229">
        <f>SUMIF(FEB!$BA$6:$BG$6,BN$177,FEB!$BA29:$BG29)</f>
        <v>0</v>
      </c>
      <c r="BO232" s="231">
        <f>SUMIF(FEB!$BA$6:$BG$6,BO$177,FEB!$BA29:$BG29)</f>
        <v>0</v>
      </c>
      <c r="BP232" s="231">
        <f>SUMIF(FEB!$BA$6:$BG$6,BP$177,FEB!$BA29:$BG29)</f>
        <v>0</v>
      </c>
      <c r="BQ232" s="252"/>
      <c r="BR232" s="228">
        <f>SUMIF(FEB!$BA$5:$BG$5,BR$177,FEB!$BA29:$BG29)</f>
        <v>0</v>
      </c>
      <c r="BS232" s="229">
        <f>SUMIF(FEB!$BA$5:$BG$5,BS$177,FEB!$BA29:$BG29)</f>
        <v>0</v>
      </c>
      <c r="BT232" s="229">
        <f>SUMIF(FEB!$BA$5:$BG$5,BT$177,FEB!$BA29:$BG29)</f>
        <v>0</v>
      </c>
      <c r="BU232" s="229">
        <f>SUMIF(FEB!$BA$5:$BG$5,BU$177,FEB!$BA29:$BG29)</f>
        <v>0</v>
      </c>
      <c r="BV232" s="229">
        <f>SUMIF(FEB!$BA$5:$BG$5,BV$177,FEB!$BA29:$BG29)</f>
        <v>0</v>
      </c>
      <c r="BW232" s="229">
        <f>SUMIF(FEB!$BA$5:$BG$5,BW$177,FEB!$BA29:$BG29)</f>
        <v>0</v>
      </c>
      <c r="BX232" s="230">
        <f>SUMIF(FEB!$BA$5:$BG$5,BX$177,FEB!$BA29:$BG29)</f>
        <v>0</v>
      </c>
      <c r="BY232" s="998">
        <f>SUMIF(FEB!$BA$5:$BG$5,BY$177,FEB!$BA29:$BG29)</f>
        <v>0</v>
      </c>
      <c r="CB232" s="252"/>
      <c r="CC232" s="61" t="e">
        <f t="shared" si="30"/>
        <v>#N/A</v>
      </c>
      <c r="CD232" s="61">
        <f t="shared" si="31"/>
        <v>0</v>
      </c>
      <c r="CE232" s="105" t="str">
        <f t="shared" si="44"/>
        <v/>
      </c>
      <c r="CF232" s="61" t="e">
        <f t="shared" si="33"/>
        <v>#N/A</v>
      </c>
      <c r="CG232" s="61" t="e">
        <f t="shared" si="34"/>
        <v>#N/A</v>
      </c>
      <c r="CH232" s="521">
        <f>FEB!AL29-CW232+CR232</f>
        <v>0</v>
      </c>
      <c r="CI232" s="228">
        <f>SUMIF(FEB!$G$121:$M$121,CI$178,FEB!$AM29:$AS29)+SUMIF($CS$178:$CV$178,CI$178,$CS232:$CV232)</f>
        <v>0</v>
      </c>
      <c r="CJ232" s="229">
        <f>SUMIF(FEB!$G$121:$M$121,CJ$178,FEB!$AM29:$AS29)+SUMIF($CS$178:$CV$178,CJ$178,$CS232:$CV232)</f>
        <v>0</v>
      </c>
      <c r="CK232" s="230">
        <f>SUMIF(FEB!$G$121:$M$121,CK$178,FEB!$AM29:$AS29)+SUMIF($CS$178:$CV$178,CK$178,$CS232:$CV232)</f>
        <v>0</v>
      </c>
      <c r="CL232" s="230">
        <f>SUMIF(FEB!$G$121:$M$121,CL$178,FEB!$AM29:$AS29)+SUMIF($CS$178:$CV$178,CL$178,$CS232:$CV232)</f>
        <v>0</v>
      </c>
      <c r="CM232" s="230">
        <f>SUMIF(FEB!$G$121:$M$121,CM$178,FEB!$AM29:$AS29)+SUMIF($CS$178:$CV$178,CM$178,$CS232:$CV232)</f>
        <v>0</v>
      </c>
      <c r="CN232" s="230">
        <f>SUMIF(FEB!$G$121:$M$121,CN$178,FEB!$AM29:$AS29)+SUMIF($CS$178:$CV$178,CN$178,$CS232:$CV232)</f>
        <v>0</v>
      </c>
      <c r="CO232" s="230">
        <f>SUMIF(FEB!$G$121:$M$121,CO$178,FEB!$AM29:$AS29)+SUMIF($CS$178:$CV$178,CO$178,$CS232:$CV232)</f>
        <v>0</v>
      </c>
      <c r="CP232" s="230">
        <f>SUMIF(FEB!$G$121:$M$121,CP$178,FEB!$AM29:$AS29)+SUMIF($CS$178:$CV$178,CP$178,$CS232:$CV232)</f>
        <v>0</v>
      </c>
      <c r="CQ232" s="231">
        <f>SUMIF(FEB!$G$121:$M$121,CQ$178,FEB!$AM29:$AS29)+SUMIF($CS$178:$CV$178,CQ$178,$CS232:$CV232)</f>
        <v>0</v>
      </c>
      <c r="CR232" s="521">
        <f>FEB!AU29</f>
        <v>0</v>
      </c>
      <c r="CS232" s="228">
        <f>FEB!AV29</f>
        <v>0</v>
      </c>
      <c r="CT232" s="229">
        <f>FEB!AW29</f>
        <v>0</v>
      </c>
      <c r="CU232" s="230">
        <f>FEB!AX29</f>
        <v>0</v>
      </c>
      <c r="CV232" s="231">
        <f>FEB!AY29</f>
        <v>0</v>
      </c>
      <c r="CW232" s="521">
        <f>SUM(FEB!AU29:AY29)</f>
        <v>0</v>
      </c>
      <c r="CX232" s="521">
        <f>FEB!AK29</f>
        <v>0</v>
      </c>
      <c r="CY232" s="2"/>
    </row>
    <row r="233" spans="1:103" ht="14.25" hidden="1" customHeight="1" x14ac:dyDescent="0.2">
      <c r="A233" s="2"/>
      <c r="B233" s="105">
        <f t="shared" si="35"/>
        <v>45345</v>
      </c>
      <c r="C233" s="146">
        <f>IF(AND(E233&gt;(E$558-1),E233&lt;(I$558+1)),W$551,IF(ISERROR(HLOOKUP(E233,$E$551:$L$551,1,FALSE)),HLOOKUP(WEEKDAY(E233,2),IMPOSTAZIONI!$C$52:$P$57,6,FALSE),$W$550))</f>
        <v>0</v>
      </c>
      <c r="D233" s="71" t="str">
        <f t="shared" si="36"/>
        <v/>
      </c>
      <c r="E233" s="2258">
        <f t="shared" si="42"/>
        <v>45345</v>
      </c>
      <c r="F233" s="2259"/>
      <c r="G233" s="2228">
        <f>FEB!E30</f>
        <v>0</v>
      </c>
      <c r="H233" s="2229"/>
      <c r="I233" s="2230"/>
      <c r="J233" s="262" t="str">
        <f t="shared" si="25"/>
        <v/>
      </c>
      <c r="K233" s="263"/>
      <c r="L233" s="2217">
        <f t="shared" si="43"/>
        <v>8</v>
      </c>
      <c r="M233" s="2218"/>
      <c r="N233" s="261"/>
      <c r="O233" s="261"/>
      <c r="P233" s="261"/>
      <c r="Q233" s="2219">
        <f t="shared" si="38"/>
        <v>45345</v>
      </c>
      <c r="R233" s="2219"/>
      <c r="S233" s="261"/>
      <c r="T233" s="1173">
        <f t="shared" si="26"/>
        <v>0</v>
      </c>
      <c r="U233" s="261"/>
      <c r="V233" s="261"/>
      <c r="W233" s="261"/>
      <c r="X233" s="261"/>
      <c r="Y233" s="261"/>
      <c r="Z233" s="261"/>
      <c r="AA233" s="261"/>
      <c r="AB233" s="261"/>
      <c r="AC233" s="261"/>
      <c r="AD233" s="261"/>
      <c r="AE233" s="261"/>
      <c r="AF233" s="261"/>
      <c r="AG233" s="1173">
        <f t="shared" si="39"/>
        <v>0</v>
      </c>
      <c r="AH233" s="61" t="str">
        <f t="shared" si="40"/>
        <v/>
      </c>
      <c r="AI233" s="89" t="e">
        <f t="shared" si="41"/>
        <v>#N/A</v>
      </c>
      <c r="AJ233" s="2"/>
      <c r="AK233" s="61">
        <f>IF(G233=G$547,0,IF(OR(G233&lt;&gt;0,CH233&lt;&gt;0,C233="L"),COUNTIF(AK$180:AK232,"&gt;0")+1,0))</f>
        <v>0</v>
      </c>
      <c r="AL233" s="61" t="str">
        <f t="shared" si="27"/>
        <v/>
      </c>
      <c r="AM233" s="61" t="e">
        <f t="shared" si="28"/>
        <v>#N/A</v>
      </c>
      <c r="AN233" s="89" t="e">
        <f t="shared" si="29"/>
        <v>#N/A</v>
      </c>
      <c r="AO233" s="230">
        <f>SUM(FEB!X30:AD30)-BD233+AY233</f>
        <v>0</v>
      </c>
      <c r="AP233" s="228">
        <f>SUMIF(FEB!$G$121:$M$121,AP$178,FEB!$P30:$V30)+SUMIF($AZ$178:$BC$178,AP$178,$AZ233:$BC233)</f>
        <v>0</v>
      </c>
      <c r="AQ233" s="229">
        <f>SUMIF(FEB!$G$121:$M$121,AQ$178,FEB!$P30:$V30)+SUMIF($AZ$178:$BC$178,AQ$178,$AZ233:$BC233)</f>
        <v>0</v>
      </c>
      <c r="AR233" s="230">
        <f>SUMIF(FEB!$G$121:$M$121,AR$178,FEB!$P30:$V30)+SUMIF($AZ$178:$BC$178,AR$178,$AZ233:$BC233)</f>
        <v>0</v>
      </c>
      <c r="AS233" s="230">
        <f>SUMIF(FEB!$G$121:$M$121,AS$178,FEB!$P30:$V30)+SUMIF($AZ$178:$BC$178,AS$178,$AZ233:$BC233)</f>
        <v>0</v>
      </c>
      <c r="AT233" s="230">
        <f>SUMIF(FEB!$G$121:$M$121,AT$178,FEB!$P30:$V30)+SUMIF($AZ$178:$BC$178,AT$178,$AZ233:$BC233)</f>
        <v>0</v>
      </c>
      <c r="AU233" s="230">
        <f>SUMIF(FEB!$G$121:$M$121,AU$178,FEB!$P30:$V30)+SUMIF($AZ$178:$BC$178,AU$178,$AZ233:$BC233)</f>
        <v>0</v>
      </c>
      <c r="AV233" s="230">
        <f>SUMIF(FEB!$G$121:$M$121,AV$178,FEB!$P30:$V30)+SUMIF($AZ$178:$BC$178,AV$178,$AZ233:$BC233)</f>
        <v>0</v>
      </c>
      <c r="AW233" s="230">
        <f>SUMIF(FEB!$G$121:$M$121,AW$178,FEB!$P30:$V30)+SUMIF($AZ$178:$BC$178,AW$178,$AZ233:$BC233)</f>
        <v>0</v>
      </c>
      <c r="AX233" s="231">
        <f>SUMIF(FEB!$G$121:$M$121,AX$178,FEB!$P30:$V30)+SUMIF($AZ$178:$BC$178,AX$178,$AZ233:$BC233)</f>
        <v>0</v>
      </c>
      <c r="AY233" s="232">
        <f>FEB!AF30</f>
        <v>0</v>
      </c>
      <c r="AZ233" s="228">
        <f>FEB!AG30</f>
        <v>0</v>
      </c>
      <c r="BA233" s="229">
        <f>FEB!AH30</f>
        <v>0</v>
      </c>
      <c r="BB233" s="230">
        <f>FEB!AI30</f>
        <v>0</v>
      </c>
      <c r="BC233" s="231">
        <f>FEB!AJ30</f>
        <v>0</v>
      </c>
      <c r="BD233" s="228">
        <f>SUMIF(FEB!$G$120:$M$120,"&gt;0",FEB!$X30:$AD30)</f>
        <v>0</v>
      </c>
      <c r="BE233" s="696"/>
      <c r="BF233" s="228">
        <f>SUMIF(FEB!$BA$6:$BG$6,BF$177,FEB!$BA30:$BG30)</f>
        <v>0</v>
      </c>
      <c r="BG233" s="229">
        <f>SUMIF(FEB!$BA$6:$BG$6,BG$177,FEB!$BA30:$BG30)</f>
        <v>0</v>
      </c>
      <c r="BH233" s="229">
        <f>SUMIF(FEB!$BA$6:$BG$6,BH$177,FEB!$BA30:$BG30)</f>
        <v>0</v>
      </c>
      <c r="BI233" s="229">
        <f>SUMIF(FEB!$BA$6:$BG$6,BI$177,FEB!$BA30:$BG30)</f>
        <v>0</v>
      </c>
      <c r="BJ233" s="229">
        <f>SUMIF(FEB!$BA$6:$BG$6,BJ$177,FEB!$BA30:$BG30)</f>
        <v>0</v>
      </c>
      <c r="BK233" s="229">
        <f>SUMIF(FEB!$BA$6:$BG$6,BK$177,FEB!$BA30:$BG30)</f>
        <v>0</v>
      </c>
      <c r="BL233" s="229">
        <f>SUMIF(FEB!$BA$6:$BG$6,BL$177,FEB!$BA30:$BG30)</f>
        <v>0</v>
      </c>
      <c r="BM233" s="229">
        <f>SUMIF(FEB!$BA$6:$BG$6,BM$177,FEB!$BA30:$BG30)</f>
        <v>0</v>
      </c>
      <c r="BN233" s="229">
        <f>SUMIF(FEB!$BA$6:$BG$6,BN$177,FEB!$BA30:$BG30)</f>
        <v>0</v>
      </c>
      <c r="BO233" s="231">
        <f>SUMIF(FEB!$BA$6:$BG$6,BO$177,FEB!$BA30:$BG30)</f>
        <v>0</v>
      </c>
      <c r="BP233" s="231">
        <f>SUMIF(FEB!$BA$6:$BG$6,BP$177,FEB!$BA30:$BG30)</f>
        <v>0</v>
      </c>
      <c r="BQ233" s="252"/>
      <c r="BR233" s="228">
        <f>SUMIF(FEB!$BA$5:$BG$5,BR$177,FEB!$BA30:$BG30)</f>
        <v>0</v>
      </c>
      <c r="BS233" s="229">
        <f>SUMIF(FEB!$BA$5:$BG$5,BS$177,FEB!$BA30:$BG30)</f>
        <v>0</v>
      </c>
      <c r="BT233" s="229">
        <f>SUMIF(FEB!$BA$5:$BG$5,BT$177,FEB!$BA30:$BG30)</f>
        <v>0</v>
      </c>
      <c r="BU233" s="229">
        <f>SUMIF(FEB!$BA$5:$BG$5,BU$177,FEB!$BA30:$BG30)</f>
        <v>0</v>
      </c>
      <c r="BV233" s="229">
        <f>SUMIF(FEB!$BA$5:$BG$5,BV$177,FEB!$BA30:$BG30)</f>
        <v>0</v>
      </c>
      <c r="BW233" s="229">
        <f>SUMIF(FEB!$BA$5:$BG$5,BW$177,FEB!$BA30:$BG30)</f>
        <v>0</v>
      </c>
      <c r="BX233" s="230">
        <f>SUMIF(FEB!$BA$5:$BG$5,BX$177,FEB!$BA30:$BG30)</f>
        <v>0</v>
      </c>
      <c r="BY233" s="998">
        <f>SUMIF(FEB!$BA$5:$BG$5,BY$177,FEB!$BA30:$BG30)</f>
        <v>0</v>
      </c>
      <c r="CB233" s="252"/>
      <c r="CC233" s="61" t="e">
        <f t="shared" si="30"/>
        <v>#N/A</v>
      </c>
      <c r="CD233" s="61">
        <f t="shared" si="31"/>
        <v>0</v>
      </c>
      <c r="CE233" s="105" t="str">
        <f t="shared" si="44"/>
        <v/>
      </c>
      <c r="CF233" s="61" t="e">
        <f t="shared" si="33"/>
        <v>#N/A</v>
      </c>
      <c r="CG233" s="61" t="e">
        <f t="shared" si="34"/>
        <v>#N/A</v>
      </c>
      <c r="CH233" s="521">
        <f>FEB!AL30-CW233+CR233</f>
        <v>0</v>
      </c>
      <c r="CI233" s="228">
        <f>SUMIF(FEB!$G$121:$M$121,CI$178,FEB!$AM30:$AS30)+SUMIF($CS$178:$CV$178,CI$178,$CS233:$CV233)</f>
        <v>0</v>
      </c>
      <c r="CJ233" s="229">
        <f>SUMIF(FEB!$G$121:$M$121,CJ$178,FEB!$AM30:$AS30)+SUMIF($CS$178:$CV$178,CJ$178,$CS233:$CV233)</f>
        <v>0</v>
      </c>
      <c r="CK233" s="230">
        <f>SUMIF(FEB!$G$121:$M$121,CK$178,FEB!$AM30:$AS30)+SUMIF($CS$178:$CV$178,CK$178,$CS233:$CV233)</f>
        <v>0</v>
      </c>
      <c r="CL233" s="230">
        <f>SUMIF(FEB!$G$121:$M$121,CL$178,FEB!$AM30:$AS30)+SUMIF($CS$178:$CV$178,CL$178,$CS233:$CV233)</f>
        <v>0</v>
      </c>
      <c r="CM233" s="230">
        <f>SUMIF(FEB!$G$121:$M$121,CM$178,FEB!$AM30:$AS30)+SUMIF($CS$178:$CV$178,CM$178,$CS233:$CV233)</f>
        <v>0</v>
      </c>
      <c r="CN233" s="230">
        <f>SUMIF(FEB!$G$121:$M$121,CN$178,FEB!$AM30:$AS30)+SUMIF($CS$178:$CV$178,CN$178,$CS233:$CV233)</f>
        <v>0</v>
      </c>
      <c r="CO233" s="230">
        <f>SUMIF(FEB!$G$121:$M$121,CO$178,FEB!$AM30:$AS30)+SUMIF($CS$178:$CV$178,CO$178,$CS233:$CV233)</f>
        <v>0</v>
      </c>
      <c r="CP233" s="230">
        <f>SUMIF(FEB!$G$121:$M$121,CP$178,FEB!$AM30:$AS30)+SUMIF($CS$178:$CV$178,CP$178,$CS233:$CV233)</f>
        <v>0</v>
      </c>
      <c r="CQ233" s="231">
        <f>SUMIF(FEB!$G$121:$M$121,CQ$178,FEB!$AM30:$AS30)+SUMIF($CS$178:$CV$178,CQ$178,$CS233:$CV233)</f>
        <v>0</v>
      </c>
      <c r="CR233" s="521">
        <f>FEB!AU30</f>
        <v>0</v>
      </c>
      <c r="CS233" s="228">
        <f>FEB!AV30</f>
        <v>0</v>
      </c>
      <c r="CT233" s="229">
        <f>FEB!AW30</f>
        <v>0</v>
      </c>
      <c r="CU233" s="230">
        <f>FEB!AX30</f>
        <v>0</v>
      </c>
      <c r="CV233" s="231">
        <f>FEB!AY30</f>
        <v>0</v>
      </c>
      <c r="CW233" s="521">
        <f>SUM(FEB!AU30:AY30)</f>
        <v>0</v>
      </c>
      <c r="CX233" s="521">
        <f>FEB!AK30</f>
        <v>0</v>
      </c>
      <c r="CY233" s="2"/>
    </row>
    <row r="234" spans="1:103" ht="14.25" hidden="1" customHeight="1" x14ac:dyDescent="0.2">
      <c r="A234" s="2"/>
      <c r="B234" s="105">
        <f t="shared" si="35"/>
        <v>45346</v>
      </c>
      <c r="C234" s="146">
        <f>IF(AND(E234&gt;(E$558-1),E234&lt;(I$558+1)),W$551,IF(ISERROR(HLOOKUP(E234,$E$551:$L$551,1,FALSE)),HLOOKUP(WEEKDAY(E234,2),IMPOSTAZIONI!$C$52:$P$57,6,FALSE),$W$550))</f>
        <v>0</v>
      </c>
      <c r="D234" s="71" t="str">
        <f t="shared" si="36"/>
        <v/>
      </c>
      <c r="E234" s="2258">
        <f t="shared" si="42"/>
        <v>45346</v>
      </c>
      <c r="F234" s="2259"/>
      <c r="G234" s="2228">
        <f>FEB!E31</f>
        <v>0</v>
      </c>
      <c r="H234" s="2229"/>
      <c r="I234" s="2230"/>
      <c r="J234" s="262" t="str">
        <f t="shared" si="25"/>
        <v/>
      </c>
      <c r="K234" s="263"/>
      <c r="L234" s="2217">
        <f t="shared" si="43"/>
        <v>8</v>
      </c>
      <c r="M234" s="2218"/>
      <c r="N234" s="261"/>
      <c r="O234" s="261"/>
      <c r="P234" s="261"/>
      <c r="Q234" s="2219">
        <f t="shared" si="38"/>
        <v>45346</v>
      </c>
      <c r="R234" s="2219"/>
      <c r="S234" s="261"/>
      <c r="T234" s="1173">
        <f t="shared" si="26"/>
        <v>0</v>
      </c>
      <c r="U234" s="261"/>
      <c r="V234" s="261"/>
      <c r="W234" s="261"/>
      <c r="X234" s="261"/>
      <c r="Y234" s="261"/>
      <c r="Z234" s="261"/>
      <c r="AA234" s="261"/>
      <c r="AB234" s="261"/>
      <c r="AC234" s="261"/>
      <c r="AD234" s="261"/>
      <c r="AE234" s="261"/>
      <c r="AF234" s="261"/>
      <c r="AG234" s="1173">
        <f t="shared" si="39"/>
        <v>0</v>
      </c>
      <c r="AH234" s="61" t="str">
        <f t="shared" si="40"/>
        <v/>
      </c>
      <c r="AI234" s="89" t="e">
        <f t="shared" si="41"/>
        <v>#N/A</v>
      </c>
      <c r="AJ234" s="2"/>
      <c r="AK234" s="61">
        <f>IF(G234=G$547,0,IF(OR(G234&lt;&gt;0,CH234&lt;&gt;0,C234="L"),COUNTIF(AK$180:AK233,"&gt;0")+1,0))</f>
        <v>0</v>
      </c>
      <c r="AL234" s="61" t="str">
        <f t="shared" si="27"/>
        <v/>
      </c>
      <c r="AM234" s="61" t="e">
        <f t="shared" si="28"/>
        <v>#N/A</v>
      </c>
      <c r="AN234" s="89" t="e">
        <f t="shared" si="29"/>
        <v>#N/A</v>
      </c>
      <c r="AO234" s="230">
        <f>SUM(FEB!X31:AD31)-BD234+AY234</f>
        <v>0</v>
      </c>
      <c r="AP234" s="228">
        <f>SUMIF(FEB!$G$121:$M$121,AP$178,FEB!$P31:$V31)+SUMIF($AZ$178:$BC$178,AP$178,$AZ234:$BC234)</f>
        <v>0</v>
      </c>
      <c r="AQ234" s="229">
        <f>SUMIF(FEB!$G$121:$M$121,AQ$178,FEB!$P31:$V31)+SUMIF($AZ$178:$BC$178,AQ$178,$AZ234:$BC234)</f>
        <v>0</v>
      </c>
      <c r="AR234" s="230">
        <f>SUMIF(FEB!$G$121:$M$121,AR$178,FEB!$P31:$V31)+SUMIF($AZ$178:$BC$178,AR$178,$AZ234:$BC234)</f>
        <v>0</v>
      </c>
      <c r="AS234" s="230">
        <f>SUMIF(FEB!$G$121:$M$121,AS$178,FEB!$P31:$V31)+SUMIF($AZ$178:$BC$178,AS$178,$AZ234:$BC234)</f>
        <v>0</v>
      </c>
      <c r="AT234" s="230">
        <f>SUMIF(FEB!$G$121:$M$121,AT$178,FEB!$P31:$V31)+SUMIF($AZ$178:$BC$178,AT$178,$AZ234:$BC234)</f>
        <v>0</v>
      </c>
      <c r="AU234" s="230">
        <f>SUMIF(FEB!$G$121:$M$121,AU$178,FEB!$P31:$V31)+SUMIF($AZ$178:$BC$178,AU$178,$AZ234:$BC234)</f>
        <v>0</v>
      </c>
      <c r="AV234" s="230">
        <f>SUMIF(FEB!$G$121:$M$121,AV$178,FEB!$P31:$V31)+SUMIF($AZ$178:$BC$178,AV$178,$AZ234:$BC234)</f>
        <v>0</v>
      </c>
      <c r="AW234" s="230">
        <f>SUMIF(FEB!$G$121:$M$121,AW$178,FEB!$P31:$V31)+SUMIF($AZ$178:$BC$178,AW$178,$AZ234:$BC234)</f>
        <v>0</v>
      </c>
      <c r="AX234" s="231">
        <f>SUMIF(FEB!$G$121:$M$121,AX$178,FEB!$P31:$V31)+SUMIF($AZ$178:$BC$178,AX$178,$AZ234:$BC234)</f>
        <v>0</v>
      </c>
      <c r="AY234" s="232">
        <f>FEB!AF31</f>
        <v>0</v>
      </c>
      <c r="AZ234" s="228">
        <f>FEB!AG31</f>
        <v>0</v>
      </c>
      <c r="BA234" s="229">
        <f>FEB!AH31</f>
        <v>0</v>
      </c>
      <c r="BB234" s="230">
        <f>FEB!AI31</f>
        <v>0</v>
      </c>
      <c r="BC234" s="231">
        <f>FEB!AJ31</f>
        <v>0</v>
      </c>
      <c r="BD234" s="228">
        <f>SUMIF(FEB!$G$120:$M$120,"&gt;0",FEB!$X31:$AD31)</f>
        <v>0</v>
      </c>
      <c r="BE234" s="696"/>
      <c r="BF234" s="228">
        <f>SUMIF(FEB!$BA$6:$BG$6,BF$177,FEB!$BA31:$BG31)</f>
        <v>0</v>
      </c>
      <c r="BG234" s="229">
        <f>SUMIF(FEB!$BA$6:$BG$6,BG$177,FEB!$BA31:$BG31)</f>
        <v>0</v>
      </c>
      <c r="BH234" s="229">
        <f>SUMIF(FEB!$BA$6:$BG$6,BH$177,FEB!$BA31:$BG31)</f>
        <v>0</v>
      </c>
      <c r="BI234" s="229">
        <f>SUMIF(FEB!$BA$6:$BG$6,BI$177,FEB!$BA31:$BG31)</f>
        <v>0</v>
      </c>
      <c r="BJ234" s="229">
        <f>SUMIF(FEB!$BA$6:$BG$6,BJ$177,FEB!$BA31:$BG31)</f>
        <v>0</v>
      </c>
      <c r="BK234" s="229">
        <f>SUMIF(FEB!$BA$6:$BG$6,BK$177,FEB!$BA31:$BG31)</f>
        <v>0</v>
      </c>
      <c r="BL234" s="229">
        <f>SUMIF(FEB!$BA$6:$BG$6,BL$177,FEB!$BA31:$BG31)</f>
        <v>0</v>
      </c>
      <c r="BM234" s="229">
        <f>SUMIF(FEB!$BA$6:$BG$6,BM$177,FEB!$BA31:$BG31)</f>
        <v>0</v>
      </c>
      <c r="BN234" s="229">
        <f>SUMIF(FEB!$BA$6:$BG$6,BN$177,FEB!$BA31:$BG31)</f>
        <v>0</v>
      </c>
      <c r="BO234" s="231">
        <f>SUMIF(FEB!$BA$6:$BG$6,BO$177,FEB!$BA31:$BG31)</f>
        <v>0</v>
      </c>
      <c r="BP234" s="231">
        <f>SUMIF(FEB!$BA$6:$BG$6,BP$177,FEB!$BA31:$BG31)</f>
        <v>0</v>
      </c>
      <c r="BQ234" s="252"/>
      <c r="BR234" s="228">
        <f>SUMIF(FEB!$BA$5:$BG$5,BR$177,FEB!$BA31:$BG31)</f>
        <v>0</v>
      </c>
      <c r="BS234" s="229">
        <f>SUMIF(FEB!$BA$5:$BG$5,BS$177,FEB!$BA31:$BG31)</f>
        <v>0</v>
      </c>
      <c r="BT234" s="229">
        <f>SUMIF(FEB!$BA$5:$BG$5,BT$177,FEB!$BA31:$BG31)</f>
        <v>0</v>
      </c>
      <c r="BU234" s="229">
        <f>SUMIF(FEB!$BA$5:$BG$5,BU$177,FEB!$BA31:$BG31)</f>
        <v>0</v>
      </c>
      <c r="BV234" s="229">
        <f>SUMIF(FEB!$BA$5:$BG$5,BV$177,FEB!$BA31:$BG31)</f>
        <v>0</v>
      </c>
      <c r="BW234" s="229">
        <f>SUMIF(FEB!$BA$5:$BG$5,BW$177,FEB!$BA31:$BG31)</f>
        <v>0</v>
      </c>
      <c r="BX234" s="230">
        <f>SUMIF(FEB!$BA$5:$BG$5,BX$177,FEB!$BA31:$BG31)</f>
        <v>0</v>
      </c>
      <c r="BY234" s="998">
        <f>SUMIF(FEB!$BA$5:$BG$5,BY$177,FEB!$BA31:$BG31)</f>
        <v>0</v>
      </c>
      <c r="CB234" s="252"/>
      <c r="CC234" s="61" t="e">
        <f t="shared" si="30"/>
        <v>#N/A</v>
      </c>
      <c r="CD234" s="61">
        <f t="shared" si="31"/>
        <v>0</v>
      </c>
      <c r="CE234" s="105" t="str">
        <f t="shared" si="44"/>
        <v/>
      </c>
      <c r="CF234" s="61" t="e">
        <f t="shared" si="33"/>
        <v>#N/A</v>
      </c>
      <c r="CG234" s="61" t="e">
        <f t="shared" si="34"/>
        <v>#N/A</v>
      </c>
      <c r="CH234" s="521">
        <f>FEB!AL31-CW234+CR234</f>
        <v>0</v>
      </c>
      <c r="CI234" s="228">
        <f>SUMIF(FEB!$G$121:$M$121,CI$178,FEB!$AM31:$AS31)+SUMIF($CS$178:$CV$178,CI$178,$CS234:$CV234)</f>
        <v>0</v>
      </c>
      <c r="CJ234" s="229">
        <f>SUMIF(FEB!$G$121:$M$121,CJ$178,FEB!$AM31:$AS31)+SUMIF($CS$178:$CV$178,CJ$178,$CS234:$CV234)</f>
        <v>0</v>
      </c>
      <c r="CK234" s="230">
        <f>SUMIF(FEB!$G$121:$M$121,CK$178,FEB!$AM31:$AS31)+SUMIF($CS$178:$CV$178,CK$178,$CS234:$CV234)</f>
        <v>0</v>
      </c>
      <c r="CL234" s="230">
        <f>SUMIF(FEB!$G$121:$M$121,CL$178,FEB!$AM31:$AS31)+SUMIF($CS$178:$CV$178,CL$178,$CS234:$CV234)</f>
        <v>0</v>
      </c>
      <c r="CM234" s="230">
        <f>SUMIF(FEB!$G$121:$M$121,CM$178,FEB!$AM31:$AS31)+SUMIF($CS$178:$CV$178,CM$178,$CS234:$CV234)</f>
        <v>0</v>
      </c>
      <c r="CN234" s="230">
        <f>SUMIF(FEB!$G$121:$M$121,CN$178,FEB!$AM31:$AS31)+SUMIF($CS$178:$CV$178,CN$178,$CS234:$CV234)</f>
        <v>0</v>
      </c>
      <c r="CO234" s="230">
        <f>SUMIF(FEB!$G$121:$M$121,CO$178,FEB!$AM31:$AS31)+SUMIF($CS$178:$CV$178,CO$178,$CS234:$CV234)</f>
        <v>0</v>
      </c>
      <c r="CP234" s="230">
        <f>SUMIF(FEB!$G$121:$M$121,CP$178,FEB!$AM31:$AS31)+SUMIF($CS$178:$CV$178,CP$178,$CS234:$CV234)</f>
        <v>0</v>
      </c>
      <c r="CQ234" s="231">
        <f>SUMIF(FEB!$G$121:$M$121,CQ$178,FEB!$AM31:$AS31)+SUMIF($CS$178:$CV$178,CQ$178,$CS234:$CV234)</f>
        <v>0</v>
      </c>
      <c r="CR234" s="521">
        <f>FEB!AU31</f>
        <v>0</v>
      </c>
      <c r="CS234" s="228">
        <f>FEB!AV31</f>
        <v>0</v>
      </c>
      <c r="CT234" s="229">
        <f>FEB!AW31</f>
        <v>0</v>
      </c>
      <c r="CU234" s="230">
        <f>FEB!AX31</f>
        <v>0</v>
      </c>
      <c r="CV234" s="231">
        <f>FEB!AY31</f>
        <v>0</v>
      </c>
      <c r="CW234" s="521">
        <f>SUM(FEB!AU31:AY31)</f>
        <v>0</v>
      </c>
      <c r="CX234" s="521">
        <f>FEB!AK31</f>
        <v>0</v>
      </c>
      <c r="CY234" s="2"/>
    </row>
    <row r="235" spans="1:103" ht="14.25" hidden="1" customHeight="1" x14ac:dyDescent="0.2">
      <c r="A235" s="2"/>
      <c r="B235" s="105">
        <f t="shared" si="35"/>
        <v>45347</v>
      </c>
      <c r="C235" s="146">
        <f>IF(AND(E235&gt;(E$558-1),E235&lt;(I$558+1)),W$551,IF(ISERROR(HLOOKUP(E235,$E$551:$L$551,1,FALSE)),HLOOKUP(WEEKDAY(E235,2),IMPOSTAZIONI!$C$52:$P$57,6,FALSE),$W$550))</f>
        <v>0</v>
      </c>
      <c r="D235" s="71" t="str">
        <f t="shared" si="36"/>
        <v/>
      </c>
      <c r="E235" s="2258">
        <f t="shared" si="42"/>
        <v>45347</v>
      </c>
      <c r="F235" s="2259"/>
      <c r="G235" s="2228">
        <f>FEB!E32</f>
        <v>0</v>
      </c>
      <c r="H235" s="2229"/>
      <c r="I235" s="2230"/>
      <c r="J235" s="262" t="str">
        <f t="shared" si="25"/>
        <v/>
      </c>
      <c r="K235" s="263"/>
      <c r="L235" s="2220">
        <f t="shared" si="43"/>
        <v>8</v>
      </c>
      <c r="M235" s="2221"/>
      <c r="N235" s="261"/>
      <c r="O235" s="261"/>
      <c r="P235" s="261"/>
      <c r="Q235" s="2219">
        <f t="shared" si="38"/>
        <v>45347</v>
      </c>
      <c r="R235" s="2219"/>
      <c r="S235" s="261"/>
      <c r="T235" s="1173">
        <f t="shared" si="26"/>
        <v>0</v>
      </c>
      <c r="U235" s="261"/>
      <c r="V235" s="261"/>
      <c r="W235" s="261"/>
      <c r="X235" s="261"/>
      <c r="Y235" s="261"/>
      <c r="Z235" s="261"/>
      <c r="AA235" s="261"/>
      <c r="AB235" s="261"/>
      <c r="AC235" s="261"/>
      <c r="AD235" s="261"/>
      <c r="AE235" s="261"/>
      <c r="AF235" s="261"/>
      <c r="AG235" s="1173">
        <f t="shared" si="39"/>
        <v>0</v>
      </c>
      <c r="AH235" s="61" t="str">
        <f t="shared" si="40"/>
        <v/>
      </c>
      <c r="AI235" s="89" t="e">
        <f t="shared" si="41"/>
        <v>#N/A</v>
      </c>
      <c r="AJ235" s="2"/>
      <c r="AK235" s="61">
        <f>IF(G235=G$547,0,IF(OR(G235&lt;&gt;0,CH235&lt;&gt;0,C235="L"),COUNTIF(AK$180:AK234,"&gt;0")+1,0))</f>
        <v>0</v>
      </c>
      <c r="AL235" s="61" t="str">
        <f t="shared" si="27"/>
        <v/>
      </c>
      <c r="AM235" s="61" t="e">
        <f t="shared" si="28"/>
        <v>#N/A</v>
      </c>
      <c r="AN235" s="89" t="e">
        <f t="shared" si="29"/>
        <v>#N/A</v>
      </c>
      <c r="AO235" s="230">
        <f>SUM(FEB!X32:AD32)-BD235+AY235</f>
        <v>0</v>
      </c>
      <c r="AP235" s="228">
        <f>SUMIF(FEB!$G$121:$M$121,AP$178,FEB!$P32:$V32)+SUMIF($AZ$178:$BC$178,AP$178,$AZ235:$BC235)</f>
        <v>0</v>
      </c>
      <c r="AQ235" s="229">
        <f>SUMIF(FEB!$G$121:$M$121,AQ$178,FEB!$P32:$V32)+SUMIF($AZ$178:$BC$178,AQ$178,$AZ235:$BC235)</f>
        <v>0</v>
      </c>
      <c r="AR235" s="230">
        <f>SUMIF(FEB!$G$121:$M$121,AR$178,FEB!$P32:$V32)+SUMIF($AZ$178:$BC$178,AR$178,$AZ235:$BC235)</f>
        <v>0</v>
      </c>
      <c r="AS235" s="230">
        <f>SUMIF(FEB!$G$121:$M$121,AS$178,FEB!$P32:$V32)+SUMIF($AZ$178:$BC$178,AS$178,$AZ235:$BC235)</f>
        <v>0</v>
      </c>
      <c r="AT235" s="230">
        <f>SUMIF(FEB!$G$121:$M$121,AT$178,FEB!$P32:$V32)+SUMIF($AZ$178:$BC$178,AT$178,$AZ235:$BC235)</f>
        <v>0</v>
      </c>
      <c r="AU235" s="230">
        <f>SUMIF(FEB!$G$121:$M$121,AU$178,FEB!$P32:$V32)+SUMIF($AZ$178:$BC$178,AU$178,$AZ235:$BC235)</f>
        <v>0</v>
      </c>
      <c r="AV235" s="230">
        <f>SUMIF(FEB!$G$121:$M$121,AV$178,FEB!$P32:$V32)+SUMIF($AZ$178:$BC$178,AV$178,$AZ235:$BC235)</f>
        <v>0</v>
      </c>
      <c r="AW235" s="230">
        <f>SUMIF(FEB!$G$121:$M$121,AW$178,FEB!$P32:$V32)+SUMIF($AZ$178:$BC$178,AW$178,$AZ235:$BC235)</f>
        <v>0</v>
      </c>
      <c r="AX235" s="231">
        <f>SUMIF(FEB!$G$121:$M$121,AX$178,FEB!$P32:$V32)+SUMIF($AZ$178:$BC$178,AX$178,$AZ235:$BC235)</f>
        <v>0</v>
      </c>
      <c r="AY235" s="232">
        <f>FEB!AF32</f>
        <v>0</v>
      </c>
      <c r="AZ235" s="228">
        <f>FEB!AG32</f>
        <v>0</v>
      </c>
      <c r="BA235" s="229">
        <f>FEB!AH32</f>
        <v>0</v>
      </c>
      <c r="BB235" s="230">
        <f>FEB!AI32</f>
        <v>0</v>
      </c>
      <c r="BC235" s="231">
        <f>FEB!AJ32</f>
        <v>0</v>
      </c>
      <c r="BD235" s="228">
        <f>SUMIF(FEB!$G$120:$M$120,"&gt;0",FEB!$X32:$AD32)</f>
        <v>0</v>
      </c>
      <c r="BE235" s="696"/>
      <c r="BF235" s="228">
        <f>SUMIF(FEB!$BA$6:$BG$6,BF$177,FEB!$BA32:$BG32)</f>
        <v>0</v>
      </c>
      <c r="BG235" s="229">
        <f>SUMIF(FEB!$BA$6:$BG$6,BG$177,FEB!$BA32:$BG32)</f>
        <v>0</v>
      </c>
      <c r="BH235" s="229">
        <f>SUMIF(FEB!$BA$6:$BG$6,BH$177,FEB!$BA32:$BG32)</f>
        <v>0</v>
      </c>
      <c r="BI235" s="229">
        <f>SUMIF(FEB!$BA$6:$BG$6,BI$177,FEB!$BA32:$BG32)</f>
        <v>0</v>
      </c>
      <c r="BJ235" s="229">
        <f>SUMIF(FEB!$BA$6:$BG$6,BJ$177,FEB!$BA32:$BG32)</f>
        <v>0</v>
      </c>
      <c r="BK235" s="229">
        <f>SUMIF(FEB!$BA$6:$BG$6,BK$177,FEB!$BA32:$BG32)</f>
        <v>0</v>
      </c>
      <c r="BL235" s="229">
        <f>SUMIF(FEB!$BA$6:$BG$6,BL$177,FEB!$BA32:$BG32)</f>
        <v>0</v>
      </c>
      <c r="BM235" s="229">
        <f>SUMIF(FEB!$BA$6:$BG$6,BM$177,FEB!$BA32:$BG32)</f>
        <v>0</v>
      </c>
      <c r="BN235" s="229">
        <f>SUMIF(FEB!$BA$6:$BG$6,BN$177,FEB!$BA32:$BG32)</f>
        <v>0</v>
      </c>
      <c r="BO235" s="231">
        <f>SUMIF(FEB!$BA$6:$BG$6,BO$177,FEB!$BA32:$BG32)</f>
        <v>0</v>
      </c>
      <c r="BP235" s="231">
        <f>SUMIF(FEB!$BA$6:$BG$6,BP$177,FEB!$BA32:$BG32)</f>
        <v>0</v>
      </c>
      <c r="BQ235" s="252"/>
      <c r="BR235" s="228">
        <f>SUMIF(FEB!$BA$5:$BG$5,BR$177,FEB!$BA32:$BG32)</f>
        <v>0</v>
      </c>
      <c r="BS235" s="229">
        <f>SUMIF(FEB!$BA$5:$BG$5,BS$177,FEB!$BA32:$BG32)</f>
        <v>0</v>
      </c>
      <c r="BT235" s="229">
        <f>SUMIF(FEB!$BA$5:$BG$5,BT$177,FEB!$BA32:$BG32)</f>
        <v>0</v>
      </c>
      <c r="BU235" s="229">
        <f>SUMIF(FEB!$BA$5:$BG$5,BU$177,FEB!$BA32:$BG32)</f>
        <v>0</v>
      </c>
      <c r="BV235" s="229">
        <f>SUMIF(FEB!$BA$5:$BG$5,BV$177,FEB!$BA32:$BG32)</f>
        <v>0</v>
      </c>
      <c r="BW235" s="229">
        <f>SUMIF(FEB!$BA$5:$BG$5,BW$177,FEB!$BA32:$BG32)</f>
        <v>0</v>
      </c>
      <c r="BX235" s="230">
        <f>SUMIF(FEB!$BA$5:$BG$5,BX$177,FEB!$BA32:$BG32)</f>
        <v>0</v>
      </c>
      <c r="BY235" s="998">
        <f>SUMIF(FEB!$BA$5:$BG$5,BY$177,FEB!$BA32:$BG32)</f>
        <v>0</v>
      </c>
      <c r="CB235" s="252"/>
      <c r="CC235" s="61" t="e">
        <f t="shared" si="30"/>
        <v>#N/A</v>
      </c>
      <c r="CD235" s="61">
        <f t="shared" si="31"/>
        <v>0</v>
      </c>
      <c r="CE235" s="105" t="str">
        <f t="shared" si="44"/>
        <v/>
      </c>
      <c r="CF235" s="61" t="e">
        <f t="shared" si="33"/>
        <v>#N/A</v>
      </c>
      <c r="CG235" s="61" t="e">
        <f t="shared" si="34"/>
        <v>#N/A</v>
      </c>
      <c r="CH235" s="521">
        <f>FEB!AL32-CW235+CR235</f>
        <v>0</v>
      </c>
      <c r="CI235" s="228">
        <f>SUMIF(FEB!$G$121:$M$121,CI$178,FEB!$AM32:$AS32)+SUMIF($CS$178:$CV$178,CI$178,$CS235:$CV235)</f>
        <v>0</v>
      </c>
      <c r="CJ235" s="229">
        <f>SUMIF(FEB!$G$121:$M$121,CJ$178,FEB!$AM32:$AS32)+SUMIF($CS$178:$CV$178,CJ$178,$CS235:$CV235)</f>
        <v>0</v>
      </c>
      <c r="CK235" s="230">
        <f>SUMIF(FEB!$G$121:$M$121,CK$178,FEB!$AM32:$AS32)+SUMIF($CS$178:$CV$178,CK$178,$CS235:$CV235)</f>
        <v>0</v>
      </c>
      <c r="CL235" s="230">
        <f>SUMIF(FEB!$G$121:$M$121,CL$178,FEB!$AM32:$AS32)+SUMIF($CS$178:$CV$178,CL$178,$CS235:$CV235)</f>
        <v>0</v>
      </c>
      <c r="CM235" s="230">
        <f>SUMIF(FEB!$G$121:$M$121,CM$178,FEB!$AM32:$AS32)+SUMIF($CS$178:$CV$178,CM$178,$CS235:$CV235)</f>
        <v>0</v>
      </c>
      <c r="CN235" s="230">
        <f>SUMIF(FEB!$G$121:$M$121,CN$178,FEB!$AM32:$AS32)+SUMIF($CS$178:$CV$178,CN$178,$CS235:$CV235)</f>
        <v>0</v>
      </c>
      <c r="CO235" s="230">
        <f>SUMIF(FEB!$G$121:$M$121,CO$178,FEB!$AM32:$AS32)+SUMIF($CS$178:$CV$178,CO$178,$CS235:$CV235)</f>
        <v>0</v>
      </c>
      <c r="CP235" s="230">
        <f>SUMIF(FEB!$G$121:$M$121,CP$178,FEB!$AM32:$AS32)+SUMIF($CS$178:$CV$178,CP$178,$CS235:$CV235)</f>
        <v>0</v>
      </c>
      <c r="CQ235" s="231">
        <f>SUMIF(FEB!$G$121:$M$121,CQ$178,FEB!$AM32:$AS32)+SUMIF($CS$178:$CV$178,CQ$178,$CS235:$CV235)</f>
        <v>0</v>
      </c>
      <c r="CR235" s="521">
        <f>FEB!AU32</f>
        <v>0</v>
      </c>
      <c r="CS235" s="228">
        <f>FEB!AV32</f>
        <v>0</v>
      </c>
      <c r="CT235" s="229">
        <f>FEB!AW32</f>
        <v>0</v>
      </c>
      <c r="CU235" s="230">
        <f>FEB!AX32</f>
        <v>0</v>
      </c>
      <c r="CV235" s="231">
        <f>FEB!AY32</f>
        <v>0</v>
      </c>
      <c r="CW235" s="521">
        <f>SUM(FEB!AU32:AY32)</f>
        <v>0</v>
      </c>
      <c r="CX235" s="521">
        <f>FEB!AK32</f>
        <v>0</v>
      </c>
      <c r="CY235" s="2"/>
    </row>
    <row r="236" spans="1:103" ht="14.25" hidden="1" customHeight="1" x14ac:dyDescent="0.2">
      <c r="A236" s="2"/>
      <c r="B236" s="105">
        <f t="shared" si="35"/>
        <v>45348</v>
      </c>
      <c r="C236" s="146">
        <f>IF(AND(E236&gt;(E$558-1),E236&lt;(I$558+1)),W$551,IF(ISERROR(HLOOKUP(E236,$E$551:$L$551,1,FALSE)),HLOOKUP(WEEKDAY(E236,2),IMPOSTAZIONI!$C$52:$P$57,6,FALSE),$W$550))</f>
        <v>0</v>
      </c>
      <c r="D236" s="71" t="str">
        <f t="shared" si="36"/>
        <v/>
      </c>
      <c r="E236" s="2258">
        <f t="shared" si="42"/>
        <v>45348</v>
      </c>
      <c r="F236" s="2259"/>
      <c r="G236" s="2228">
        <f>FEB!E33</f>
        <v>0</v>
      </c>
      <c r="H236" s="2229"/>
      <c r="I236" s="2230"/>
      <c r="J236" s="262" t="str">
        <f t="shared" si="25"/>
        <v/>
      </c>
      <c r="K236" s="263"/>
      <c r="L236" s="2222">
        <f t="shared" si="43"/>
        <v>9</v>
      </c>
      <c r="M236" s="2223"/>
      <c r="N236" s="261"/>
      <c r="O236" s="261"/>
      <c r="P236" s="261"/>
      <c r="Q236" s="2219">
        <f t="shared" si="38"/>
        <v>45348</v>
      </c>
      <c r="R236" s="2219"/>
      <c r="S236" s="261"/>
      <c r="T236" s="1173">
        <f t="shared" si="26"/>
        <v>0</v>
      </c>
      <c r="U236" s="261"/>
      <c r="V236" s="261"/>
      <c r="W236" s="261"/>
      <c r="X236" s="261"/>
      <c r="Y236" s="261"/>
      <c r="Z236" s="261"/>
      <c r="AA236" s="261"/>
      <c r="AB236" s="261"/>
      <c r="AC236" s="261"/>
      <c r="AD236" s="261"/>
      <c r="AE236" s="261"/>
      <c r="AF236" s="261"/>
      <c r="AG236" s="1173">
        <f t="shared" si="39"/>
        <v>0</v>
      </c>
      <c r="AH236" s="61" t="str">
        <f t="shared" si="40"/>
        <v/>
      </c>
      <c r="AI236" s="89" t="e">
        <f t="shared" si="41"/>
        <v>#N/A</v>
      </c>
      <c r="AJ236" s="2"/>
      <c r="AK236" s="61">
        <f>IF(G236=G$547,0,IF(OR(G236&lt;&gt;0,CH236&lt;&gt;0,C236="L"),COUNTIF(AK$180:AK235,"&gt;0")+1,0))</f>
        <v>0</v>
      </c>
      <c r="AL236" s="61" t="str">
        <f t="shared" si="27"/>
        <v/>
      </c>
      <c r="AM236" s="61" t="e">
        <f t="shared" si="28"/>
        <v>#N/A</v>
      </c>
      <c r="AN236" s="89" t="e">
        <f t="shared" si="29"/>
        <v>#N/A</v>
      </c>
      <c r="AO236" s="230">
        <f>SUM(FEB!X33:AD33)-BD236+AY236</f>
        <v>0</v>
      </c>
      <c r="AP236" s="228">
        <f>SUMIF(FEB!$G$121:$M$121,AP$178,FEB!$P33:$V33)+SUMIF($AZ$178:$BC$178,AP$178,$AZ236:$BC236)</f>
        <v>0</v>
      </c>
      <c r="AQ236" s="229">
        <f>SUMIF(FEB!$G$121:$M$121,AQ$178,FEB!$P33:$V33)+SUMIF($AZ$178:$BC$178,AQ$178,$AZ236:$BC236)</f>
        <v>0</v>
      </c>
      <c r="AR236" s="230">
        <f>SUMIF(FEB!$G$121:$M$121,AR$178,FEB!$P33:$V33)+SUMIF($AZ$178:$BC$178,AR$178,$AZ236:$BC236)</f>
        <v>0</v>
      </c>
      <c r="AS236" s="230">
        <f>SUMIF(FEB!$G$121:$M$121,AS$178,FEB!$P33:$V33)+SUMIF($AZ$178:$BC$178,AS$178,$AZ236:$BC236)</f>
        <v>0</v>
      </c>
      <c r="AT236" s="230">
        <f>SUMIF(FEB!$G$121:$M$121,AT$178,FEB!$P33:$V33)+SUMIF($AZ$178:$BC$178,AT$178,$AZ236:$BC236)</f>
        <v>0</v>
      </c>
      <c r="AU236" s="230">
        <f>SUMIF(FEB!$G$121:$M$121,AU$178,FEB!$P33:$V33)+SUMIF($AZ$178:$BC$178,AU$178,$AZ236:$BC236)</f>
        <v>0</v>
      </c>
      <c r="AV236" s="230">
        <f>SUMIF(FEB!$G$121:$M$121,AV$178,FEB!$P33:$V33)+SUMIF($AZ$178:$BC$178,AV$178,$AZ236:$BC236)</f>
        <v>0</v>
      </c>
      <c r="AW236" s="230">
        <f>SUMIF(FEB!$G$121:$M$121,AW$178,FEB!$P33:$V33)+SUMIF($AZ$178:$BC$178,AW$178,$AZ236:$BC236)</f>
        <v>0</v>
      </c>
      <c r="AX236" s="231">
        <f>SUMIF(FEB!$G$121:$M$121,AX$178,FEB!$P33:$V33)+SUMIF($AZ$178:$BC$178,AX$178,$AZ236:$BC236)</f>
        <v>0</v>
      </c>
      <c r="AY236" s="232">
        <f>FEB!AF33</f>
        <v>0</v>
      </c>
      <c r="AZ236" s="228">
        <f>FEB!AG33</f>
        <v>0</v>
      </c>
      <c r="BA236" s="229">
        <f>FEB!AH33</f>
        <v>0</v>
      </c>
      <c r="BB236" s="230">
        <f>FEB!AI33</f>
        <v>0</v>
      </c>
      <c r="BC236" s="231">
        <f>FEB!AJ33</f>
        <v>0</v>
      </c>
      <c r="BD236" s="228">
        <f>SUMIF(FEB!$G$120:$M$120,"&gt;0",FEB!$X33:$AD33)</f>
        <v>0</v>
      </c>
      <c r="BE236" s="696"/>
      <c r="BF236" s="228">
        <f>SUMIF(FEB!$BA$6:$BG$6,BF$177,FEB!$BA33:$BG33)</f>
        <v>0</v>
      </c>
      <c r="BG236" s="229">
        <f>SUMIF(FEB!$BA$6:$BG$6,BG$177,FEB!$BA33:$BG33)</f>
        <v>0</v>
      </c>
      <c r="BH236" s="229">
        <f>SUMIF(FEB!$BA$6:$BG$6,BH$177,FEB!$BA33:$BG33)</f>
        <v>0</v>
      </c>
      <c r="BI236" s="229">
        <f>SUMIF(FEB!$BA$6:$BG$6,BI$177,FEB!$BA33:$BG33)</f>
        <v>0</v>
      </c>
      <c r="BJ236" s="229">
        <f>SUMIF(FEB!$BA$6:$BG$6,BJ$177,FEB!$BA33:$BG33)</f>
        <v>0</v>
      </c>
      <c r="BK236" s="229">
        <f>SUMIF(FEB!$BA$6:$BG$6,BK$177,FEB!$BA33:$BG33)</f>
        <v>0</v>
      </c>
      <c r="BL236" s="229">
        <f>SUMIF(FEB!$BA$6:$BG$6,BL$177,FEB!$BA33:$BG33)</f>
        <v>0</v>
      </c>
      <c r="BM236" s="229">
        <f>SUMIF(FEB!$BA$6:$BG$6,BM$177,FEB!$BA33:$BG33)</f>
        <v>0</v>
      </c>
      <c r="BN236" s="229">
        <f>SUMIF(FEB!$BA$6:$BG$6,BN$177,FEB!$BA33:$BG33)</f>
        <v>0</v>
      </c>
      <c r="BO236" s="231">
        <f>SUMIF(FEB!$BA$6:$BG$6,BO$177,FEB!$BA33:$BG33)</f>
        <v>0</v>
      </c>
      <c r="BP236" s="231">
        <f>SUMIF(FEB!$BA$6:$BG$6,BP$177,FEB!$BA33:$BG33)</f>
        <v>0</v>
      </c>
      <c r="BQ236" s="252"/>
      <c r="BR236" s="228">
        <f>SUMIF(FEB!$BA$5:$BG$5,BR$177,FEB!$BA33:$BG33)</f>
        <v>0</v>
      </c>
      <c r="BS236" s="229">
        <f>SUMIF(FEB!$BA$5:$BG$5,BS$177,FEB!$BA33:$BG33)</f>
        <v>0</v>
      </c>
      <c r="BT236" s="229">
        <f>SUMIF(FEB!$BA$5:$BG$5,BT$177,FEB!$BA33:$BG33)</f>
        <v>0</v>
      </c>
      <c r="BU236" s="229">
        <f>SUMIF(FEB!$BA$5:$BG$5,BU$177,FEB!$BA33:$BG33)</f>
        <v>0</v>
      </c>
      <c r="BV236" s="229">
        <f>SUMIF(FEB!$BA$5:$BG$5,BV$177,FEB!$BA33:$BG33)</f>
        <v>0</v>
      </c>
      <c r="BW236" s="229">
        <f>SUMIF(FEB!$BA$5:$BG$5,BW$177,FEB!$BA33:$BG33)</f>
        <v>0</v>
      </c>
      <c r="BX236" s="230">
        <f>SUMIF(FEB!$BA$5:$BG$5,BX$177,FEB!$BA33:$BG33)</f>
        <v>0</v>
      </c>
      <c r="BY236" s="998">
        <f>SUMIF(FEB!$BA$5:$BG$5,BY$177,FEB!$BA33:$BG33)</f>
        <v>0</v>
      </c>
      <c r="CB236" s="252"/>
      <c r="CC236" s="61" t="e">
        <f t="shared" si="30"/>
        <v>#N/A</v>
      </c>
      <c r="CD236" s="61">
        <f t="shared" si="31"/>
        <v>0</v>
      </c>
      <c r="CE236" s="105" t="str">
        <f t="shared" si="44"/>
        <v/>
      </c>
      <c r="CF236" s="61" t="e">
        <f t="shared" si="33"/>
        <v>#N/A</v>
      </c>
      <c r="CG236" s="61" t="e">
        <f t="shared" si="34"/>
        <v>#N/A</v>
      </c>
      <c r="CH236" s="521">
        <f>FEB!AL33-CW236+CR236</f>
        <v>0</v>
      </c>
      <c r="CI236" s="228">
        <f>SUMIF(FEB!$G$121:$M$121,CI$178,FEB!$AM33:$AS33)+SUMIF($CS$178:$CV$178,CI$178,$CS236:$CV236)</f>
        <v>0</v>
      </c>
      <c r="CJ236" s="229">
        <f>SUMIF(FEB!$G$121:$M$121,CJ$178,FEB!$AM33:$AS33)+SUMIF($CS$178:$CV$178,CJ$178,$CS236:$CV236)</f>
        <v>0</v>
      </c>
      <c r="CK236" s="230">
        <f>SUMIF(FEB!$G$121:$M$121,CK$178,FEB!$AM33:$AS33)+SUMIF($CS$178:$CV$178,CK$178,$CS236:$CV236)</f>
        <v>0</v>
      </c>
      <c r="CL236" s="230">
        <f>SUMIF(FEB!$G$121:$M$121,CL$178,FEB!$AM33:$AS33)+SUMIF($CS$178:$CV$178,CL$178,$CS236:$CV236)</f>
        <v>0</v>
      </c>
      <c r="CM236" s="230">
        <f>SUMIF(FEB!$G$121:$M$121,CM$178,FEB!$AM33:$AS33)+SUMIF($CS$178:$CV$178,CM$178,$CS236:$CV236)</f>
        <v>0</v>
      </c>
      <c r="CN236" s="230">
        <f>SUMIF(FEB!$G$121:$M$121,CN$178,FEB!$AM33:$AS33)+SUMIF($CS$178:$CV$178,CN$178,$CS236:$CV236)</f>
        <v>0</v>
      </c>
      <c r="CO236" s="230">
        <f>SUMIF(FEB!$G$121:$M$121,CO$178,FEB!$AM33:$AS33)+SUMIF($CS$178:$CV$178,CO$178,$CS236:$CV236)</f>
        <v>0</v>
      </c>
      <c r="CP236" s="230">
        <f>SUMIF(FEB!$G$121:$M$121,CP$178,FEB!$AM33:$AS33)+SUMIF($CS$178:$CV$178,CP$178,$CS236:$CV236)</f>
        <v>0</v>
      </c>
      <c r="CQ236" s="231">
        <f>SUMIF(FEB!$G$121:$M$121,CQ$178,FEB!$AM33:$AS33)+SUMIF($CS$178:$CV$178,CQ$178,$CS236:$CV236)</f>
        <v>0</v>
      </c>
      <c r="CR236" s="521">
        <f>FEB!AU33</f>
        <v>0</v>
      </c>
      <c r="CS236" s="228">
        <f>FEB!AV33</f>
        <v>0</v>
      </c>
      <c r="CT236" s="229">
        <f>FEB!AW33</f>
        <v>0</v>
      </c>
      <c r="CU236" s="230">
        <f>FEB!AX33</f>
        <v>0</v>
      </c>
      <c r="CV236" s="231">
        <f>FEB!AY33</f>
        <v>0</v>
      </c>
      <c r="CW236" s="521">
        <f>SUM(FEB!AU33:AY33)</f>
        <v>0</v>
      </c>
      <c r="CX236" s="521">
        <f>FEB!AK33</f>
        <v>0</v>
      </c>
      <c r="CY236" s="2"/>
    </row>
    <row r="237" spans="1:103" ht="14.25" hidden="1" customHeight="1" x14ac:dyDescent="0.2">
      <c r="A237" s="2"/>
      <c r="B237" s="105">
        <f t="shared" si="35"/>
        <v>45349</v>
      </c>
      <c r="C237" s="146">
        <f>IF(AND(E237&gt;(E$558-1),E237&lt;(I$558+1)),W$551,IF(ISERROR(HLOOKUP(E237,$E$551:$L$551,1,FALSE)),HLOOKUP(WEEKDAY(E237,2),IMPOSTAZIONI!$C$52:$P$57,6,FALSE),$W$550))</f>
        <v>0</v>
      </c>
      <c r="D237" s="71" t="str">
        <f t="shared" si="36"/>
        <v/>
      </c>
      <c r="E237" s="2258">
        <f t="shared" si="42"/>
        <v>45349</v>
      </c>
      <c r="F237" s="2259"/>
      <c r="G237" s="2228">
        <f>FEB!E34</f>
        <v>0</v>
      </c>
      <c r="H237" s="2229"/>
      <c r="I237" s="2230"/>
      <c r="J237" s="262" t="str">
        <f t="shared" si="25"/>
        <v/>
      </c>
      <c r="K237" s="263"/>
      <c r="L237" s="2217">
        <f t="shared" si="43"/>
        <v>9</v>
      </c>
      <c r="M237" s="2218"/>
      <c r="N237" s="261"/>
      <c r="O237" s="261"/>
      <c r="P237" s="261"/>
      <c r="Q237" s="2219">
        <f t="shared" si="38"/>
        <v>45349</v>
      </c>
      <c r="R237" s="2219"/>
      <c r="S237" s="261"/>
      <c r="T237" s="1173">
        <f t="shared" si="26"/>
        <v>0</v>
      </c>
      <c r="U237" s="261"/>
      <c r="V237" s="261"/>
      <c r="W237" s="261"/>
      <c r="X237" s="261"/>
      <c r="Y237" s="261"/>
      <c r="Z237" s="261"/>
      <c r="AA237" s="261"/>
      <c r="AB237" s="261"/>
      <c r="AC237" s="261"/>
      <c r="AD237" s="261"/>
      <c r="AE237" s="261"/>
      <c r="AF237" s="261"/>
      <c r="AG237" s="1173">
        <f t="shared" si="39"/>
        <v>0</v>
      </c>
      <c r="AH237" s="61" t="str">
        <f t="shared" si="40"/>
        <v/>
      </c>
      <c r="AI237" s="89" t="e">
        <f t="shared" si="41"/>
        <v>#N/A</v>
      </c>
      <c r="AJ237" s="2"/>
      <c r="AK237" s="61">
        <f>IF(G237=G$547,0,IF(OR(G237&lt;&gt;0,CH237&lt;&gt;0,C237="L"),COUNTIF(AK$180:AK236,"&gt;0")+1,0))</f>
        <v>0</v>
      </c>
      <c r="AL237" s="61" t="str">
        <f t="shared" si="27"/>
        <v/>
      </c>
      <c r="AM237" s="61" t="e">
        <f t="shared" si="28"/>
        <v>#N/A</v>
      </c>
      <c r="AN237" s="89" t="e">
        <f t="shared" si="29"/>
        <v>#N/A</v>
      </c>
      <c r="AO237" s="230">
        <f>SUM(FEB!X34:AD34)-BD237+AY237</f>
        <v>0</v>
      </c>
      <c r="AP237" s="228">
        <f>SUMIF(FEB!$G$121:$M$121,AP$178,FEB!$P34:$V34)+SUMIF($AZ$178:$BC$178,AP$178,$AZ237:$BC237)</f>
        <v>0</v>
      </c>
      <c r="AQ237" s="229">
        <f>SUMIF(FEB!$G$121:$M$121,AQ$178,FEB!$P34:$V34)+SUMIF($AZ$178:$BC$178,AQ$178,$AZ237:$BC237)</f>
        <v>0</v>
      </c>
      <c r="AR237" s="230">
        <f>SUMIF(FEB!$G$121:$M$121,AR$178,FEB!$P34:$V34)+SUMIF($AZ$178:$BC$178,AR$178,$AZ237:$BC237)</f>
        <v>0</v>
      </c>
      <c r="AS237" s="230">
        <f>SUMIF(FEB!$G$121:$M$121,AS$178,FEB!$P34:$V34)+SUMIF($AZ$178:$BC$178,AS$178,$AZ237:$BC237)</f>
        <v>0</v>
      </c>
      <c r="AT237" s="230">
        <f>SUMIF(FEB!$G$121:$M$121,AT$178,FEB!$P34:$V34)+SUMIF($AZ$178:$BC$178,AT$178,$AZ237:$BC237)</f>
        <v>0</v>
      </c>
      <c r="AU237" s="230">
        <f>SUMIF(FEB!$G$121:$M$121,AU$178,FEB!$P34:$V34)+SUMIF($AZ$178:$BC$178,AU$178,$AZ237:$BC237)</f>
        <v>0</v>
      </c>
      <c r="AV237" s="230">
        <f>SUMIF(FEB!$G$121:$M$121,AV$178,FEB!$P34:$V34)+SUMIF($AZ$178:$BC$178,AV$178,$AZ237:$BC237)</f>
        <v>0</v>
      </c>
      <c r="AW237" s="230">
        <f>SUMIF(FEB!$G$121:$M$121,AW$178,FEB!$P34:$V34)+SUMIF($AZ$178:$BC$178,AW$178,$AZ237:$BC237)</f>
        <v>0</v>
      </c>
      <c r="AX237" s="231">
        <f>SUMIF(FEB!$G$121:$M$121,AX$178,FEB!$P34:$V34)+SUMIF($AZ$178:$BC$178,AX$178,$AZ237:$BC237)</f>
        <v>0</v>
      </c>
      <c r="AY237" s="232">
        <f>FEB!AF34</f>
        <v>0</v>
      </c>
      <c r="AZ237" s="228">
        <f>FEB!AG34</f>
        <v>0</v>
      </c>
      <c r="BA237" s="229">
        <f>FEB!AH34</f>
        <v>0</v>
      </c>
      <c r="BB237" s="230">
        <f>FEB!AI34</f>
        <v>0</v>
      </c>
      <c r="BC237" s="231">
        <f>FEB!AJ34</f>
        <v>0</v>
      </c>
      <c r="BD237" s="228">
        <f>SUMIF(FEB!$G$120:$M$120,"&gt;0",FEB!$X34:$AD34)</f>
        <v>0</v>
      </c>
      <c r="BE237" s="696"/>
      <c r="BF237" s="228">
        <f>SUMIF(FEB!$BA$6:$BG$6,BF$177,FEB!$BA34:$BG34)</f>
        <v>0</v>
      </c>
      <c r="BG237" s="229">
        <f>SUMIF(FEB!$BA$6:$BG$6,BG$177,FEB!$BA34:$BG34)</f>
        <v>0</v>
      </c>
      <c r="BH237" s="229">
        <f>SUMIF(FEB!$BA$6:$BG$6,BH$177,FEB!$BA34:$BG34)</f>
        <v>0</v>
      </c>
      <c r="BI237" s="229">
        <f>SUMIF(FEB!$BA$6:$BG$6,BI$177,FEB!$BA34:$BG34)</f>
        <v>0</v>
      </c>
      <c r="BJ237" s="229">
        <f>SUMIF(FEB!$BA$6:$BG$6,BJ$177,FEB!$BA34:$BG34)</f>
        <v>0</v>
      </c>
      <c r="BK237" s="229">
        <f>SUMIF(FEB!$BA$6:$BG$6,BK$177,FEB!$BA34:$BG34)</f>
        <v>0</v>
      </c>
      <c r="BL237" s="229">
        <f>SUMIF(FEB!$BA$6:$BG$6,BL$177,FEB!$BA34:$BG34)</f>
        <v>0</v>
      </c>
      <c r="BM237" s="229">
        <f>SUMIF(FEB!$BA$6:$BG$6,BM$177,FEB!$BA34:$BG34)</f>
        <v>0</v>
      </c>
      <c r="BN237" s="229">
        <f>SUMIF(FEB!$BA$6:$BG$6,BN$177,FEB!$BA34:$BG34)</f>
        <v>0</v>
      </c>
      <c r="BO237" s="231">
        <f>SUMIF(FEB!$BA$6:$BG$6,BO$177,FEB!$BA34:$BG34)</f>
        <v>0</v>
      </c>
      <c r="BP237" s="231">
        <f>SUMIF(FEB!$BA$6:$BG$6,BP$177,FEB!$BA34:$BG34)</f>
        <v>0</v>
      </c>
      <c r="BQ237" s="252"/>
      <c r="BR237" s="228">
        <f>SUMIF(FEB!$BA$5:$BG$5,BR$177,FEB!$BA34:$BG34)</f>
        <v>0</v>
      </c>
      <c r="BS237" s="229">
        <f>SUMIF(FEB!$BA$5:$BG$5,BS$177,FEB!$BA34:$BG34)</f>
        <v>0</v>
      </c>
      <c r="BT237" s="229">
        <f>SUMIF(FEB!$BA$5:$BG$5,BT$177,FEB!$BA34:$BG34)</f>
        <v>0</v>
      </c>
      <c r="BU237" s="229">
        <f>SUMIF(FEB!$BA$5:$BG$5,BU$177,FEB!$BA34:$BG34)</f>
        <v>0</v>
      </c>
      <c r="BV237" s="229">
        <f>SUMIF(FEB!$BA$5:$BG$5,BV$177,FEB!$BA34:$BG34)</f>
        <v>0</v>
      </c>
      <c r="BW237" s="229">
        <f>SUMIF(FEB!$BA$5:$BG$5,BW$177,FEB!$BA34:$BG34)</f>
        <v>0</v>
      </c>
      <c r="BX237" s="230">
        <f>SUMIF(FEB!$BA$5:$BG$5,BX$177,FEB!$BA34:$BG34)</f>
        <v>0</v>
      </c>
      <c r="BY237" s="998">
        <f>SUMIF(FEB!$BA$5:$BG$5,BY$177,FEB!$BA34:$BG34)</f>
        <v>0</v>
      </c>
      <c r="CB237" s="252"/>
      <c r="CC237" s="61" t="e">
        <f t="shared" si="30"/>
        <v>#N/A</v>
      </c>
      <c r="CD237" s="61">
        <f t="shared" si="31"/>
        <v>0</v>
      </c>
      <c r="CE237" s="105" t="str">
        <f t="shared" si="44"/>
        <v/>
      </c>
      <c r="CF237" s="61" t="e">
        <f t="shared" si="33"/>
        <v>#N/A</v>
      </c>
      <c r="CG237" s="61" t="e">
        <f t="shared" si="34"/>
        <v>#N/A</v>
      </c>
      <c r="CH237" s="521">
        <f>FEB!AL34-CW237+CR237</f>
        <v>0</v>
      </c>
      <c r="CI237" s="228">
        <f>SUMIF(FEB!$G$121:$M$121,CI$178,FEB!$AM34:$AS34)+SUMIF($CS$178:$CV$178,CI$178,$CS237:$CV237)</f>
        <v>0</v>
      </c>
      <c r="CJ237" s="229">
        <f>SUMIF(FEB!$G$121:$M$121,CJ$178,FEB!$AM34:$AS34)+SUMIF($CS$178:$CV$178,CJ$178,$CS237:$CV237)</f>
        <v>0</v>
      </c>
      <c r="CK237" s="230">
        <f>SUMIF(FEB!$G$121:$M$121,CK$178,FEB!$AM34:$AS34)+SUMIF($CS$178:$CV$178,CK$178,$CS237:$CV237)</f>
        <v>0</v>
      </c>
      <c r="CL237" s="230">
        <f>SUMIF(FEB!$G$121:$M$121,CL$178,FEB!$AM34:$AS34)+SUMIF($CS$178:$CV$178,CL$178,$CS237:$CV237)</f>
        <v>0</v>
      </c>
      <c r="CM237" s="230">
        <f>SUMIF(FEB!$G$121:$M$121,CM$178,FEB!$AM34:$AS34)+SUMIF($CS$178:$CV$178,CM$178,$CS237:$CV237)</f>
        <v>0</v>
      </c>
      <c r="CN237" s="230">
        <f>SUMIF(FEB!$G$121:$M$121,CN$178,FEB!$AM34:$AS34)+SUMIF($CS$178:$CV$178,CN$178,$CS237:$CV237)</f>
        <v>0</v>
      </c>
      <c r="CO237" s="230">
        <f>SUMIF(FEB!$G$121:$M$121,CO$178,FEB!$AM34:$AS34)+SUMIF($CS$178:$CV$178,CO$178,$CS237:$CV237)</f>
        <v>0</v>
      </c>
      <c r="CP237" s="230">
        <f>SUMIF(FEB!$G$121:$M$121,CP$178,FEB!$AM34:$AS34)+SUMIF($CS$178:$CV$178,CP$178,$CS237:$CV237)</f>
        <v>0</v>
      </c>
      <c r="CQ237" s="231">
        <f>SUMIF(FEB!$G$121:$M$121,CQ$178,FEB!$AM34:$AS34)+SUMIF($CS$178:$CV$178,CQ$178,$CS237:$CV237)</f>
        <v>0</v>
      </c>
      <c r="CR237" s="521">
        <f>FEB!AU34</f>
        <v>0</v>
      </c>
      <c r="CS237" s="228">
        <f>FEB!AV34</f>
        <v>0</v>
      </c>
      <c r="CT237" s="229">
        <f>FEB!AW34</f>
        <v>0</v>
      </c>
      <c r="CU237" s="230">
        <f>FEB!AX34</f>
        <v>0</v>
      </c>
      <c r="CV237" s="231">
        <f>FEB!AY34</f>
        <v>0</v>
      </c>
      <c r="CW237" s="521">
        <f>SUM(FEB!AU34:AY34)</f>
        <v>0</v>
      </c>
      <c r="CX237" s="521">
        <f>FEB!AK34</f>
        <v>0</v>
      </c>
      <c r="CY237" s="2"/>
    </row>
    <row r="238" spans="1:103" ht="14.25" hidden="1" customHeight="1" x14ac:dyDescent="0.2">
      <c r="A238" s="983">
        <f>MONTH(E238)</f>
        <v>2</v>
      </c>
      <c r="B238" s="105">
        <f t="shared" si="35"/>
        <v>45350</v>
      </c>
      <c r="C238" s="146">
        <f>IF(AND(E238&gt;(E$558-1),E238&lt;(I$558+1)),W$551,IF(ISERROR(HLOOKUP(E238,$E$551:$L$551,1,FALSE)),HLOOKUP(WEEKDAY(E238,2),IMPOSTAZIONI!$C$52:$P$57,6,FALSE),$W$550))</f>
        <v>0</v>
      </c>
      <c r="D238" s="71" t="str">
        <f t="shared" si="36"/>
        <v/>
      </c>
      <c r="E238" s="2258">
        <f t="shared" si="42"/>
        <v>45350</v>
      </c>
      <c r="F238" s="2259"/>
      <c r="G238" s="2228">
        <f>FEB!E35</f>
        <v>0</v>
      </c>
      <c r="H238" s="2229"/>
      <c r="I238" s="2230"/>
      <c r="J238" s="262" t="str">
        <f t="shared" si="25"/>
        <v/>
      </c>
      <c r="K238" s="263"/>
      <c r="L238" s="2217">
        <f t="shared" si="43"/>
        <v>9</v>
      </c>
      <c r="M238" s="2218"/>
      <c r="N238" s="261"/>
      <c r="O238" s="261"/>
      <c r="P238" s="261"/>
      <c r="Q238" s="2219">
        <f t="shared" si="38"/>
        <v>45350</v>
      </c>
      <c r="R238" s="2219"/>
      <c r="S238" s="261"/>
      <c r="T238" s="1173">
        <f t="shared" si="26"/>
        <v>0</v>
      </c>
      <c r="U238" s="261"/>
      <c r="V238" s="261"/>
      <c r="W238" s="261"/>
      <c r="X238" s="261"/>
      <c r="Y238" s="261"/>
      <c r="Z238" s="261"/>
      <c r="AA238" s="261"/>
      <c r="AB238" s="261"/>
      <c r="AC238" s="261"/>
      <c r="AD238" s="261"/>
      <c r="AE238" s="261"/>
      <c r="AF238" s="261"/>
      <c r="AG238" s="1173">
        <f t="shared" si="39"/>
        <v>0</v>
      </c>
      <c r="AH238" s="61" t="str">
        <f t="shared" si="40"/>
        <v/>
      </c>
      <c r="AI238" s="89" t="e">
        <f t="shared" si="41"/>
        <v>#N/A</v>
      </c>
      <c r="AJ238" s="2"/>
      <c r="AK238" s="61">
        <f>IF(G238=G$547,0,IF(OR(G238&lt;&gt;0,CH238&lt;&gt;0,C238="L"),COUNTIF(AK$180:AK237,"&gt;0")+1,0))</f>
        <v>0</v>
      </c>
      <c r="AL238" s="61" t="str">
        <f t="shared" si="27"/>
        <v/>
      </c>
      <c r="AM238" s="61" t="e">
        <f t="shared" si="28"/>
        <v>#N/A</v>
      </c>
      <c r="AN238" s="89" t="e">
        <f t="shared" si="29"/>
        <v>#N/A</v>
      </c>
      <c r="AO238" s="230">
        <f>SUM(FEB!X35:AD35)-BD238+AY238</f>
        <v>0</v>
      </c>
      <c r="AP238" s="228">
        <f>SUMIF(FEB!$G$121:$M$121,AP$178,FEB!$P35:$V35)+SUMIF($AZ$178:$BC$178,AP$178,$AZ238:$BC238)</f>
        <v>0</v>
      </c>
      <c r="AQ238" s="229">
        <f>SUMIF(FEB!$G$121:$M$121,AQ$178,FEB!$P35:$V35)+SUMIF($AZ$178:$BC$178,AQ$178,$AZ238:$BC238)</f>
        <v>0</v>
      </c>
      <c r="AR238" s="230">
        <f>SUMIF(FEB!$G$121:$M$121,AR$178,FEB!$P35:$V35)+SUMIF($AZ$178:$BC$178,AR$178,$AZ238:$BC238)</f>
        <v>0</v>
      </c>
      <c r="AS238" s="230">
        <f>SUMIF(FEB!$G$121:$M$121,AS$178,FEB!$P35:$V35)+SUMIF($AZ$178:$BC$178,AS$178,$AZ238:$BC238)</f>
        <v>0</v>
      </c>
      <c r="AT238" s="230">
        <f>SUMIF(FEB!$G$121:$M$121,AT$178,FEB!$P35:$V35)+SUMIF($AZ$178:$BC$178,AT$178,$AZ238:$BC238)</f>
        <v>0</v>
      </c>
      <c r="AU238" s="230">
        <f>SUMIF(FEB!$G$121:$M$121,AU$178,FEB!$P35:$V35)+SUMIF($AZ$178:$BC$178,AU$178,$AZ238:$BC238)</f>
        <v>0</v>
      </c>
      <c r="AV238" s="230">
        <f>SUMIF(FEB!$G$121:$M$121,AV$178,FEB!$P35:$V35)+SUMIF($AZ$178:$BC$178,AV$178,$AZ238:$BC238)</f>
        <v>0</v>
      </c>
      <c r="AW238" s="230">
        <f>SUMIF(FEB!$G$121:$M$121,AW$178,FEB!$P35:$V35)+SUMIF($AZ$178:$BC$178,AW$178,$AZ238:$BC238)</f>
        <v>0</v>
      </c>
      <c r="AX238" s="231">
        <f>SUMIF(FEB!$G$121:$M$121,AX$178,FEB!$P35:$V35)+SUMIF($AZ$178:$BC$178,AX$178,$AZ238:$BC238)</f>
        <v>0</v>
      </c>
      <c r="AY238" s="232">
        <f>FEB!AF35</f>
        <v>0</v>
      </c>
      <c r="AZ238" s="228">
        <f>FEB!AG35</f>
        <v>0</v>
      </c>
      <c r="BA238" s="229">
        <f>FEB!AH35</f>
        <v>0</v>
      </c>
      <c r="BB238" s="230">
        <f>FEB!AI35</f>
        <v>0</v>
      </c>
      <c r="BC238" s="231">
        <f>FEB!AJ35</f>
        <v>0</v>
      </c>
      <c r="BD238" s="228">
        <f>SUMIF(FEB!$G$120:$M$120,"&gt;0",FEB!$X35:$AD35)</f>
        <v>0</v>
      </c>
      <c r="BE238" s="696"/>
      <c r="BF238" s="228">
        <f>SUMIF(FEB!$BA$6:$BG$6,BF$177,FEB!$BA35:$BG35)</f>
        <v>0</v>
      </c>
      <c r="BG238" s="229">
        <f>SUMIF(FEB!$BA$6:$BG$6,BG$177,FEB!$BA35:$BG35)</f>
        <v>0</v>
      </c>
      <c r="BH238" s="229">
        <f>SUMIF(FEB!$BA$6:$BG$6,BH$177,FEB!$BA35:$BG35)</f>
        <v>0</v>
      </c>
      <c r="BI238" s="229">
        <f>SUMIF(FEB!$BA$6:$BG$6,BI$177,FEB!$BA35:$BG35)</f>
        <v>0</v>
      </c>
      <c r="BJ238" s="229">
        <f>SUMIF(FEB!$BA$6:$BG$6,BJ$177,FEB!$BA35:$BG35)</f>
        <v>0</v>
      </c>
      <c r="BK238" s="229">
        <f>SUMIF(FEB!$BA$6:$BG$6,BK$177,FEB!$BA35:$BG35)</f>
        <v>0</v>
      </c>
      <c r="BL238" s="229">
        <f>SUMIF(FEB!$BA$6:$BG$6,BL$177,FEB!$BA35:$BG35)</f>
        <v>0</v>
      </c>
      <c r="BM238" s="229">
        <f>SUMIF(FEB!$BA$6:$BG$6,BM$177,FEB!$BA35:$BG35)</f>
        <v>0</v>
      </c>
      <c r="BN238" s="229">
        <f>SUMIF(FEB!$BA$6:$BG$6,BN$177,FEB!$BA35:$BG35)</f>
        <v>0</v>
      </c>
      <c r="BO238" s="231">
        <f>SUMIF(FEB!$BA$6:$BG$6,BO$177,FEB!$BA35:$BG35)</f>
        <v>0</v>
      </c>
      <c r="BP238" s="231">
        <f>SUMIF(FEB!$BA$6:$BG$6,BP$177,FEB!$BA35:$BG35)</f>
        <v>0</v>
      </c>
      <c r="BQ238" s="252"/>
      <c r="BR238" s="228">
        <f>SUMIF(FEB!$BA$5:$BG$5,BR$177,FEB!$BA35:$BG35)</f>
        <v>0</v>
      </c>
      <c r="BS238" s="229">
        <f>SUMIF(FEB!$BA$5:$BG$5,BS$177,FEB!$BA35:$BG35)</f>
        <v>0</v>
      </c>
      <c r="BT238" s="229">
        <f>SUMIF(FEB!$BA$5:$BG$5,BT$177,FEB!$BA35:$BG35)</f>
        <v>0</v>
      </c>
      <c r="BU238" s="229">
        <f>SUMIF(FEB!$BA$5:$BG$5,BU$177,FEB!$BA35:$BG35)</f>
        <v>0</v>
      </c>
      <c r="BV238" s="229">
        <f>SUMIF(FEB!$BA$5:$BG$5,BV$177,FEB!$BA35:$BG35)</f>
        <v>0</v>
      </c>
      <c r="BW238" s="229">
        <f>SUMIF(FEB!$BA$5:$BG$5,BW$177,FEB!$BA35:$BG35)</f>
        <v>0</v>
      </c>
      <c r="BX238" s="230">
        <f>SUMIF(FEB!$BA$5:$BG$5,BX$177,FEB!$BA35:$BG35)</f>
        <v>0</v>
      </c>
      <c r="BY238" s="998">
        <f>SUMIF(FEB!$BA$5:$BG$5,BY$177,FEB!$BA35:$BG35)</f>
        <v>0</v>
      </c>
      <c r="CB238" s="252"/>
      <c r="CC238" s="61" t="e">
        <f t="shared" si="30"/>
        <v>#N/A</v>
      </c>
      <c r="CD238" s="61">
        <f t="shared" si="31"/>
        <v>0</v>
      </c>
      <c r="CE238" s="105" t="str">
        <f t="shared" si="44"/>
        <v/>
      </c>
      <c r="CF238" s="61" t="e">
        <f t="shared" si="33"/>
        <v>#N/A</v>
      </c>
      <c r="CG238" s="61" t="e">
        <f t="shared" si="34"/>
        <v>#N/A</v>
      </c>
      <c r="CH238" s="521">
        <f>FEB!AL35-CW238+CR238</f>
        <v>0</v>
      </c>
      <c r="CI238" s="228">
        <f>SUMIF(FEB!$G$121:$M$121,CI$178,FEB!$AM35:$AS35)+SUMIF($CS$178:$CV$178,CI$178,$CS238:$CV238)</f>
        <v>0</v>
      </c>
      <c r="CJ238" s="229">
        <f>SUMIF(FEB!$G$121:$M$121,CJ$178,FEB!$AM35:$AS35)+SUMIF($CS$178:$CV$178,CJ$178,$CS238:$CV238)</f>
        <v>0</v>
      </c>
      <c r="CK238" s="230">
        <f>SUMIF(FEB!$G$121:$M$121,CK$178,FEB!$AM35:$AS35)+SUMIF($CS$178:$CV$178,CK$178,$CS238:$CV238)</f>
        <v>0</v>
      </c>
      <c r="CL238" s="230">
        <f>SUMIF(FEB!$G$121:$M$121,CL$178,FEB!$AM35:$AS35)+SUMIF($CS$178:$CV$178,CL$178,$CS238:$CV238)</f>
        <v>0</v>
      </c>
      <c r="CM238" s="230">
        <f>SUMIF(FEB!$G$121:$M$121,CM$178,FEB!$AM35:$AS35)+SUMIF($CS$178:$CV$178,CM$178,$CS238:$CV238)</f>
        <v>0</v>
      </c>
      <c r="CN238" s="230">
        <f>SUMIF(FEB!$G$121:$M$121,CN$178,FEB!$AM35:$AS35)+SUMIF($CS$178:$CV$178,CN$178,$CS238:$CV238)</f>
        <v>0</v>
      </c>
      <c r="CO238" s="230">
        <f>SUMIF(FEB!$G$121:$M$121,CO$178,FEB!$AM35:$AS35)+SUMIF($CS$178:$CV$178,CO$178,$CS238:$CV238)</f>
        <v>0</v>
      </c>
      <c r="CP238" s="230">
        <f>SUMIF(FEB!$G$121:$M$121,CP$178,FEB!$AM35:$AS35)+SUMIF($CS$178:$CV$178,CP$178,$CS238:$CV238)</f>
        <v>0</v>
      </c>
      <c r="CQ238" s="231">
        <f>SUMIF(FEB!$G$121:$M$121,CQ$178,FEB!$AM35:$AS35)+SUMIF($CS$178:$CV$178,CQ$178,$CS238:$CV238)</f>
        <v>0</v>
      </c>
      <c r="CR238" s="521">
        <f>FEB!AU35</f>
        <v>0</v>
      </c>
      <c r="CS238" s="228">
        <f>FEB!AV35</f>
        <v>0</v>
      </c>
      <c r="CT238" s="229">
        <f>FEB!AW35</f>
        <v>0</v>
      </c>
      <c r="CU238" s="230">
        <f>FEB!AX35</f>
        <v>0</v>
      </c>
      <c r="CV238" s="231">
        <f>FEB!AY35</f>
        <v>0</v>
      </c>
      <c r="CW238" s="521">
        <f>SUM(FEB!AU35:AY35)</f>
        <v>0</v>
      </c>
      <c r="CX238" s="521">
        <f>FEB!AK35</f>
        <v>0</v>
      </c>
      <c r="CY238" s="2"/>
    </row>
    <row r="239" spans="1:103" ht="14.25" hidden="1" customHeight="1" x14ac:dyDescent="0.2">
      <c r="A239" s="984">
        <f>MONTH(E238+1)</f>
        <v>2</v>
      </c>
      <c r="B239" s="105">
        <f t="shared" si="35"/>
        <v>45351</v>
      </c>
      <c r="C239" s="146">
        <f>IF(E239="","",HLOOKUP(WEEKDAY(E239,2),IMPOSTAZIONI!$C$52:$P$57,6,FALSE))</f>
        <v>0</v>
      </c>
      <c r="D239" s="71" t="str">
        <f t="shared" si="36"/>
        <v/>
      </c>
      <c r="E239" s="2264">
        <f>IF(A239&lt;&gt;A238,"",E238+1)</f>
        <v>45351</v>
      </c>
      <c r="F239" s="2265"/>
      <c r="G239" s="2266">
        <f>FEB!E36</f>
        <v>0</v>
      </c>
      <c r="H239" s="2267"/>
      <c r="I239" s="2268"/>
      <c r="J239" s="262" t="str">
        <f t="shared" si="25"/>
        <v/>
      </c>
      <c r="K239" s="263"/>
      <c r="L239" s="2244">
        <f>IF(A239&lt;&gt;A238,"",L232+1)</f>
        <v>9</v>
      </c>
      <c r="M239" s="2245"/>
      <c r="N239" s="261"/>
      <c r="O239" s="261"/>
      <c r="P239" s="261"/>
      <c r="Q239" s="2219">
        <f t="shared" ref="Q239" si="45">E239</f>
        <v>45351</v>
      </c>
      <c r="R239" s="2219"/>
      <c r="S239" s="261"/>
      <c r="T239" s="1173">
        <f t="shared" si="26"/>
        <v>0</v>
      </c>
      <c r="U239" s="261"/>
      <c r="V239" s="261"/>
      <c r="W239" s="261"/>
      <c r="X239" s="261"/>
      <c r="Y239" s="261"/>
      <c r="Z239" s="261"/>
      <c r="AA239" s="261"/>
      <c r="AB239" s="261"/>
      <c r="AC239" s="261"/>
      <c r="AD239" s="261"/>
      <c r="AE239" s="261"/>
      <c r="AF239" s="261"/>
      <c r="AG239" s="1173">
        <f t="shared" si="39"/>
        <v>0</v>
      </c>
      <c r="AH239" s="61" t="str">
        <f t="shared" si="40"/>
        <v/>
      </c>
      <c r="AI239" s="89" t="e">
        <f t="shared" si="41"/>
        <v>#N/A</v>
      </c>
      <c r="AJ239" s="2"/>
      <c r="AK239" s="61">
        <f>IF(G239=G$547,0,IF(OR(G239&lt;&gt;0,CH239&lt;&gt;0,C239="L"),COUNTIF(AK$180:AK238,"&gt;0")+1,0))</f>
        <v>0</v>
      </c>
      <c r="AL239" s="61" t="str">
        <f t="shared" si="27"/>
        <v/>
      </c>
      <c r="AM239" s="61" t="e">
        <f t="shared" si="28"/>
        <v>#N/A</v>
      </c>
      <c r="AN239" s="89" t="e">
        <f t="shared" si="29"/>
        <v>#N/A</v>
      </c>
      <c r="AO239" s="235">
        <f>SUM(FEB!X36:AD36)-BD239+AY239</f>
        <v>0</v>
      </c>
      <c r="AP239" s="233">
        <f>SUMIF(FEB!$G$121:$M$121,AP$178,FEB!$P36:$V36)+SUMIF($AZ$178:$BC$178,AP$178,$AZ239:$BC239)</f>
        <v>0</v>
      </c>
      <c r="AQ239" s="234">
        <f>SUMIF(FEB!$G$121:$M$121,AQ$178,FEB!$P36:$V36)+SUMIF($AZ$178:$BC$178,AQ$178,$AZ239:$BC239)</f>
        <v>0</v>
      </c>
      <c r="AR239" s="235">
        <f>SUMIF(FEB!$G$121:$M$121,AR$178,FEB!$P36:$V36)+SUMIF($AZ$178:$BC$178,AR$178,$AZ239:$BC239)</f>
        <v>0</v>
      </c>
      <c r="AS239" s="235">
        <f>SUMIF(FEB!$G$121:$M$121,AS$178,FEB!$P36:$V36)+SUMIF($AZ$178:$BC$178,AS$178,$AZ239:$BC239)</f>
        <v>0</v>
      </c>
      <c r="AT239" s="235">
        <f>SUMIF(FEB!$G$121:$M$121,AT$178,FEB!$P36:$V36)+SUMIF($AZ$178:$BC$178,AT$178,$AZ239:$BC239)</f>
        <v>0</v>
      </c>
      <c r="AU239" s="235">
        <f>SUMIF(FEB!$G$121:$M$121,AU$178,FEB!$P36:$V36)+SUMIF($AZ$178:$BC$178,AU$178,$AZ239:$BC239)</f>
        <v>0</v>
      </c>
      <c r="AV239" s="235">
        <f>SUMIF(FEB!$G$121:$M$121,AV$178,FEB!$P36:$V36)+SUMIF($AZ$178:$BC$178,AV$178,$AZ239:$BC239)</f>
        <v>0</v>
      </c>
      <c r="AW239" s="235">
        <f>SUMIF(FEB!$G$121:$M$121,AW$178,FEB!$P36:$V36)+SUMIF($AZ$178:$BC$178,AW$178,$AZ239:$BC239)</f>
        <v>0</v>
      </c>
      <c r="AX239" s="236">
        <f>SUMIF(FEB!$G$121:$M$121,AX$178,FEB!$P36:$V36)+SUMIF($AZ$178:$BC$178,AX$178,$AZ239:$BC239)</f>
        <v>0</v>
      </c>
      <c r="AY239" s="237">
        <f>FEB!AF36</f>
        <v>0</v>
      </c>
      <c r="AZ239" s="233">
        <f>FEB!AG36</f>
        <v>0</v>
      </c>
      <c r="BA239" s="234">
        <f>FEB!AH36</f>
        <v>0</v>
      </c>
      <c r="BB239" s="235">
        <f>FEB!AI36</f>
        <v>0</v>
      </c>
      <c r="BC239" s="236">
        <f>FEB!AJ36</f>
        <v>0</v>
      </c>
      <c r="BD239" s="233">
        <f>SUMIF(FEB!$G$120:$M$120,"&gt;0",FEB!$X36:$AD36)</f>
        <v>0</v>
      </c>
      <c r="BE239" s="696"/>
      <c r="BF239" s="233">
        <f>SUMIF(FEB!$BA$6:$BG$6,BF$177,FEB!$BA36:$BG36)</f>
        <v>0</v>
      </c>
      <c r="BG239" s="234">
        <f>SUMIF(FEB!$BA$6:$BG$6,BG$177,FEB!$BA36:$BG36)</f>
        <v>0</v>
      </c>
      <c r="BH239" s="234">
        <f>SUMIF(FEB!$BA$6:$BG$6,BH$177,FEB!$BA36:$BG36)</f>
        <v>0</v>
      </c>
      <c r="BI239" s="234">
        <f>SUMIF(FEB!$BA$6:$BG$6,BI$177,FEB!$BA36:$BG36)</f>
        <v>0</v>
      </c>
      <c r="BJ239" s="234">
        <f>SUMIF(FEB!$BA$6:$BG$6,BJ$177,FEB!$BA36:$BG36)</f>
        <v>0</v>
      </c>
      <c r="BK239" s="234">
        <f>SUMIF(FEB!$BA$6:$BG$6,BK$177,FEB!$BA36:$BG36)</f>
        <v>0</v>
      </c>
      <c r="BL239" s="234">
        <f>SUMIF(FEB!$BA$6:$BG$6,BL$177,FEB!$BA36:$BG36)</f>
        <v>0</v>
      </c>
      <c r="BM239" s="234">
        <f>SUMIF(FEB!$BA$6:$BG$6,BM$177,FEB!$BA36:$BG36)</f>
        <v>0</v>
      </c>
      <c r="BN239" s="234">
        <f>SUMIF(FEB!$BA$6:$BG$6,BN$177,FEB!$BA36:$BG36)</f>
        <v>0</v>
      </c>
      <c r="BO239" s="236">
        <f>SUMIF(FEB!$BA$6:$BG$6,BO$177,FEB!$BA36:$BG36)</f>
        <v>0</v>
      </c>
      <c r="BP239" s="236">
        <f>SUMIF(FEB!$BA$6:$BG$6,BP$177,FEB!$BA36:$BG36)</f>
        <v>0</v>
      </c>
      <c r="BQ239" s="252"/>
      <c r="BR239" s="233">
        <f>SUMIF(FEB!$BA$5:$BG$5,BR$177,FEB!$BA36:$BG36)</f>
        <v>0</v>
      </c>
      <c r="BS239" s="234">
        <f>SUMIF(FEB!$BA$5:$BG$5,BS$177,FEB!$BA36:$BG36)</f>
        <v>0</v>
      </c>
      <c r="BT239" s="234">
        <f>SUMIF(FEB!$BA$5:$BG$5,BT$177,FEB!$BA36:$BG36)</f>
        <v>0</v>
      </c>
      <c r="BU239" s="234">
        <f>SUMIF(FEB!$BA$5:$BG$5,BU$177,FEB!$BA36:$BG36)</f>
        <v>0</v>
      </c>
      <c r="BV239" s="234">
        <f>SUMIF(FEB!$BA$5:$BG$5,BV$177,FEB!$BA36:$BG36)</f>
        <v>0</v>
      </c>
      <c r="BW239" s="234">
        <f>SUMIF(FEB!$BA$5:$BG$5,BW$177,FEB!$BA36:$BG36)</f>
        <v>0</v>
      </c>
      <c r="BX239" s="235">
        <f>SUMIF(FEB!$BA$5:$BG$5,BX$177,FEB!$BA36:$BG36)</f>
        <v>0</v>
      </c>
      <c r="BY239" s="999">
        <f>SUMIF(FEB!$BA$5:$BG$5,BY$177,FEB!$BA36:$BG36)</f>
        <v>0</v>
      </c>
      <c r="CB239" s="252"/>
      <c r="CC239" s="61" t="e">
        <f t="shared" si="30"/>
        <v>#N/A</v>
      </c>
      <c r="CD239" s="61">
        <f t="shared" si="31"/>
        <v>0</v>
      </c>
      <c r="CE239" s="222" t="str">
        <f>IF(E239="","",IF(AL239="Y",E239,""))</f>
        <v/>
      </c>
      <c r="CF239" s="61" t="e">
        <f t="shared" si="33"/>
        <v>#N/A</v>
      </c>
      <c r="CG239" s="61" t="e">
        <f t="shared" si="34"/>
        <v>#N/A</v>
      </c>
      <c r="CH239" s="522">
        <f>FEB!AL36-CW239+CR239</f>
        <v>0</v>
      </c>
      <c r="CI239" s="233">
        <f>SUMIF(FEB!$G$121:$M$121,CI$178,FEB!$AM36:$AS36)+SUMIF($CS$178:$CV$178,CI$178,$CS239:$CV239)</f>
        <v>0</v>
      </c>
      <c r="CJ239" s="234">
        <f>SUMIF(FEB!$G$121:$M$121,CJ$178,FEB!$AM36:$AS36)+SUMIF($CS$178:$CV$178,CJ$178,$CS239:$CV239)</f>
        <v>0</v>
      </c>
      <c r="CK239" s="235">
        <f>SUMIF(FEB!$G$121:$M$121,CK$178,FEB!$AM36:$AS36)+SUMIF($CS$178:$CV$178,CK$178,$CS239:$CV239)</f>
        <v>0</v>
      </c>
      <c r="CL239" s="235">
        <f>SUMIF(FEB!$G$121:$M$121,CL$178,FEB!$AM36:$AS36)+SUMIF($CS$178:$CV$178,CL$178,$CS239:$CV239)</f>
        <v>0</v>
      </c>
      <c r="CM239" s="235">
        <f>SUMIF(FEB!$G$121:$M$121,CM$178,FEB!$AM36:$AS36)+SUMIF($CS$178:$CV$178,CM$178,$CS239:$CV239)</f>
        <v>0</v>
      </c>
      <c r="CN239" s="235">
        <f>SUMIF(FEB!$G$121:$M$121,CN$178,FEB!$AM36:$AS36)+SUMIF($CS$178:$CV$178,CN$178,$CS239:$CV239)</f>
        <v>0</v>
      </c>
      <c r="CO239" s="235">
        <f>SUMIF(FEB!$G$121:$M$121,CO$178,FEB!$AM36:$AS36)+SUMIF($CS$178:$CV$178,CO$178,$CS239:$CV239)</f>
        <v>0</v>
      </c>
      <c r="CP239" s="235">
        <f>SUMIF(FEB!$G$121:$M$121,CP$178,FEB!$AM36:$AS36)+SUMIF($CS$178:$CV$178,CP$178,$CS239:$CV239)</f>
        <v>0</v>
      </c>
      <c r="CQ239" s="236">
        <f>SUMIF(FEB!$G$121:$M$121,CQ$178,FEB!$AM36:$AS36)+SUMIF($CS$178:$CV$178,CQ$178,$CS239:$CV239)</f>
        <v>0</v>
      </c>
      <c r="CR239" s="522">
        <f>FEB!AU36</f>
        <v>0</v>
      </c>
      <c r="CS239" s="233">
        <f>FEB!AV36</f>
        <v>0</v>
      </c>
      <c r="CT239" s="234">
        <f>FEB!AW36</f>
        <v>0</v>
      </c>
      <c r="CU239" s="235">
        <f>FEB!AX36</f>
        <v>0</v>
      </c>
      <c r="CV239" s="236">
        <f>FEB!AY36</f>
        <v>0</v>
      </c>
      <c r="CW239" s="522">
        <f>SUM(FEB!AU36:AY36)</f>
        <v>0</v>
      </c>
      <c r="CX239" s="522">
        <f>FEB!AK36</f>
        <v>0</v>
      </c>
      <c r="CY239" s="2"/>
    </row>
    <row r="240" spans="1:103" ht="14.25" hidden="1" customHeight="1" x14ac:dyDescent="0.2">
      <c r="A240" s="2"/>
      <c r="B240" s="105">
        <f t="shared" si="35"/>
        <v>45352</v>
      </c>
      <c r="C240" s="146">
        <f>IF(AND(E240&gt;(E$559-1),E240&lt;(I$559+1)),W$551,IF(ISERROR(HLOOKUP(E240,$E$552:$L$552,1,FALSE)),HLOOKUP(WEEKDAY(E240,2),IMPOSTAZIONI!$C$52:$P$57,6,FALSE),$W$550))</f>
        <v>0</v>
      </c>
      <c r="D240" s="71" t="str">
        <f t="shared" si="36"/>
        <v/>
      </c>
      <c r="E240" s="2264">
        <f>IF(A239&lt;&gt;A238,E238+1,E239+1)</f>
        <v>45352</v>
      </c>
      <c r="F240" s="2265"/>
      <c r="G240" s="2249">
        <f>MAR!E8</f>
        <v>0</v>
      </c>
      <c r="H240" s="2250"/>
      <c r="I240" s="2251"/>
      <c r="J240" s="262" t="str">
        <f t="shared" si="25"/>
        <v/>
      </c>
      <c r="K240" s="263"/>
      <c r="L240" s="2217">
        <f t="shared" si="43"/>
        <v>9</v>
      </c>
      <c r="M240" s="2218"/>
      <c r="N240" s="261"/>
      <c r="O240" s="261"/>
      <c r="P240" s="261"/>
      <c r="Q240" s="2219">
        <f t="shared" si="38"/>
        <v>45352</v>
      </c>
      <c r="R240" s="2219"/>
      <c r="S240" s="261"/>
      <c r="T240" s="1173">
        <f t="shared" si="26"/>
        <v>0</v>
      </c>
      <c r="U240" s="261"/>
      <c r="V240" s="261"/>
      <c r="W240" s="261"/>
      <c r="X240" s="261"/>
      <c r="Y240" s="261"/>
      <c r="Z240" s="261"/>
      <c r="AA240" s="261"/>
      <c r="AB240" s="261"/>
      <c r="AC240" s="261"/>
      <c r="AD240" s="261"/>
      <c r="AE240" s="261"/>
      <c r="AF240" s="261"/>
      <c r="AG240" s="1173">
        <f t="shared" si="39"/>
        <v>0</v>
      </c>
      <c r="AH240" s="61" t="str">
        <f t="shared" si="40"/>
        <v/>
      </c>
      <c r="AI240" s="89" t="e">
        <f t="shared" si="41"/>
        <v>#N/A</v>
      </c>
      <c r="AJ240" s="89">
        <f>IF(G240=G547,0,COUNTIF(T240:T270,"&gt;0"))</f>
        <v>0</v>
      </c>
      <c r="AK240" s="61">
        <f>IF(G240=G$547,0,IF(OR(G240&lt;&gt;0,CH240&lt;&gt;0,C240="L"),COUNTIF(AK$180:AK239,"&gt;0")+1,0))</f>
        <v>0</v>
      </c>
      <c r="AL240" s="61" t="str">
        <f t="shared" si="27"/>
        <v/>
      </c>
      <c r="AM240" s="61" t="e">
        <f t="shared" si="28"/>
        <v>#N/A</v>
      </c>
      <c r="AN240" s="89" t="e">
        <f t="shared" si="29"/>
        <v>#N/A</v>
      </c>
      <c r="AO240" s="230">
        <f>SUM(MAR!X8:AD8)-BD240+AY240</f>
        <v>0</v>
      </c>
      <c r="AP240" s="228">
        <f>SUMIF(MAR!$G$121:$M$121,AP$178,MAR!$P8:$V8)+SUMIF($AZ$178:$BC$178,AP$178,$AZ240:$BC240)</f>
        <v>0</v>
      </c>
      <c r="AQ240" s="229">
        <f>SUMIF(MAR!$G$121:$M$121,AQ$178,MAR!$P8:$V8)+SUMIF($AZ$178:$BC$178,AQ$178,$AZ240:$BC240)</f>
        <v>0</v>
      </c>
      <c r="AR240" s="230">
        <f>SUMIF(MAR!$G$121:$M$121,AR$178,MAR!$P8:$V8)+SUMIF($AZ$178:$BC$178,AR$178,$AZ240:$BC240)</f>
        <v>0</v>
      </c>
      <c r="AS240" s="230">
        <f>SUMIF(MAR!$G$121:$M$121,AS$178,MAR!$P8:$V8)+SUMIF($AZ$178:$BC$178,AS$178,$AZ240:$BC240)</f>
        <v>0</v>
      </c>
      <c r="AT240" s="230">
        <f>SUMIF(MAR!$G$121:$M$121,AT$178,MAR!$P8:$V8)+SUMIF($AZ$178:$BC$178,AT$178,$AZ240:$BC240)</f>
        <v>0</v>
      </c>
      <c r="AU240" s="230">
        <f>SUMIF(MAR!$G$121:$M$121,AU$178,MAR!$P8:$V8)+SUMIF($AZ$178:$BC$178,AU$178,$AZ240:$BC240)</f>
        <v>0</v>
      </c>
      <c r="AV240" s="230">
        <f>SUMIF(MAR!$G$121:$M$121,AV$178,MAR!$P8:$V8)+SUMIF($AZ$178:$BC$178,AV$178,$AZ240:$BC240)</f>
        <v>0</v>
      </c>
      <c r="AW240" s="230">
        <f>SUMIF(MAR!$G$121:$M$121,AW$178,MAR!$P8:$V8)+SUMIF($AZ$178:$BC$178,AW$178,$AZ240:$BC240)</f>
        <v>0</v>
      </c>
      <c r="AX240" s="231">
        <f>SUMIF(MAR!$G$121:$M$121,AX$178,MAR!$P8:$V8)+SUMIF($AZ$178:$BC$178,AX$178,$AZ240:$BC240)</f>
        <v>0</v>
      </c>
      <c r="AY240" s="232">
        <f>MAR!AF8</f>
        <v>0</v>
      </c>
      <c r="AZ240" s="228">
        <f>MAR!AG8</f>
        <v>0</v>
      </c>
      <c r="BA240" s="229">
        <f>MAR!AH8</f>
        <v>0</v>
      </c>
      <c r="BB240" s="230">
        <f>MAR!AI8</f>
        <v>0</v>
      </c>
      <c r="BC240" s="231">
        <f>MAR!AJ8</f>
        <v>0</v>
      </c>
      <c r="BD240" s="228">
        <f>SUMIF(MAR!$G$120:$M$120,"&gt;0",MAR!$X8:$AD8)</f>
        <v>0</v>
      </c>
      <c r="BE240" s="696"/>
      <c r="BF240" s="254">
        <f>SUMIF(MAR!$BA$6:$BG$6,BF$177,MAR!$BA8:$BG8)</f>
        <v>0</v>
      </c>
      <c r="BG240" s="255">
        <f>SUMIF(MAR!$BA$6:$BG$6,BG$177,MAR!$BA8:$BG8)</f>
        <v>0</v>
      </c>
      <c r="BH240" s="255">
        <f>SUMIF(MAR!$BA$6:$BG$6,BH$177,MAR!$BA8:$BG8)</f>
        <v>0</v>
      </c>
      <c r="BI240" s="255">
        <f>SUMIF(MAR!$BA$6:$BG$6,BI$177,MAR!$BA8:$BG8)</f>
        <v>0</v>
      </c>
      <c r="BJ240" s="255">
        <f>SUMIF(MAR!$BA$6:$BG$6,BJ$177,MAR!$BA8:$BG8)</f>
        <v>0</v>
      </c>
      <c r="BK240" s="255">
        <f>SUMIF(MAR!$BA$6:$BG$6,BK$177,MAR!$BA8:$BG8)</f>
        <v>0</v>
      </c>
      <c r="BL240" s="255">
        <f>SUMIF(MAR!$BA$6:$BG$6,BL$177,MAR!$BA8:$BG8)</f>
        <v>0</v>
      </c>
      <c r="BM240" s="255">
        <f>SUMIF(MAR!$BA$6:$BG$6,BM$177,MAR!$BA8:$BG8)</f>
        <v>0</v>
      </c>
      <c r="BN240" s="255">
        <f>SUMIF(MAR!$BA$6:$BG$6,BN$177,MAR!$BA8:$BG8)</f>
        <v>0</v>
      </c>
      <c r="BO240" s="256">
        <f>SUMIF(MAR!$BA$6:$BG$6,BO$177,MAR!$BA8:$BG8)</f>
        <v>0</v>
      </c>
      <c r="BP240" s="256">
        <f>SUMIF(MAR!$BA$6:$BG$6,BP$177,MAR!$BA8:$BG8)</f>
        <v>0</v>
      </c>
      <c r="BQ240" s="252"/>
      <c r="BR240" s="254">
        <f>SUMIF(MAR!$BA$5:$BG$5,BR$177,MAR!$BA8:$BG8)</f>
        <v>0</v>
      </c>
      <c r="BS240" s="255">
        <f>SUMIF(MAR!$BA$5:$BG$5,BS$177,MAR!$BA8:$BG8)</f>
        <v>0</v>
      </c>
      <c r="BT240" s="255">
        <f>SUMIF(MAR!$BA$5:$BG$5,BT$177,MAR!$BA8:$BG8)</f>
        <v>0</v>
      </c>
      <c r="BU240" s="255">
        <f>SUMIF(MAR!$BA$5:$BG$5,BU$177,MAR!$BA8:$BG8)</f>
        <v>0</v>
      </c>
      <c r="BV240" s="255">
        <f>SUMIF(MAR!$BA$5:$BG$5,BV$177,MAR!$BA8:$BG8)</f>
        <v>0</v>
      </c>
      <c r="BW240" s="255">
        <f>SUMIF(MAR!$BA$5:$BG$5,BW$177,MAR!$BA8:$BG8)</f>
        <v>0</v>
      </c>
      <c r="BX240" s="996">
        <f>SUMIF(MAR!$BA$5:$BG$5,BX$177,MAR!$BA8:$BG8)</f>
        <v>0</v>
      </c>
      <c r="BY240" s="997">
        <f>SUMIF(MAR!$BA$5:$BG$5,BY$177,MAR!$BA8:$BG8)</f>
        <v>0</v>
      </c>
      <c r="CB240" s="252"/>
      <c r="CC240" s="61" t="e">
        <f t="shared" si="30"/>
        <v>#N/A</v>
      </c>
      <c r="CD240" s="61">
        <f t="shared" si="31"/>
        <v>0</v>
      </c>
      <c r="CE240" s="105" t="str">
        <f t="shared" ref="CE240:CE303" si="46">IF(AL240="Y",E240,"")</f>
        <v/>
      </c>
      <c r="CF240" s="61" t="e">
        <f t="shared" si="33"/>
        <v>#N/A</v>
      </c>
      <c r="CG240" s="61" t="e">
        <f t="shared" si="34"/>
        <v>#N/A</v>
      </c>
      <c r="CH240" s="523">
        <f>MAR!AL8-CW240+CR240</f>
        <v>0</v>
      </c>
      <c r="CI240" s="228">
        <f>SUMIF(MAR!$G$121:$M$121,CI$178,MAR!$AM8:$AS8)+SUMIF($CS$178:$CV$178,CI$178,$CS240:$CV240)</f>
        <v>0</v>
      </c>
      <c r="CJ240" s="229">
        <f>SUMIF(MAR!$G$121:$M$121,CJ$178,MAR!$AM8:$AS8)+SUMIF($CS$178:$CV$178,CJ$178,$CS240:$CV240)</f>
        <v>0</v>
      </c>
      <c r="CK240" s="230">
        <f>SUMIF(MAR!$G$121:$M$121,CK$178,MAR!$AM8:$AS8)+SUMIF($CS$178:$CV$178,CK$178,$CS240:$CV240)</f>
        <v>0</v>
      </c>
      <c r="CL240" s="230">
        <f>SUMIF(MAR!$G$121:$M$121,CL$178,MAR!$AM8:$AS8)+SUMIF($CS$178:$CV$178,CL$178,$CS240:$CV240)</f>
        <v>0</v>
      </c>
      <c r="CM240" s="230">
        <f>SUMIF(MAR!$G$121:$M$121,CM$178,MAR!$AM8:$AS8)+SUMIF($CS$178:$CV$178,CM$178,$CS240:$CV240)</f>
        <v>0</v>
      </c>
      <c r="CN240" s="230">
        <f>SUMIF(MAR!$G$121:$M$121,CN$178,MAR!$AM8:$AS8)+SUMIF($CS$178:$CV$178,CN$178,$CS240:$CV240)</f>
        <v>0</v>
      </c>
      <c r="CO240" s="230">
        <f>SUMIF(MAR!$G$121:$M$121,CO$178,MAR!$AM8:$AS8)+SUMIF($CS$178:$CV$178,CO$178,$CS240:$CV240)</f>
        <v>0</v>
      </c>
      <c r="CP240" s="230">
        <f>SUMIF(MAR!$G$121:$M$121,CP$178,MAR!$AM8:$AS8)+SUMIF($CS$178:$CV$178,CP$178,$CS240:$CV240)</f>
        <v>0</v>
      </c>
      <c r="CQ240" s="231">
        <f>SUMIF(MAR!$G$121:$M$121,CQ$178,MAR!$AM8:$AS8)+SUMIF($CS$178:$CV$178,CQ$178,$CS240:$CV240)</f>
        <v>0</v>
      </c>
      <c r="CR240" s="523">
        <f>MAR!AU8</f>
        <v>0</v>
      </c>
      <c r="CS240" s="228">
        <f>MAR!AV8</f>
        <v>0</v>
      </c>
      <c r="CT240" s="229">
        <f>MAR!AW8</f>
        <v>0</v>
      </c>
      <c r="CU240" s="230">
        <f>MAR!AX8</f>
        <v>0</v>
      </c>
      <c r="CV240" s="231">
        <f>MAR!AY8</f>
        <v>0</v>
      </c>
      <c r="CW240" s="523">
        <f>SUM(MAR!AU8:AY8)</f>
        <v>0</v>
      </c>
      <c r="CX240" s="523">
        <f>MAR!AK8</f>
        <v>0</v>
      </c>
      <c r="CY240" s="2"/>
    </row>
    <row r="241" spans="1:103" ht="14.25" hidden="1" customHeight="1" x14ac:dyDescent="0.2">
      <c r="A241" s="2"/>
      <c r="B241" s="105">
        <f t="shared" si="35"/>
        <v>45353</v>
      </c>
      <c r="C241" s="146">
        <f>IF(AND(E241&gt;(E$559-1),E241&lt;(I$559+1)),W$551,IF(ISERROR(HLOOKUP(E241,$E$552:$L$552,1,FALSE)),HLOOKUP(WEEKDAY(E241,2),IMPOSTAZIONI!$C$52:$P$57,6,FALSE),$W$550))</f>
        <v>0</v>
      </c>
      <c r="D241" s="71" t="str">
        <f t="shared" si="36"/>
        <v/>
      </c>
      <c r="E241" s="2258">
        <f t="shared" si="42"/>
        <v>45353</v>
      </c>
      <c r="F241" s="2259"/>
      <c r="G241" s="2228">
        <f>MAR!E9</f>
        <v>0</v>
      </c>
      <c r="H241" s="2229"/>
      <c r="I241" s="2230"/>
      <c r="J241" s="262" t="str">
        <f t="shared" si="25"/>
        <v/>
      </c>
      <c r="K241" s="263"/>
      <c r="L241" s="2217">
        <f t="shared" si="43"/>
        <v>9</v>
      </c>
      <c r="M241" s="2218"/>
      <c r="N241" s="261"/>
      <c r="O241" s="261"/>
      <c r="P241" s="261"/>
      <c r="Q241" s="2219">
        <f t="shared" si="38"/>
        <v>45353</v>
      </c>
      <c r="R241" s="2219"/>
      <c r="S241" s="261"/>
      <c r="T241" s="1173">
        <f t="shared" si="26"/>
        <v>0</v>
      </c>
      <c r="U241" s="261"/>
      <c r="V241" s="261"/>
      <c r="W241" s="261"/>
      <c r="X241" s="261"/>
      <c r="Y241" s="261"/>
      <c r="Z241" s="261"/>
      <c r="AA241" s="261"/>
      <c r="AB241" s="261"/>
      <c r="AC241" s="261"/>
      <c r="AD241" s="261"/>
      <c r="AE241" s="261"/>
      <c r="AF241" s="261"/>
      <c r="AG241" s="1173">
        <f t="shared" si="39"/>
        <v>0</v>
      </c>
      <c r="AH241" s="61" t="str">
        <f t="shared" si="40"/>
        <v/>
      </c>
      <c r="AI241" s="89" t="e">
        <f t="shared" si="41"/>
        <v>#N/A</v>
      </c>
      <c r="AJ241" s="2"/>
      <c r="AK241" s="61">
        <f>IF(G241=G$547,0,IF(OR(G241&lt;&gt;0,CH241&lt;&gt;0,C241="L"),COUNTIF(AK$180:AK240,"&gt;0")+1,0))</f>
        <v>0</v>
      </c>
      <c r="AL241" s="61" t="str">
        <f t="shared" si="27"/>
        <v/>
      </c>
      <c r="AM241" s="61" t="e">
        <f t="shared" si="28"/>
        <v>#N/A</v>
      </c>
      <c r="AN241" s="89" t="e">
        <f t="shared" si="29"/>
        <v>#N/A</v>
      </c>
      <c r="AO241" s="230">
        <f>SUM(MAR!X9:AD9)-BD241+AY241</f>
        <v>0</v>
      </c>
      <c r="AP241" s="228">
        <f>SUMIF(MAR!$G$121:$M$121,AP$178,MAR!$P9:$V9)+SUMIF($AZ$178:$BC$178,AP$178,$AZ241:$BC241)</f>
        <v>0</v>
      </c>
      <c r="AQ241" s="229">
        <f>SUMIF(MAR!$G$121:$M$121,AQ$178,MAR!$P9:$V9)+SUMIF($AZ$178:$BC$178,AQ$178,$AZ241:$BC241)</f>
        <v>0</v>
      </c>
      <c r="AR241" s="230">
        <f>SUMIF(MAR!$G$121:$M$121,AR$178,MAR!$P9:$V9)+SUMIF($AZ$178:$BC$178,AR$178,$AZ241:$BC241)</f>
        <v>0</v>
      </c>
      <c r="AS241" s="230">
        <f>SUMIF(MAR!$G$121:$M$121,AS$178,MAR!$P9:$V9)+SUMIF($AZ$178:$BC$178,AS$178,$AZ241:$BC241)</f>
        <v>0</v>
      </c>
      <c r="AT241" s="230">
        <f>SUMIF(MAR!$G$121:$M$121,AT$178,MAR!$P9:$V9)+SUMIF($AZ$178:$BC$178,AT$178,$AZ241:$BC241)</f>
        <v>0</v>
      </c>
      <c r="AU241" s="230">
        <f>SUMIF(MAR!$G$121:$M$121,AU$178,MAR!$P9:$V9)+SUMIF($AZ$178:$BC$178,AU$178,$AZ241:$BC241)</f>
        <v>0</v>
      </c>
      <c r="AV241" s="230">
        <f>SUMIF(MAR!$G$121:$M$121,AV$178,MAR!$P9:$V9)+SUMIF($AZ$178:$BC$178,AV$178,$AZ241:$BC241)</f>
        <v>0</v>
      </c>
      <c r="AW241" s="230">
        <f>SUMIF(MAR!$G$121:$M$121,AW$178,MAR!$P9:$V9)+SUMIF($AZ$178:$BC$178,AW$178,$AZ241:$BC241)</f>
        <v>0</v>
      </c>
      <c r="AX241" s="231">
        <f>SUMIF(MAR!$G$121:$M$121,AX$178,MAR!$P9:$V9)+SUMIF($AZ$178:$BC$178,AX$178,$AZ241:$BC241)</f>
        <v>0</v>
      </c>
      <c r="AY241" s="232">
        <f>MAR!AF9</f>
        <v>0</v>
      </c>
      <c r="AZ241" s="228">
        <f>MAR!AG9</f>
        <v>0</v>
      </c>
      <c r="BA241" s="229">
        <f>MAR!AH9</f>
        <v>0</v>
      </c>
      <c r="BB241" s="230">
        <f>MAR!AI9</f>
        <v>0</v>
      </c>
      <c r="BC241" s="231">
        <f>MAR!AJ9</f>
        <v>0</v>
      </c>
      <c r="BD241" s="228">
        <f>SUMIF(MAR!$G$120:$M$120,"&gt;0",MAR!$X9:$AD9)</f>
        <v>0</v>
      </c>
      <c r="BE241" s="696"/>
      <c r="BF241" s="228">
        <f>SUMIF(MAR!$BA$6:$BG$6,BF$177,MAR!$BA9:$BG9)</f>
        <v>0</v>
      </c>
      <c r="BG241" s="229">
        <f>SUMIF(MAR!$BA$6:$BG$6,BG$177,MAR!$BA9:$BG9)</f>
        <v>0</v>
      </c>
      <c r="BH241" s="229">
        <f>SUMIF(MAR!$BA$6:$BG$6,BH$177,MAR!$BA9:$BG9)</f>
        <v>0</v>
      </c>
      <c r="BI241" s="229">
        <f>SUMIF(MAR!$BA$6:$BG$6,BI$177,MAR!$BA9:$BG9)</f>
        <v>0</v>
      </c>
      <c r="BJ241" s="229">
        <f>SUMIF(MAR!$BA$6:$BG$6,BJ$177,MAR!$BA9:$BG9)</f>
        <v>0</v>
      </c>
      <c r="BK241" s="229">
        <f>SUMIF(MAR!$BA$6:$BG$6,BK$177,MAR!$BA9:$BG9)</f>
        <v>0</v>
      </c>
      <c r="BL241" s="229">
        <f>SUMIF(MAR!$BA$6:$BG$6,BL$177,MAR!$BA9:$BG9)</f>
        <v>0</v>
      </c>
      <c r="BM241" s="229">
        <f>SUMIF(MAR!$BA$6:$BG$6,BM$177,MAR!$BA9:$BG9)</f>
        <v>0</v>
      </c>
      <c r="BN241" s="229">
        <f>SUMIF(MAR!$BA$6:$BG$6,BN$177,MAR!$BA9:$BG9)</f>
        <v>0</v>
      </c>
      <c r="BO241" s="231">
        <f>SUMIF(MAR!$BA$6:$BG$6,BO$177,MAR!$BA9:$BG9)</f>
        <v>0</v>
      </c>
      <c r="BP241" s="231">
        <f>SUMIF(MAR!$BA$6:$BG$6,BP$177,MAR!$BA9:$BG9)</f>
        <v>0</v>
      </c>
      <c r="BQ241" s="252"/>
      <c r="BR241" s="228">
        <f>SUMIF(MAR!$BA$5:$BG$5,BR$177,MAR!$BA9:$BG9)</f>
        <v>0</v>
      </c>
      <c r="BS241" s="229">
        <f>SUMIF(MAR!$BA$5:$BG$5,BS$177,MAR!$BA9:$BG9)</f>
        <v>0</v>
      </c>
      <c r="BT241" s="229">
        <f>SUMIF(MAR!$BA$5:$BG$5,BT$177,MAR!$BA9:$BG9)</f>
        <v>0</v>
      </c>
      <c r="BU241" s="229">
        <f>SUMIF(MAR!$BA$5:$BG$5,BU$177,MAR!$BA9:$BG9)</f>
        <v>0</v>
      </c>
      <c r="BV241" s="229">
        <f>SUMIF(MAR!$BA$5:$BG$5,BV$177,MAR!$BA9:$BG9)</f>
        <v>0</v>
      </c>
      <c r="BW241" s="229">
        <f>SUMIF(MAR!$BA$5:$BG$5,BW$177,MAR!$BA9:$BG9)</f>
        <v>0</v>
      </c>
      <c r="BX241" s="230">
        <f>SUMIF(MAR!$BA$5:$BG$5,BX$177,MAR!$BA9:$BG9)</f>
        <v>0</v>
      </c>
      <c r="BY241" s="998">
        <f>SUMIF(MAR!$BA$5:$BG$5,BY$177,MAR!$BA9:$BG9)</f>
        <v>0</v>
      </c>
      <c r="CB241" s="252"/>
      <c r="CC241" s="61" t="e">
        <f t="shared" si="30"/>
        <v>#N/A</v>
      </c>
      <c r="CD241" s="61">
        <f t="shared" si="31"/>
        <v>0</v>
      </c>
      <c r="CE241" s="105" t="str">
        <f t="shared" si="46"/>
        <v/>
      </c>
      <c r="CF241" s="61" t="e">
        <f t="shared" si="33"/>
        <v>#N/A</v>
      </c>
      <c r="CG241" s="61" t="e">
        <f t="shared" si="34"/>
        <v>#N/A</v>
      </c>
      <c r="CH241" s="521">
        <f>MAR!AL9-CW241+CR241</f>
        <v>0</v>
      </c>
      <c r="CI241" s="228">
        <f>SUMIF(MAR!$G$121:$M$121,CI$178,MAR!$AM9:$AS9)+SUMIF($CS$178:$CV$178,CI$178,$CS241:$CV241)</f>
        <v>0</v>
      </c>
      <c r="CJ241" s="229">
        <f>SUMIF(MAR!$G$121:$M$121,CJ$178,MAR!$AM9:$AS9)+SUMIF($CS$178:$CV$178,CJ$178,$CS241:$CV241)</f>
        <v>0</v>
      </c>
      <c r="CK241" s="230">
        <f>SUMIF(MAR!$G$121:$M$121,CK$178,MAR!$AM9:$AS9)+SUMIF($CS$178:$CV$178,CK$178,$CS241:$CV241)</f>
        <v>0</v>
      </c>
      <c r="CL241" s="230">
        <f>SUMIF(MAR!$G$121:$M$121,CL$178,MAR!$AM9:$AS9)+SUMIF($CS$178:$CV$178,CL$178,$CS241:$CV241)</f>
        <v>0</v>
      </c>
      <c r="CM241" s="230">
        <f>SUMIF(MAR!$G$121:$M$121,CM$178,MAR!$AM9:$AS9)+SUMIF($CS$178:$CV$178,CM$178,$CS241:$CV241)</f>
        <v>0</v>
      </c>
      <c r="CN241" s="230">
        <f>SUMIF(MAR!$G$121:$M$121,CN$178,MAR!$AM9:$AS9)+SUMIF($CS$178:$CV$178,CN$178,$CS241:$CV241)</f>
        <v>0</v>
      </c>
      <c r="CO241" s="230">
        <f>SUMIF(MAR!$G$121:$M$121,CO$178,MAR!$AM9:$AS9)+SUMIF($CS$178:$CV$178,CO$178,$CS241:$CV241)</f>
        <v>0</v>
      </c>
      <c r="CP241" s="230">
        <f>SUMIF(MAR!$G$121:$M$121,CP$178,MAR!$AM9:$AS9)+SUMIF($CS$178:$CV$178,CP$178,$CS241:$CV241)</f>
        <v>0</v>
      </c>
      <c r="CQ241" s="231">
        <f>SUMIF(MAR!$G$121:$M$121,CQ$178,MAR!$AM9:$AS9)+SUMIF($CS$178:$CV$178,CQ$178,$CS241:$CV241)</f>
        <v>0</v>
      </c>
      <c r="CR241" s="521">
        <f>MAR!AU9</f>
        <v>0</v>
      </c>
      <c r="CS241" s="228">
        <f>MAR!AV9</f>
        <v>0</v>
      </c>
      <c r="CT241" s="229">
        <f>MAR!AW9</f>
        <v>0</v>
      </c>
      <c r="CU241" s="230">
        <f>MAR!AX9</f>
        <v>0</v>
      </c>
      <c r="CV241" s="231">
        <f>MAR!AY9</f>
        <v>0</v>
      </c>
      <c r="CW241" s="521">
        <f>SUM(MAR!AU9:AY9)</f>
        <v>0</v>
      </c>
      <c r="CX241" s="521">
        <f>MAR!AK9</f>
        <v>0</v>
      </c>
      <c r="CY241" s="2"/>
    </row>
    <row r="242" spans="1:103" ht="14.25" hidden="1" customHeight="1" x14ac:dyDescent="0.2">
      <c r="A242" s="2"/>
      <c r="B242" s="105">
        <f t="shared" si="35"/>
        <v>45354</v>
      </c>
      <c r="C242" s="146">
        <f>IF(AND(E242&gt;(E$559-1),E242&lt;(I$559+1)),W$551,IF(ISERROR(HLOOKUP(E242,$E$552:$L$552,1,FALSE)),HLOOKUP(WEEKDAY(E242,2),IMPOSTAZIONI!$C$52:$P$57,6,FALSE),$W$550))</f>
        <v>0</v>
      </c>
      <c r="D242" s="71" t="str">
        <f t="shared" si="36"/>
        <v/>
      </c>
      <c r="E242" s="2258">
        <f t="shared" si="42"/>
        <v>45354</v>
      </c>
      <c r="F242" s="2259"/>
      <c r="G242" s="2228">
        <f>MAR!E10</f>
        <v>0</v>
      </c>
      <c r="H242" s="2229"/>
      <c r="I242" s="2230"/>
      <c r="J242" s="262" t="str">
        <f t="shared" si="25"/>
        <v/>
      </c>
      <c r="K242" s="263"/>
      <c r="L242" s="2220">
        <f t="shared" si="43"/>
        <v>9</v>
      </c>
      <c r="M242" s="2221"/>
      <c r="N242" s="261"/>
      <c r="O242" s="261"/>
      <c r="P242" s="261"/>
      <c r="Q242" s="2219">
        <f t="shared" si="38"/>
        <v>45354</v>
      </c>
      <c r="R242" s="2219"/>
      <c r="S242" s="261"/>
      <c r="T242" s="1173">
        <f t="shared" si="26"/>
        <v>0</v>
      </c>
      <c r="U242" s="261"/>
      <c r="V242" s="261"/>
      <c r="W242" s="261"/>
      <c r="X242" s="261"/>
      <c r="Y242" s="261"/>
      <c r="Z242" s="261"/>
      <c r="AA242" s="261"/>
      <c r="AB242" s="261"/>
      <c r="AC242" s="261"/>
      <c r="AD242" s="261"/>
      <c r="AE242" s="261"/>
      <c r="AF242" s="261"/>
      <c r="AG242" s="1173">
        <f t="shared" si="39"/>
        <v>0</v>
      </c>
      <c r="AH242" s="61" t="str">
        <f t="shared" si="40"/>
        <v/>
      </c>
      <c r="AI242" s="89" t="e">
        <f t="shared" si="41"/>
        <v>#N/A</v>
      </c>
      <c r="AJ242" s="2"/>
      <c r="AK242" s="61">
        <f>IF(G242=G$547,0,IF(OR(G242&lt;&gt;0,CH242&lt;&gt;0,C242="L"),COUNTIF(AK$180:AK241,"&gt;0")+1,0))</f>
        <v>0</v>
      </c>
      <c r="AL242" s="61" t="str">
        <f t="shared" si="27"/>
        <v/>
      </c>
      <c r="AM242" s="61" t="e">
        <f t="shared" si="28"/>
        <v>#N/A</v>
      </c>
      <c r="AN242" s="89" t="e">
        <f t="shared" si="29"/>
        <v>#N/A</v>
      </c>
      <c r="AO242" s="230">
        <f>SUM(MAR!X10:AD10)-BD242+AY242</f>
        <v>0</v>
      </c>
      <c r="AP242" s="228">
        <f>SUMIF(MAR!$G$121:$M$121,AP$178,MAR!$P10:$V10)+SUMIF($AZ$178:$BC$178,AP$178,$AZ242:$BC242)</f>
        <v>0</v>
      </c>
      <c r="AQ242" s="229">
        <f>SUMIF(MAR!$G$121:$M$121,AQ$178,MAR!$P10:$V10)+SUMIF($AZ$178:$BC$178,AQ$178,$AZ242:$BC242)</f>
        <v>0</v>
      </c>
      <c r="AR242" s="230">
        <f>SUMIF(MAR!$G$121:$M$121,AR$178,MAR!$P10:$V10)+SUMIF($AZ$178:$BC$178,AR$178,$AZ242:$BC242)</f>
        <v>0</v>
      </c>
      <c r="AS242" s="230">
        <f>SUMIF(MAR!$G$121:$M$121,AS$178,MAR!$P10:$V10)+SUMIF($AZ$178:$BC$178,AS$178,$AZ242:$BC242)</f>
        <v>0</v>
      </c>
      <c r="AT242" s="230">
        <f>SUMIF(MAR!$G$121:$M$121,AT$178,MAR!$P10:$V10)+SUMIF($AZ$178:$BC$178,AT$178,$AZ242:$BC242)</f>
        <v>0</v>
      </c>
      <c r="AU242" s="230">
        <f>SUMIF(MAR!$G$121:$M$121,AU$178,MAR!$P10:$V10)+SUMIF($AZ$178:$BC$178,AU$178,$AZ242:$BC242)</f>
        <v>0</v>
      </c>
      <c r="AV242" s="230">
        <f>SUMIF(MAR!$G$121:$M$121,AV$178,MAR!$P10:$V10)+SUMIF($AZ$178:$BC$178,AV$178,$AZ242:$BC242)</f>
        <v>0</v>
      </c>
      <c r="AW242" s="230">
        <f>SUMIF(MAR!$G$121:$M$121,AW$178,MAR!$P10:$V10)+SUMIF($AZ$178:$BC$178,AW$178,$AZ242:$BC242)</f>
        <v>0</v>
      </c>
      <c r="AX242" s="231">
        <f>SUMIF(MAR!$G$121:$M$121,AX$178,MAR!$P10:$V10)+SUMIF($AZ$178:$BC$178,AX$178,$AZ242:$BC242)</f>
        <v>0</v>
      </c>
      <c r="AY242" s="232">
        <f>MAR!AF10</f>
        <v>0</v>
      </c>
      <c r="AZ242" s="228">
        <f>MAR!AG10</f>
        <v>0</v>
      </c>
      <c r="BA242" s="229">
        <f>MAR!AH10</f>
        <v>0</v>
      </c>
      <c r="BB242" s="230">
        <f>MAR!AI10</f>
        <v>0</v>
      </c>
      <c r="BC242" s="231">
        <f>MAR!AJ10</f>
        <v>0</v>
      </c>
      <c r="BD242" s="228">
        <f>SUMIF(MAR!$G$120:$M$120,"&gt;0",MAR!$X10:$AD10)</f>
        <v>0</v>
      </c>
      <c r="BE242" s="696"/>
      <c r="BF242" s="228">
        <f>SUMIF(MAR!$BA$6:$BG$6,BF$177,MAR!$BA10:$BG10)</f>
        <v>0</v>
      </c>
      <c r="BG242" s="229">
        <f>SUMIF(MAR!$BA$6:$BG$6,BG$177,MAR!$BA10:$BG10)</f>
        <v>0</v>
      </c>
      <c r="BH242" s="229">
        <f>SUMIF(MAR!$BA$6:$BG$6,BH$177,MAR!$BA10:$BG10)</f>
        <v>0</v>
      </c>
      <c r="BI242" s="229">
        <f>SUMIF(MAR!$BA$6:$BG$6,BI$177,MAR!$BA10:$BG10)</f>
        <v>0</v>
      </c>
      <c r="BJ242" s="229">
        <f>SUMIF(MAR!$BA$6:$BG$6,BJ$177,MAR!$BA10:$BG10)</f>
        <v>0</v>
      </c>
      <c r="BK242" s="229">
        <f>SUMIF(MAR!$BA$6:$BG$6,BK$177,MAR!$BA10:$BG10)</f>
        <v>0</v>
      </c>
      <c r="BL242" s="229">
        <f>SUMIF(MAR!$BA$6:$BG$6,BL$177,MAR!$BA10:$BG10)</f>
        <v>0</v>
      </c>
      <c r="BM242" s="229">
        <f>SUMIF(MAR!$BA$6:$BG$6,BM$177,MAR!$BA10:$BG10)</f>
        <v>0</v>
      </c>
      <c r="BN242" s="229">
        <f>SUMIF(MAR!$BA$6:$BG$6,BN$177,MAR!$BA10:$BG10)</f>
        <v>0</v>
      </c>
      <c r="BO242" s="231">
        <f>SUMIF(MAR!$BA$6:$BG$6,BO$177,MAR!$BA10:$BG10)</f>
        <v>0</v>
      </c>
      <c r="BP242" s="231">
        <f>SUMIF(MAR!$BA$6:$BG$6,BP$177,MAR!$BA10:$BG10)</f>
        <v>0</v>
      </c>
      <c r="BQ242" s="252"/>
      <c r="BR242" s="228">
        <f>SUMIF(MAR!$BA$5:$BG$5,BR$177,MAR!$BA10:$BG10)</f>
        <v>0</v>
      </c>
      <c r="BS242" s="229">
        <f>SUMIF(MAR!$BA$5:$BG$5,BS$177,MAR!$BA10:$BG10)</f>
        <v>0</v>
      </c>
      <c r="BT242" s="229">
        <f>SUMIF(MAR!$BA$5:$BG$5,BT$177,MAR!$BA10:$BG10)</f>
        <v>0</v>
      </c>
      <c r="BU242" s="229">
        <f>SUMIF(MAR!$BA$5:$BG$5,BU$177,MAR!$BA10:$BG10)</f>
        <v>0</v>
      </c>
      <c r="BV242" s="229">
        <f>SUMIF(MAR!$BA$5:$BG$5,BV$177,MAR!$BA10:$BG10)</f>
        <v>0</v>
      </c>
      <c r="BW242" s="229">
        <f>SUMIF(MAR!$BA$5:$BG$5,BW$177,MAR!$BA10:$BG10)</f>
        <v>0</v>
      </c>
      <c r="BX242" s="230">
        <f>SUMIF(MAR!$BA$5:$BG$5,BX$177,MAR!$BA10:$BG10)</f>
        <v>0</v>
      </c>
      <c r="BY242" s="998">
        <f>SUMIF(MAR!$BA$5:$BG$5,BY$177,MAR!$BA10:$BG10)</f>
        <v>0</v>
      </c>
      <c r="CB242" s="252"/>
      <c r="CC242" s="61" t="e">
        <f t="shared" si="30"/>
        <v>#N/A</v>
      </c>
      <c r="CD242" s="61">
        <f t="shared" si="31"/>
        <v>0</v>
      </c>
      <c r="CE242" s="105" t="str">
        <f t="shared" si="46"/>
        <v/>
      </c>
      <c r="CF242" s="61" t="e">
        <f t="shared" si="33"/>
        <v>#N/A</v>
      </c>
      <c r="CG242" s="61" t="e">
        <f t="shared" si="34"/>
        <v>#N/A</v>
      </c>
      <c r="CH242" s="521">
        <f>MAR!AL10-CW242+CR242</f>
        <v>0</v>
      </c>
      <c r="CI242" s="228">
        <f>SUMIF(MAR!$G$121:$M$121,CI$178,MAR!$AM10:$AS10)+SUMIF($CS$178:$CV$178,CI$178,$CS242:$CV242)</f>
        <v>0</v>
      </c>
      <c r="CJ242" s="229">
        <f>SUMIF(MAR!$G$121:$M$121,CJ$178,MAR!$AM10:$AS10)+SUMIF($CS$178:$CV$178,CJ$178,$CS242:$CV242)</f>
        <v>0</v>
      </c>
      <c r="CK242" s="230">
        <f>SUMIF(MAR!$G$121:$M$121,CK$178,MAR!$AM10:$AS10)+SUMIF($CS$178:$CV$178,CK$178,$CS242:$CV242)</f>
        <v>0</v>
      </c>
      <c r="CL242" s="230">
        <f>SUMIF(MAR!$G$121:$M$121,CL$178,MAR!$AM10:$AS10)+SUMIF($CS$178:$CV$178,CL$178,$CS242:$CV242)</f>
        <v>0</v>
      </c>
      <c r="CM242" s="230">
        <f>SUMIF(MAR!$G$121:$M$121,CM$178,MAR!$AM10:$AS10)+SUMIF($CS$178:$CV$178,CM$178,$CS242:$CV242)</f>
        <v>0</v>
      </c>
      <c r="CN242" s="230">
        <f>SUMIF(MAR!$G$121:$M$121,CN$178,MAR!$AM10:$AS10)+SUMIF($CS$178:$CV$178,CN$178,$CS242:$CV242)</f>
        <v>0</v>
      </c>
      <c r="CO242" s="230">
        <f>SUMIF(MAR!$G$121:$M$121,CO$178,MAR!$AM10:$AS10)+SUMIF($CS$178:$CV$178,CO$178,$CS242:$CV242)</f>
        <v>0</v>
      </c>
      <c r="CP242" s="230">
        <f>SUMIF(MAR!$G$121:$M$121,CP$178,MAR!$AM10:$AS10)+SUMIF($CS$178:$CV$178,CP$178,$CS242:$CV242)</f>
        <v>0</v>
      </c>
      <c r="CQ242" s="231">
        <f>SUMIF(MAR!$G$121:$M$121,CQ$178,MAR!$AM10:$AS10)+SUMIF($CS$178:$CV$178,CQ$178,$CS242:$CV242)</f>
        <v>0</v>
      </c>
      <c r="CR242" s="521">
        <f>MAR!AU10</f>
        <v>0</v>
      </c>
      <c r="CS242" s="228">
        <f>MAR!AV10</f>
        <v>0</v>
      </c>
      <c r="CT242" s="229">
        <f>MAR!AW10</f>
        <v>0</v>
      </c>
      <c r="CU242" s="230">
        <f>MAR!AX10</f>
        <v>0</v>
      </c>
      <c r="CV242" s="231">
        <f>MAR!AY10</f>
        <v>0</v>
      </c>
      <c r="CW242" s="521">
        <f>SUM(MAR!AU10:AY10)</f>
        <v>0</v>
      </c>
      <c r="CX242" s="521">
        <f>MAR!AK10</f>
        <v>0</v>
      </c>
      <c r="CY242" s="2"/>
    </row>
    <row r="243" spans="1:103" ht="14.25" hidden="1" customHeight="1" x14ac:dyDescent="0.2">
      <c r="A243" s="2"/>
      <c r="B243" s="105">
        <f t="shared" si="35"/>
        <v>45355</v>
      </c>
      <c r="C243" s="146">
        <f>IF(AND(E243&gt;(E$559-1),E243&lt;(I$559+1)),W$551,IF(ISERROR(HLOOKUP(E243,$E$552:$L$552,1,FALSE)),HLOOKUP(WEEKDAY(E243,2),IMPOSTAZIONI!$C$52:$P$57,6,FALSE),$W$550))</f>
        <v>0</v>
      </c>
      <c r="D243" s="71" t="str">
        <f t="shared" si="36"/>
        <v/>
      </c>
      <c r="E243" s="2258">
        <f t="shared" si="42"/>
        <v>45355</v>
      </c>
      <c r="F243" s="2259"/>
      <c r="G243" s="2228">
        <f>MAR!E11</f>
        <v>0</v>
      </c>
      <c r="H243" s="2229"/>
      <c r="I243" s="2230"/>
      <c r="J243" s="262" t="str">
        <f t="shared" si="25"/>
        <v/>
      </c>
      <c r="K243" s="263"/>
      <c r="L243" s="2222">
        <f t="shared" si="43"/>
        <v>10</v>
      </c>
      <c r="M243" s="2223"/>
      <c r="N243" s="261"/>
      <c r="O243" s="261"/>
      <c r="P243" s="261"/>
      <c r="Q243" s="2219">
        <f t="shared" si="38"/>
        <v>45355</v>
      </c>
      <c r="R243" s="2219"/>
      <c r="S243" s="261"/>
      <c r="T243" s="1173">
        <f t="shared" si="26"/>
        <v>0</v>
      </c>
      <c r="U243" s="261"/>
      <c r="V243" s="261"/>
      <c r="W243" s="261"/>
      <c r="X243" s="261"/>
      <c r="Y243" s="261"/>
      <c r="Z243" s="261"/>
      <c r="AA243" s="261"/>
      <c r="AB243" s="261"/>
      <c r="AC243" s="261"/>
      <c r="AD243" s="261"/>
      <c r="AE243" s="261"/>
      <c r="AF243" s="261"/>
      <c r="AG243" s="1173">
        <f t="shared" si="39"/>
        <v>0</v>
      </c>
      <c r="AH243" s="61" t="str">
        <f t="shared" si="40"/>
        <v/>
      </c>
      <c r="AI243" s="89" t="e">
        <f t="shared" si="41"/>
        <v>#N/A</v>
      </c>
      <c r="AJ243" s="2"/>
      <c r="AK243" s="61">
        <f>IF(G243=G$547,0,IF(OR(G243&lt;&gt;0,CH243&lt;&gt;0,C243="L"),COUNTIF(AK$180:AK242,"&gt;0")+1,0))</f>
        <v>0</v>
      </c>
      <c r="AL243" s="61" t="str">
        <f t="shared" si="27"/>
        <v/>
      </c>
      <c r="AM243" s="61" t="e">
        <f t="shared" si="28"/>
        <v>#N/A</v>
      </c>
      <c r="AN243" s="89" t="e">
        <f t="shared" si="29"/>
        <v>#N/A</v>
      </c>
      <c r="AO243" s="230">
        <f>SUM(MAR!X11:AD11)-BD243+AY243</f>
        <v>0</v>
      </c>
      <c r="AP243" s="228">
        <f>SUMIF(MAR!$G$121:$M$121,AP$178,MAR!$P11:$V11)+SUMIF($AZ$178:$BC$178,AP$178,$AZ243:$BC243)</f>
        <v>0</v>
      </c>
      <c r="AQ243" s="229">
        <f>SUMIF(MAR!$G$121:$M$121,AQ$178,MAR!$P11:$V11)+SUMIF($AZ$178:$BC$178,AQ$178,$AZ243:$BC243)</f>
        <v>0</v>
      </c>
      <c r="AR243" s="230">
        <f>SUMIF(MAR!$G$121:$M$121,AR$178,MAR!$P11:$V11)+SUMIF($AZ$178:$BC$178,AR$178,$AZ243:$BC243)</f>
        <v>0</v>
      </c>
      <c r="AS243" s="230">
        <f>SUMIF(MAR!$G$121:$M$121,AS$178,MAR!$P11:$V11)+SUMIF($AZ$178:$BC$178,AS$178,$AZ243:$BC243)</f>
        <v>0</v>
      </c>
      <c r="AT243" s="230">
        <f>SUMIF(MAR!$G$121:$M$121,AT$178,MAR!$P11:$V11)+SUMIF($AZ$178:$BC$178,AT$178,$AZ243:$BC243)</f>
        <v>0</v>
      </c>
      <c r="AU243" s="230">
        <f>SUMIF(MAR!$G$121:$M$121,AU$178,MAR!$P11:$V11)+SUMIF($AZ$178:$BC$178,AU$178,$AZ243:$BC243)</f>
        <v>0</v>
      </c>
      <c r="AV243" s="230">
        <f>SUMIF(MAR!$G$121:$M$121,AV$178,MAR!$P11:$V11)+SUMIF($AZ$178:$BC$178,AV$178,$AZ243:$BC243)</f>
        <v>0</v>
      </c>
      <c r="AW243" s="230">
        <f>SUMIF(MAR!$G$121:$M$121,AW$178,MAR!$P11:$V11)+SUMIF($AZ$178:$BC$178,AW$178,$AZ243:$BC243)</f>
        <v>0</v>
      </c>
      <c r="AX243" s="231">
        <f>SUMIF(MAR!$G$121:$M$121,AX$178,MAR!$P11:$V11)+SUMIF($AZ$178:$BC$178,AX$178,$AZ243:$BC243)</f>
        <v>0</v>
      </c>
      <c r="AY243" s="232">
        <f>MAR!AF11</f>
        <v>0</v>
      </c>
      <c r="AZ243" s="228">
        <f>MAR!AG11</f>
        <v>0</v>
      </c>
      <c r="BA243" s="229">
        <f>MAR!AH11</f>
        <v>0</v>
      </c>
      <c r="BB243" s="230">
        <f>MAR!AI11</f>
        <v>0</v>
      </c>
      <c r="BC243" s="231">
        <f>MAR!AJ11</f>
        <v>0</v>
      </c>
      <c r="BD243" s="228">
        <f>SUMIF(MAR!$G$120:$M$120,"&gt;0",MAR!$X11:$AD11)</f>
        <v>0</v>
      </c>
      <c r="BE243" s="696"/>
      <c r="BF243" s="228">
        <f>SUMIF(MAR!$BA$6:$BG$6,BF$177,MAR!$BA11:$BG11)</f>
        <v>0</v>
      </c>
      <c r="BG243" s="229">
        <f>SUMIF(MAR!$BA$6:$BG$6,BG$177,MAR!$BA11:$BG11)</f>
        <v>0</v>
      </c>
      <c r="BH243" s="229">
        <f>SUMIF(MAR!$BA$6:$BG$6,BH$177,MAR!$BA11:$BG11)</f>
        <v>0</v>
      </c>
      <c r="BI243" s="229">
        <f>SUMIF(MAR!$BA$6:$BG$6,BI$177,MAR!$BA11:$BG11)</f>
        <v>0</v>
      </c>
      <c r="BJ243" s="229">
        <f>SUMIF(MAR!$BA$6:$BG$6,BJ$177,MAR!$BA11:$BG11)</f>
        <v>0</v>
      </c>
      <c r="BK243" s="229">
        <f>SUMIF(MAR!$BA$6:$BG$6,BK$177,MAR!$BA11:$BG11)</f>
        <v>0</v>
      </c>
      <c r="BL243" s="229">
        <f>SUMIF(MAR!$BA$6:$BG$6,BL$177,MAR!$BA11:$BG11)</f>
        <v>0</v>
      </c>
      <c r="BM243" s="229">
        <f>SUMIF(MAR!$BA$6:$BG$6,BM$177,MAR!$BA11:$BG11)</f>
        <v>0</v>
      </c>
      <c r="BN243" s="229">
        <f>SUMIF(MAR!$BA$6:$BG$6,BN$177,MAR!$BA11:$BG11)</f>
        <v>0</v>
      </c>
      <c r="BO243" s="231">
        <f>SUMIF(MAR!$BA$6:$BG$6,BO$177,MAR!$BA11:$BG11)</f>
        <v>0</v>
      </c>
      <c r="BP243" s="231">
        <f>SUMIF(MAR!$BA$6:$BG$6,BP$177,MAR!$BA11:$BG11)</f>
        <v>0</v>
      </c>
      <c r="BQ243" s="252"/>
      <c r="BR243" s="228">
        <f>SUMIF(MAR!$BA$5:$BG$5,BR$177,MAR!$BA11:$BG11)</f>
        <v>0</v>
      </c>
      <c r="BS243" s="229">
        <f>SUMIF(MAR!$BA$5:$BG$5,BS$177,MAR!$BA11:$BG11)</f>
        <v>0</v>
      </c>
      <c r="BT243" s="229">
        <f>SUMIF(MAR!$BA$5:$BG$5,BT$177,MAR!$BA11:$BG11)</f>
        <v>0</v>
      </c>
      <c r="BU243" s="229">
        <f>SUMIF(MAR!$BA$5:$BG$5,BU$177,MAR!$BA11:$BG11)</f>
        <v>0</v>
      </c>
      <c r="BV243" s="229">
        <f>SUMIF(MAR!$BA$5:$BG$5,BV$177,MAR!$BA11:$BG11)</f>
        <v>0</v>
      </c>
      <c r="BW243" s="229">
        <f>SUMIF(MAR!$BA$5:$BG$5,BW$177,MAR!$BA11:$BG11)</f>
        <v>0</v>
      </c>
      <c r="BX243" s="230">
        <f>SUMIF(MAR!$BA$5:$BG$5,BX$177,MAR!$BA11:$BG11)</f>
        <v>0</v>
      </c>
      <c r="BY243" s="998">
        <f>SUMIF(MAR!$BA$5:$BG$5,BY$177,MAR!$BA11:$BG11)</f>
        <v>0</v>
      </c>
      <c r="CB243" s="252"/>
      <c r="CC243" s="61" t="e">
        <f t="shared" si="30"/>
        <v>#N/A</v>
      </c>
      <c r="CD243" s="61">
        <f t="shared" si="31"/>
        <v>0</v>
      </c>
      <c r="CE243" s="105" t="str">
        <f t="shared" si="46"/>
        <v/>
      </c>
      <c r="CF243" s="61" t="e">
        <f t="shared" si="33"/>
        <v>#N/A</v>
      </c>
      <c r="CG243" s="61" t="e">
        <f t="shared" si="34"/>
        <v>#N/A</v>
      </c>
      <c r="CH243" s="521">
        <f>MAR!AL11-CW243+CR243</f>
        <v>0</v>
      </c>
      <c r="CI243" s="228">
        <f>SUMIF(MAR!$G$121:$M$121,CI$178,MAR!$AM11:$AS11)+SUMIF($CS$178:$CV$178,CI$178,$CS243:$CV243)</f>
        <v>0</v>
      </c>
      <c r="CJ243" s="229">
        <f>SUMIF(MAR!$G$121:$M$121,CJ$178,MAR!$AM11:$AS11)+SUMIF($CS$178:$CV$178,CJ$178,$CS243:$CV243)</f>
        <v>0</v>
      </c>
      <c r="CK243" s="230">
        <f>SUMIF(MAR!$G$121:$M$121,CK$178,MAR!$AM11:$AS11)+SUMIF($CS$178:$CV$178,CK$178,$CS243:$CV243)</f>
        <v>0</v>
      </c>
      <c r="CL243" s="230">
        <f>SUMIF(MAR!$G$121:$M$121,CL$178,MAR!$AM11:$AS11)+SUMIF($CS$178:$CV$178,CL$178,$CS243:$CV243)</f>
        <v>0</v>
      </c>
      <c r="CM243" s="230">
        <f>SUMIF(MAR!$G$121:$M$121,CM$178,MAR!$AM11:$AS11)+SUMIF($CS$178:$CV$178,CM$178,$CS243:$CV243)</f>
        <v>0</v>
      </c>
      <c r="CN243" s="230">
        <f>SUMIF(MAR!$G$121:$M$121,CN$178,MAR!$AM11:$AS11)+SUMIF($CS$178:$CV$178,CN$178,$CS243:$CV243)</f>
        <v>0</v>
      </c>
      <c r="CO243" s="230">
        <f>SUMIF(MAR!$G$121:$M$121,CO$178,MAR!$AM11:$AS11)+SUMIF($CS$178:$CV$178,CO$178,$CS243:$CV243)</f>
        <v>0</v>
      </c>
      <c r="CP243" s="230">
        <f>SUMIF(MAR!$G$121:$M$121,CP$178,MAR!$AM11:$AS11)+SUMIF($CS$178:$CV$178,CP$178,$CS243:$CV243)</f>
        <v>0</v>
      </c>
      <c r="CQ243" s="231">
        <f>SUMIF(MAR!$G$121:$M$121,CQ$178,MAR!$AM11:$AS11)+SUMIF($CS$178:$CV$178,CQ$178,$CS243:$CV243)</f>
        <v>0</v>
      </c>
      <c r="CR243" s="521">
        <f>MAR!AU11</f>
        <v>0</v>
      </c>
      <c r="CS243" s="228">
        <f>MAR!AV11</f>
        <v>0</v>
      </c>
      <c r="CT243" s="229">
        <f>MAR!AW11</f>
        <v>0</v>
      </c>
      <c r="CU243" s="230">
        <f>MAR!AX11</f>
        <v>0</v>
      </c>
      <c r="CV243" s="231">
        <f>MAR!AY11</f>
        <v>0</v>
      </c>
      <c r="CW243" s="521">
        <f>SUM(MAR!AU11:AY11)</f>
        <v>0</v>
      </c>
      <c r="CX243" s="521">
        <f>MAR!AK11</f>
        <v>0</v>
      </c>
      <c r="CY243" s="2"/>
    </row>
    <row r="244" spans="1:103" ht="14.25" hidden="1" customHeight="1" x14ac:dyDescent="0.2">
      <c r="A244" s="2"/>
      <c r="B244" s="105">
        <f t="shared" si="35"/>
        <v>45356</v>
      </c>
      <c r="C244" s="146">
        <f>IF(AND(E244&gt;(E$559-1),E244&lt;(I$559+1)),W$551,IF(ISERROR(HLOOKUP(E244,$E$552:$L$552,1,FALSE)),HLOOKUP(WEEKDAY(E244,2),IMPOSTAZIONI!$C$52:$P$57,6,FALSE),$W$550))</f>
        <v>0</v>
      </c>
      <c r="D244" s="71" t="str">
        <f t="shared" si="36"/>
        <v/>
      </c>
      <c r="E244" s="2258">
        <f t="shared" si="42"/>
        <v>45356</v>
      </c>
      <c r="F244" s="2259"/>
      <c r="G244" s="2228">
        <f>MAR!E12</f>
        <v>0</v>
      </c>
      <c r="H244" s="2229"/>
      <c r="I244" s="2230"/>
      <c r="J244" s="262" t="str">
        <f t="shared" ref="J244:J307" si="47">IF(E244=T$5,"&gt;","")</f>
        <v/>
      </c>
      <c r="K244" s="263"/>
      <c r="L244" s="2217">
        <f t="shared" si="43"/>
        <v>10</v>
      </c>
      <c r="M244" s="2218"/>
      <c r="N244" s="261"/>
      <c r="O244" s="261"/>
      <c r="P244" s="261"/>
      <c r="Q244" s="2219">
        <f t="shared" si="38"/>
        <v>45356</v>
      </c>
      <c r="R244" s="2219"/>
      <c r="S244" s="261"/>
      <c r="T244" s="1173">
        <f t="shared" ref="T244:T307" si="48">IF(OR(G244&lt;&gt;0,CH244&lt;&gt;0),1,0)</f>
        <v>0</v>
      </c>
      <c r="U244" s="261"/>
      <c r="V244" s="261"/>
      <c r="W244" s="261"/>
      <c r="X244" s="261"/>
      <c r="Y244" s="261"/>
      <c r="Z244" s="261"/>
      <c r="AA244" s="261"/>
      <c r="AB244" s="261"/>
      <c r="AC244" s="261"/>
      <c r="AD244" s="261"/>
      <c r="AE244" s="261"/>
      <c r="AF244" s="261"/>
      <c r="AG244" s="1173">
        <f t="shared" si="39"/>
        <v>0</v>
      </c>
      <c r="AH244" s="61" t="str">
        <f t="shared" si="40"/>
        <v/>
      </c>
      <c r="AI244" s="89" t="e">
        <f t="shared" si="41"/>
        <v>#N/A</v>
      </c>
      <c r="AJ244" s="2"/>
      <c r="AK244" s="61">
        <f>IF(G244=G$547,0,IF(OR(G244&lt;&gt;0,CH244&lt;&gt;0,C244="L"),COUNTIF(AK$180:AK243,"&gt;0")+1,0))</f>
        <v>0</v>
      </c>
      <c r="AL244" s="61" t="str">
        <f t="shared" ref="AL244:AL307" si="49">IF(AL$177=5,AH244,IF(AK244=0,"",IF(AL$177=1,IF(AND(AK244&gt;($CD$549-1),AK244&lt;($CD$550+1)),"Y",""),IF(AL$177=2,IF(AL$176=MONTH(E244),"Y",""),IF(AL$177=3,"Y",IF(AL$177=4,IF(AND(E244&gt;(AO$177-1),E244&lt;(AO$178+1)),"Y",""),IF(AL$177=5,IF(AG244=1,"Y",""),"")))))))</f>
        <v/>
      </c>
      <c r="AM244" s="61" t="e">
        <f t="shared" ref="AM244:AM307" si="50">IF(AM$175=AM$174,CG244,IF(AND(AN$177&gt;0,AN$178&gt;0),IF(AND(E244&gt;(AN$177-1),E244&lt;(AN$178+1),OR(AO244&lt;&gt;0,AN244=AM$177)),"X",""),""))</f>
        <v>#N/A</v>
      </c>
      <c r="AN244" s="89" t="e">
        <f t="shared" ref="AN244:AN307" si="51">IF(AND(E244&gt;(AN$177-1),E244&lt;(AN$178+1)),C244,0)</f>
        <v>#N/A</v>
      </c>
      <c r="AO244" s="230">
        <f>SUM(MAR!X12:AD12)-BD244+AY244</f>
        <v>0</v>
      </c>
      <c r="AP244" s="228">
        <f>SUMIF(MAR!$G$121:$M$121,AP$178,MAR!$P12:$V12)+SUMIF($AZ$178:$BC$178,AP$178,$AZ244:$BC244)</f>
        <v>0</v>
      </c>
      <c r="AQ244" s="229">
        <f>SUMIF(MAR!$G$121:$M$121,AQ$178,MAR!$P12:$V12)+SUMIF($AZ$178:$BC$178,AQ$178,$AZ244:$BC244)</f>
        <v>0</v>
      </c>
      <c r="AR244" s="230">
        <f>SUMIF(MAR!$G$121:$M$121,AR$178,MAR!$P12:$V12)+SUMIF($AZ$178:$BC$178,AR$178,$AZ244:$BC244)</f>
        <v>0</v>
      </c>
      <c r="AS244" s="230">
        <f>SUMIF(MAR!$G$121:$M$121,AS$178,MAR!$P12:$V12)+SUMIF($AZ$178:$BC$178,AS$178,$AZ244:$BC244)</f>
        <v>0</v>
      </c>
      <c r="AT244" s="230">
        <f>SUMIF(MAR!$G$121:$M$121,AT$178,MAR!$P12:$V12)+SUMIF($AZ$178:$BC$178,AT$178,$AZ244:$BC244)</f>
        <v>0</v>
      </c>
      <c r="AU244" s="230">
        <f>SUMIF(MAR!$G$121:$M$121,AU$178,MAR!$P12:$V12)+SUMIF($AZ$178:$BC$178,AU$178,$AZ244:$BC244)</f>
        <v>0</v>
      </c>
      <c r="AV244" s="230">
        <f>SUMIF(MAR!$G$121:$M$121,AV$178,MAR!$P12:$V12)+SUMIF($AZ$178:$BC$178,AV$178,$AZ244:$BC244)</f>
        <v>0</v>
      </c>
      <c r="AW244" s="230">
        <f>SUMIF(MAR!$G$121:$M$121,AW$178,MAR!$P12:$V12)+SUMIF($AZ$178:$BC$178,AW$178,$AZ244:$BC244)</f>
        <v>0</v>
      </c>
      <c r="AX244" s="231">
        <f>SUMIF(MAR!$G$121:$M$121,AX$178,MAR!$P12:$V12)+SUMIF($AZ$178:$BC$178,AX$178,$AZ244:$BC244)</f>
        <v>0</v>
      </c>
      <c r="AY244" s="232">
        <f>MAR!AF12</f>
        <v>0</v>
      </c>
      <c r="AZ244" s="228">
        <f>MAR!AG12</f>
        <v>0</v>
      </c>
      <c r="BA244" s="229">
        <f>MAR!AH12</f>
        <v>0</v>
      </c>
      <c r="BB244" s="230">
        <f>MAR!AI12</f>
        <v>0</v>
      </c>
      <c r="BC244" s="231">
        <f>MAR!AJ12</f>
        <v>0</v>
      </c>
      <c r="BD244" s="228">
        <f>SUMIF(MAR!$G$120:$M$120,"&gt;0",MAR!$X12:$AD12)</f>
        <v>0</v>
      </c>
      <c r="BE244" s="696"/>
      <c r="BF244" s="228">
        <f>SUMIF(MAR!$BA$6:$BG$6,BF$177,MAR!$BA12:$BG12)</f>
        <v>0</v>
      </c>
      <c r="BG244" s="229">
        <f>SUMIF(MAR!$BA$6:$BG$6,BG$177,MAR!$BA12:$BG12)</f>
        <v>0</v>
      </c>
      <c r="BH244" s="229">
        <f>SUMIF(MAR!$BA$6:$BG$6,BH$177,MAR!$BA12:$BG12)</f>
        <v>0</v>
      </c>
      <c r="BI244" s="229">
        <f>SUMIF(MAR!$BA$6:$BG$6,BI$177,MAR!$BA12:$BG12)</f>
        <v>0</v>
      </c>
      <c r="BJ244" s="229">
        <f>SUMIF(MAR!$BA$6:$BG$6,BJ$177,MAR!$BA12:$BG12)</f>
        <v>0</v>
      </c>
      <c r="BK244" s="229">
        <f>SUMIF(MAR!$BA$6:$BG$6,BK$177,MAR!$BA12:$BG12)</f>
        <v>0</v>
      </c>
      <c r="BL244" s="229">
        <f>SUMIF(MAR!$BA$6:$BG$6,BL$177,MAR!$BA12:$BG12)</f>
        <v>0</v>
      </c>
      <c r="BM244" s="229">
        <f>SUMIF(MAR!$BA$6:$BG$6,BM$177,MAR!$BA12:$BG12)</f>
        <v>0</v>
      </c>
      <c r="BN244" s="229">
        <f>SUMIF(MAR!$BA$6:$BG$6,BN$177,MAR!$BA12:$BG12)</f>
        <v>0</v>
      </c>
      <c r="BO244" s="231">
        <f>SUMIF(MAR!$BA$6:$BG$6,BO$177,MAR!$BA12:$BG12)</f>
        <v>0</v>
      </c>
      <c r="BP244" s="231">
        <f>SUMIF(MAR!$BA$6:$BG$6,BP$177,MAR!$BA12:$BG12)</f>
        <v>0</v>
      </c>
      <c r="BQ244" s="252"/>
      <c r="BR244" s="228">
        <f>SUMIF(MAR!$BA$5:$BG$5,BR$177,MAR!$BA12:$BG12)</f>
        <v>0</v>
      </c>
      <c r="BS244" s="229">
        <f>SUMIF(MAR!$BA$5:$BG$5,BS$177,MAR!$BA12:$BG12)</f>
        <v>0</v>
      </c>
      <c r="BT244" s="229">
        <f>SUMIF(MAR!$BA$5:$BG$5,BT$177,MAR!$BA12:$BG12)</f>
        <v>0</v>
      </c>
      <c r="BU244" s="229">
        <f>SUMIF(MAR!$BA$5:$BG$5,BU$177,MAR!$BA12:$BG12)</f>
        <v>0</v>
      </c>
      <c r="BV244" s="229">
        <f>SUMIF(MAR!$BA$5:$BG$5,BV$177,MAR!$BA12:$BG12)</f>
        <v>0</v>
      </c>
      <c r="BW244" s="229">
        <f>SUMIF(MAR!$BA$5:$BG$5,BW$177,MAR!$BA12:$BG12)</f>
        <v>0</v>
      </c>
      <c r="BX244" s="230">
        <f>SUMIF(MAR!$BA$5:$BG$5,BX$177,MAR!$BA12:$BG12)</f>
        <v>0</v>
      </c>
      <c r="BY244" s="998">
        <f>SUMIF(MAR!$BA$5:$BG$5,BY$177,MAR!$BA12:$BG12)</f>
        <v>0</v>
      </c>
      <c r="CB244" s="252"/>
      <c r="CC244" s="61" t="e">
        <f t="shared" ref="CC244:CC307" si="52">IF(AM244="X",AK244,0)</f>
        <v>#N/A</v>
      </c>
      <c r="CD244" s="61">
        <f t="shared" ref="CD244:CD307" si="53">IF(AL244="Y",AK244,0)</f>
        <v>0</v>
      </c>
      <c r="CE244" s="105" t="str">
        <f t="shared" si="46"/>
        <v/>
      </c>
      <c r="CF244" s="61" t="e">
        <f t="shared" ref="CF244:CF307" si="54">IF(CG244="X",AK244,0)</f>
        <v>#N/A</v>
      </c>
      <c r="CG244" s="61" t="e">
        <f t="shared" ref="CG244:CG307" si="55">IF(AND(L244&gt;(AI$177-1),L244&lt;(AI$178+1),OR(AO244&lt;&gt;0,AI244=CG$177)),"X","")</f>
        <v>#N/A</v>
      </c>
      <c r="CH244" s="521">
        <f>MAR!AL12-CW244+CR244</f>
        <v>0</v>
      </c>
      <c r="CI244" s="228">
        <f>SUMIF(MAR!$G$121:$M$121,CI$178,MAR!$AM12:$AS12)+SUMIF($CS$178:$CV$178,CI$178,$CS244:$CV244)</f>
        <v>0</v>
      </c>
      <c r="CJ244" s="229">
        <f>SUMIF(MAR!$G$121:$M$121,CJ$178,MAR!$AM12:$AS12)+SUMIF($CS$178:$CV$178,CJ$178,$CS244:$CV244)</f>
        <v>0</v>
      </c>
      <c r="CK244" s="230">
        <f>SUMIF(MAR!$G$121:$M$121,CK$178,MAR!$AM12:$AS12)+SUMIF($CS$178:$CV$178,CK$178,$CS244:$CV244)</f>
        <v>0</v>
      </c>
      <c r="CL244" s="230">
        <f>SUMIF(MAR!$G$121:$M$121,CL$178,MAR!$AM12:$AS12)+SUMIF($CS$178:$CV$178,CL$178,$CS244:$CV244)</f>
        <v>0</v>
      </c>
      <c r="CM244" s="230">
        <f>SUMIF(MAR!$G$121:$M$121,CM$178,MAR!$AM12:$AS12)+SUMIF($CS$178:$CV$178,CM$178,$CS244:$CV244)</f>
        <v>0</v>
      </c>
      <c r="CN244" s="230">
        <f>SUMIF(MAR!$G$121:$M$121,CN$178,MAR!$AM12:$AS12)+SUMIF($CS$178:$CV$178,CN$178,$CS244:$CV244)</f>
        <v>0</v>
      </c>
      <c r="CO244" s="230">
        <f>SUMIF(MAR!$G$121:$M$121,CO$178,MAR!$AM12:$AS12)+SUMIF($CS$178:$CV$178,CO$178,$CS244:$CV244)</f>
        <v>0</v>
      </c>
      <c r="CP244" s="230">
        <f>SUMIF(MAR!$G$121:$M$121,CP$178,MAR!$AM12:$AS12)+SUMIF($CS$178:$CV$178,CP$178,$CS244:$CV244)</f>
        <v>0</v>
      </c>
      <c r="CQ244" s="231">
        <f>SUMIF(MAR!$G$121:$M$121,CQ$178,MAR!$AM12:$AS12)+SUMIF($CS$178:$CV$178,CQ$178,$CS244:$CV244)</f>
        <v>0</v>
      </c>
      <c r="CR244" s="521">
        <f>MAR!AU12</f>
        <v>0</v>
      </c>
      <c r="CS244" s="228">
        <f>MAR!AV12</f>
        <v>0</v>
      </c>
      <c r="CT244" s="229">
        <f>MAR!AW12</f>
        <v>0</v>
      </c>
      <c r="CU244" s="230">
        <f>MAR!AX12</f>
        <v>0</v>
      </c>
      <c r="CV244" s="231">
        <f>MAR!AY12</f>
        <v>0</v>
      </c>
      <c r="CW244" s="521">
        <f>SUM(MAR!AU12:AY12)</f>
        <v>0</v>
      </c>
      <c r="CX244" s="521">
        <f>MAR!AK12</f>
        <v>0</v>
      </c>
      <c r="CY244" s="2"/>
    </row>
    <row r="245" spans="1:103" ht="14.25" hidden="1" customHeight="1" x14ac:dyDescent="0.2">
      <c r="A245" s="2"/>
      <c r="B245" s="105">
        <f t="shared" ref="B245:B308" si="56">E245</f>
        <v>45357</v>
      </c>
      <c r="C245" s="146">
        <f>IF(AND(E245&gt;(E$559-1),E245&lt;(I$559+1)),W$551,IF(ISERROR(HLOOKUP(E245,$E$552:$L$552,1,FALSE)),HLOOKUP(WEEKDAY(E245,2),IMPOSTAZIONI!$C$52:$P$57,6,FALSE),$W$550))</f>
        <v>0</v>
      </c>
      <c r="D245" s="71" t="str">
        <f t="shared" ref="D245:D308" si="57">IF(C245="L",MONTH(E245),"")</f>
        <v/>
      </c>
      <c r="E245" s="2258">
        <f t="shared" si="42"/>
        <v>45357</v>
      </c>
      <c r="F245" s="2259"/>
      <c r="G245" s="2228">
        <f>MAR!E13</f>
        <v>0</v>
      </c>
      <c r="H245" s="2229"/>
      <c r="I245" s="2230"/>
      <c r="J245" s="262" t="str">
        <f t="shared" si="47"/>
        <v/>
      </c>
      <c r="K245" s="263"/>
      <c r="L245" s="2217">
        <f t="shared" si="43"/>
        <v>10</v>
      </c>
      <c r="M245" s="2218"/>
      <c r="N245" s="261"/>
      <c r="O245" s="261"/>
      <c r="P245" s="261"/>
      <c r="Q245" s="2219">
        <f t="shared" ref="Q245:Q308" si="58">E245</f>
        <v>45357</v>
      </c>
      <c r="R245" s="2219"/>
      <c r="S245" s="261"/>
      <c r="T245" s="1173">
        <f t="shared" si="48"/>
        <v>0</v>
      </c>
      <c r="U245" s="261"/>
      <c r="V245" s="261"/>
      <c r="W245" s="261"/>
      <c r="X245" s="261"/>
      <c r="Y245" s="261"/>
      <c r="Z245" s="261"/>
      <c r="AA245" s="261"/>
      <c r="AB245" s="261"/>
      <c r="AC245" s="261"/>
      <c r="AD245" s="261"/>
      <c r="AE245" s="261"/>
      <c r="AF245" s="261"/>
      <c r="AG245" s="1173">
        <f t="shared" ref="AG245:AG308" si="59">IF(AND(L245&gt;(AG$176-1),L245&lt;(AG$177+1)),1,0)</f>
        <v>0</v>
      </c>
      <c r="AH245" s="61" t="str">
        <f t="shared" ref="AH245:AH308" si="60">IF(AK245=0,"",IF(AH$177=5,IF(AND(L245&gt;(AG$176-1),L245&lt;(AG$177+1)),"Y",""),""))</f>
        <v/>
      </c>
      <c r="AI245" s="89" t="e">
        <f t="shared" ref="AI245:AI308" si="61">IF(AND($L245&gt;(AI$177-1),$L245&lt;(AI$178+1)),$C245,0)</f>
        <v>#N/A</v>
      </c>
      <c r="AJ245" s="2"/>
      <c r="AK245" s="61">
        <f>IF(G245=G$547,0,IF(OR(G245&lt;&gt;0,CH245&lt;&gt;0,C245="L"),COUNTIF(AK$180:AK244,"&gt;0")+1,0))</f>
        <v>0</v>
      </c>
      <c r="AL245" s="61" t="str">
        <f t="shared" si="49"/>
        <v/>
      </c>
      <c r="AM245" s="61" t="e">
        <f t="shared" si="50"/>
        <v>#N/A</v>
      </c>
      <c r="AN245" s="89" t="e">
        <f t="shared" si="51"/>
        <v>#N/A</v>
      </c>
      <c r="AO245" s="230">
        <f>SUM(MAR!X13:AD13)-BD245+AY245</f>
        <v>0</v>
      </c>
      <c r="AP245" s="228">
        <f>SUMIF(MAR!$G$121:$M$121,AP$178,MAR!$P13:$V13)+SUMIF($AZ$178:$BC$178,AP$178,$AZ245:$BC245)</f>
        <v>0</v>
      </c>
      <c r="AQ245" s="229">
        <f>SUMIF(MAR!$G$121:$M$121,AQ$178,MAR!$P13:$V13)+SUMIF($AZ$178:$BC$178,AQ$178,$AZ245:$BC245)</f>
        <v>0</v>
      </c>
      <c r="AR245" s="230">
        <f>SUMIF(MAR!$G$121:$M$121,AR$178,MAR!$P13:$V13)+SUMIF($AZ$178:$BC$178,AR$178,$AZ245:$BC245)</f>
        <v>0</v>
      </c>
      <c r="AS245" s="230">
        <f>SUMIF(MAR!$G$121:$M$121,AS$178,MAR!$P13:$V13)+SUMIF($AZ$178:$BC$178,AS$178,$AZ245:$BC245)</f>
        <v>0</v>
      </c>
      <c r="AT245" s="230">
        <f>SUMIF(MAR!$G$121:$M$121,AT$178,MAR!$P13:$V13)+SUMIF($AZ$178:$BC$178,AT$178,$AZ245:$BC245)</f>
        <v>0</v>
      </c>
      <c r="AU245" s="230">
        <f>SUMIF(MAR!$G$121:$M$121,AU$178,MAR!$P13:$V13)+SUMIF($AZ$178:$BC$178,AU$178,$AZ245:$BC245)</f>
        <v>0</v>
      </c>
      <c r="AV245" s="230">
        <f>SUMIF(MAR!$G$121:$M$121,AV$178,MAR!$P13:$V13)+SUMIF($AZ$178:$BC$178,AV$178,$AZ245:$BC245)</f>
        <v>0</v>
      </c>
      <c r="AW245" s="230">
        <f>SUMIF(MAR!$G$121:$M$121,AW$178,MAR!$P13:$V13)+SUMIF($AZ$178:$BC$178,AW$178,$AZ245:$BC245)</f>
        <v>0</v>
      </c>
      <c r="AX245" s="231">
        <f>SUMIF(MAR!$G$121:$M$121,AX$178,MAR!$P13:$V13)+SUMIF($AZ$178:$BC$178,AX$178,$AZ245:$BC245)</f>
        <v>0</v>
      </c>
      <c r="AY245" s="232">
        <f>MAR!AF13</f>
        <v>0</v>
      </c>
      <c r="AZ245" s="228">
        <f>MAR!AG13</f>
        <v>0</v>
      </c>
      <c r="BA245" s="229">
        <f>MAR!AH13</f>
        <v>0</v>
      </c>
      <c r="BB245" s="230">
        <f>MAR!AI13</f>
        <v>0</v>
      </c>
      <c r="BC245" s="231">
        <f>MAR!AJ13</f>
        <v>0</v>
      </c>
      <c r="BD245" s="228">
        <f>SUMIF(MAR!$G$120:$M$120,"&gt;0",MAR!$X13:$AD13)</f>
        <v>0</v>
      </c>
      <c r="BE245" s="696"/>
      <c r="BF245" s="228">
        <f>SUMIF(MAR!$BA$6:$BG$6,BF$177,MAR!$BA13:$BG13)</f>
        <v>0</v>
      </c>
      <c r="BG245" s="229">
        <f>SUMIF(MAR!$BA$6:$BG$6,BG$177,MAR!$BA13:$BG13)</f>
        <v>0</v>
      </c>
      <c r="BH245" s="229">
        <f>SUMIF(MAR!$BA$6:$BG$6,BH$177,MAR!$BA13:$BG13)</f>
        <v>0</v>
      </c>
      <c r="BI245" s="229">
        <f>SUMIF(MAR!$BA$6:$BG$6,BI$177,MAR!$BA13:$BG13)</f>
        <v>0</v>
      </c>
      <c r="BJ245" s="229">
        <f>SUMIF(MAR!$BA$6:$BG$6,BJ$177,MAR!$BA13:$BG13)</f>
        <v>0</v>
      </c>
      <c r="BK245" s="229">
        <f>SUMIF(MAR!$BA$6:$BG$6,BK$177,MAR!$BA13:$BG13)</f>
        <v>0</v>
      </c>
      <c r="BL245" s="229">
        <f>SUMIF(MAR!$BA$6:$BG$6,BL$177,MAR!$BA13:$BG13)</f>
        <v>0</v>
      </c>
      <c r="BM245" s="229">
        <f>SUMIF(MAR!$BA$6:$BG$6,BM$177,MAR!$BA13:$BG13)</f>
        <v>0</v>
      </c>
      <c r="BN245" s="229">
        <f>SUMIF(MAR!$BA$6:$BG$6,BN$177,MAR!$BA13:$BG13)</f>
        <v>0</v>
      </c>
      <c r="BO245" s="231">
        <f>SUMIF(MAR!$BA$6:$BG$6,BO$177,MAR!$BA13:$BG13)</f>
        <v>0</v>
      </c>
      <c r="BP245" s="231">
        <f>SUMIF(MAR!$BA$6:$BG$6,BP$177,MAR!$BA13:$BG13)</f>
        <v>0</v>
      </c>
      <c r="BQ245" s="252"/>
      <c r="BR245" s="228">
        <f>SUMIF(MAR!$BA$5:$BG$5,BR$177,MAR!$BA13:$BG13)</f>
        <v>0</v>
      </c>
      <c r="BS245" s="229">
        <f>SUMIF(MAR!$BA$5:$BG$5,BS$177,MAR!$BA13:$BG13)</f>
        <v>0</v>
      </c>
      <c r="BT245" s="229">
        <f>SUMIF(MAR!$BA$5:$BG$5,BT$177,MAR!$BA13:$BG13)</f>
        <v>0</v>
      </c>
      <c r="BU245" s="229">
        <f>SUMIF(MAR!$BA$5:$BG$5,BU$177,MAR!$BA13:$BG13)</f>
        <v>0</v>
      </c>
      <c r="BV245" s="229">
        <f>SUMIF(MAR!$BA$5:$BG$5,BV$177,MAR!$BA13:$BG13)</f>
        <v>0</v>
      </c>
      <c r="BW245" s="229">
        <f>SUMIF(MAR!$BA$5:$BG$5,BW$177,MAR!$BA13:$BG13)</f>
        <v>0</v>
      </c>
      <c r="BX245" s="230">
        <f>SUMIF(MAR!$BA$5:$BG$5,BX$177,MAR!$BA13:$BG13)</f>
        <v>0</v>
      </c>
      <c r="BY245" s="998">
        <f>SUMIF(MAR!$BA$5:$BG$5,BY$177,MAR!$BA13:$BG13)</f>
        <v>0</v>
      </c>
      <c r="CB245" s="252"/>
      <c r="CC245" s="61" t="e">
        <f t="shared" si="52"/>
        <v>#N/A</v>
      </c>
      <c r="CD245" s="61">
        <f t="shared" si="53"/>
        <v>0</v>
      </c>
      <c r="CE245" s="105" t="str">
        <f t="shared" si="46"/>
        <v/>
      </c>
      <c r="CF245" s="61" t="e">
        <f t="shared" si="54"/>
        <v>#N/A</v>
      </c>
      <c r="CG245" s="61" t="e">
        <f t="shared" si="55"/>
        <v>#N/A</v>
      </c>
      <c r="CH245" s="521">
        <f>MAR!AL13-CW245+CR245</f>
        <v>0</v>
      </c>
      <c r="CI245" s="228">
        <f>SUMIF(MAR!$G$121:$M$121,CI$178,MAR!$AM13:$AS13)+SUMIF($CS$178:$CV$178,CI$178,$CS245:$CV245)</f>
        <v>0</v>
      </c>
      <c r="CJ245" s="229">
        <f>SUMIF(MAR!$G$121:$M$121,CJ$178,MAR!$AM13:$AS13)+SUMIF($CS$178:$CV$178,CJ$178,$CS245:$CV245)</f>
        <v>0</v>
      </c>
      <c r="CK245" s="230">
        <f>SUMIF(MAR!$G$121:$M$121,CK$178,MAR!$AM13:$AS13)+SUMIF($CS$178:$CV$178,CK$178,$CS245:$CV245)</f>
        <v>0</v>
      </c>
      <c r="CL245" s="230">
        <f>SUMIF(MAR!$G$121:$M$121,CL$178,MAR!$AM13:$AS13)+SUMIF($CS$178:$CV$178,CL$178,$CS245:$CV245)</f>
        <v>0</v>
      </c>
      <c r="CM245" s="230">
        <f>SUMIF(MAR!$G$121:$M$121,CM$178,MAR!$AM13:$AS13)+SUMIF($CS$178:$CV$178,CM$178,$CS245:$CV245)</f>
        <v>0</v>
      </c>
      <c r="CN245" s="230">
        <f>SUMIF(MAR!$G$121:$M$121,CN$178,MAR!$AM13:$AS13)+SUMIF($CS$178:$CV$178,CN$178,$CS245:$CV245)</f>
        <v>0</v>
      </c>
      <c r="CO245" s="230">
        <f>SUMIF(MAR!$G$121:$M$121,CO$178,MAR!$AM13:$AS13)+SUMIF($CS$178:$CV$178,CO$178,$CS245:$CV245)</f>
        <v>0</v>
      </c>
      <c r="CP245" s="230">
        <f>SUMIF(MAR!$G$121:$M$121,CP$178,MAR!$AM13:$AS13)+SUMIF($CS$178:$CV$178,CP$178,$CS245:$CV245)</f>
        <v>0</v>
      </c>
      <c r="CQ245" s="231">
        <f>SUMIF(MAR!$G$121:$M$121,CQ$178,MAR!$AM13:$AS13)+SUMIF($CS$178:$CV$178,CQ$178,$CS245:$CV245)</f>
        <v>0</v>
      </c>
      <c r="CR245" s="521">
        <f>MAR!AU13</f>
        <v>0</v>
      </c>
      <c r="CS245" s="228">
        <f>MAR!AV13</f>
        <v>0</v>
      </c>
      <c r="CT245" s="229">
        <f>MAR!AW13</f>
        <v>0</v>
      </c>
      <c r="CU245" s="230">
        <f>MAR!AX13</f>
        <v>0</v>
      </c>
      <c r="CV245" s="231">
        <f>MAR!AY13</f>
        <v>0</v>
      </c>
      <c r="CW245" s="521">
        <f>SUM(MAR!AU13:AY13)</f>
        <v>0</v>
      </c>
      <c r="CX245" s="521">
        <f>MAR!AK13</f>
        <v>0</v>
      </c>
      <c r="CY245" s="2"/>
    </row>
    <row r="246" spans="1:103" ht="14.25" hidden="1" customHeight="1" x14ac:dyDescent="0.2">
      <c r="A246" s="2"/>
      <c r="B246" s="105">
        <f t="shared" si="56"/>
        <v>45358</v>
      </c>
      <c r="C246" s="146">
        <f>IF(AND(E246&gt;(E$559-1),E246&lt;(I$559+1)),W$551,IF(ISERROR(HLOOKUP(E246,$E$552:$L$552,1,FALSE)),HLOOKUP(WEEKDAY(E246,2),IMPOSTAZIONI!$C$52:$P$57,6,FALSE),$W$550))</f>
        <v>0</v>
      </c>
      <c r="D246" s="71" t="str">
        <f t="shared" si="57"/>
        <v/>
      </c>
      <c r="E246" s="2258">
        <f t="shared" ref="E246:E309" si="62">E245+1</f>
        <v>45358</v>
      </c>
      <c r="F246" s="2259"/>
      <c r="G246" s="2228">
        <f>MAR!E14</f>
        <v>0</v>
      </c>
      <c r="H246" s="2229"/>
      <c r="I246" s="2230"/>
      <c r="J246" s="262" t="str">
        <f t="shared" si="47"/>
        <v/>
      </c>
      <c r="K246" s="263"/>
      <c r="L246" s="2244">
        <f>IF(A239&lt;&gt;A238,L238+1,L239+1)</f>
        <v>10</v>
      </c>
      <c r="M246" s="2245"/>
      <c r="N246" s="261"/>
      <c r="O246" s="261"/>
      <c r="P246" s="261"/>
      <c r="Q246" s="2219">
        <f t="shared" si="58"/>
        <v>45358</v>
      </c>
      <c r="R246" s="2219"/>
      <c r="S246" s="261"/>
      <c r="T246" s="1173">
        <f t="shared" si="48"/>
        <v>0</v>
      </c>
      <c r="U246" s="261"/>
      <c r="V246" s="261"/>
      <c r="W246" s="261"/>
      <c r="X246" s="261"/>
      <c r="Y246" s="261"/>
      <c r="Z246" s="261"/>
      <c r="AA246" s="261"/>
      <c r="AB246" s="261"/>
      <c r="AC246" s="261"/>
      <c r="AD246" s="261"/>
      <c r="AE246" s="261"/>
      <c r="AF246" s="261"/>
      <c r="AG246" s="1173">
        <f t="shared" si="59"/>
        <v>0</v>
      </c>
      <c r="AH246" s="61" t="str">
        <f t="shared" si="60"/>
        <v/>
      </c>
      <c r="AI246" s="89" t="e">
        <f t="shared" si="61"/>
        <v>#N/A</v>
      </c>
      <c r="AJ246" s="2"/>
      <c r="AK246" s="61">
        <f>IF(G246=G$547,0,IF(OR(G246&lt;&gt;0,CH246&lt;&gt;0,C246="L"),COUNTIF(AK$180:AK245,"&gt;0")+1,0))</f>
        <v>0</v>
      </c>
      <c r="AL246" s="61" t="str">
        <f t="shared" si="49"/>
        <v/>
      </c>
      <c r="AM246" s="61" t="e">
        <f t="shared" si="50"/>
        <v>#N/A</v>
      </c>
      <c r="AN246" s="89" t="e">
        <f t="shared" si="51"/>
        <v>#N/A</v>
      </c>
      <c r="AO246" s="230">
        <f>SUM(MAR!X14:AD14)-BD246+AY246</f>
        <v>0</v>
      </c>
      <c r="AP246" s="228">
        <f>SUMIF(MAR!$G$121:$M$121,AP$178,MAR!$P14:$V14)+SUMIF($AZ$178:$BC$178,AP$178,$AZ246:$BC246)</f>
        <v>0</v>
      </c>
      <c r="AQ246" s="229">
        <f>SUMIF(MAR!$G$121:$M$121,AQ$178,MAR!$P14:$V14)+SUMIF($AZ$178:$BC$178,AQ$178,$AZ246:$BC246)</f>
        <v>0</v>
      </c>
      <c r="AR246" s="230">
        <f>SUMIF(MAR!$G$121:$M$121,AR$178,MAR!$P14:$V14)+SUMIF($AZ$178:$BC$178,AR$178,$AZ246:$BC246)</f>
        <v>0</v>
      </c>
      <c r="AS246" s="230">
        <f>SUMIF(MAR!$G$121:$M$121,AS$178,MAR!$P14:$V14)+SUMIF($AZ$178:$BC$178,AS$178,$AZ246:$BC246)</f>
        <v>0</v>
      </c>
      <c r="AT246" s="230">
        <f>SUMIF(MAR!$G$121:$M$121,AT$178,MAR!$P14:$V14)+SUMIF($AZ$178:$BC$178,AT$178,$AZ246:$BC246)</f>
        <v>0</v>
      </c>
      <c r="AU246" s="230">
        <f>SUMIF(MAR!$G$121:$M$121,AU$178,MAR!$P14:$V14)+SUMIF($AZ$178:$BC$178,AU$178,$AZ246:$BC246)</f>
        <v>0</v>
      </c>
      <c r="AV246" s="230">
        <f>SUMIF(MAR!$G$121:$M$121,AV$178,MAR!$P14:$V14)+SUMIF($AZ$178:$BC$178,AV$178,$AZ246:$BC246)</f>
        <v>0</v>
      </c>
      <c r="AW246" s="230">
        <f>SUMIF(MAR!$G$121:$M$121,AW$178,MAR!$P14:$V14)+SUMIF($AZ$178:$BC$178,AW$178,$AZ246:$BC246)</f>
        <v>0</v>
      </c>
      <c r="AX246" s="231">
        <f>SUMIF(MAR!$G$121:$M$121,AX$178,MAR!$P14:$V14)+SUMIF($AZ$178:$BC$178,AX$178,$AZ246:$BC246)</f>
        <v>0</v>
      </c>
      <c r="AY246" s="232">
        <f>MAR!AF14</f>
        <v>0</v>
      </c>
      <c r="AZ246" s="228">
        <f>MAR!AG14</f>
        <v>0</v>
      </c>
      <c r="BA246" s="229">
        <f>MAR!AH14</f>
        <v>0</v>
      </c>
      <c r="BB246" s="230">
        <f>MAR!AI14</f>
        <v>0</v>
      </c>
      <c r="BC246" s="231">
        <f>MAR!AJ14</f>
        <v>0</v>
      </c>
      <c r="BD246" s="228">
        <f>SUMIF(MAR!$G$120:$M$120,"&gt;0",MAR!$X14:$AD14)</f>
        <v>0</v>
      </c>
      <c r="BE246" s="696"/>
      <c r="BF246" s="228">
        <f>SUMIF(MAR!$BA$6:$BG$6,BF$177,MAR!$BA14:$BG14)</f>
        <v>0</v>
      </c>
      <c r="BG246" s="229">
        <f>SUMIF(MAR!$BA$6:$BG$6,BG$177,MAR!$BA14:$BG14)</f>
        <v>0</v>
      </c>
      <c r="BH246" s="229">
        <f>SUMIF(MAR!$BA$6:$BG$6,BH$177,MAR!$BA14:$BG14)</f>
        <v>0</v>
      </c>
      <c r="BI246" s="229">
        <f>SUMIF(MAR!$BA$6:$BG$6,BI$177,MAR!$BA14:$BG14)</f>
        <v>0</v>
      </c>
      <c r="BJ246" s="229">
        <f>SUMIF(MAR!$BA$6:$BG$6,BJ$177,MAR!$BA14:$BG14)</f>
        <v>0</v>
      </c>
      <c r="BK246" s="229">
        <f>SUMIF(MAR!$BA$6:$BG$6,BK$177,MAR!$BA14:$BG14)</f>
        <v>0</v>
      </c>
      <c r="BL246" s="229">
        <f>SUMIF(MAR!$BA$6:$BG$6,BL$177,MAR!$BA14:$BG14)</f>
        <v>0</v>
      </c>
      <c r="BM246" s="229">
        <f>SUMIF(MAR!$BA$6:$BG$6,BM$177,MAR!$BA14:$BG14)</f>
        <v>0</v>
      </c>
      <c r="BN246" s="229">
        <f>SUMIF(MAR!$BA$6:$BG$6,BN$177,MAR!$BA14:$BG14)</f>
        <v>0</v>
      </c>
      <c r="BO246" s="231">
        <f>SUMIF(MAR!$BA$6:$BG$6,BO$177,MAR!$BA14:$BG14)</f>
        <v>0</v>
      </c>
      <c r="BP246" s="231">
        <f>SUMIF(MAR!$BA$6:$BG$6,BP$177,MAR!$BA14:$BG14)</f>
        <v>0</v>
      </c>
      <c r="BQ246" s="252"/>
      <c r="BR246" s="228">
        <f>SUMIF(MAR!$BA$5:$BG$5,BR$177,MAR!$BA14:$BG14)</f>
        <v>0</v>
      </c>
      <c r="BS246" s="229">
        <f>SUMIF(MAR!$BA$5:$BG$5,BS$177,MAR!$BA14:$BG14)</f>
        <v>0</v>
      </c>
      <c r="BT246" s="229">
        <f>SUMIF(MAR!$BA$5:$BG$5,BT$177,MAR!$BA14:$BG14)</f>
        <v>0</v>
      </c>
      <c r="BU246" s="229">
        <f>SUMIF(MAR!$BA$5:$BG$5,BU$177,MAR!$BA14:$BG14)</f>
        <v>0</v>
      </c>
      <c r="BV246" s="229">
        <f>SUMIF(MAR!$BA$5:$BG$5,BV$177,MAR!$BA14:$BG14)</f>
        <v>0</v>
      </c>
      <c r="BW246" s="229">
        <f>SUMIF(MAR!$BA$5:$BG$5,BW$177,MAR!$BA14:$BG14)</f>
        <v>0</v>
      </c>
      <c r="BX246" s="230">
        <f>SUMIF(MAR!$BA$5:$BG$5,BX$177,MAR!$BA14:$BG14)</f>
        <v>0</v>
      </c>
      <c r="BY246" s="998">
        <f>SUMIF(MAR!$BA$5:$BG$5,BY$177,MAR!$BA14:$BG14)</f>
        <v>0</v>
      </c>
      <c r="CB246" s="252"/>
      <c r="CC246" s="61" t="e">
        <f t="shared" si="52"/>
        <v>#N/A</v>
      </c>
      <c r="CD246" s="61">
        <f t="shared" si="53"/>
        <v>0</v>
      </c>
      <c r="CE246" s="105" t="str">
        <f t="shared" si="46"/>
        <v/>
      </c>
      <c r="CF246" s="61" t="e">
        <f t="shared" si="54"/>
        <v>#N/A</v>
      </c>
      <c r="CG246" s="61" t="e">
        <f t="shared" si="55"/>
        <v>#N/A</v>
      </c>
      <c r="CH246" s="521">
        <f>MAR!AL14-CW246+CR246</f>
        <v>0</v>
      </c>
      <c r="CI246" s="228">
        <f>SUMIF(MAR!$G$121:$M$121,CI$178,MAR!$AM14:$AS14)+SUMIF($CS$178:$CV$178,CI$178,$CS246:$CV246)</f>
        <v>0</v>
      </c>
      <c r="CJ246" s="229">
        <f>SUMIF(MAR!$G$121:$M$121,CJ$178,MAR!$AM14:$AS14)+SUMIF($CS$178:$CV$178,CJ$178,$CS246:$CV246)</f>
        <v>0</v>
      </c>
      <c r="CK246" s="230">
        <f>SUMIF(MAR!$G$121:$M$121,CK$178,MAR!$AM14:$AS14)+SUMIF($CS$178:$CV$178,CK$178,$CS246:$CV246)</f>
        <v>0</v>
      </c>
      <c r="CL246" s="230">
        <f>SUMIF(MAR!$G$121:$M$121,CL$178,MAR!$AM14:$AS14)+SUMIF($CS$178:$CV$178,CL$178,$CS246:$CV246)</f>
        <v>0</v>
      </c>
      <c r="CM246" s="230">
        <f>SUMIF(MAR!$G$121:$M$121,CM$178,MAR!$AM14:$AS14)+SUMIF($CS$178:$CV$178,CM$178,$CS246:$CV246)</f>
        <v>0</v>
      </c>
      <c r="CN246" s="230">
        <f>SUMIF(MAR!$G$121:$M$121,CN$178,MAR!$AM14:$AS14)+SUMIF($CS$178:$CV$178,CN$178,$CS246:$CV246)</f>
        <v>0</v>
      </c>
      <c r="CO246" s="230">
        <f>SUMIF(MAR!$G$121:$M$121,CO$178,MAR!$AM14:$AS14)+SUMIF($CS$178:$CV$178,CO$178,$CS246:$CV246)</f>
        <v>0</v>
      </c>
      <c r="CP246" s="230">
        <f>SUMIF(MAR!$G$121:$M$121,CP$178,MAR!$AM14:$AS14)+SUMIF($CS$178:$CV$178,CP$178,$CS246:$CV246)</f>
        <v>0</v>
      </c>
      <c r="CQ246" s="231">
        <f>SUMIF(MAR!$G$121:$M$121,CQ$178,MAR!$AM14:$AS14)+SUMIF($CS$178:$CV$178,CQ$178,$CS246:$CV246)</f>
        <v>0</v>
      </c>
      <c r="CR246" s="521">
        <f>MAR!AU14</f>
        <v>0</v>
      </c>
      <c r="CS246" s="228">
        <f>MAR!AV14</f>
        <v>0</v>
      </c>
      <c r="CT246" s="229">
        <f>MAR!AW14</f>
        <v>0</v>
      </c>
      <c r="CU246" s="230">
        <f>MAR!AX14</f>
        <v>0</v>
      </c>
      <c r="CV246" s="231">
        <f>MAR!AY14</f>
        <v>0</v>
      </c>
      <c r="CW246" s="521">
        <f>SUM(MAR!AU14:AY14)</f>
        <v>0</v>
      </c>
      <c r="CX246" s="521">
        <f>MAR!AK14</f>
        <v>0</v>
      </c>
      <c r="CY246" s="2"/>
    </row>
    <row r="247" spans="1:103" ht="14.25" hidden="1" customHeight="1" x14ac:dyDescent="0.2">
      <c r="A247" s="2"/>
      <c r="B247" s="105">
        <f t="shared" si="56"/>
        <v>45359</v>
      </c>
      <c r="C247" s="146">
        <f>IF(AND(E247&gt;(E$559-1),E247&lt;(I$559+1)),W$551,IF(ISERROR(HLOOKUP(E247,$E$552:$L$552,1,FALSE)),HLOOKUP(WEEKDAY(E247,2),IMPOSTAZIONI!$C$52:$P$57,6,FALSE),$W$550))</f>
        <v>0</v>
      </c>
      <c r="D247" s="71" t="str">
        <f t="shared" si="57"/>
        <v/>
      </c>
      <c r="E247" s="2258">
        <f t="shared" si="62"/>
        <v>45359</v>
      </c>
      <c r="F247" s="2259"/>
      <c r="G247" s="2228">
        <f>MAR!E15</f>
        <v>0</v>
      </c>
      <c r="H247" s="2229"/>
      <c r="I247" s="2230"/>
      <c r="J247" s="262" t="str">
        <f t="shared" si="47"/>
        <v/>
      </c>
      <c r="K247" s="263"/>
      <c r="L247" s="2217">
        <f t="shared" si="43"/>
        <v>10</v>
      </c>
      <c r="M247" s="2218"/>
      <c r="N247" s="261"/>
      <c r="O247" s="261"/>
      <c r="P247" s="261"/>
      <c r="Q247" s="2219">
        <f t="shared" si="58"/>
        <v>45359</v>
      </c>
      <c r="R247" s="2219"/>
      <c r="S247" s="261"/>
      <c r="T247" s="1173">
        <f t="shared" si="48"/>
        <v>0</v>
      </c>
      <c r="U247" s="261"/>
      <c r="V247" s="261"/>
      <c r="W247" s="261"/>
      <c r="X247" s="261"/>
      <c r="Y247" s="261"/>
      <c r="Z247" s="261"/>
      <c r="AA247" s="261"/>
      <c r="AB247" s="261"/>
      <c r="AC247" s="261"/>
      <c r="AD247" s="261"/>
      <c r="AE247" s="261"/>
      <c r="AF247" s="261"/>
      <c r="AG247" s="1173">
        <f t="shared" si="59"/>
        <v>0</v>
      </c>
      <c r="AH247" s="61" t="str">
        <f t="shared" si="60"/>
        <v/>
      </c>
      <c r="AI247" s="89" t="e">
        <f t="shared" si="61"/>
        <v>#N/A</v>
      </c>
      <c r="AJ247" s="2"/>
      <c r="AK247" s="61">
        <f>IF(G247=G$547,0,IF(OR(G247&lt;&gt;0,CH247&lt;&gt;0,C247="L"),COUNTIF(AK$180:AK246,"&gt;0")+1,0))</f>
        <v>0</v>
      </c>
      <c r="AL247" s="61" t="str">
        <f t="shared" si="49"/>
        <v/>
      </c>
      <c r="AM247" s="61" t="e">
        <f t="shared" si="50"/>
        <v>#N/A</v>
      </c>
      <c r="AN247" s="89" t="e">
        <f t="shared" si="51"/>
        <v>#N/A</v>
      </c>
      <c r="AO247" s="230">
        <f>SUM(MAR!X15:AD15)-BD247+AY247</f>
        <v>0</v>
      </c>
      <c r="AP247" s="228">
        <f>SUMIF(MAR!$G$121:$M$121,AP$178,MAR!$P15:$V15)+SUMIF($AZ$178:$BC$178,AP$178,$AZ247:$BC247)</f>
        <v>0</v>
      </c>
      <c r="AQ247" s="229">
        <f>SUMIF(MAR!$G$121:$M$121,AQ$178,MAR!$P15:$V15)+SUMIF($AZ$178:$BC$178,AQ$178,$AZ247:$BC247)</f>
        <v>0</v>
      </c>
      <c r="AR247" s="230">
        <f>SUMIF(MAR!$G$121:$M$121,AR$178,MAR!$P15:$V15)+SUMIF($AZ$178:$BC$178,AR$178,$AZ247:$BC247)</f>
        <v>0</v>
      </c>
      <c r="AS247" s="230">
        <f>SUMIF(MAR!$G$121:$M$121,AS$178,MAR!$P15:$V15)+SUMIF($AZ$178:$BC$178,AS$178,$AZ247:$BC247)</f>
        <v>0</v>
      </c>
      <c r="AT247" s="230">
        <f>SUMIF(MAR!$G$121:$M$121,AT$178,MAR!$P15:$V15)+SUMIF($AZ$178:$BC$178,AT$178,$AZ247:$BC247)</f>
        <v>0</v>
      </c>
      <c r="AU247" s="230">
        <f>SUMIF(MAR!$G$121:$M$121,AU$178,MAR!$P15:$V15)+SUMIF($AZ$178:$BC$178,AU$178,$AZ247:$BC247)</f>
        <v>0</v>
      </c>
      <c r="AV247" s="230">
        <f>SUMIF(MAR!$G$121:$M$121,AV$178,MAR!$P15:$V15)+SUMIF($AZ$178:$BC$178,AV$178,$AZ247:$BC247)</f>
        <v>0</v>
      </c>
      <c r="AW247" s="230">
        <f>SUMIF(MAR!$G$121:$M$121,AW$178,MAR!$P15:$V15)+SUMIF($AZ$178:$BC$178,AW$178,$AZ247:$BC247)</f>
        <v>0</v>
      </c>
      <c r="AX247" s="231">
        <f>SUMIF(MAR!$G$121:$M$121,AX$178,MAR!$P15:$V15)+SUMIF($AZ$178:$BC$178,AX$178,$AZ247:$BC247)</f>
        <v>0</v>
      </c>
      <c r="AY247" s="232">
        <f>MAR!AF15</f>
        <v>0</v>
      </c>
      <c r="AZ247" s="228">
        <f>MAR!AG15</f>
        <v>0</v>
      </c>
      <c r="BA247" s="229">
        <f>MAR!AH15</f>
        <v>0</v>
      </c>
      <c r="BB247" s="230">
        <f>MAR!AI15</f>
        <v>0</v>
      </c>
      <c r="BC247" s="231">
        <f>MAR!AJ15</f>
        <v>0</v>
      </c>
      <c r="BD247" s="228">
        <f>SUMIF(MAR!$G$120:$M$120,"&gt;0",MAR!$X15:$AD15)</f>
        <v>0</v>
      </c>
      <c r="BE247" s="696"/>
      <c r="BF247" s="228">
        <f>SUMIF(MAR!$BA$6:$BG$6,BF$177,MAR!$BA15:$BG15)</f>
        <v>0</v>
      </c>
      <c r="BG247" s="229">
        <f>SUMIF(MAR!$BA$6:$BG$6,BG$177,MAR!$BA15:$BG15)</f>
        <v>0</v>
      </c>
      <c r="BH247" s="229">
        <f>SUMIF(MAR!$BA$6:$BG$6,BH$177,MAR!$BA15:$BG15)</f>
        <v>0</v>
      </c>
      <c r="BI247" s="229">
        <f>SUMIF(MAR!$BA$6:$BG$6,BI$177,MAR!$BA15:$BG15)</f>
        <v>0</v>
      </c>
      <c r="BJ247" s="229">
        <f>SUMIF(MAR!$BA$6:$BG$6,BJ$177,MAR!$BA15:$BG15)</f>
        <v>0</v>
      </c>
      <c r="BK247" s="229">
        <f>SUMIF(MAR!$BA$6:$BG$6,BK$177,MAR!$BA15:$BG15)</f>
        <v>0</v>
      </c>
      <c r="BL247" s="229">
        <f>SUMIF(MAR!$BA$6:$BG$6,BL$177,MAR!$BA15:$BG15)</f>
        <v>0</v>
      </c>
      <c r="BM247" s="229">
        <f>SUMIF(MAR!$BA$6:$BG$6,BM$177,MAR!$BA15:$BG15)</f>
        <v>0</v>
      </c>
      <c r="BN247" s="229">
        <f>SUMIF(MAR!$BA$6:$BG$6,BN$177,MAR!$BA15:$BG15)</f>
        <v>0</v>
      </c>
      <c r="BO247" s="231">
        <f>SUMIF(MAR!$BA$6:$BG$6,BO$177,MAR!$BA15:$BG15)</f>
        <v>0</v>
      </c>
      <c r="BP247" s="231">
        <f>SUMIF(MAR!$BA$6:$BG$6,BP$177,MAR!$BA15:$BG15)</f>
        <v>0</v>
      </c>
      <c r="BQ247" s="252"/>
      <c r="BR247" s="228">
        <f>SUMIF(MAR!$BA$5:$BG$5,BR$177,MAR!$BA15:$BG15)</f>
        <v>0</v>
      </c>
      <c r="BS247" s="229">
        <f>SUMIF(MAR!$BA$5:$BG$5,BS$177,MAR!$BA15:$BG15)</f>
        <v>0</v>
      </c>
      <c r="BT247" s="229">
        <f>SUMIF(MAR!$BA$5:$BG$5,BT$177,MAR!$BA15:$BG15)</f>
        <v>0</v>
      </c>
      <c r="BU247" s="229">
        <f>SUMIF(MAR!$BA$5:$BG$5,BU$177,MAR!$BA15:$BG15)</f>
        <v>0</v>
      </c>
      <c r="BV247" s="229">
        <f>SUMIF(MAR!$BA$5:$BG$5,BV$177,MAR!$BA15:$BG15)</f>
        <v>0</v>
      </c>
      <c r="BW247" s="229">
        <f>SUMIF(MAR!$BA$5:$BG$5,BW$177,MAR!$BA15:$BG15)</f>
        <v>0</v>
      </c>
      <c r="BX247" s="230">
        <f>SUMIF(MAR!$BA$5:$BG$5,BX$177,MAR!$BA15:$BG15)</f>
        <v>0</v>
      </c>
      <c r="BY247" s="998">
        <f>SUMIF(MAR!$BA$5:$BG$5,BY$177,MAR!$BA15:$BG15)</f>
        <v>0</v>
      </c>
      <c r="CB247" s="252"/>
      <c r="CC247" s="61" t="e">
        <f t="shared" si="52"/>
        <v>#N/A</v>
      </c>
      <c r="CD247" s="61">
        <f t="shared" si="53"/>
        <v>0</v>
      </c>
      <c r="CE247" s="105" t="str">
        <f t="shared" si="46"/>
        <v/>
      </c>
      <c r="CF247" s="61" t="e">
        <f t="shared" si="54"/>
        <v>#N/A</v>
      </c>
      <c r="CG247" s="61" t="e">
        <f t="shared" si="55"/>
        <v>#N/A</v>
      </c>
      <c r="CH247" s="521">
        <f>MAR!AL15-CW247+CR247</f>
        <v>0</v>
      </c>
      <c r="CI247" s="228">
        <f>SUMIF(MAR!$G$121:$M$121,CI$178,MAR!$AM15:$AS15)+SUMIF($CS$178:$CV$178,CI$178,$CS247:$CV247)</f>
        <v>0</v>
      </c>
      <c r="CJ247" s="229">
        <f>SUMIF(MAR!$G$121:$M$121,CJ$178,MAR!$AM15:$AS15)+SUMIF($CS$178:$CV$178,CJ$178,$CS247:$CV247)</f>
        <v>0</v>
      </c>
      <c r="CK247" s="230">
        <f>SUMIF(MAR!$G$121:$M$121,CK$178,MAR!$AM15:$AS15)+SUMIF($CS$178:$CV$178,CK$178,$CS247:$CV247)</f>
        <v>0</v>
      </c>
      <c r="CL247" s="230">
        <f>SUMIF(MAR!$G$121:$M$121,CL$178,MAR!$AM15:$AS15)+SUMIF($CS$178:$CV$178,CL$178,$CS247:$CV247)</f>
        <v>0</v>
      </c>
      <c r="CM247" s="230">
        <f>SUMIF(MAR!$G$121:$M$121,CM$178,MAR!$AM15:$AS15)+SUMIF($CS$178:$CV$178,CM$178,$CS247:$CV247)</f>
        <v>0</v>
      </c>
      <c r="CN247" s="230">
        <f>SUMIF(MAR!$G$121:$M$121,CN$178,MAR!$AM15:$AS15)+SUMIF($CS$178:$CV$178,CN$178,$CS247:$CV247)</f>
        <v>0</v>
      </c>
      <c r="CO247" s="230">
        <f>SUMIF(MAR!$G$121:$M$121,CO$178,MAR!$AM15:$AS15)+SUMIF($CS$178:$CV$178,CO$178,$CS247:$CV247)</f>
        <v>0</v>
      </c>
      <c r="CP247" s="230">
        <f>SUMIF(MAR!$G$121:$M$121,CP$178,MAR!$AM15:$AS15)+SUMIF($CS$178:$CV$178,CP$178,$CS247:$CV247)</f>
        <v>0</v>
      </c>
      <c r="CQ247" s="231">
        <f>SUMIF(MAR!$G$121:$M$121,CQ$178,MAR!$AM15:$AS15)+SUMIF($CS$178:$CV$178,CQ$178,$CS247:$CV247)</f>
        <v>0</v>
      </c>
      <c r="CR247" s="521">
        <f>MAR!AU15</f>
        <v>0</v>
      </c>
      <c r="CS247" s="228">
        <f>MAR!AV15</f>
        <v>0</v>
      </c>
      <c r="CT247" s="229">
        <f>MAR!AW15</f>
        <v>0</v>
      </c>
      <c r="CU247" s="230">
        <f>MAR!AX15</f>
        <v>0</v>
      </c>
      <c r="CV247" s="231">
        <f>MAR!AY15</f>
        <v>0</v>
      </c>
      <c r="CW247" s="521">
        <f>SUM(MAR!AU15:AY15)</f>
        <v>0</v>
      </c>
      <c r="CX247" s="521">
        <f>MAR!AK15</f>
        <v>0</v>
      </c>
      <c r="CY247" s="2"/>
    </row>
    <row r="248" spans="1:103" ht="14.25" hidden="1" customHeight="1" x14ac:dyDescent="0.2">
      <c r="A248" s="2"/>
      <c r="B248" s="105">
        <f t="shared" si="56"/>
        <v>45360</v>
      </c>
      <c r="C248" s="146">
        <f>IF(AND(E248&gt;(E$559-1),E248&lt;(I$559+1)),W$551,IF(ISERROR(HLOOKUP(E248,$E$552:$L$552,1,FALSE)),HLOOKUP(WEEKDAY(E248,2),IMPOSTAZIONI!$C$52:$P$57,6,FALSE),$W$550))</f>
        <v>0</v>
      </c>
      <c r="D248" s="71" t="str">
        <f t="shared" si="57"/>
        <v/>
      </c>
      <c r="E248" s="2258">
        <f t="shared" si="62"/>
        <v>45360</v>
      </c>
      <c r="F248" s="2259"/>
      <c r="G248" s="2228">
        <f>MAR!E16</f>
        <v>0</v>
      </c>
      <c r="H248" s="2229"/>
      <c r="I248" s="2230"/>
      <c r="J248" s="262" t="str">
        <f t="shared" si="47"/>
        <v/>
      </c>
      <c r="K248" s="263"/>
      <c r="L248" s="2217">
        <f t="shared" si="43"/>
        <v>10</v>
      </c>
      <c r="M248" s="2218"/>
      <c r="N248" s="261"/>
      <c r="O248" s="261"/>
      <c r="P248" s="261"/>
      <c r="Q248" s="2219">
        <f t="shared" si="58"/>
        <v>45360</v>
      </c>
      <c r="R248" s="2219"/>
      <c r="S248" s="261"/>
      <c r="T248" s="1173">
        <f t="shared" si="48"/>
        <v>0</v>
      </c>
      <c r="U248" s="261"/>
      <c r="V248" s="261"/>
      <c r="W248" s="261"/>
      <c r="X248" s="261"/>
      <c r="Y248" s="261"/>
      <c r="Z248" s="261"/>
      <c r="AA248" s="261"/>
      <c r="AB248" s="261"/>
      <c r="AC248" s="261"/>
      <c r="AD248" s="261"/>
      <c r="AE248" s="261"/>
      <c r="AF248" s="261"/>
      <c r="AG248" s="1173">
        <f t="shared" si="59"/>
        <v>0</v>
      </c>
      <c r="AH248" s="61" t="str">
        <f t="shared" si="60"/>
        <v/>
      </c>
      <c r="AI248" s="89" t="e">
        <f t="shared" si="61"/>
        <v>#N/A</v>
      </c>
      <c r="AJ248" s="2"/>
      <c r="AK248" s="61">
        <f>IF(G248=G$547,0,IF(OR(G248&lt;&gt;0,CH248&lt;&gt;0,C248="L"),COUNTIF(AK$180:AK247,"&gt;0")+1,0))</f>
        <v>0</v>
      </c>
      <c r="AL248" s="61" t="str">
        <f t="shared" si="49"/>
        <v/>
      </c>
      <c r="AM248" s="61" t="e">
        <f t="shared" si="50"/>
        <v>#N/A</v>
      </c>
      <c r="AN248" s="89" t="e">
        <f t="shared" si="51"/>
        <v>#N/A</v>
      </c>
      <c r="AO248" s="230">
        <f>SUM(MAR!X16:AD16)-BD248+AY248</f>
        <v>0</v>
      </c>
      <c r="AP248" s="228">
        <f>SUMIF(MAR!$G$121:$M$121,AP$178,MAR!$P16:$V16)+SUMIF($AZ$178:$BC$178,AP$178,$AZ248:$BC248)</f>
        <v>0</v>
      </c>
      <c r="AQ248" s="229">
        <f>SUMIF(MAR!$G$121:$M$121,AQ$178,MAR!$P16:$V16)+SUMIF($AZ$178:$BC$178,AQ$178,$AZ248:$BC248)</f>
        <v>0</v>
      </c>
      <c r="AR248" s="230">
        <f>SUMIF(MAR!$G$121:$M$121,AR$178,MAR!$P16:$V16)+SUMIF($AZ$178:$BC$178,AR$178,$AZ248:$BC248)</f>
        <v>0</v>
      </c>
      <c r="AS248" s="230">
        <f>SUMIF(MAR!$G$121:$M$121,AS$178,MAR!$P16:$V16)+SUMIF($AZ$178:$BC$178,AS$178,$AZ248:$BC248)</f>
        <v>0</v>
      </c>
      <c r="AT248" s="230">
        <f>SUMIF(MAR!$G$121:$M$121,AT$178,MAR!$P16:$V16)+SUMIF($AZ$178:$BC$178,AT$178,$AZ248:$BC248)</f>
        <v>0</v>
      </c>
      <c r="AU248" s="230">
        <f>SUMIF(MAR!$G$121:$M$121,AU$178,MAR!$P16:$V16)+SUMIF($AZ$178:$BC$178,AU$178,$AZ248:$BC248)</f>
        <v>0</v>
      </c>
      <c r="AV248" s="230">
        <f>SUMIF(MAR!$G$121:$M$121,AV$178,MAR!$P16:$V16)+SUMIF($AZ$178:$BC$178,AV$178,$AZ248:$BC248)</f>
        <v>0</v>
      </c>
      <c r="AW248" s="230">
        <f>SUMIF(MAR!$G$121:$M$121,AW$178,MAR!$P16:$V16)+SUMIF($AZ$178:$BC$178,AW$178,$AZ248:$BC248)</f>
        <v>0</v>
      </c>
      <c r="AX248" s="231">
        <f>SUMIF(MAR!$G$121:$M$121,AX$178,MAR!$P16:$V16)+SUMIF($AZ$178:$BC$178,AX$178,$AZ248:$BC248)</f>
        <v>0</v>
      </c>
      <c r="AY248" s="232">
        <f>MAR!AF16</f>
        <v>0</v>
      </c>
      <c r="AZ248" s="228">
        <f>MAR!AG16</f>
        <v>0</v>
      </c>
      <c r="BA248" s="229">
        <f>MAR!AH16</f>
        <v>0</v>
      </c>
      <c r="BB248" s="230">
        <f>MAR!AI16</f>
        <v>0</v>
      </c>
      <c r="BC248" s="231">
        <f>MAR!AJ16</f>
        <v>0</v>
      </c>
      <c r="BD248" s="228">
        <f>SUMIF(MAR!$G$120:$M$120,"&gt;0",MAR!$X16:$AD16)</f>
        <v>0</v>
      </c>
      <c r="BE248" s="696"/>
      <c r="BF248" s="228">
        <f>SUMIF(MAR!$BA$6:$BG$6,BF$177,MAR!$BA16:$BG16)</f>
        <v>0</v>
      </c>
      <c r="BG248" s="229">
        <f>SUMIF(MAR!$BA$6:$BG$6,BG$177,MAR!$BA16:$BG16)</f>
        <v>0</v>
      </c>
      <c r="BH248" s="229">
        <f>SUMIF(MAR!$BA$6:$BG$6,BH$177,MAR!$BA16:$BG16)</f>
        <v>0</v>
      </c>
      <c r="BI248" s="229">
        <f>SUMIF(MAR!$BA$6:$BG$6,BI$177,MAR!$BA16:$BG16)</f>
        <v>0</v>
      </c>
      <c r="BJ248" s="229">
        <f>SUMIF(MAR!$BA$6:$BG$6,BJ$177,MAR!$BA16:$BG16)</f>
        <v>0</v>
      </c>
      <c r="BK248" s="229">
        <f>SUMIF(MAR!$BA$6:$BG$6,BK$177,MAR!$BA16:$BG16)</f>
        <v>0</v>
      </c>
      <c r="BL248" s="229">
        <f>SUMIF(MAR!$BA$6:$BG$6,BL$177,MAR!$BA16:$BG16)</f>
        <v>0</v>
      </c>
      <c r="BM248" s="229">
        <f>SUMIF(MAR!$BA$6:$BG$6,BM$177,MAR!$BA16:$BG16)</f>
        <v>0</v>
      </c>
      <c r="BN248" s="229">
        <f>SUMIF(MAR!$BA$6:$BG$6,BN$177,MAR!$BA16:$BG16)</f>
        <v>0</v>
      </c>
      <c r="BO248" s="231">
        <f>SUMIF(MAR!$BA$6:$BG$6,BO$177,MAR!$BA16:$BG16)</f>
        <v>0</v>
      </c>
      <c r="BP248" s="231">
        <f>SUMIF(MAR!$BA$6:$BG$6,BP$177,MAR!$BA16:$BG16)</f>
        <v>0</v>
      </c>
      <c r="BQ248" s="252"/>
      <c r="BR248" s="228">
        <f>SUMIF(MAR!$BA$5:$BG$5,BR$177,MAR!$BA16:$BG16)</f>
        <v>0</v>
      </c>
      <c r="BS248" s="229">
        <f>SUMIF(MAR!$BA$5:$BG$5,BS$177,MAR!$BA16:$BG16)</f>
        <v>0</v>
      </c>
      <c r="BT248" s="229">
        <f>SUMIF(MAR!$BA$5:$BG$5,BT$177,MAR!$BA16:$BG16)</f>
        <v>0</v>
      </c>
      <c r="BU248" s="229">
        <f>SUMIF(MAR!$BA$5:$BG$5,BU$177,MAR!$BA16:$BG16)</f>
        <v>0</v>
      </c>
      <c r="BV248" s="229">
        <f>SUMIF(MAR!$BA$5:$BG$5,BV$177,MAR!$BA16:$BG16)</f>
        <v>0</v>
      </c>
      <c r="BW248" s="229">
        <f>SUMIF(MAR!$BA$5:$BG$5,BW$177,MAR!$BA16:$BG16)</f>
        <v>0</v>
      </c>
      <c r="BX248" s="230">
        <f>SUMIF(MAR!$BA$5:$BG$5,BX$177,MAR!$BA16:$BG16)</f>
        <v>0</v>
      </c>
      <c r="BY248" s="998">
        <f>SUMIF(MAR!$BA$5:$BG$5,BY$177,MAR!$BA16:$BG16)</f>
        <v>0</v>
      </c>
      <c r="CB248" s="252"/>
      <c r="CC248" s="61" t="e">
        <f t="shared" si="52"/>
        <v>#N/A</v>
      </c>
      <c r="CD248" s="61">
        <f t="shared" si="53"/>
        <v>0</v>
      </c>
      <c r="CE248" s="105" t="str">
        <f t="shared" si="46"/>
        <v/>
      </c>
      <c r="CF248" s="61" t="e">
        <f t="shared" si="54"/>
        <v>#N/A</v>
      </c>
      <c r="CG248" s="61" t="e">
        <f t="shared" si="55"/>
        <v>#N/A</v>
      </c>
      <c r="CH248" s="521">
        <f>MAR!AL16-CW248+CR248</f>
        <v>0</v>
      </c>
      <c r="CI248" s="228">
        <f>SUMIF(MAR!$G$121:$M$121,CI$178,MAR!$AM16:$AS16)+SUMIF($CS$178:$CV$178,CI$178,$CS248:$CV248)</f>
        <v>0</v>
      </c>
      <c r="CJ248" s="229">
        <f>SUMIF(MAR!$G$121:$M$121,CJ$178,MAR!$AM16:$AS16)+SUMIF($CS$178:$CV$178,CJ$178,$CS248:$CV248)</f>
        <v>0</v>
      </c>
      <c r="CK248" s="230">
        <f>SUMIF(MAR!$G$121:$M$121,CK$178,MAR!$AM16:$AS16)+SUMIF($CS$178:$CV$178,CK$178,$CS248:$CV248)</f>
        <v>0</v>
      </c>
      <c r="CL248" s="230">
        <f>SUMIF(MAR!$G$121:$M$121,CL$178,MAR!$AM16:$AS16)+SUMIF($CS$178:$CV$178,CL$178,$CS248:$CV248)</f>
        <v>0</v>
      </c>
      <c r="CM248" s="230">
        <f>SUMIF(MAR!$G$121:$M$121,CM$178,MAR!$AM16:$AS16)+SUMIF($CS$178:$CV$178,CM$178,$CS248:$CV248)</f>
        <v>0</v>
      </c>
      <c r="CN248" s="230">
        <f>SUMIF(MAR!$G$121:$M$121,CN$178,MAR!$AM16:$AS16)+SUMIF($CS$178:$CV$178,CN$178,$CS248:$CV248)</f>
        <v>0</v>
      </c>
      <c r="CO248" s="230">
        <f>SUMIF(MAR!$G$121:$M$121,CO$178,MAR!$AM16:$AS16)+SUMIF($CS$178:$CV$178,CO$178,$CS248:$CV248)</f>
        <v>0</v>
      </c>
      <c r="CP248" s="230">
        <f>SUMIF(MAR!$G$121:$M$121,CP$178,MAR!$AM16:$AS16)+SUMIF($CS$178:$CV$178,CP$178,$CS248:$CV248)</f>
        <v>0</v>
      </c>
      <c r="CQ248" s="231">
        <f>SUMIF(MAR!$G$121:$M$121,CQ$178,MAR!$AM16:$AS16)+SUMIF($CS$178:$CV$178,CQ$178,$CS248:$CV248)</f>
        <v>0</v>
      </c>
      <c r="CR248" s="521">
        <f>MAR!AU16</f>
        <v>0</v>
      </c>
      <c r="CS248" s="228">
        <f>MAR!AV16</f>
        <v>0</v>
      </c>
      <c r="CT248" s="229">
        <f>MAR!AW16</f>
        <v>0</v>
      </c>
      <c r="CU248" s="230">
        <f>MAR!AX16</f>
        <v>0</v>
      </c>
      <c r="CV248" s="231">
        <f>MAR!AY16</f>
        <v>0</v>
      </c>
      <c r="CW248" s="521">
        <f>SUM(MAR!AU16:AY16)</f>
        <v>0</v>
      </c>
      <c r="CX248" s="521">
        <f>MAR!AK16</f>
        <v>0</v>
      </c>
      <c r="CY248" s="2"/>
    </row>
    <row r="249" spans="1:103" ht="14.25" hidden="1" customHeight="1" x14ac:dyDescent="0.2">
      <c r="A249" s="2"/>
      <c r="B249" s="105">
        <f t="shared" si="56"/>
        <v>45361</v>
      </c>
      <c r="C249" s="146">
        <f>IF(AND(E249&gt;(E$559-1),E249&lt;(I$559+1)),W$551,IF(ISERROR(HLOOKUP(E249,$E$552:$L$552,1,FALSE)),HLOOKUP(WEEKDAY(E249,2),IMPOSTAZIONI!$C$52:$P$57,6,FALSE),$W$550))</f>
        <v>0</v>
      </c>
      <c r="D249" s="71" t="str">
        <f t="shared" si="57"/>
        <v/>
      </c>
      <c r="E249" s="2258">
        <f t="shared" si="62"/>
        <v>45361</v>
      </c>
      <c r="F249" s="2259"/>
      <c r="G249" s="2228">
        <f>MAR!E17</f>
        <v>0</v>
      </c>
      <c r="H249" s="2229"/>
      <c r="I249" s="2230"/>
      <c r="J249" s="262" t="str">
        <f t="shared" si="47"/>
        <v/>
      </c>
      <c r="K249" s="263"/>
      <c r="L249" s="2220">
        <f t="shared" si="43"/>
        <v>10</v>
      </c>
      <c r="M249" s="2221"/>
      <c r="N249" s="261"/>
      <c r="O249" s="261"/>
      <c r="P249" s="261"/>
      <c r="Q249" s="2219">
        <f t="shared" si="58"/>
        <v>45361</v>
      </c>
      <c r="R249" s="2219"/>
      <c r="S249" s="261"/>
      <c r="T249" s="1173">
        <f t="shared" si="48"/>
        <v>0</v>
      </c>
      <c r="U249" s="261"/>
      <c r="V249" s="261"/>
      <c r="W249" s="261"/>
      <c r="X249" s="261"/>
      <c r="Y249" s="261"/>
      <c r="Z249" s="261"/>
      <c r="AA249" s="261"/>
      <c r="AB249" s="261"/>
      <c r="AC249" s="261"/>
      <c r="AD249" s="261"/>
      <c r="AE249" s="261"/>
      <c r="AF249" s="261"/>
      <c r="AG249" s="1173">
        <f t="shared" si="59"/>
        <v>0</v>
      </c>
      <c r="AH249" s="61" t="str">
        <f t="shared" si="60"/>
        <v/>
      </c>
      <c r="AI249" s="89" t="e">
        <f t="shared" si="61"/>
        <v>#N/A</v>
      </c>
      <c r="AJ249" s="2"/>
      <c r="AK249" s="61">
        <f>IF(G249=G$547,0,IF(OR(G249&lt;&gt;0,CH249&lt;&gt;0,C249="L"),COUNTIF(AK$180:AK248,"&gt;0")+1,0))</f>
        <v>0</v>
      </c>
      <c r="AL249" s="61" t="str">
        <f t="shared" si="49"/>
        <v/>
      </c>
      <c r="AM249" s="61" t="e">
        <f t="shared" si="50"/>
        <v>#N/A</v>
      </c>
      <c r="AN249" s="89" t="e">
        <f t="shared" si="51"/>
        <v>#N/A</v>
      </c>
      <c r="AO249" s="230">
        <f>SUM(MAR!X17:AD17)-BD249+AY249</f>
        <v>0</v>
      </c>
      <c r="AP249" s="228">
        <f>SUMIF(MAR!$G$121:$M$121,AP$178,MAR!$P17:$V17)+SUMIF($AZ$178:$BC$178,AP$178,$AZ249:$BC249)</f>
        <v>0</v>
      </c>
      <c r="AQ249" s="229">
        <f>SUMIF(MAR!$G$121:$M$121,AQ$178,MAR!$P17:$V17)+SUMIF($AZ$178:$BC$178,AQ$178,$AZ249:$BC249)</f>
        <v>0</v>
      </c>
      <c r="AR249" s="230">
        <f>SUMIF(MAR!$G$121:$M$121,AR$178,MAR!$P17:$V17)+SUMIF($AZ$178:$BC$178,AR$178,$AZ249:$BC249)</f>
        <v>0</v>
      </c>
      <c r="AS249" s="230">
        <f>SUMIF(MAR!$G$121:$M$121,AS$178,MAR!$P17:$V17)+SUMIF($AZ$178:$BC$178,AS$178,$AZ249:$BC249)</f>
        <v>0</v>
      </c>
      <c r="AT249" s="230">
        <f>SUMIF(MAR!$G$121:$M$121,AT$178,MAR!$P17:$V17)+SUMIF($AZ$178:$BC$178,AT$178,$AZ249:$BC249)</f>
        <v>0</v>
      </c>
      <c r="AU249" s="230">
        <f>SUMIF(MAR!$G$121:$M$121,AU$178,MAR!$P17:$V17)+SUMIF($AZ$178:$BC$178,AU$178,$AZ249:$BC249)</f>
        <v>0</v>
      </c>
      <c r="AV249" s="230">
        <f>SUMIF(MAR!$G$121:$M$121,AV$178,MAR!$P17:$V17)+SUMIF($AZ$178:$BC$178,AV$178,$AZ249:$BC249)</f>
        <v>0</v>
      </c>
      <c r="AW249" s="230">
        <f>SUMIF(MAR!$G$121:$M$121,AW$178,MAR!$P17:$V17)+SUMIF($AZ$178:$BC$178,AW$178,$AZ249:$BC249)</f>
        <v>0</v>
      </c>
      <c r="AX249" s="231">
        <f>SUMIF(MAR!$G$121:$M$121,AX$178,MAR!$P17:$V17)+SUMIF($AZ$178:$BC$178,AX$178,$AZ249:$BC249)</f>
        <v>0</v>
      </c>
      <c r="AY249" s="232">
        <f>MAR!AF17</f>
        <v>0</v>
      </c>
      <c r="AZ249" s="228">
        <f>MAR!AG17</f>
        <v>0</v>
      </c>
      <c r="BA249" s="229">
        <f>MAR!AH17</f>
        <v>0</v>
      </c>
      <c r="BB249" s="230">
        <f>MAR!AI17</f>
        <v>0</v>
      </c>
      <c r="BC249" s="231">
        <f>MAR!AJ17</f>
        <v>0</v>
      </c>
      <c r="BD249" s="228">
        <f>SUMIF(MAR!$G$120:$M$120,"&gt;0",MAR!$X17:$AD17)</f>
        <v>0</v>
      </c>
      <c r="BE249" s="696"/>
      <c r="BF249" s="228">
        <f>SUMIF(MAR!$BA$6:$BG$6,BF$177,MAR!$BA17:$BG17)</f>
        <v>0</v>
      </c>
      <c r="BG249" s="229">
        <f>SUMIF(MAR!$BA$6:$BG$6,BG$177,MAR!$BA17:$BG17)</f>
        <v>0</v>
      </c>
      <c r="BH249" s="229">
        <f>SUMIF(MAR!$BA$6:$BG$6,BH$177,MAR!$BA17:$BG17)</f>
        <v>0</v>
      </c>
      <c r="BI249" s="229">
        <f>SUMIF(MAR!$BA$6:$BG$6,BI$177,MAR!$BA17:$BG17)</f>
        <v>0</v>
      </c>
      <c r="BJ249" s="229">
        <f>SUMIF(MAR!$BA$6:$BG$6,BJ$177,MAR!$BA17:$BG17)</f>
        <v>0</v>
      </c>
      <c r="BK249" s="229">
        <f>SUMIF(MAR!$BA$6:$BG$6,BK$177,MAR!$BA17:$BG17)</f>
        <v>0</v>
      </c>
      <c r="BL249" s="229">
        <f>SUMIF(MAR!$BA$6:$BG$6,BL$177,MAR!$BA17:$BG17)</f>
        <v>0</v>
      </c>
      <c r="BM249" s="229">
        <f>SUMIF(MAR!$BA$6:$BG$6,BM$177,MAR!$BA17:$BG17)</f>
        <v>0</v>
      </c>
      <c r="BN249" s="229">
        <f>SUMIF(MAR!$BA$6:$BG$6,BN$177,MAR!$BA17:$BG17)</f>
        <v>0</v>
      </c>
      <c r="BO249" s="231">
        <f>SUMIF(MAR!$BA$6:$BG$6,BO$177,MAR!$BA17:$BG17)</f>
        <v>0</v>
      </c>
      <c r="BP249" s="231">
        <f>SUMIF(MAR!$BA$6:$BG$6,BP$177,MAR!$BA17:$BG17)</f>
        <v>0</v>
      </c>
      <c r="BQ249" s="252"/>
      <c r="BR249" s="228">
        <f>SUMIF(MAR!$BA$5:$BG$5,BR$177,MAR!$BA17:$BG17)</f>
        <v>0</v>
      </c>
      <c r="BS249" s="229">
        <f>SUMIF(MAR!$BA$5:$BG$5,BS$177,MAR!$BA17:$BG17)</f>
        <v>0</v>
      </c>
      <c r="BT249" s="229">
        <f>SUMIF(MAR!$BA$5:$BG$5,BT$177,MAR!$BA17:$BG17)</f>
        <v>0</v>
      </c>
      <c r="BU249" s="229">
        <f>SUMIF(MAR!$BA$5:$BG$5,BU$177,MAR!$BA17:$BG17)</f>
        <v>0</v>
      </c>
      <c r="BV249" s="229">
        <f>SUMIF(MAR!$BA$5:$BG$5,BV$177,MAR!$BA17:$BG17)</f>
        <v>0</v>
      </c>
      <c r="BW249" s="229">
        <f>SUMIF(MAR!$BA$5:$BG$5,BW$177,MAR!$BA17:$BG17)</f>
        <v>0</v>
      </c>
      <c r="BX249" s="230">
        <f>SUMIF(MAR!$BA$5:$BG$5,BX$177,MAR!$BA17:$BG17)</f>
        <v>0</v>
      </c>
      <c r="BY249" s="998">
        <f>SUMIF(MAR!$BA$5:$BG$5,BY$177,MAR!$BA17:$BG17)</f>
        <v>0</v>
      </c>
      <c r="CB249" s="252"/>
      <c r="CC249" s="61" t="e">
        <f t="shared" si="52"/>
        <v>#N/A</v>
      </c>
      <c r="CD249" s="61">
        <f t="shared" si="53"/>
        <v>0</v>
      </c>
      <c r="CE249" s="105" t="str">
        <f t="shared" si="46"/>
        <v/>
      </c>
      <c r="CF249" s="61" t="e">
        <f t="shared" si="54"/>
        <v>#N/A</v>
      </c>
      <c r="CG249" s="61" t="e">
        <f t="shared" si="55"/>
        <v>#N/A</v>
      </c>
      <c r="CH249" s="521">
        <f>MAR!AL17-CW249+CR249</f>
        <v>0</v>
      </c>
      <c r="CI249" s="228">
        <f>SUMIF(MAR!$G$121:$M$121,CI$178,MAR!$AM17:$AS17)+SUMIF($CS$178:$CV$178,CI$178,$CS249:$CV249)</f>
        <v>0</v>
      </c>
      <c r="CJ249" s="229">
        <f>SUMIF(MAR!$G$121:$M$121,CJ$178,MAR!$AM17:$AS17)+SUMIF($CS$178:$CV$178,CJ$178,$CS249:$CV249)</f>
        <v>0</v>
      </c>
      <c r="CK249" s="230">
        <f>SUMIF(MAR!$G$121:$M$121,CK$178,MAR!$AM17:$AS17)+SUMIF($CS$178:$CV$178,CK$178,$CS249:$CV249)</f>
        <v>0</v>
      </c>
      <c r="CL249" s="230">
        <f>SUMIF(MAR!$G$121:$M$121,CL$178,MAR!$AM17:$AS17)+SUMIF($CS$178:$CV$178,CL$178,$CS249:$CV249)</f>
        <v>0</v>
      </c>
      <c r="CM249" s="230">
        <f>SUMIF(MAR!$G$121:$M$121,CM$178,MAR!$AM17:$AS17)+SUMIF($CS$178:$CV$178,CM$178,$CS249:$CV249)</f>
        <v>0</v>
      </c>
      <c r="CN249" s="230">
        <f>SUMIF(MAR!$G$121:$M$121,CN$178,MAR!$AM17:$AS17)+SUMIF($CS$178:$CV$178,CN$178,$CS249:$CV249)</f>
        <v>0</v>
      </c>
      <c r="CO249" s="230">
        <f>SUMIF(MAR!$G$121:$M$121,CO$178,MAR!$AM17:$AS17)+SUMIF($CS$178:$CV$178,CO$178,$CS249:$CV249)</f>
        <v>0</v>
      </c>
      <c r="CP249" s="230">
        <f>SUMIF(MAR!$G$121:$M$121,CP$178,MAR!$AM17:$AS17)+SUMIF($CS$178:$CV$178,CP$178,$CS249:$CV249)</f>
        <v>0</v>
      </c>
      <c r="CQ249" s="231">
        <f>SUMIF(MAR!$G$121:$M$121,CQ$178,MAR!$AM17:$AS17)+SUMIF($CS$178:$CV$178,CQ$178,$CS249:$CV249)</f>
        <v>0</v>
      </c>
      <c r="CR249" s="521">
        <f>MAR!AU17</f>
        <v>0</v>
      </c>
      <c r="CS249" s="228">
        <f>MAR!AV17</f>
        <v>0</v>
      </c>
      <c r="CT249" s="229">
        <f>MAR!AW17</f>
        <v>0</v>
      </c>
      <c r="CU249" s="230">
        <f>MAR!AX17</f>
        <v>0</v>
      </c>
      <c r="CV249" s="231">
        <f>MAR!AY17</f>
        <v>0</v>
      </c>
      <c r="CW249" s="521">
        <f>SUM(MAR!AU17:AY17)</f>
        <v>0</v>
      </c>
      <c r="CX249" s="521">
        <f>MAR!AK17</f>
        <v>0</v>
      </c>
      <c r="CY249" s="2"/>
    </row>
    <row r="250" spans="1:103" ht="14.25" hidden="1" customHeight="1" x14ac:dyDescent="0.2">
      <c r="A250" s="2"/>
      <c r="B250" s="105">
        <f t="shared" si="56"/>
        <v>45362</v>
      </c>
      <c r="C250" s="146">
        <f>IF(AND(E250&gt;(E$559-1),E250&lt;(I$559+1)),W$551,IF(ISERROR(HLOOKUP(E250,$E$552:$L$552,1,FALSE)),HLOOKUP(WEEKDAY(E250,2),IMPOSTAZIONI!$C$52:$P$57,6,FALSE),$W$550))</f>
        <v>0</v>
      </c>
      <c r="D250" s="71" t="str">
        <f t="shared" si="57"/>
        <v/>
      </c>
      <c r="E250" s="2258">
        <f t="shared" si="62"/>
        <v>45362</v>
      </c>
      <c r="F250" s="2259"/>
      <c r="G250" s="2228">
        <f>MAR!E18</f>
        <v>0</v>
      </c>
      <c r="H250" s="2229"/>
      <c r="I250" s="2230"/>
      <c r="J250" s="262" t="str">
        <f t="shared" si="47"/>
        <v/>
      </c>
      <c r="K250" s="263"/>
      <c r="L250" s="2222">
        <f t="shared" si="43"/>
        <v>11</v>
      </c>
      <c r="M250" s="2223"/>
      <c r="N250" s="261"/>
      <c r="O250" s="261"/>
      <c r="P250" s="261"/>
      <c r="Q250" s="2219">
        <f t="shared" si="58"/>
        <v>45362</v>
      </c>
      <c r="R250" s="2219"/>
      <c r="S250" s="261"/>
      <c r="T250" s="1173">
        <f t="shared" si="48"/>
        <v>0</v>
      </c>
      <c r="U250" s="261"/>
      <c r="V250" s="261"/>
      <c r="W250" s="261"/>
      <c r="X250" s="261"/>
      <c r="Y250" s="261"/>
      <c r="Z250" s="261"/>
      <c r="AA250" s="261"/>
      <c r="AB250" s="261"/>
      <c r="AC250" s="261"/>
      <c r="AD250" s="261"/>
      <c r="AE250" s="261"/>
      <c r="AF250" s="261"/>
      <c r="AG250" s="1173">
        <f t="shared" si="59"/>
        <v>0</v>
      </c>
      <c r="AH250" s="61" t="str">
        <f t="shared" si="60"/>
        <v/>
      </c>
      <c r="AI250" s="89" t="e">
        <f t="shared" si="61"/>
        <v>#N/A</v>
      </c>
      <c r="AJ250" s="2"/>
      <c r="AK250" s="61">
        <f>IF(G250=G$547,0,IF(OR(G250&lt;&gt;0,CH250&lt;&gt;0,C250="L"),COUNTIF(AK$180:AK249,"&gt;0")+1,0))</f>
        <v>0</v>
      </c>
      <c r="AL250" s="61" t="str">
        <f t="shared" si="49"/>
        <v/>
      </c>
      <c r="AM250" s="61" t="e">
        <f t="shared" si="50"/>
        <v>#N/A</v>
      </c>
      <c r="AN250" s="89" t="e">
        <f t="shared" si="51"/>
        <v>#N/A</v>
      </c>
      <c r="AO250" s="230">
        <f>SUM(MAR!X18:AD18)-BD250+AY250</f>
        <v>0</v>
      </c>
      <c r="AP250" s="228">
        <f>SUMIF(MAR!$G$121:$M$121,AP$178,MAR!$P18:$V18)+SUMIF($AZ$178:$BC$178,AP$178,$AZ250:$BC250)</f>
        <v>0</v>
      </c>
      <c r="AQ250" s="229">
        <f>SUMIF(MAR!$G$121:$M$121,AQ$178,MAR!$P18:$V18)+SUMIF($AZ$178:$BC$178,AQ$178,$AZ250:$BC250)</f>
        <v>0</v>
      </c>
      <c r="AR250" s="230">
        <f>SUMIF(MAR!$G$121:$M$121,AR$178,MAR!$P18:$V18)+SUMIF($AZ$178:$BC$178,AR$178,$AZ250:$BC250)</f>
        <v>0</v>
      </c>
      <c r="AS250" s="230">
        <f>SUMIF(MAR!$G$121:$M$121,AS$178,MAR!$P18:$V18)+SUMIF($AZ$178:$BC$178,AS$178,$AZ250:$BC250)</f>
        <v>0</v>
      </c>
      <c r="AT250" s="230">
        <f>SUMIF(MAR!$G$121:$M$121,AT$178,MAR!$P18:$V18)+SUMIF($AZ$178:$BC$178,AT$178,$AZ250:$BC250)</f>
        <v>0</v>
      </c>
      <c r="AU250" s="230">
        <f>SUMIF(MAR!$G$121:$M$121,AU$178,MAR!$P18:$V18)+SUMIF($AZ$178:$BC$178,AU$178,$AZ250:$BC250)</f>
        <v>0</v>
      </c>
      <c r="AV250" s="230">
        <f>SUMIF(MAR!$G$121:$M$121,AV$178,MAR!$P18:$V18)+SUMIF($AZ$178:$BC$178,AV$178,$AZ250:$BC250)</f>
        <v>0</v>
      </c>
      <c r="AW250" s="230">
        <f>SUMIF(MAR!$G$121:$M$121,AW$178,MAR!$P18:$V18)+SUMIF($AZ$178:$BC$178,AW$178,$AZ250:$BC250)</f>
        <v>0</v>
      </c>
      <c r="AX250" s="231">
        <f>SUMIF(MAR!$G$121:$M$121,AX$178,MAR!$P18:$V18)+SUMIF($AZ$178:$BC$178,AX$178,$AZ250:$BC250)</f>
        <v>0</v>
      </c>
      <c r="AY250" s="232">
        <f>MAR!AF18</f>
        <v>0</v>
      </c>
      <c r="AZ250" s="228">
        <f>MAR!AG18</f>
        <v>0</v>
      </c>
      <c r="BA250" s="229">
        <f>MAR!AH18</f>
        <v>0</v>
      </c>
      <c r="BB250" s="230">
        <f>MAR!AI18</f>
        <v>0</v>
      </c>
      <c r="BC250" s="231">
        <f>MAR!AJ18</f>
        <v>0</v>
      </c>
      <c r="BD250" s="228">
        <f>SUMIF(MAR!$G$120:$M$120,"&gt;0",MAR!$X18:$AD18)</f>
        <v>0</v>
      </c>
      <c r="BE250" s="696"/>
      <c r="BF250" s="228">
        <f>SUMIF(MAR!$BA$6:$BG$6,BF$177,MAR!$BA18:$BG18)</f>
        <v>0</v>
      </c>
      <c r="BG250" s="229">
        <f>SUMIF(MAR!$BA$6:$BG$6,BG$177,MAR!$BA18:$BG18)</f>
        <v>0</v>
      </c>
      <c r="BH250" s="229">
        <f>SUMIF(MAR!$BA$6:$BG$6,BH$177,MAR!$BA18:$BG18)</f>
        <v>0</v>
      </c>
      <c r="BI250" s="229">
        <f>SUMIF(MAR!$BA$6:$BG$6,BI$177,MAR!$BA18:$BG18)</f>
        <v>0</v>
      </c>
      <c r="BJ250" s="229">
        <f>SUMIF(MAR!$BA$6:$BG$6,BJ$177,MAR!$BA18:$BG18)</f>
        <v>0</v>
      </c>
      <c r="BK250" s="229">
        <f>SUMIF(MAR!$BA$6:$BG$6,BK$177,MAR!$BA18:$BG18)</f>
        <v>0</v>
      </c>
      <c r="BL250" s="229">
        <f>SUMIF(MAR!$BA$6:$BG$6,BL$177,MAR!$BA18:$BG18)</f>
        <v>0</v>
      </c>
      <c r="BM250" s="229">
        <f>SUMIF(MAR!$BA$6:$BG$6,BM$177,MAR!$BA18:$BG18)</f>
        <v>0</v>
      </c>
      <c r="BN250" s="229">
        <f>SUMIF(MAR!$BA$6:$BG$6,BN$177,MAR!$BA18:$BG18)</f>
        <v>0</v>
      </c>
      <c r="BO250" s="231">
        <f>SUMIF(MAR!$BA$6:$BG$6,BO$177,MAR!$BA18:$BG18)</f>
        <v>0</v>
      </c>
      <c r="BP250" s="231">
        <f>SUMIF(MAR!$BA$6:$BG$6,BP$177,MAR!$BA18:$BG18)</f>
        <v>0</v>
      </c>
      <c r="BQ250" s="252"/>
      <c r="BR250" s="228">
        <f>SUMIF(MAR!$BA$5:$BG$5,BR$177,MAR!$BA18:$BG18)</f>
        <v>0</v>
      </c>
      <c r="BS250" s="229">
        <f>SUMIF(MAR!$BA$5:$BG$5,BS$177,MAR!$BA18:$BG18)</f>
        <v>0</v>
      </c>
      <c r="BT250" s="229">
        <f>SUMIF(MAR!$BA$5:$BG$5,BT$177,MAR!$BA18:$BG18)</f>
        <v>0</v>
      </c>
      <c r="BU250" s="229">
        <f>SUMIF(MAR!$BA$5:$BG$5,BU$177,MAR!$BA18:$BG18)</f>
        <v>0</v>
      </c>
      <c r="BV250" s="229">
        <f>SUMIF(MAR!$BA$5:$BG$5,BV$177,MAR!$BA18:$BG18)</f>
        <v>0</v>
      </c>
      <c r="BW250" s="229">
        <f>SUMIF(MAR!$BA$5:$BG$5,BW$177,MAR!$BA18:$BG18)</f>
        <v>0</v>
      </c>
      <c r="BX250" s="230">
        <f>SUMIF(MAR!$BA$5:$BG$5,BX$177,MAR!$BA18:$BG18)</f>
        <v>0</v>
      </c>
      <c r="BY250" s="998">
        <f>SUMIF(MAR!$BA$5:$BG$5,BY$177,MAR!$BA18:$BG18)</f>
        <v>0</v>
      </c>
      <c r="CB250" s="252"/>
      <c r="CC250" s="61" t="e">
        <f t="shared" si="52"/>
        <v>#N/A</v>
      </c>
      <c r="CD250" s="61">
        <f t="shared" si="53"/>
        <v>0</v>
      </c>
      <c r="CE250" s="105" t="str">
        <f t="shared" si="46"/>
        <v/>
      </c>
      <c r="CF250" s="61" t="e">
        <f t="shared" si="54"/>
        <v>#N/A</v>
      </c>
      <c r="CG250" s="61" t="e">
        <f t="shared" si="55"/>
        <v>#N/A</v>
      </c>
      <c r="CH250" s="521">
        <f>MAR!AL18-CW250+CR250</f>
        <v>0</v>
      </c>
      <c r="CI250" s="228">
        <f>SUMIF(MAR!$G$121:$M$121,CI$178,MAR!$AM18:$AS18)+SUMIF($CS$178:$CV$178,CI$178,$CS250:$CV250)</f>
        <v>0</v>
      </c>
      <c r="CJ250" s="229">
        <f>SUMIF(MAR!$G$121:$M$121,CJ$178,MAR!$AM18:$AS18)+SUMIF($CS$178:$CV$178,CJ$178,$CS250:$CV250)</f>
        <v>0</v>
      </c>
      <c r="CK250" s="230">
        <f>SUMIF(MAR!$G$121:$M$121,CK$178,MAR!$AM18:$AS18)+SUMIF($CS$178:$CV$178,CK$178,$CS250:$CV250)</f>
        <v>0</v>
      </c>
      <c r="CL250" s="230">
        <f>SUMIF(MAR!$G$121:$M$121,CL$178,MAR!$AM18:$AS18)+SUMIF($CS$178:$CV$178,CL$178,$CS250:$CV250)</f>
        <v>0</v>
      </c>
      <c r="CM250" s="230">
        <f>SUMIF(MAR!$G$121:$M$121,CM$178,MAR!$AM18:$AS18)+SUMIF($CS$178:$CV$178,CM$178,$CS250:$CV250)</f>
        <v>0</v>
      </c>
      <c r="CN250" s="230">
        <f>SUMIF(MAR!$G$121:$M$121,CN$178,MAR!$AM18:$AS18)+SUMIF($CS$178:$CV$178,CN$178,$CS250:$CV250)</f>
        <v>0</v>
      </c>
      <c r="CO250" s="230">
        <f>SUMIF(MAR!$G$121:$M$121,CO$178,MAR!$AM18:$AS18)+SUMIF($CS$178:$CV$178,CO$178,$CS250:$CV250)</f>
        <v>0</v>
      </c>
      <c r="CP250" s="230">
        <f>SUMIF(MAR!$G$121:$M$121,CP$178,MAR!$AM18:$AS18)+SUMIF($CS$178:$CV$178,CP$178,$CS250:$CV250)</f>
        <v>0</v>
      </c>
      <c r="CQ250" s="231">
        <f>SUMIF(MAR!$G$121:$M$121,CQ$178,MAR!$AM18:$AS18)+SUMIF($CS$178:$CV$178,CQ$178,$CS250:$CV250)</f>
        <v>0</v>
      </c>
      <c r="CR250" s="521">
        <f>MAR!AU18</f>
        <v>0</v>
      </c>
      <c r="CS250" s="228">
        <f>MAR!AV18</f>
        <v>0</v>
      </c>
      <c r="CT250" s="229">
        <f>MAR!AW18</f>
        <v>0</v>
      </c>
      <c r="CU250" s="230">
        <f>MAR!AX18</f>
        <v>0</v>
      </c>
      <c r="CV250" s="231">
        <f>MAR!AY18</f>
        <v>0</v>
      </c>
      <c r="CW250" s="521">
        <f>SUM(MAR!AU18:AY18)</f>
        <v>0</v>
      </c>
      <c r="CX250" s="521">
        <f>MAR!AK18</f>
        <v>0</v>
      </c>
      <c r="CY250" s="2"/>
    </row>
    <row r="251" spans="1:103" ht="14.25" hidden="1" customHeight="1" x14ac:dyDescent="0.2">
      <c r="A251" s="2"/>
      <c r="B251" s="105">
        <f t="shared" si="56"/>
        <v>45363</v>
      </c>
      <c r="C251" s="146">
        <f>IF(AND(E251&gt;(E$559-1),E251&lt;(I$559+1)),W$551,IF(ISERROR(HLOOKUP(E251,$E$552:$L$552,1,FALSE)),HLOOKUP(WEEKDAY(E251,2),IMPOSTAZIONI!$C$52:$P$57,6,FALSE),$W$550))</f>
        <v>0</v>
      </c>
      <c r="D251" s="71" t="str">
        <f t="shared" si="57"/>
        <v/>
      </c>
      <c r="E251" s="2258">
        <f t="shared" si="62"/>
        <v>45363</v>
      </c>
      <c r="F251" s="2259"/>
      <c r="G251" s="2228">
        <f>MAR!E19</f>
        <v>0</v>
      </c>
      <c r="H251" s="2229"/>
      <c r="I251" s="2230"/>
      <c r="J251" s="262" t="str">
        <f t="shared" si="47"/>
        <v/>
      </c>
      <c r="K251" s="263"/>
      <c r="L251" s="2217">
        <f t="shared" si="43"/>
        <v>11</v>
      </c>
      <c r="M251" s="2218"/>
      <c r="N251" s="261"/>
      <c r="O251" s="261"/>
      <c r="P251" s="261"/>
      <c r="Q251" s="2219">
        <f t="shared" si="58"/>
        <v>45363</v>
      </c>
      <c r="R251" s="2219"/>
      <c r="S251" s="261"/>
      <c r="T251" s="1173">
        <f t="shared" si="48"/>
        <v>0</v>
      </c>
      <c r="U251" s="261"/>
      <c r="V251" s="261"/>
      <c r="W251" s="261"/>
      <c r="X251" s="261"/>
      <c r="Y251" s="261"/>
      <c r="Z251" s="261"/>
      <c r="AA251" s="261"/>
      <c r="AB251" s="261"/>
      <c r="AC251" s="261"/>
      <c r="AD251" s="261"/>
      <c r="AE251" s="261"/>
      <c r="AF251" s="261"/>
      <c r="AG251" s="1173">
        <f t="shared" si="59"/>
        <v>0</v>
      </c>
      <c r="AH251" s="61" t="str">
        <f t="shared" si="60"/>
        <v/>
      </c>
      <c r="AI251" s="89" t="e">
        <f t="shared" si="61"/>
        <v>#N/A</v>
      </c>
      <c r="AJ251" s="2"/>
      <c r="AK251" s="61">
        <f>IF(G251=G$547,0,IF(OR(G251&lt;&gt;0,CH251&lt;&gt;0,C251="L"),COUNTIF(AK$180:AK250,"&gt;0")+1,0))</f>
        <v>0</v>
      </c>
      <c r="AL251" s="61" t="str">
        <f t="shared" si="49"/>
        <v/>
      </c>
      <c r="AM251" s="61" t="e">
        <f t="shared" si="50"/>
        <v>#N/A</v>
      </c>
      <c r="AN251" s="89" t="e">
        <f t="shared" si="51"/>
        <v>#N/A</v>
      </c>
      <c r="AO251" s="230">
        <f>SUM(MAR!X19:AD19)-BD251+AY251</f>
        <v>0</v>
      </c>
      <c r="AP251" s="228">
        <f>SUMIF(MAR!$G$121:$M$121,AP$178,MAR!$P19:$V19)+SUMIF($AZ$178:$BC$178,AP$178,$AZ251:$BC251)</f>
        <v>0</v>
      </c>
      <c r="AQ251" s="229">
        <f>SUMIF(MAR!$G$121:$M$121,AQ$178,MAR!$P19:$V19)+SUMIF($AZ$178:$BC$178,AQ$178,$AZ251:$BC251)</f>
        <v>0</v>
      </c>
      <c r="AR251" s="230">
        <f>SUMIF(MAR!$G$121:$M$121,AR$178,MAR!$P19:$V19)+SUMIF($AZ$178:$BC$178,AR$178,$AZ251:$BC251)</f>
        <v>0</v>
      </c>
      <c r="AS251" s="230">
        <f>SUMIF(MAR!$G$121:$M$121,AS$178,MAR!$P19:$V19)+SUMIF($AZ$178:$BC$178,AS$178,$AZ251:$BC251)</f>
        <v>0</v>
      </c>
      <c r="AT251" s="230">
        <f>SUMIF(MAR!$G$121:$M$121,AT$178,MAR!$P19:$V19)+SUMIF($AZ$178:$BC$178,AT$178,$AZ251:$BC251)</f>
        <v>0</v>
      </c>
      <c r="AU251" s="230">
        <f>SUMIF(MAR!$G$121:$M$121,AU$178,MAR!$P19:$V19)+SUMIF($AZ$178:$BC$178,AU$178,$AZ251:$BC251)</f>
        <v>0</v>
      </c>
      <c r="AV251" s="230">
        <f>SUMIF(MAR!$G$121:$M$121,AV$178,MAR!$P19:$V19)+SUMIF($AZ$178:$BC$178,AV$178,$AZ251:$BC251)</f>
        <v>0</v>
      </c>
      <c r="AW251" s="230">
        <f>SUMIF(MAR!$G$121:$M$121,AW$178,MAR!$P19:$V19)+SUMIF($AZ$178:$BC$178,AW$178,$AZ251:$BC251)</f>
        <v>0</v>
      </c>
      <c r="AX251" s="231">
        <f>SUMIF(MAR!$G$121:$M$121,AX$178,MAR!$P19:$V19)+SUMIF($AZ$178:$BC$178,AX$178,$AZ251:$BC251)</f>
        <v>0</v>
      </c>
      <c r="AY251" s="232">
        <f>MAR!AF19</f>
        <v>0</v>
      </c>
      <c r="AZ251" s="228">
        <f>MAR!AG19</f>
        <v>0</v>
      </c>
      <c r="BA251" s="229">
        <f>MAR!AH19</f>
        <v>0</v>
      </c>
      <c r="BB251" s="230">
        <f>MAR!AI19</f>
        <v>0</v>
      </c>
      <c r="BC251" s="231">
        <f>MAR!AJ19</f>
        <v>0</v>
      </c>
      <c r="BD251" s="228">
        <f>SUMIF(MAR!$G$120:$M$120,"&gt;0",MAR!$X19:$AD19)</f>
        <v>0</v>
      </c>
      <c r="BE251" s="696"/>
      <c r="BF251" s="228">
        <f>SUMIF(MAR!$BA$6:$BG$6,BF$177,MAR!$BA19:$BG19)</f>
        <v>0</v>
      </c>
      <c r="BG251" s="229">
        <f>SUMIF(MAR!$BA$6:$BG$6,BG$177,MAR!$BA19:$BG19)</f>
        <v>0</v>
      </c>
      <c r="BH251" s="229">
        <f>SUMIF(MAR!$BA$6:$BG$6,BH$177,MAR!$BA19:$BG19)</f>
        <v>0</v>
      </c>
      <c r="BI251" s="229">
        <f>SUMIF(MAR!$BA$6:$BG$6,BI$177,MAR!$BA19:$BG19)</f>
        <v>0</v>
      </c>
      <c r="BJ251" s="229">
        <f>SUMIF(MAR!$BA$6:$BG$6,BJ$177,MAR!$BA19:$BG19)</f>
        <v>0</v>
      </c>
      <c r="BK251" s="229">
        <f>SUMIF(MAR!$BA$6:$BG$6,BK$177,MAR!$BA19:$BG19)</f>
        <v>0</v>
      </c>
      <c r="BL251" s="229">
        <f>SUMIF(MAR!$BA$6:$BG$6,BL$177,MAR!$BA19:$BG19)</f>
        <v>0</v>
      </c>
      <c r="BM251" s="229">
        <f>SUMIF(MAR!$BA$6:$BG$6,BM$177,MAR!$BA19:$BG19)</f>
        <v>0</v>
      </c>
      <c r="BN251" s="229">
        <f>SUMIF(MAR!$BA$6:$BG$6,BN$177,MAR!$BA19:$BG19)</f>
        <v>0</v>
      </c>
      <c r="BO251" s="231">
        <f>SUMIF(MAR!$BA$6:$BG$6,BO$177,MAR!$BA19:$BG19)</f>
        <v>0</v>
      </c>
      <c r="BP251" s="231">
        <f>SUMIF(MAR!$BA$6:$BG$6,BP$177,MAR!$BA19:$BG19)</f>
        <v>0</v>
      </c>
      <c r="BQ251" s="252"/>
      <c r="BR251" s="228">
        <f>SUMIF(MAR!$BA$5:$BG$5,BR$177,MAR!$BA19:$BG19)</f>
        <v>0</v>
      </c>
      <c r="BS251" s="229">
        <f>SUMIF(MAR!$BA$5:$BG$5,BS$177,MAR!$BA19:$BG19)</f>
        <v>0</v>
      </c>
      <c r="BT251" s="229">
        <f>SUMIF(MAR!$BA$5:$BG$5,BT$177,MAR!$BA19:$BG19)</f>
        <v>0</v>
      </c>
      <c r="BU251" s="229">
        <f>SUMIF(MAR!$BA$5:$BG$5,BU$177,MAR!$BA19:$BG19)</f>
        <v>0</v>
      </c>
      <c r="BV251" s="229">
        <f>SUMIF(MAR!$BA$5:$BG$5,BV$177,MAR!$BA19:$BG19)</f>
        <v>0</v>
      </c>
      <c r="BW251" s="229">
        <f>SUMIF(MAR!$BA$5:$BG$5,BW$177,MAR!$BA19:$BG19)</f>
        <v>0</v>
      </c>
      <c r="BX251" s="230">
        <f>SUMIF(MAR!$BA$5:$BG$5,BX$177,MAR!$BA19:$BG19)</f>
        <v>0</v>
      </c>
      <c r="BY251" s="998">
        <f>SUMIF(MAR!$BA$5:$BG$5,BY$177,MAR!$BA19:$BG19)</f>
        <v>0</v>
      </c>
      <c r="CB251" s="252"/>
      <c r="CC251" s="61" t="e">
        <f t="shared" si="52"/>
        <v>#N/A</v>
      </c>
      <c r="CD251" s="61">
        <f t="shared" si="53"/>
        <v>0</v>
      </c>
      <c r="CE251" s="105" t="str">
        <f t="shared" si="46"/>
        <v/>
      </c>
      <c r="CF251" s="61" t="e">
        <f t="shared" si="54"/>
        <v>#N/A</v>
      </c>
      <c r="CG251" s="61" t="e">
        <f t="shared" si="55"/>
        <v>#N/A</v>
      </c>
      <c r="CH251" s="521">
        <f>MAR!AL19-CW251+CR251</f>
        <v>0</v>
      </c>
      <c r="CI251" s="228">
        <f>SUMIF(MAR!$G$121:$M$121,CI$178,MAR!$AM19:$AS19)+SUMIF($CS$178:$CV$178,CI$178,$CS251:$CV251)</f>
        <v>0</v>
      </c>
      <c r="CJ251" s="229">
        <f>SUMIF(MAR!$G$121:$M$121,CJ$178,MAR!$AM19:$AS19)+SUMIF($CS$178:$CV$178,CJ$178,$CS251:$CV251)</f>
        <v>0</v>
      </c>
      <c r="CK251" s="230">
        <f>SUMIF(MAR!$G$121:$M$121,CK$178,MAR!$AM19:$AS19)+SUMIF($CS$178:$CV$178,CK$178,$CS251:$CV251)</f>
        <v>0</v>
      </c>
      <c r="CL251" s="230">
        <f>SUMIF(MAR!$G$121:$M$121,CL$178,MAR!$AM19:$AS19)+SUMIF($CS$178:$CV$178,CL$178,$CS251:$CV251)</f>
        <v>0</v>
      </c>
      <c r="CM251" s="230">
        <f>SUMIF(MAR!$G$121:$M$121,CM$178,MAR!$AM19:$AS19)+SUMIF($CS$178:$CV$178,CM$178,$CS251:$CV251)</f>
        <v>0</v>
      </c>
      <c r="CN251" s="230">
        <f>SUMIF(MAR!$G$121:$M$121,CN$178,MAR!$AM19:$AS19)+SUMIF($CS$178:$CV$178,CN$178,$CS251:$CV251)</f>
        <v>0</v>
      </c>
      <c r="CO251" s="230">
        <f>SUMIF(MAR!$G$121:$M$121,CO$178,MAR!$AM19:$AS19)+SUMIF($CS$178:$CV$178,CO$178,$CS251:$CV251)</f>
        <v>0</v>
      </c>
      <c r="CP251" s="230">
        <f>SUMIF(MAR!$G$121:$M$121,CP$178,MAR!$AM19:$AS19)+SUMIF($CS$178:$CV$178,CP$178,$CS251:$CV251)</f>
        <v>0</v>
      </c>
      <c r="CQ251" s="231">
        <f>SUMIF(MAR!$G$121:$M$121,CQ$178,MAR!$AM19:$AS19)+SUMIF($CS$178:$CV$178,CQ$178,$CS251:$CV251)</f>
        <v>0</v>
      </c>
      <c r="CR251" s="521">
        <f>MAR!AU19</f>
        <v>0</v>
      </c>
      <c r="CS251" s="228">
        <f>MAR!AV19</f>
        <v>0</v>
      </c>
      <c r="CT251" s="229">
        <f>MAR!AW19</f>
        <v>0</v>
      </c>
      <c r="CU251" s="230">
        <f>MAR!AX19</f>
        <v>0</v>
      </c>
      <c r="CV251" s="231">
        <f>MAR!AY19</f>
        <v>0</v>
      </c>
      <c r="CW251" s="521">
        <f>SUM(MAR!AU19:AY19)</f>
        <v>0</v>
      </c>
      <c r="CX251" s="521">
        <f>MAR!AK19</f>
        <v>0</v>
      </c>
      <c r="CY251" s="2"/>
    </row>
    <row r="252" spans="1:103" ht="14.25" hidden="1" customHeight="1" x14ac:dyDescent="0.2">
      <c r="A252" s="2"/>
      <c r="B252" s="105">
        <f t="shared" si="56"/>
        <v>45364</v>
      </c>
      <c r="C252" s="146">
        <f>IF(AND(E252&gt;(E$559-1),E252&lt;(I$559+1)),W$551,IF(ISERROR(HLOOKUP(E252,$E$552:$L$552,1,FALSE)),HLOOKUP(WEEKDAY(E252,2),IMPOSTAZIONI!$C$52:$P$57,6,FALSE),$W$550))</f>
        <v>0</v>
      </c>
      <c r="D252" s="71" t="str">
        <f t="shared" si="57"/>
        <v/>
      </c>
      <c r="E252" s="2258">
        <f t="shared" si="62"/>
        <v>45364</v>
      </c>
      <c r="F252" s="2259"/>
      <c r="G252" s="2228">
        <f>MAR!E20</f>
        <v>0</v>
      </c>
      <c r="H252" s="2229"/>
      <c r="I252" s="2230"/>
      <c r="J252" s="262" t="str">
        <f t="shared" si="47"/>
        <v/>
      </c>
      <c r="K252" s="263"/>
      <c r="L252" s="2217">
        <f t="shared" si="43"/>
        <v>11</v>
      </c>
      <c r="M252" s="2218"/>
      <c r="N252" s="261"/>
      <c r="O252" s="261"/>
      <c r="P252" s="261"/>
      <c r="Q252" s="2219">
        <f t="shared" si="58"/>
        <v>45364</v>
      </c>
      <c r="R252" s="2219"/>
      <c r="S252" s="261"/>
      <c r="T252" s="1173">
        <f t="shared" si="48"/>
        <v>0</v>
      </c>
      <c r="U252" s="261"/>
      <c r="V252" s="261"/>
      <c r="W252" s="261"/>
      <c r="X252" s="261"/>
      <c r="Y252" s="261"/>
      <c r="Z252" s="261"/>
      <c r="AA252" s="261"/>
      <c r="AB252" s="261"/>
      <c r="AC252" s="261"/>
      <c r="AD252" s="261"/>
      <c r="AE252" s="261"/>
      <c r="AF252" s="261"/>
      <c r="AG252" s="1173">
        <f t="shared" si="59"/>
        <v>0</v>
      </c>
      <c r="AH252" s="61" t="str">
        <f t="shared" si="60"/>
        <v/>
      </c>
      <c r="AI252" s="89" t="e">
        <f t="shared" si="61"/>
        <v>#N/A</v>
      </c>
      <c r="AJ252" s="2"/>
      <c r="AK252" s="61">
        <f>IF(G252=G$547,0,IF(OR(G252&lt;&gt;0,CH252&lt;&gt;0,C252="L"),COUNTIF(AK$180:AK251,"&gt;0")+1,0))</f>
        <v>0</v>
      </c>
      <c r="AL252" s="61" t="str">
        <f t="shared" si="49"/>
        <v/>
      </c>
      <c r="AM252" s="61" t="e">
        <f t="shared" si="50"/>
        <v>#N/A</v>
      </c>
      <c r="AN252" s="89" t="e">
        <f t="shared" si="51"/>
        <v>#N/A</v>
      </c>
      <c r="AO252" s="230">
        <f>SUM(MAR!X20:AD20)-BD252+AY252</f>
        <v>0</v>
      </c>
      <c r="AP252" s="228">
        <f>SUMIF(MAR!$G$121:$M$121,AP$178,MAR!$P20:$V20)+SUMIF($AZ$178:$BC$178,AP$178,$AZ252:$BC252)</f>
        <v>0</v>
      </c>
      <c r="AQ252" s="229">
        <f>SUMIF(MAR!$G$121:$M$121,AQ$178,MAR!$P20:$V20)+SUMIF($AZ$178:$BC$178,AQ$178,$AZ252:$BC252)</f>
        <v>0</v>
      </c>
      <c r="AR252" s="230">
        <f>SUMIF(MAR!$G$121:$M$121,AR$178,MAR!$P20:$V20)+SUMIF($AZ$178:$BC$178,AR$178,$AZ252:$BC252)</f>
        <v>0</v>
      </c>
      <c r="AS252" s="230">
        <f>SUMIF(MAR!$G$121:$M$121,AS$178,MAR!$P20:$V20)+SUMIF($AZ$178:$BC$178,AS$178,$AZ252:$BC252)</f>
        <v>0</v>
      </c>
      <c r="AT252" s="230">
        <f>SUMIF(MAR!$G$121:$M$121,AT$178,MAR!$P20:$V20)+SUMIF($AZ$178:$BC$178,AT$178,$AZ252:$BC252)</f>
        <v>0</v>
      </c>
      <c r="AU252" s="230">
        <f>SUMIF(MAR!$G$121:$M$121,AU$178,MAR!$P20:$V20)+SUMIF($AZ$178:$BC$178,AU$178,$AZ252:$BC252)</f>
        <v>0</v>
      </c>
      <c r="AV252" s="230">
        <f>SUMIF(MAR!$G$121:$M$121,AV$178,MAR!$P20:$V20)+SUMIF($AZ$178:$BC$178,AV$178,$AZ252:$BC252)</f>
        <v>0</v>
      </c>
      <c r="AW252" s="230">
        <f>SUMIF(MAR!$G$121:$M$121,AW$178,MAR!$P20:$V20)+SUMIF($AZ$178:$BC$178,AW$178,$AZ252:$BC252)</f>
        <v>0</v>
      </c>
      <c r="AX252" s="231">
        <f>SUMIF(MAR!$G$121:$M$121,AX$178,MAR!$P20:$V20)+SUMIF($AZ$178:$BC$178,AX$178,$AZ252:$BC252)</f>
        <v>0</v>
      </c>
      <c r="AY252" s="232">
        <f>MAR!AF20</f>
        <v>0</v>
      </c>
      <c r="AZ252" s="228">
        <f>MAR!AG20</f>
        <v>0</v>
      </c>
      <c r="BA252" s="229">
        <f>MAR!AH20</f>
        <v>0</v>
      </c>
      <c r="BB252" s="230">
        <f>MAR!AI20</f>
        <v>0</v>
      </c>
      <c r="BC252" s="231">
        <f>MAR!AJ20</f>
        <v>0</v>
      </c>
      <c r="BD252" s="228">
        <f>SUMIF(MAR!$G$120:$M$120,"&gt;0",MAR!$X20:$AD20)</f>
        <v>0</v>
      </c>
      <c r="BE252" s="696"/>
      <c r="BF252" s="228">
        <f>SUMIF(MAR!$BA$6:$BG$6,BF$177,MAR!$BA20:$BG20)</f>
        <v>0</v>
      </c>
      <c r="BG252" s="229">
        <f>SUMIF(MAR!$BA$6:$BG$6,BG$177,MAR!$BA20:$BG20)</f>
        <v>0</v>
      </c>
      <c r="BH252" s="229">
        <f>SUMIF(MAR!$BA$6:$BG$6,BH$177,MAR!$BA20:$BG20)</f>
        <v>0</v>
      </c>
      <c r="BI252" s="229">
        <f>SUMIF(MAR!$BA$6:$BG$6,BI$177,MAR!$BA20:$BG20)</f>
        <v>0</v>
      </c>
      <c r="BJ252" s="229">
        <f>SUMIF(MAR!$BA$6:$BG$6,BJ$177,MAR!$BA20:$BG20)</f>
        <v>0</v>
      </c>
      <c r="BK252" s="229">
        <f>SUMIF(MAR!$BA$6:$BG$6,BK$177,MAR!$BA20:$BG20)</f>
        <v>0</v>
      </c>
      <c r="BL252" s="229">
        <f>SUMIF(MAR!$BA$6:$BG$6,BL$177,MAR!$BA20:$BG20)</f>
        <v>0</v>
      </c>
      <c r="BM252" s="229">
        <f>SUMIF(MAR!$BA$6:$BG$6,BM$177,MAR!$BA20:$BG20)</f>
        <v>0</v>
      </c>
      <c r="BN252" s="229">
        <f>SUMIF(MAR!$BA$6:$BG$6,BN$177,MAR!$BA20:$BG20)</f>
        <v>0</v>
      </c>
      <c r="BO252" s="231">
        <f>SUMIF(MAR!$BA$6:$BG$6,BO$177,MAR!$BA20:$BG20)</f>
        <v>0</v>
      </c>
      <c r="BP252" s="231">
        <f>SUMIF(MAR!$BA$6:$BG$6,BP$177,MAR!$BA20:$BG20)</f>
        <v>0</v>
      </c>
      <c r="BQ252" s="252"/>
      <c r="BR252" s="228">
        <f>SUMIF(MAR!$BA$5:$BG$5,BR$177,MAR!$BA20:$BG20)</f>
        <v>0</v>
      </c>
      <c r="BS252" s="229">
        <f>SUMIF(MAR!$BA$5:$BG$5,BS$177,MAR!$BA20:$BG20)</f>
        <v>0</v>
      </c>
      <c r="BT252" s="229">
        <f>SUMIF(MAR!$BA$5:$BG$5,BT$177,MAR!$BA20:$BG20)</f>
        <v>0</v>
      </c>
      <c r="BU252" s="229">
        <f>SUMIF(MAR!$BA$5:$BG$5,BU$177,MAR!$BA20:$BG20)</f>
        <v>0</v>
      </c>
      <c r="BV252" s="229">
        <f>SUMIF(MAR!$BA$5:$BG$5,BV$177,MAR!$BA20:$BG20)</f>
        <v>0</v>
      </c>
      <c r="BW252" s="229">
        <f>SUMIF(MAR!$BA$5:$BG$5,BW$177,MAR!$BA20:$BG20)</f>
        <v>0</v>
      </c>
      <c r="BX252" s="230">
        <f>SUMIF(MAR!$BA$5:$BG$5,BX$177,MAR!$BA20:$BG20)</f>
        <v>0</v>
      </c>
      <c r="BY252" s="998">
        <f>SUMIF(MAR!$BA$5:$BG$5,BY$177,MAR!$BA20:$BG20)</f>
        <v>0</v>
      </c>
      <c r="CB252" s="252"/>
      <c r="CC252" s="61" t="e">
        <f t="shared" si="52"/>
        <v>#N/A</v>
      </c>
      <c r="CD252" s="61">
        <f t="shared" si="53"/>
        <v>0</v>
      </c>
      <c r="CE252" s="105" t="str">
        <f t="shared" si="46"/>
        <v/>
      </c>
      <c r="CF252" s="61" t="e">
        <f t="shared" si="54"/>
        <v>#N/A</v>
      </c>
      <c r="CG252" s="61" t="e">
        <f t="shared" si="55"/>
        <v>#N/A</v>
      </c>
      <c r="CH252" s="521">
        <f>MAR!AL20-CW252+CR252</f>
        <v>0</v>
      </c>
      <c r="CI252" s="228">
        <f>SUMIF(MAR!$G$121:$M$121,CI$178,MAR!$AM20:$AS20)+SUMIF($CS$178:$CV$178,CI$178,$CS252:$CV252)</f>
        <v>0</v>
      </c>
      <c r="CJ252" s="229">
        <f>SUMIF(MAR!$G$121:$M$121,CJ$178,MAR!$AM20:$AS20)+SUMIF($CS$178:$CV$178,CJ$178,$CS252:$CV252)</f>
        <v>0</v>
      </c>
      <c r="CK252" s="230">
        <f>SUMIF(MAR!$G$121:$M$121,CK$178,MAR!$AM20:$AS20)+SUMIF($CS$178:$CV$178,CK$178,$CS252:$CV252)</f>
        <v>0</v>
      </c>
      <c r="CL252" s="230">
        <f>SUMIF(MAR!$G$121:$M$121,CL$178,MAR!$AM20:$AS20)+SUMIF($CS$178:$CV$178,CL$178,$CS252:$CV252)</f>
        <v>0</v>
      </c>
      <c r="CM252" s="230">
        <f>SUMIF(MAR!$G$121:$M$121,CM$178,MAR!$AM20:$AS20)+SUMIF($CS$178:$CV$178,CM$178,$CS252:$CV252)</f>
        <v>0</v>
      </c>
      <c r="CN252" s="230">
        <f>SUMIF(MAR!$G$121:$M$121,CN$178,MAR!$AM20:$AS20)+SUMIF($CS$178:$CV$178,CN$178,$CS252:$CV252)</f>
        <v>0</v>
      </c>
      <c r="CO252" s="230">
        <f>SUMIF(MAR!$G$121:$M$121,CO$178,MAR!$AM20:$AS20)+SUMIF($CS$178:$CV$178,CO$178,$CS252:$CV252)</f>
        <v>0</v>
      </c>
      <c r="CP252" s="230">
        <f>SUMIF(MAR!$G$121:$M$121,CP$178,MAR!$AM20:$AS20)+SUMIF($CS$178:$CV$178,CP$178,$CS252:$CV252)</f>
        <v>0</v>
      </c>
      <c r="CQ252" s="231">
        <f>SUMIF(MAR!$G$121:$M$121,CQ$178,MAR!$AM20:$AS20)+SUMIF($CS$178:$CV$178,CQ$178,$CS252:$CV252)</f>
        <v>0</v>
      </c>
      <c r="CR252" s="521">
        <f>MAR!AU20</f>
        <v>0</v>
      </c>
      <c r="CS252" s="228">
        <f>MAR!AV20</f>
        <v>0</v>
      </c>
      <c r="CT252" s="229">
        <f>MAR!AW20</f>
        <v>0</v>
      </c>
      <c r="CU252" s="230">
        <f>MAR!AX20</f>
        <v>0</v>
      </c>
      <c r="CV252" s="231">
        <f>MAR!AY20</f>
        <v>0</v>
      </c>
      <c r="CW252" s="521">
        <f>SUM(MAR!AU20:AY20)</f>
        <v>0</v>
      </c>
      <c r="CX252" s="521">
        <f>MAR!AK20</f>
        <v>0</v>
      </c>
      <c r="CY252" s="2"/>
    </row>
    <row r="253" spans="1:103" ht="14.25" hidden="1" customHeight="1" x14ac:dyDescent="0.2">
      <c r="A253" s="2"/>
      <c r="B253" s="105">
        <f t="shared" si="56"/>
        <v>45365</v>
      </c>
      <c r="C253" s="146">
        <f>IF(AND(E253&gt;(E$559-1),E253&lt;(I$559+1)),W$551,IF(ISERROR(HLOOKUP(E253,$E$552:$L$552,1,FALSE)),HLOOKUP(WEEKDAY(E253,2),IMPOSTAZIONI!$C$52:$P$57,6,FALSE),$W$550))</f>
        <v>0</v>
      </c>
      <c r="D253" s="71" t="str">
        <f t="shared" si="57"/>
        <v/>
      </c>
      <c r="E253" s="2258">
        <f t="shared" si="62"/>
        <v>45365</v>
      </c>
      <c r="F253" s="2259"/>
      <c r="G253" s="2228">
        <f>MAR!E21</f>
        <v>0</v>
      </c>
      <c r="H253" s="2229"/>
      <c r="I253" s="2230"/>
      <c r="J253" s="262" t="str">
        <f t="shared" si="47"/>
        <v/>
      </c>
      <c r="K253" s="263"/>
      <c r="L253" s="2217">
        <f t="shared" si="43"/>
        <v>11</v>
      </c>
      <c r="M253" s="2218"/>
      <c r="N253" s="261"/>
      <c r="O253" s="261"/>
      <c r="P253" s="261"/>
      <c r="Q253" s="2219">
        <f t="shared" si="58"/>
        <v>45365</v>
      </c>
      <c r="R253" s="2219"/>
      <c r="S253" s="261"/>
      <c r="T253" s="1173">
        <f t="shared" si="48"/>
        <v>0</v>
      </c>
      <c r="U253" s="261"/>
      <c r="V253" s="261"/>
      <c r="W253" s="261"/>
      <c r="X253" s="261"/>
      <c r="Y253" s="261"/>
      <c r="Z253" s="261"/>
      <c r="AA253" s="261"/>
      <c r="AB253" s="261"/>
      <c r="AC253" s="261"/>
      <c r="AD253" s="261"/>
      <c r="AE253" s="261"/>
      <c r="AF253" s="261"/>
      <c r="AG253" s="1173">
        <f t="shared" si="59"/>
        <v>0</v>
      </c>
      <c r="AH253" s="61" t="str">
        <f t="shared" si="60"/>
        <v/>
      </c>
      <c r="AI253" s="89" t="e">
        <f t="shared" si="61"/>
        <v>#N/A</v>
      </c>
      <c r="AJ253" s="2"/>
      <c r="AK253" s="61">
        <f>IF(G253=G$547,0,IF(OR(G253&lt;&gt;0,CH253&lt;&gt;0,C253="L"),COUNTIF(AK$180:AK252,"&gt;0")+1,0))</f>
        <v>0</v>
      </c>
      <c r="AL253" s="61" t="str">
        <f t="shared" si="49"/>
        <v/>
      </c>
      <c r="AM253" s="61" t="e">
        <f t="shared" si="50"/>
        <v>#N/A</v>
      </c>
      <c r="AN253" s="89" t="e">
        <f t="shared" si="51"/>
        <v>#N/A</v>
      </c>
      <c r="AO253" s="230">
        <f>SUM(MAR!X21:AD21)-BD253+AY253</f>
        <v>0</v>
      </c>
      <c r="AP253" s="228">
        <f>SUMIF(MAR!$G$121:$M$121,AP$178,MAR!$P21:$V21)+SUMIF($AZ$178:$BC$178,AP$178,$AZ253:$BC253)</f>
        <v>0</v>
      </c>
      <c r="AQ253" s="229">
        <f>SUMIF(MAR!$G$121:$M$121,AQ$178,MAR!$P21:$V21)+SUMIF($AZ$178:$BC$178,AQ$178,$AZ253:$BC253)</f>
        <v>0</v>
      </c>
      <c r="AR253" s="230">
        <f>SUMIF(MAR!$G$121:$M$121,AR$178,MAR!$P21:$V21)+SUMIF($AZ$178:$BC$178,AR$178,$AZ253:$BC253)</f>
        <v>0</v>
      </c>
      <c r="AS253" s="230">
        <f>SUMIF(MAR!$G$121:$M$121,AS$178,MAR!$P21:$V21)+SUMIF($AZ$178:$BC$178,AS$178,$AZ253:$BC253)</f>
        <v>0</v>
      </c>
      <c r="AT253" s="230">
        <f>SUMIF(MAR!$G$121:$M$121,AT$178,MAR!$P21:$V21)+SUMIF($AZ$178:$BC$178,AT$178,$AZ253:$BC253)</f>
        <v>0</v>
      </c>
      <c r="AU253" s="230">
        <f>SUMIF(MAR!$G$121:$M$121,AU$178,MAR!$P21:$V21)+SUMIF($AZ$178:$BC$178,AU$178,$AZ253:$BC253)</f>
        <v>0</v>
      </c>
      <c r="AV253" s="230">
        <f>SUMIF(MAR!$G$121:$M$121,AV$178,MAR!$P21:$V21)+SUMIF($AZ$178:$BC$178,AV$178,$AZ253:$BC253)</f>
        <v>0</v>
      </c>
      <c r="AW253" s="230">
        <f>SUMIF(MAR!$G$121:$M$121,AW$178,MAR!$P21:$V21)+SUMIF($AZ$178:$BC$178,AW$178,$AZ253:$BC253)</f>
        <v>0</v>
      </c>
      <c r="AX253" s="231">
        <f>SUMIF(MAR!$G$121:$M$121,AX$178,MAR!$P21:$V21)+SUMIF($AZ$178:$BC$178,AX$178,$AZ253:$BC253)</f>
        <v>0</v>
      </c>
      <c r="AY253" s="232">
        <f>MAR!AF21</f>
        <v>0</v>
      </c>
      <c r="AZ253" s="228">
        <f>MAR!AG21</f>
        <v>0</v>
      </c>
      <c r="BA253" s="229">
        <f>MAR!AH21</f>
        <v>0</v>
      </c>
      <c r="BB253" s="230">
        <f>MAR!AI21</f>
        <v>0</v>
      </c>
      <c r="BC253" s="231">
        <f>MAR!AJ21</f>
        <v>0</v>
      </c>
      <c r="BD253" s="228">
        <f>SUMIF(MAR!$G$120:$M$120,"&gt;0",MAR!$X21:$AD21)</f>
        <v>0</v>
      </c>
      <c r="BE253" s="696"/>
      <c r="BF253" s="228">
        <f>SUMIF(MAR!$BA$6:$BG$6,BF$177,MAR!$BA21:$BG21)</f>
        <v>0</v>
      </c>
      <c r="BG253" s="229">
        <f>SUMIF(MAR!$BA$6:$BG$6,BG$177,MAR!$BA21:$BG21)</f>
        <v>0</v>
      </c>
      <c r="BH253" s="229">
        <f>SUMIF(MAR!$BA$6:$BG$6,BH$177,MAR!$BA21:$BG21)</f>
        <v>0</v>
      </c>
      <c r="BI253" s="229">
        <f>SUMIF(MAR!$BA$6:$BG$6,BI$177,MAR!$BA21:$BG21)</f>
        <v>0</v>
      </c>
      <c r="BJ253" s="229">
        <f>SUMIF(MAR!$BA$6:$BG$6,BJ$177,MAR!$BA21:$BG21)</f>
        <v>0</v>
      </c>
      <c r="BK253" s="229">
        <f>SUMIF(MAR!$BA$6:$BG$6,BK$177,MAR!$BA21:$BG21)</f>
        <v>0</v>
      </c>
      <c r="BL253" s="229">
        <f>SUMIF(MAR!$BA$6:$BG$6,BL$177,MAR!$BA21:$BG21)</f>
        <v>0</v>
      </c>
      <c r="BM253" s="229">
        <f>SUMIF(MAR!$BA$6:$BG$6,BM$177,MAR!$BA21:$BG21)</f>
        <v>0</v>
      </c>
      <c r="BN253" s="229">
        <f>SUMIF(MAR!$BA$6:$BG$6,BN$177,MAR!$BA21:$BG21)</f>
        <v>0</v>
      </c>
      <c r="BO253" s="231">
        <f>SUMIF(MAR!$BA$6:$BG$6,BO$177,MAR!$BA21:$BG21)</f>
        <v>0</v>
      </c>
      <c r="BP253" s="231">
        <f>SUMIF(MAR!$BA$6:$BG$6,BP$177,MAR!$BA21:$BG21)</f>
        <v>0</v>
      </c>
      <c r="BQ253" s="252"/>
      <c r="BR253" s="228">
        <f>SUMIF(MAR!$BA$5:$BG$5,BR$177,MAR!$BA21:$BG21)</f>
        <v>0</v>
      </c>
      <c r="BS253" s="229">
        <f>SUMIF(MAR!$BA$5:$BG$5,BS$177,MAR!$BA21:$BG21)</f>
        <v>0</v>
      </c>
      <c r="BT253" s="229">
        <f>SUMIF(MAR!$BA$5:$BG$5,BT$177,MAR!$BA21:$BG21)</f>
        <v>0</v>
      </c>
      <c r="BU253" s="229">
        <f>SUMIF(MAR!$BA$5:$BG$5,BU$177,MAR!$BA21:$BG21)</f>
        <v>0</v>
      </c>
      <c r="BV253" s="229">
        <f>SUMIF(MAR!$BA$5:$BG$5,BV$177,MAR!$BA21:$BG21)</f>
        <v>0</v>
      </c>
      <c r="BW253" s="229">
        <f>SUMIF(MAR!$BA$5:$BG$5,BW$177,MAR!$BA21:$BG21)</f>
        <v>0</v>
      </c>
      <c r="BX253" s="230">
        <f>SUMIF(MAR!$BA$5:$BG$5,BX$177,MAR!$BA21:$BG21)</f>
        <v>0</v>
      </c>
      <c r="BY253" s="998">
        <f>SUMIF(MAR!$BA$5:$BG$5,BY$177,MAR!$BA21:$BG21)</f>
        <v>0</v>
      </c>
      <c r="CB253" s="252"/>
      <c r="CC253" s="61" t="e">
        <f t="shared" si="52"/>
        <v>#N/A</v>
      </c>
      <c r="CD253" s="61">
        <f t="shared" si="53"/>
        <v>0</v>
      </c>
      <c r="CE253" s="105" t="str">
        <f t="shared" si="46"/>
        <v/>
      </c>
      <c r="CF253" s="61" t="e">
        <f t="shared" si="54"/>
        <v>#N/A</v>
      </c>
      <c r="CG253" s="61" t="e">
        <f t="shared" si="55"/>
        <v>#N/A</v>
      </c>
      <c r="CH253" s="521">
        <f>MAR!AL21-CW253+CR253</f>
        <v>0</v>
      </c>
      <c r="CI253" s="228">
        <f>SUMIF(MAR!$G$121:$M$121,CI$178,MAR!$AM21:$AS21)+SUMIF($CS$178:$CV$178,CI$178,$CS253:$CV253)</f>
        <v>0</v>
      </c>
      <c r="CJ253" s="229">
        <f>SUMIF(MAR!$G$121:$M$121,CJ$178,MAR!$AM21:$AS21)+SUMIF($CS$178:$CV$178,CJ$178,$CS253:$CV253)</f>
        <v>0</v>
      </c>
      <c r="CK253" s="230">
        <f>SUMIF(MAR!$G$121:$M$121,CK$178,MAR!$AM21:$AS21)+SUMIF($CS$178:$CV$178,CK$178,$CS253:$CV253)</f>
        <v>0</v>
      </c>
      <c r="CL253" s="230">
        <f>SUMIF(MAR!$G$121:$M$121,CL$178,MAR!$AM21:$AS21)+SUMIF($CS$178:$CV$178,CL$178,$CS253:$CV253)</f>
        <v>0</v>
      </c>
      <c r="CM253" s="230">
        <f>SUMIF(MAR!$G$121:$M$121,CM$178,MAR!$AM21:$AS21)+SUMIF($CS$178:$CV$178,CM$178,$CS253:$CV253)</f>
        <v>0</v>
      </c>
      <c r="CN253" s="230">
        <f>SUMIF(MAR!$G$121:$M$121,CN$178,MAR!$AM21:$AS21)+SUMIF($CS$178:$CV$178,CN$178,$CS253:$CV253)</f>
        <v>0</v>
      </c>
      <c r="CO253" s="230">
        <f>SUMIF(MAR!$G$121:$M$121,CO$178,MAR!$AM21:$AS21)+SUMIF($CS$178:$CV$178,CO$178,$CS253:$CV253)</f>
        <v>0</v>
      </c>
      <c r="CP253" s="230">
        <f>SUMIF(MAR!$G$121:$M$121,CP$178,MAR!$AM21:$AS21)+SUMIF($CS$178:$CV$178,CP$178,$CS253:$CV253)</f>
        <v>0</v>
      </c>
      <c r="CQ253" s="231">
        <f>SUMIF(MAR!$G$121:$M$121,CQ$178,MAR!$AM21:$AS21)+SUMIF($CS$178:$CV$178,CQ$178,$CS253:$CV253)</f>
        <v>0</v>
      </c>
      <c r="CR253" s="521">
        <f>MAR!AU21</f>
        <v>0</v>
      </c>
      <c r="CS253" s="228">
        <f>MAR!AV21</f>
        <v>0</v>
      </c>
      <c r="CT253" s="229">
        <f>MAR!AW21</f>
        <v>0</v>
      </c>
      <c r="CU253" s="230">
        <f>MAR!AX21</f>
        <v>0</v>
      </c>
      <c r="CV253" s="231">
        <f>MAR!AY21</f>
        <v>0</v>
      </c>
      <c r="CW253" s="521">
        <f>SUM(MAR!AU21:AY21)</f>
        <v>0</v>
      </c>
      <c r="CX253" s="521">
        <f>MAR!AK21</f>
        <v>0</v>
      </c>
      <c r="CY253" s="2"/>
    </row>
    <row r="254" spans="1:103" ht="14.25" hidden="1" customHeight="1" x14ac:dyDescent="0.2">
      <c r="A254" s="2"/>
      <c r="B254" s="105">
        <f t="shared" si="56"/>
        <v>45366</v>
      </c>
      <c r="C254" s="146">
        <f>IF(AND(E254&gt;(E$559-1),E254&lt;(I$559+1)),W$551,IF(ISERROR(HLOOKUP(E254,$E$552:$L$552,1,FALSE)),HLOOKUP(WEEKDAY(E254,2),IMPOSTAZIONI!$C$52:$P$57,6,FALSE),$W$550))</f>
        <v>0</v>
      </c>
      <c r="D254" s="71" t="str">
        <f t="shared" si="57"/>
        <v/>
      </c>
      <c r="E254" s="2258">
        <f t="shared" si="62"/>
        <v>45366</v>
      </c>
      <c r="F254" s="2259"/>
      <c r="G254" s="2228">
        <f>MAR!E22</f>
        <v>0</v>
      </c>
      <c r="H254" s="2229"/>
      <c r="I254" s="2230"/>
      <c r="J254" s="262" t="str">
        <f t="shared" si="47"/>
        <v/>
      </c>
      <c r="K254" s="263"/>
      <c r="L254" s="2217">
        <f t="shared" ref="L254:L317" si="63">L247+1</f>
        <v>11</v>
      </c>
      <c r="M254" s="2218"/>
      <c r="N254" s="261"/>
      <c r="O254" s="261"/>
      <c r="P254" s="261"/>
      <c r="Q254" s="2219">
        <f t="shared" si="58"/>
        <v>45366</v>
      </c>
      <c r="R254" s="2219"/>
      <c r="S254" s="261"/>
      <c r="T254" s="1173">
        <f t="shared" si="48"/>
        <v>0</v>
      </c>
      <c r="U254" s="261"/>
      <c r="V254" s="261"/>
      <c r="W254" s="261"/>
      <c r="X254" s="261"/>
      <c r="Y254" s="261"/>
      <c r="Z254" s="261"/>
      <c r="AA254" s="261"/>
      <c r="AB254" s="261"/>
      <c r="AC254" s="261"/>
      <c r="AD254" s="261"/>
      <c r="AE254" s="261"/>
      <c r="AF254" s="261"/>
      <c r="AG254" s="1173">
        <f t="shared" si="59"/>
        <v>0</v>
      </c>
      <c r="AH254" s="61" t="str">
        <f t="shared" si="60"/>
        <v/>
      </c>
      <c r="AI254" s="89" t="e">
        <f t="shared" si="61"/>
        <v>#N/A</v>
      </c>
      <c r="AJ254" s="2"/>
      <c r="AK254" s="61">
        <f>IF(G254=G$547,0,IF(OR(G254&lt;&gt;0,CH254&lt;&gt;0,C254="L"),COUNTIF(AK$180:AK253,"&gt;0")+1,0))</f>
        <v>0</v>
      </c>
      <c r="AL254" s="61" t="str">
        <f t="shared" si="49"/>
        <v/>
      </c>
      <c r="AM254" s="61" t="e">
        <f t="shared" si="50"/>
        <v>#N/A</v>
      </c>
      <c r="AN254" s="89" t="e">
        <f t="shared" si="51"/>
        <v>#N/A</v>
      </c>
      <c r="AO254" s="230">
        <f>SUM(MAR!X22:AD22)-BD254+AY254</f>
        <v>0</v>
      </c>
      <c r="AP254" s="228">
        <f>SUMIF(MAR!$G$121:$M$121,AP$178,MAR!$P22:$V22)+SUMIF($AZ$178:$BC$178,AP$178,$AZ254:$BC254)</f>
        <v>0</v>
      </c>
      <c r="AQ254" s="229">
        <f>SUMIF(MAR!$G$121:$M$121,AQ$178,MAR!$P22:$V22)+SUMIF($AZ$178:$BC$178,AQ$178,$AZ254:$BC254)</f>
        <v>0</v>
      </c>
      <c r="AR254" s="230">
        <f>SUMIF(MAR!$G$121:$M$121,AR$178,MAR!$P22:$V22)+SUMIF($AZ$178:$BC$178,AR$178,$AZ254:$BC254)</f>
        <v>0</v>
      </c>
      <c r="AS254" s="230">
        <f>SUMIF(MAR!$G$121:$M$121,AS$178,MAR!$P22:$V22)+SUMIF($AZ$178:$BC$178,AS$178,$AZ254:$BC254)</f>
        <v>0</v>
      </c>
      <c r="AT254" s="230">
        <f>SUMIF(MAR!$G$121:$M$121,AT$178,MAR!$P22:$V22)+SUMIF($AZ$178:$BC$178,AT$178,$AZ254:$BC254)</f>
        <v>0</v>
      </c>
      <c r="AU254" s="230">
        <f>SUMIF(MAR!$G$121:$M$121,AU$178,MAR!$P22:$V22)+SUMIF($AZ$178:$BC$178,AU$178,$AZ254:$BC254)</f>
        <v>0</v>
      </c>
      <c r="AV254" s="230">
        <f>SUMIF(MAR!$G$121:$M$121,AV$178,MAR!$P22:$V22)+SUMIF($AZ$178:$BC$178,AV$178,$AZ254:$BC254)</f>
        <v>0</v>
      </c>
      <c r="AW254" s="230">
        <f>SUMIF(MAR!$G$121:$M$121,AW$178,MAR!$P22:$V22)+SUMIF($AZ$178:$BC$178,AW$178,$AZ254:$BC254)</f>
        <v>0</v>
      </c>
      <c r="AX254" s="231">
        <f>SUMIF(MAR!$G$121:$M$121,AX$178,MAR!$P22:$V22)+SUMIF($AZ$178:$BC$178,AX$178,$AZ254:$BC254)</f>
        <v>0</v>
      </c>
      <c r="AY254" s="232">
        <f>MAR!AF22</f>
        <v>0</v>
      </c>
      <c r="AZ254" s="228">
        <f>MAR!AG22</f>
        <v>0</v>
      </c>
      <c r="BA254" s="229">
        <f>MAR!AH22</f>
        <v>0</v>
      </c>
      <c r="BB254" s="230">
        <f>MAR!AI22</f>
        <v>0</v>
      </c>
      <c r="BC254" s="231">
        <f>MAR!AJ22</f>
        <v>0</v>
      </c>
      <c r="BD254" s="228">
        <f>SUMIF(MAR!$G$120:$M$120,"&gt;0",MAR!$X22:$AD22)</f>
        <v>0</v>
      </c>
      <c r="BE254" s="696"/>
      <c r="BF254" s="228">
        <f>SUMIF(MAR!$BA$6:$BG$6,BF$177,MAR!$BA22:$BG22)</f>
        <v>0</v>
      </c>
      <c r="BG254" s="229">
        <f>SUMIF(MAR!$BA$6:$BG$6,BG$177,MAR!$BA22:$BG22)</f>
        <v>0</v>
      </c>
      <c r="BH254" s="229">
        <f>SUMIF(MAR!$BA$6:$BG$6,BH$177,MAR!$BA22:$BG22)</f>
        <v>0</v>
      </c>
      <c r="BI254" s="229">
        <f>SUMIF(MAR!$BA$6:$BG$6,BI$177,MAR!$BA22:$BG22)</f>
        <v>0</v>
      </c>
      <c r="BJ254" s="229">
        <f>SUMIF(MAR!$BA$6:$BG$6,BJ$177,MAR!$BA22:$BG22)</f>
        <v>0</v>
      </c>
      <c r="BK254" s="229">
        <f>SUMIF(MAR!$BA$6:$BG$6,BK$177,MAR!$BA22:$BG22)</f>
        <v>0</v>
      </c>
      <c r="BL254" s="229">
        <f>SUMIF(MAR!$BA$6:$BG$6,BL$177,MAR!$BA22:$BG22)</f>
        <v>0</v>
      </c>
      <c r="BM254" s="229">
        <f>SUMIF(MAR!$BA$6:$BG$6,BM$177,MAR!$BA22:$BG22)</f>
        <v>0</v>
      </c>
      <c r="BN254" s="229">
        <f>SUMIF(MAR!$BA$6:$BG$6,BN$177,MAR!$BA22:$BG22)</f>
        <v>0</v>
      </c>
      <c r="BO254" s="231">
        <f>SUMIF(MAR!$BA$6:$BG$6,BO$177,MAR!$BA22:$BG22)</f>
        <v>0</v>
      </c>
      <c r="BP254" s="231">
        <f>SUMIF(MAR!$BA$6:$BG$6,BP$177,MAR!$BA22:$BG22)</f>
        <v>0</v>
      </c>
      <c r="BQ254" s="252"/>
      <c r="BR254" s="228">
        <f>SUMIF(MAR!$BA$5:$BG$5,BR$177,MAR!$BA22:$BG22)</f>
        <v>0</v>
      </c>
      <c r="BS254" s="229">
        <f>SUMIF(MAR!$BA$5:$BG$5,BS$177,MAR!$BA22:$BG22)</f>
        <v>0</v>
      </c>
      <c r="BT254" s="229">
        <f>SUMIF(MAR!$BA$5:$BG$5,BT$177,MAR!$BA22:$BG22)</f>
        <v>0</v>
      </c>
      <c r="BU254" s="229">
        <f>SUMIF(MAR!$BA$5:$BG$5,BU$177,MAR!$BA22:$BG22)</f>
        <v>0</v>
      </c>
      <c r="BV254" s="229">
        <f>SUMIF(MAR!$BA$5:$BG$5,BV$177,MAR!$BA22:$BG22)</f>
        <v>0</v>
      </c>
      <c r="BW254" s="229">
        <f>SUMIF(MAR!$BA$5:$BG$5,BW$177,MAR!$BA22:$BG22)</f>
        <v>0</v>
      </c>
      <c r="BX254" s="230">
        <f>SUMIF(MAR!$BA$5:$BG$5,BX$177,MAR!$BA22:$BG22)</f>
        <v>0</v>
      </c>
      <c r="BY254" s="998">
        <f>SUMIF(MAR!$BA$5:$BG$5,BY$177,MAR!$BA22:$BG22)</f>
        <v>0</v>
      </c>
      <c r="CB254" s="252"/>
      <c r="CC254" s="61" t="e">
        <f t="shared" si="52"/>
        <v>#N/A</v>
      </c>
      <c r="CD254" s="61">
        <f t="shared" si="53"/>
        <v>0</v>
      </c>
      <c r="CE254" s="105" t="str">
        <f t="shared" si="46"/>
        <v/>
      </c>
      <c r="CF254" s="61" t="e">
        <f t="shared" si="54"/>
        <v>#N/A</v>
      </c>
      <c r="CG254" s="61" t="e">
        <f t="shared" si="55"/>
        <v>#N/A</v>
      </c>
      <c r="CH254" s="521">
        <f>MAR!AL22-CW254+CR254</f>
        <v>0</v>
      </c>
      <c r="CI254" s="228">
        <f>SUMIF(MAR!$G$121:$M$121,CI$178,MAR!$AM22:$AS22)+SUMIF($CS$178:$CV$178,CI$178,$CS254:$CV254)</f>
        <v>0</v>
      </c>
      <c r="CJ254" s="229">
        <f>SUMIF(MAR!$G$121:$M$121,CJ$178,MAR!$AM22:$AS22)+SUMIF($CS$178:$CV$178,CJ$178,$CS254:$CV254)</f>
        <v>0</v>
      </c>
      <c r="CK254" s="230">
        <f>SUMIF(MAR!$G$121:$M$121,CK$178,MAR!$AM22:$AS22)+SUMIF($CS$178:$CV$178,CK$178,$CS254:$CV254)</f>
        <v>0</v>
      </c>
      <c r="CL254" s="230">
        <f>SUMIF(MAR!$G$121:$M$121,CL$178,MAR!$AM22:$AS22)+SUMIF($CS$178:$CV$178,CL$178,$CS254:$CV254)</f>
        <v>0</v>
      </c>
      <c r="CM254" s="230">
        <f>SUMIF(MAR!$G$121:$M$121,CM$178,MAR!$AM22:$AS22)+SUMIF($CS$178:$CV$178,CM$178,$CS254:$CV254)</f>
        <v>0</v>
      </c>
      <c r="CN254" s="230">
        <f>SUMIF(MAR!$G$121:$M$121,CN$178,MAR!$AM22:$AS22)+SUMIF($CS$178:$CV$178,CN$178,$CS254:$CV254)</f>
        <v>0</v>
      </c>
      <c r="CO254" s="230">
        <f>SUMIF(MAR!$G$121:$M$121,CO$178,MAR!$AM22:$AS22)+SUMIF($CS$178:$CV$178,CO$178,$CS254:$CV254)</f>
        <v>0</v>
      </c>
      <c r="CP254" s="230">
        <f>SUMIF(MAR!$G$121:$M$121,CP$178,MAR!$AM22:$AS22)+SUMIF($CS$178:$CV$178,CP$178,$CS254:$CV254)</f>
        <v>0</v>
      </c>
      <c r="CQ254" s="231">
        <f>SUMIF(MAR!$G$121:$M$121,CQ$178,MAR!$AM22:$AS22)+SUMIF($CS$178:$CV$178,CQ$178,$CS254:$CV254)</f>
        <v>0</v>
      </c>
      <c r="CR254" s="521">
        <f>MAR!AU22</f>
        <v>0</v>
      </c>
      <c r="CS254" s="228">
        <f>MAR!AV22</f>
        <v>0</v>
      </c>
      <c r="CT254" s="229">
        <f>MAR!AW22</f>
        <v>0</v>
      </c>
      <c r="CU254" s="230">
        <f>MAR!AX22</f>
        <v>0</v>
      </c>
      <c r="CV254" s="231">
        <f>MAR!AY22</f>
        <v>0</v>
      </c>
      <c r="CW254" s="521">
        <f>SUM(MAR!AU22:AY22)</f>
        <v>0</v>
      </c>
      <c r="CX254" s="521">
        <f>MAR!AK22</f>
        <v>0</v>
      </c>
      <c r="CY254" s="2"/>
    </row>
    <row r="255" spans="1:103" ht="14.25" hidden="1" customHeight="1" x14ac:dyDescent="0.2">
      <c r="A255" s="2"/>
      <c r="B255" s="105">
        <f t="shared" si="56"/>
        <v>45367</v>
      </c>
      <c r="C255" s="146">
        <f>IF(AND(E255&gt;(E$559-1),E255&lt;(I$559+1)),W$551,IF(ISERROR(HLOOKUP(E255,$E$552:$L$552,1,FALSE)),HLOOKUP(WEEKDAY(E255,2),IMPOSTAZIONI!$C$52:$P$57,6,FALSE),$W$550))</f>
        <v>0</v>
      </c>
      <c r="D255" s="71" t="str">
        <f t="shared" si="57"/>
        <v/>
      </c>
      <c r="E255" s="2258">
        <f t="shared" si="62"/>
        <v>45367</v>
      </c>
      <c r="F255" s="2259"/>
      <c r="G255" s="2228">
        <f>MAR!E23</f>
        <v>0</v>
      </c>
      <c r="H255" s="2229"/>
      <c r="I255" s="2230"/>
      <c r="J255" s="262" t="str">
        <f t="shared" si="47"/>
        <v/>
      </c>
      <c r="K255" s="263"/>
      <c r="L255" s="2217">
        <f t="shared" si="63"/>
        <v>11</v>
      </c>
      <c r="M255" s="2218"/>
      <c r="N255" s="261"/>
      <c r="O255" s="261"/>
      <c r="P255" s="261"/>
      <c r="Q255" s="2219">
        <f t="shared" si="58"/>
        <v>45367</v>
      </c>
      <c r="R255" s="2219"/>
      <c r="S255" s="261"/>
      <c r="T255" s="1173">
        <f t="shared" si="48"/>
        <v>0</v>
      </c>
      <c r="U255" s="261"/>
      <c r="V255" s="261"/>
      <c r="W255" s="261"/>
      <c r="X255" s="261"/>
      <c r="Y255" s="261"/>
      <c r="Z255" s="261"/>
      <c r="AA255" s="261"/>
      <c r="AB255" s="261"/>
      <c r="AC255" s="261"/>
      <c r="AD255" s="261"/>
      <c r="AE255" s="261"/>
      <c r="AF255" s="261"/>
      <c r="AG255" s="1173">
        <f t="shared" si="59"/>
        <v>0</v>
      </c>
      <c r="AH255" s="61" t="str">
        <f t="shared" si="60"/>
        <v/>
      </c>
      <c r="AI255" s="89" t="e">
        <f t="shared" si="61"/>
        <v>#N/A</v>
      </c>
      <c r="AJ255" s="2"/>
      <c r="AK255" s="61">
        <f>IF(G255=G$547,0,IF(OR(G255&lt;&gt;0,CH255&lt;&gt;0,C255="L"),COUNTIF(AK$180:AK254,"&gt;0")+1,0))</f>
        <v>0</v>
      </c>
      <c r="AL255" s="61" t="str">
        <f t="shared" si="49"/>
        <v/>
      </c>
      <c r="AM255" s="61" t="e">
        <f t="shared" si="50"/>
        <v>#N/A</v>
      </c>
      <c r="AN255" s="89" t="e">
        <f t="shared" si="51"/>
        <v>#N/A</v>
      </c>
      <c r="AO255" s="230">
        <f>SUM(MAR!X23:AD23)-BD255+AY255</f>
        <v>0</v>
      </c>
      <c r="AP255" s="228">
        <f>SUMIF(MAR!$G$121:$M$121,AP$178,MAR!$P23:$V23)+SUMIF($AZ$178:$BC$178,AP$178,$AZ255:$BC255)</f>
        <v>0</v>
      </c>
      <c r="AQ255" s="229">
        <f>SUMIF(MAR!$G$121:$M$121,AQ$178,MAR!$P23:$V23)+SUMIF($AZ$178:$BC$178,AQ$178,$AZ255:$BC255)</f>
        <v>0</v>
      </c>
      <c r="AR255" s="230">
        <f>SUMIF(MAR!$G$121:$M$121,AR$178,MAR!$P23:$V23)+SUMIF($AZ$178:$BC$178,AR$178,$AZ255:$BC255)</f>
        <v>0</v>
      </c>
      <c r="AS255" s="230">
        <f>SUMIF(MAR!$G$121:$M$121,AS$178,MAR!$P23:$V23)+SUMIF($AZ$178:$BC$178,AS$178,$AZ255:$BC255)</f>
        <v>0</v>
      </c>
      <c r="AT255" s="230">
        <f>SUMIF(MAR!$G$121:$M$121,AT$178,MAR!$P23:$V23)+SUMIF($AZ$178:$BC$178,AT$178,$AZ255:$BC255)</f>
        <v>0</v>
      </c>
      <c r="AU255" s="230">
        <f>SUMIF(MAR!$G$121:$M$121,AU$178,MAR!$P23:$V23)+SUMIF($AZ$178:$BC$178,AU$178,$AZ255:$BC255)</f>
        <v>0</v>
      </c>
      <c r="AV255" s="230">
        <f>SUMIF(MAR!$G$121:$M$121,AV$178,MAR!$P23:$V23)+SUMIF($AZ$178:$BC$178,AV$178,$AZ255:$BC255)</f>
        <v>0</v>
      </c>
      <c r="AW255" s="230">
        <f>SUMIF(MAR!$G$121:$M$121,AW$178,MAR!$P23:$V23)+SUMIF($AZ$178:$BC$178,AW$178,$AZ255:$BC255)</f>
        <v>0</v>
      </c>
      <c r="AX255" s="231">
        <f>SUMIF(MAR!$G$121:$M$121,AX$178,MAR!$P23:$V23)+SUMIF($AZ$178:$BC$178,AX$178,$AZ255:$BC255)</f>
        <v>0</v>
      </c>
      <c r="AY255" s="232">
        <f>MAR!AF23</f>
        <v>0</v>
      </c>
      <c r="AZ255" s="228">
        <f>MAR!AG23</f>
        <v>0</v>
      </c>
      <c r="BA255" s="229">
        <f>MAR!AH23</f>
        <v>0</v>
      </c>
      <c r="BB255" s="230">
        <f>MAR!AI23</f>
        <v>0</v>
      </c>
      <c r="BC255" s="231">
        <f>MAR!AJ23</f>
        <v>0</v>
      </c>
      <c r="BD255" s="228">
        <f>SUMIF(MAR!$G$120:$M$120,"&gt;0",MAR!$X23:$AD23)</f>
        <v>0</v>
      </c>
      <c r="BE255" s="696"/>
      <c r="BF255" s="228">
        <f>SUMIF(MAR!$BA$6:$BG$6,BF$177,MAR!$BA23:$BG23)</f>
        <v>0</v>
      </c>
      <c r="BG255" s="229">
        <f>SUMIF(MAR!$BA$6:$BG$6,BG$177,MAR!$BA23:$BG23)</f>
        <v>0</v>
      </c>
      <c r="BH255" s="229">
        <f>SUMIF(MAR!$BA$6:$BG$6,BH$177,MAR!$BA23:$BG23)</f>
        <v>0</v>
      </c>
      <c r="BI255" s="229">
        <f>SUMIF(MAR!$BA$6:$BG$6,BI$177,MAR!$BA23:$BG23)</f>
        <v>0</v>
      </c>
      <c r="BJ255" s="229">
        <f>SUMIF(MAR!$BA$6:$BG$6,BJ$177,MAR!$BA23:$BG23)</f>
        <v>0</v>
      </c>
      <c r="BK255" s="229">
        <f>SUMIF(MAR!$BA$6:$BG$6,BK$177,MAR!$BA23:$BG23)</f>
        <v>0</v>
      </c>
      <c r="BL255" s="229">
        <f>SUMIF(MAR!$BA$6:$BG$6,BL$177,MAR!$BA23:$BG23)</f>
        <v>0</v>
      </c>
      <c r="BM255" s="229">
        <f>SUMIF(MAR!$BA$6:$BG$6,BM$177,MAR!$BA23:$BG23)</f>
        <v>0</v>
      </c>
      <c r="BN255" s="229">
        <f>SUMIF(MAR!$BA$6:$BG$6,BN$177,MAR!$BA23:$BG23)</f>
        <v>0</v>
      </c>
      <c r="BO255" s="231">
        <f>SUMIF(MAR!$BA$6:$BG$6,BO$177,MAR!$BA23:$BG23)</f>
        <v>0</v>
      </c>
      <c r="BP255" s="231">
        <f>SUMIF(MAR!$BA$6:$BG$6,BP$177,MAR!$BA23:$BG23)</f>
        <v>0</v>
      </c>
      <c r="BQ255" s="252"/>
      <c r="BR255" s="228">
        <f>SUMIF(MAR!$BA$5:$BG$5,BR$177,MAR!$BA23:$BG23)</f>
        <v>0</v>
      </c>
      <c r="BS255" s="229">
        <f>SUMIF(MAR!$BA$5:$BG$5,BS$177,MAR!$BA23:$BG23)</f>
        <v>0</v>
      </c>
      <c r="BT255" s="229">
        <f>SUMIF(MAR!$BA$5:$BG$5,BT$177,MAR!$BA23:$BG23)</f>
        <v>0</v>
      </c>
      <c r="BU255" s="229">
        <f>SUMIF(MAR!$BA$5:$BG$5,BU$177,MAR!$BA23:$BG23)</f>
        <v>0</v>
      </c>
      <c r="BV255" s="229">
        <f>SUMIF(MAR!$BA$5:$BG$5,BV$177,MAR!$BA23:$BG23)</f>
        <v>0</v>
      </c>
      <c r="BW255" s="229">
        <f>SUMIF(MAR!$BA$5:$BG$5,BW$177,MAR!$BA23:$BG23)</f>
        <v>0</v>
      </c>
      <c r="BX255" s="230">
        <f>SUMIF(MAR!$BA$5:$BG$5,BX$177,MAR!$BA23:$BG23)</f>
        <v>0</v>
      </c>
      <c r="BY255" s="998">
        <f>SUMIF(MAR!$BA$5:$BG$5,BY$177,MAR!$BA23:$BG23)</f>
        <v>0</v>
      </c>
      <c r="CB255" s="252"/>
      <c r="CC255" s="61" t="e">
        <f t="shared" si="52"/>
        <v>#N/A</v>
      </c>
      <c r="CD255" s="61">
        <f t="shared" si="53"/>
        <v>0</v>
      </c>
      <c r="CE255" s="105" t="str">
        <f t="shared" si="46"/>
        <v/>
      </c>
      <c r="CF255" s="61" t="e">
        <f t="shared" si="54"/>
        <v>#N/A</v>
      </c>
      <c r="CG255" s="61" t="e">
        <f t="shared" si="55"/>
        <v>#N/A</v>
      </c>
      <c r="CH255" s="521">
        <f>MAR!AL23-CW255+CR255</f>
        <v>0</v>
      </c>
      <c r="CI255" s="228">
        <f>SUMIF(MAR!$G$121:$M$121,CI$178,MAR!$AM23:$AS23)+SUMIF($CS$178:$CV$178,CI$178,$CS255:$CV255)</f>
        <v>0</v>
      </c>
      <c r="CJ255" s="229">
        <f>SUMIF(MAR!$G$121:$M$121,CJ$178,MAR!$AM23:$AS23)+SUMIF($CS$178:$CV$178,CJ$178,$CS255:$CV255)</f>
        <v>0</v>
      </c>
      <c r="CK255" s="230">
        <f>SUMIF(MAR!$G$121:$M$121,CK$178,MAR!$AM23:$AS23)+SUMIF($CS$178:$CV$178,CK$178,$CS255:$CV255)</f>
        <v>0</v>
      </c>
      <c r="CL255" s="230">
        <f>SUMIF(MAR!$G$121:$M$121,CL$178,MAR!$AM23:$AS23)+SUMIF($CS$178:$CV$178,CL$178,$CS255:$CV255)</f>
        <v>0</v>
      </c>
      <c r="CM255" s="230">
        <f>SUMIF(MAR!$G$121:$M$121,CM$178,MAR!$AM23:$AS23)+SUMIF($CS$178:$CV$178,CM$178,$CS255:$CV255)</f>
        <v>0</v>
      </c>
      <c r="CN255" s="230">
        <f>SUMIF(MAR!$G$121:$M$121,CN$178,MAR!$AM23:$AS23)+SUMIF($CS$178:$CV$178,CN$178,$CS255:$CV255)</f>
        <v>0</v>
      </c>
      <c r="CO255" s="230">
        <f>SUMIF(MAR!$G$121:$M$121,CO$178,MAR!$AM23:$AS23)+SUMIF($CS$178:$CV$178,CO$178,$CS255:$CV255)</f>
        <v>0</v>
      </c>
      <c r="CP255" s="230">
        <f>SUMIF(MAR!$G$121:$M$121,CP$178,MAR!$AM23:$AS23)+SUMIF($CS$178:$CV$178,CP$178,$CS255:$CV255)</f>
        <v>0</v>
      </c>
      <c r="CQ255" s="231">
        <f>SUMIF(MAR!$G$121:$M$121,CQ$178,MAR!$AM23:$AS23)+SUMIF($CS$178:$CV$178,CQ$178,$CS255:$CV255)</f>
        <v>0</v>
      </c>
      <c r="CR255" s="521">
        <f>MAR!AU23</f>
        <v>0</v>
      </c>
      <c r="CS255" s="228">
        <f>MAR!AV23</f>
        <v>0</v>
      </c>
      <c r="CT255" s="229">
        <f>MAR!AW23</f>
        <v>0</v>
      </c>
      <c r="CU255" s="230">
        <f>MAR!AX23</f>
        <v>0</v>
      </c>
      <c r="CV255" s="231">
        <f>MAR!AY23</f>
        <v>0</v>
      </c>
      <c r="CW255" s="521">
        <f>SUM(MAR!AU23:AY23)</f>
        <v>0</v>
      </c>
      <c r="CX255" s="521">
        <f>MAR!AK23</f>
        <v>0</v>
      </c>
      <c r="CY255" s="2"/>
    </row>
    <row r="256" spans="1:103" ht="14.25" hidden="1" customHeight="1" x14ac:dyDescent="0.2">
      <c r="A256" s="2"/>
      <c r="B256" s="105">
        <f t="shared" si="56"/>
        <v>45368</v>
      </c>
      <c r="C256" s="146">
        <f>IF(AND(E256&gt;(E$559-1),E256&lt;(I$559+1)),W$551,IF(ISERROR(HLOOKUP(E256,$E$552:$L$552,1,FALSE)),HLOOKUP(WEEKDAY(E256,2),IMPOSTAZIONI!$C$52:$P$57,6,FALSE),$W$550))</f>
        <v>0</v>
      </c>
      <c r="D256" s="71" t="str">
        <f t="shared" si="57"/>
        <v/>
      </c>
      <c r="E256" s="2258">
        <f t="shared" si="62"/>
        <v>45368</v>
      </c>
      <c r="F256" s="2259"/>
      <c r="G256" s="2228">
        <f>MAR!E24</f>
        <v>0</v>
      </c>
      <c r="H256" s="2229"/>
      <c r="I256" s="2230"/>
      <c r="J256" s="262" t="str">
        <f t="shared" si="47"/>
        <v/>
      </c>
      <c r="K256" s="263"/>
      <c r="L256" s="2220">
        <f t="shared" si="63"/>
        <v>11</v>
      </c>
      <c r="M256" s="2221"/>
      <c r="N256" s="261"/>
      <c r="O256" s="261"/>
      <c r="P256" s="261"/>
      <c r="Q256" s="2219">
        <f t="shared" si="58"/>
        <v>45368</v>
      </c>
      <c r="R256" s="2219"/>
      <c r="S256" s="261"/>
      <c r="T256" s="1173">
        <f t="shared" si="48"/>
        <v>0</v>
      </c>
      <c r="U256" s="261"/>
      <c r="V256" s="261"/>
      <c r="W256" s="261"/>
      <c r="X256" s="261"/>
      <c r="Y256" s="261"/>
      <c r="Z256" s="261"/>
      <c r="AA256" s="261"/>
      <c r="AB256" s="261"/>
      <c r="AC256" s="261"/>
      <c r="AD256" s="261"/>
      <c r="AE256" s="261"/>
      <c r="AF256" s="261"/>
      <c r="AG256" s="1173">
        <f t="shared" si="59"/>
        <v>0</v>
      </c>
      <c r="AH256" s="61" t="str">
        <f t="shared" si="60"/>
        <v/>
      </c>
      <c r="AI256" s="89" t="e">
        <f t="shared" si="61"/>
        <v>#N/A</v>
      </c>
      <c r="AJ256" s="2"/>
      <c r="AK256" s="61">
        <f>IF(G256=G$547,0,IF(OR(G256&lt;&gt;0,CH256&lt;&gt;0,C256="L"),COUNTIF(AK$180:AK255,"&gt;0")+1,0))</f>
        <v>0</v>
      </c>
      <c r="AL256" s="61" t="str">
        <f t="shared" si="49"/>
        <v/>
      </c>
      <c r="AM256" s="61" t="e">
        <f t="shared" si="50"/>
        <v>#N/A</v>
      </c>
      <c r="AN256" s="89" t="e">
        <f t="shared" si="51"/>
        <v>#N/A</v>
      </c>
      <c r="AO256" s="230">
        <f>SUM(MAR!X24:AD24)-BD256+AY256</f>
        <v>0</v>
      </c>
      <c r="AP256" s="228">
        <f>SUMIF(MAR!$G$121:$M$121,AP$178,MAR!$P24:$V24)+SUMIF($AZ$178:$BC$178,AP$178,$AZ256:$BC256)</f>
        <v>0</v>
      </c>
      <c r="AQ256" s="229">
        <f>SUMIF(MAR!$G$121:$M$121,AQ$178,MAR!$P24:$V24)+SUMIF($AZ$178:$BC$178,AQ$178,$AZ256:$BC256)</f>
        <v>0</v>
      </c>
      <c r="AR256" s="230">
        <f>SUMIF(MAR!$G$121:$M$121,AR$178,MAR!$P24:$V24)+SUMIF($AZ$178:$BC$178,AR$178,$AZ256:$BC256)</f>
        <v>0</v>
      </c>
      <c r="AS256" s="230">
        <f>SUMIF(MAR!$G$121:$M$121,AS$178,MAR!$P24:$V24)+SUMIF($AZ$178:$BC$178,AS$178,$AZ256:$BC256)</f>
        <v>0</v>
      </c>
      <c r="AT256" s="230">
        <f>SUMIF(MAR!$G$121:$M$121,AT$178,MAR!$P24:$V24)+SUMIF($AZ$178:$BC$178,AT$178,$AZ256:$BC256)</f>
        <v>0</v>
      </c>
      <c r="AU256" s="230">
        <f>SUMIF(MAR!$G$121:$M$121,AU$178,MAR!$P24:$V24)+SUMIF($AZ$178:$BC$178,AU$178,$AZ256:$BC256)</f>
        <v>0</v>
      </c>
      <c r="AV256" s="230">
        <f>SUMIF(MAR!$G$121:$M$121,AV$178,MAR!$P24:$V24)+SUMIF($AZ$178:$BC$178,AV$178,$AZ256:$BC256)</f>
        <v>0</v>
      </c>
      <c r="AW256" s="230">
        <f>SUMIF(MAR!$G$121:$M$121,AW$178,MAR!$P24:$V24)+SUMIF($AZ$178:$BC$178,AW$178,$AZ256:$BC256)</f>
        <v>0</v>
      </c>
      <c r="AX256" s="231">
        <f>SUMIF(MAR!$G$121:$M$121,AX$178,MAR!$P24:$V24)+SUMIF($AZ$178:$BC$178,AX$178,$AZ256:$BC256)</f>
        <v>0</v>
      </c>
      <c r="AY256" s="232">
        <f>MAR!AF24</f>
        <v>0</v>
      </c>
      <c r="AZ256" s="228">
        <f>MAR!AG24</f>
        <v>0</v>
      </c>
      <c r="BA256" s="229">
        <f>MAR!AH24</f>
        <v>0</v>
      </c>
      <c r="BB256" s="230">
        <f>MAR!AI24</f>
        <v>0</v>
      </c>
      <c r="BC256" s="231">
        <f>MAR!AJ24</f>
        <v>0</v>
      </c>
      <c r="BD256" s="228">
        <f>SUMIF(MAR!$G$120:$M$120,"&gt;0",MAR!$X24:$AD24)</f>
        <v>0</v>
      </c>
      <c r="BE256" s="696"/>
      <c r="BF256" s="228">
        <f>SUMIF(MAR!$BA$6:$BG$6,BF$177,MAR!$BA24:$BG24)</f>
        <v>0</v>
      </c>
      <c r="BG256" s="229">
        <f>SUMIF(MAR!$BA$6:$BG$6,BG$177,MAR!$BA24:$BG24)</f>
        <v>0</v>
      </c>
      <c r="BH256" s="229">
        <f>SUMIF(MAR!$BA$6:$BG$6,BH$177,MAR!$BA24:$BG24)</f>
        <v>0</v>
      </c>
      <c r="BI256" s="229">
        <f>SUMIF(MAR!$BA$6:$BG$6,BI$177,MAR!$BA24:$BG24)</f>
        <v>0</v>
      </c>
      <c r="BJ256" s="229">
        <f>SUMIF(MAR!$BA$6:$BG$6,BJ$177,MAR!$BA24:$BG24)</f>
        <v>0</v>
      </c>
      <c r="BK256" s="229">
        <f>SUMIF(MAR!$BA$6:$BG$6,BK$177,MAR!$BA24:$BG24)</f>
        <v>0</v>
      </c>
      <c r="BL256" s="229">
        <f>SUMIF(MAR!$BA$6:$BG$6,BL$177,MAR!$BA24:$BG24)</f>
        <v>0</v>
      </c>
      <c r="BM256" s="229">
        <f>SUMIF(MAR!$BA$6:$BG$6,BM$177,MAR!$BA24:$BG24)</f>
        <v>0</v>
      </c>
      <c r="BN256" s="229">
        <f>SUMIF(MAR!$BA$6:$BG$6,BN$177,MAR!$BA24:$BG24)</f>
        <v>0</v>
      </c>
      <c r="BO256" s="231">
        <f>SUMIF(MAR!$BA$6:$BG$6,BO$177,MAR!$BA24:$BG24)</f>
        <v>0</v>
      </c>
      <c r="BP256" s="231">
        <f>SUMIF(MAR!$BA$6:$BG$6,BP$177,MAR!$BA24:$BG24)</f>
        <v>0</v>
      </c>
      <c r="BQ256" s="252"/>
      <c r="BR256" s="228">
        <f>SUMIF(MAR!$BA$5:$BG$5,BR$177,MAR!$BA24:$BG24)</f>
        <v>0</v>
      </c>
      <c r="BS256" s="229">
        <f>SUMIF(MAR!$BA$5:$BG$5,BS$177,MAR!$BA24:$BG24)</f>
        <v>0</v>
      </c>
      <c r="BT256" s="229">
        <f>SUMIF(MAR!$BA$5:$BG$5,BT$177,MAR!$BA24:$BG24)</f>
        <v>0</v>
      </c>
      <c r="BU256" s="229">
        <f>SUMIF(MAR!$BA$5:$BG$5,BU$177,MAR!$BA24:$BG24)</f>
        <v>0</v>
      </c>
      <c r="BV256" s="229">
        <f>SUMIF(MAR!$BA$5:$BG$5,BV$177,MAR!$BA24:$BG24)</f>
        <v>0</v>
      </c>
      <c r="BW256" s="229">
        <f>SUMIF(MAR!$BA$5:$BG$5,BW$177,MAR!$BA24:$BG24)</f>
        <v>0</v>
      </c>
      <c r="BX256" s="230">
        <f>SUMIF(MAR!$BA$5:$BG$5,BX$177,MAR!$BA24:$BG24)</f>
        <v>0</v>
      </c>
      <c r="BY256" s="998">
        <f>SUMIF(MAR!$BA$5:$BG$5,BY$177,MAR!$BA24:$BG24)</f>
        <v>0</v>
      </c>
      <c r="CB256" s="252"/>
      <c r="CC256" s="61" t="e">
        <f t="shared" si="52"/>
        <v>#N/A</v>
      </c>
      <c r="CD256" s="61">
        <f t="shared" si="53"/>
        <v>0</v>
      </c>
      <c r="CE256" s="105" t="str">
        <f t="shared" si="46"/>
        <v/>
      </c>
      <c r="CF256" s="61" t="e">
        <f t="shared" si="54"/>
        <v>#N/A</v>
      </c>
      <c r="CG256" s="61" t="e">
        <f t="shared" si="55"/>
        <v>#N/A</v>
      </c>
      <c r="CH256" s="521">
        <f>MAR!AL24-CW256+CR256</f>
        <v>0</v>
      </c>
      <c r="CI256" s="228">
        <f>SUMIF(MAR!$G$121:$M$121,CI$178,MAR!$AM24:$AS24)+SUMIF($CS$178:$CV$178,CI$178,$CS256:$CV256)</f>
        <v>0</v>
      </c>
      <c r="CJ256" s="229">
        <f>SUMIF(MAR!$G$121:$M$121,CJ$178,MAR!$AM24:$AS24)+SUMIF($CS$178:$CV$178,CJ$178,$CS256:$CV256)</f>
        <v>0</v>
      </c>
      <c r="CK256" s="230">
        <f>SUMIF(MAR!$G$121:$M$121,CK$178,MAR!$AM24:$AS24)+SUMIF($CS$178:$CV$178,CK$178,$CS256:$CV256)</f>
        <v>0</v>
      </c>
      <c r="CL256" s="230">
        <f>SUMIF(MAR!$G$121:$M$121,CL$178,MAR!$AM24:$AS24)+SUMIF($CS$178:$CV$178,CL$178,$CS256:$CV256)</f>
        <v>0</v>
      </c>
      <c r="CM256" s="230">
        <f>SUMIF(MAR!$G$121:$M$121,CM$178,MAR!$AM24:$AS24)+SUMIF($CS$178:$CV$178,CM$178,$CS256:$CV256)</f>
        <v>0</v>
      </c>
      <c r="CN256" s="230">
        <f>SUMIF(MAR!$G$121:$M$121,CN$178,MAR!$AM24:$AS24)+SUMIF($CS$178:$CV$178,CN$178,$CS256:$CV256)</f>
        <v>0</v>
      </c>
      <c r="CO256" s="230">
        <f>SUMIF(MAR!$G$121:$M$121,CO$178,MAR!$AM24:$AS24)+SUMIF($CS$178:$CV$178,CO$178,$CS256:$CV256)</f>
        <v>0</v>
      </c>
      <c r="CP256" s="230">
        <f>SUMIF(MAR!$G$121:$M$121,CP$178,MAR!$AM24:$AS24)+SUMIF($CS$178:$CV$178,CP$178,$CS256:$CV256)</f>
        <v>0</v>
      </c>
      <c r="CQ256" s="231">
        <f>SUMIF(MAR!$G$121:$M$121,CQ$178,MAR!$AM24:$AS24)+SUMIF($CS$178:$CV$178,CQ$178,$CS256:$CV256)</f>
        <v>0</v>
      </c>
      <c r="CR256" s="521">
        <f>MAR!AU24</f>
        <v>0</v>
      </c>
      <c r="CS256" s="228">
        <f>MAR!AV24</f>
        <v>0</v>
      </c>
      <c r="CT256" s="229">
        <f>MAR!AW24</f>
        <v>0</v>
      </c>
      <c r="CU256" s="230">
        <f>MAR!AX24</f>
        <v>0</v>
      </c>
      <c r="CV256" s="231">
        <f>MAR!AY24</f>
        <v>0</v>
      </c>
      <c r="CW256" s="521">
        <f>SUM(MAR!AU24:AY24)</f>
        <v>0</v>
      </c>
      <c r="CX256" s="521">
        <f>MAR!AK24</f>
        <v>0</v>
      </c>
      <c r="CY256" s="2"/>
    </row>
    <row r="257" spans="1:103" ht="14.25" hidden="1" customHeight="1" x14ac:dyDescent="0.2">
      <c r="A257" s="2"/>
      <c r="B257" s="105">
        <f t="shared" si="56"/>
        <v>45369</v>
      </c>
      <c r="C257" s="146">
        <f>IF(AND(E257&gt;(E$559-1),E257&lt;(I$559+1)),W$551,IF(ISERROR(HLOOKUP(E257,$E$552:$L$552,1,FALSE)),HLOOKUP(WEEKDAY(E257,2),IMPOSTAZIONI!$C$52:$P$57,6,FALSE),$W$550))</f>
        <v>0</v>
      </c>
      <c r="D257" s="71" t="str">
        <f t="shared" si="57"/>
        <v/>
      </c>
      <c r="E257" s="2258">
        <f t="shared" si="62"/>
        <v>45369</v>
      </c>
      <c r="F257" s="2259"/>
      <c r="G257" s="2228">
        <f>MAR!E25</f>
        <v>0</v>
      </c>
      <c r="H257" s="2229"/>
      <c r="I257" s="2230"/>
      <c r="J257" s="262" t="str">
        <f t="shared" si="47"/>
        <v/>
      </c>
      <c r="K257" s="263"/>
      <c r="L257" s="2222">
        <f t="shared" si="63"/>
        <v>12</v>
      </c>
      <c r="M257" s="2223"/>
      <c r="N257" s="261"/>
      <c r="O257" s="261"/>
      <c r="P257" s="261"/>
      <c r="Q257" s="2219">
        <f t="shared" si="58"/>
        <v>45369</v>
      </c>
      <c r="R257" s="2219"/>
      <c r="S257" s="261"/>
      <c r="T257" s="1173">
        <f t="shared" si="48"/>
        <v>0</v>
      </c>
      <c r="U257" s="261"/>
      <c r="V257" s="261"/>
      <c r="W257" s="261"/>
      <c r="X257" s="261"/>
      <c r="Y257" s="261"/>
      <c r="Z257" s="261"/>
      <c r="AA257" s="261"/>
      <c r="AB257" s="261"/>
      <c r="AC257" s="261"/>
      <c r="AD257" s="261"/>
      <c r="AE257" s="261"/>
      <c r="AF257" s="261"/>
      <c r="AG257" s="1173">
        <f t="shared" si="59"/>
        <v>0</v>
      </c>
      <c r="AH257" s="61" t="str">
        <f t="shared" si="60"/>
        <v/>
      </c>
      <c r="AI257" s="89" t="e">
        <f t="shared" si="61"/>
        <v>#N/A</v>
      </c>
      <c r="AJ257" s="2"/>
      <c r="AK257" s="61">
        <f>IF(G257=G$547,0,IF(OR(G257&lt;&gt;0,CH257&lt;&gt;0,C257="L"),COUNTIF(AK$180:AK256,"&gt;0")+1,0))</f>
        <v>0</v>
      </c>
      <c r="AL257" s="61" t="str">
        <f t="shared" si="49"/>
        <v/>
      </c>
      <c r="AM257" s="61" t="e">
        <f t="shared" si="50"/>
        <v>#N/A</v>
      </c>
      <c r="AN257" s="89" t="e">
        <f t="shared" si="51"/>
        <v>#N/A</v>
      </c>
      <c r="AO257" s="230">
        <f>SUM(MAR!X25:AD25)-BD257+AY257</f>
        <v>0</v>
      </c>
      <c r="AP257" s="228">
        <f>SUMIF(MAR!$G$121:$M$121,AP$178,MAR!$P25:$V25)+SUMIF($AZ$178:$BC$178,AP$178,$AZ257:$BC257)</f>
        <v>0</v>
      </c>
      <c r="AQ257" s="229">
        <f>SUMIF(MAR!$G$121:$M$121,AQ$178,MAR!$P25:$V25)+SUMIF($AZ$178:$BC$178,AQ$178,$AZ257:$BC257)</f>
        <v>0</v>
      </c>
      <c r="AR257" s="230">
        <f>SUMIF(MAR!$G$121:$M$121,AR$178,MAR!$P25:$V25)+SUMIF($AZ$178:$BC$178,AR$178,$AZ257:$BC257)</f>
        <v>0</v>
      </c>
      <c r="AS257" s="230">
        <f>SUMIF(MAR!$G$121:$M$121,AS$178,MAR!$P25:$V25)+SUMIF($AZ$178:$BC$178,AS$178,$AZ257:$BC257)</f>
        <v>0</v>
      </c>
      <c r="AT257" s="230">
        <f>SUMIF(MAR!$G$121:$M$121,AT$178,MAR!$P25:$V25)+SUMIF($AZ$178:$BC$178,AT$178,$AZ257:$BC257)</f>
        <v>0</v>
      </c>
      <c r="AU257" s="230">
        <f>SUMIF(MAR!$G$121:$M$121,AU$178,MAR!$P25:$V25)+SUMIF($AZ$178:$BC$178,AU$178,$AZ257:$BC257)</f>
        <v>0</v>
      </c>
      <c r="AV257" s="230">
        <f>SUMIF(MAR!$G$121:$M$121,AV$178,MAR!$P25:$V25)+SUMIF($AZ$178:$BC$178,AV$178,$AZ257:$BC257)</f>
        <v>0</v>
      </c>
      <c r="AW257" s="230">
        <f>SUMIF(MAR!$G$121:$M$121,AW$178,MAR!$P25:$V25)+SUMIF($AZ$178:$BC$178,AW$178,$AZ257:$BC257)</f>
        <v>0</v>
      </c>
      <c r="AX257" s="231">
        <f>SUMIF(MAR!$G$121:$M$121,AX$178,MAR!$P25:$V25)+SUMIF($AZ$178:$BC$178,AX$178,$AZ257:$BC257)</f>
        <v>0</v>
      </c>
      <c r="AY257" s="232">
        <f>MAR!AF25</f>
        <v>0</v>
      </c>
      <c r="AZ257" s="228">
        <f>MAR!AG25</f>
        <v>0</v>
      </c>
      <c r="BA257" s="229">
        <f>MAR!AH25</f>
        <v>0</v>
      </c>
      <c r="BB257" s="230">
        <f>MAR!AI25</f>
        <v>0</v>
      </c>
      <c r="BC257" s="231">
        <f>MAR!AJ25</f>
        <v>0</v>
      </c>
      <c r="BD257" s="228">
        <f>SUMIF(MAR!$G$120:$M$120,"&gt;0",MAR!$X25:$AD25)</f>
        <v>0</v>
      </c>
      <c r="BE257" s="696"/>
      <c r="BF257" s="228">
        <f>SUMIF(MAR!$BA$6:$BG$6,BF$177,MAR!$BA25:$BG25)</f>
        <v>0</v>
      </c>
      <c r="BG257" s="229">
        <f>SUMIF(MAR!$BA$6:$BG$6,BG$177,MAR!$BA25:$BG25)</f>
        <v>0</v>
      </c>
      <c r="BH257" s="229">
        <f>SUMIF(MAR!$BA$6:$BG$6,BH$177,MAR!$BA25:$BG25)</f>
        <v>0</v>
      </c>
      <c r="BI257" s="229">
        <f>SUMIF(MAR!$BA$6:$BG$6,BI$177,MAR!$BA25:$BG25)</f>
        <v>0</v>
      </c>
      <c r="BJ257" s="229">
        <f>SUMIF(MAR!$BA$6:$BG$6,BJ$177,MAR!$BA25:$BG25)</f>
        <v>0</v>
      </c>
      <c r="BK257" s="229">
        <f>SUMIF(MAR!$BA$6:$BG$6,BK$177,MAR!$BA25:$BG25)</f>
        <v>0</v>
      </c>
      <c r="BL257" s="229">
        <f>SUMIF(MAR!$BA$6:$BG$6,BL$177,MAR!$BA25:$BG25)</f>
        <v>0</v>
      </c>
      <c r="BM257" s="229">
        <f>SUMIF(MAR!$BA$6:$BG$6,BM$177,MAR!$BA25:$BG25)</f>
        <v>0</v>
      </c>
      <c r="BN257" s="229">
        <f>SUMIF(MAR!$BA$6:$BG$6,BN$177,MAR!$BA25:$BG25)</f>
        <v>0</v>
      </c>
      <c r="BO257" s="231">
        <f>SUMIF(MAR!$BA$6:$BG$6,BO$177,MAR!$BA25:$BG25)</f>
        <v>0</v>
      </c>
      <c r="BP257" s="231">
        <f>SUMIF(MAR!$BA$6:$BG$6,BP$177,MAR!$BA25:$BG25)</f>
        <v>0</v>
      </c>
      <c r="BQ257" s="252"/>
      <c r="BR257" s="228">
        <f>SUMIF(MAR!$BA$5:$BG$5,BR$177,MAR!$BA25:$BG25)</f>
        <v>0</v>
      </c>
      <c r="BS257" s="229">
        <f>SUMIF(MAR!$BA$5:$BG$5,BS$177,MAR!$BA25:$BG25)</f>
        <v>0</v>
      </c>
      <c r="BT257" s="229">
        <f>SUMIF(MAR!$BA$5:$BG$5,BT$177,MAR!$BA25:$BG25)</f>
        <v>0</v>
      </c>
      <c r="BU257" s="229">
        <f>SUMIF(MAR!$BA$5:$BG$5,BU$177,MAR!$BA25:$BG25)</f>
        <v>0</v>
      </c>
      <c r="BV257" s="229">
        <f>SUMIF(MAR!$BA$5:$BG$5,BV$177,MAR!$BA25:$BG25)</f>
        <v>0</v>
      </c>
      <c r="BW257" s="229">
        <f>SUMIF(MAR!$BA$5:$BG$5,BW$177,MAR!$BA25:$BG25)</f>
        <v>0</v>
      </c>
      <c r="BX257" s="230">
        <f>SUMIF(MAR!$BA$5:$BG$5,BX$177,MAR!$BA25:$BG25)</f>
        <v>0</v>
      </c>
      <c r="BY257" s="998">
        <f>SUMIF(MAR!$BA$5:$BG$5,BY$177,MAR!$BA25:$BG25)</f>
        <v>0</v>
      </c>
      <c r="CB257" s="252"/>
      <c r="CC257" s="61" t="e">
        <f t="shared" si="52"/>
        <v>#N/A</v>
      </c>
      <c r="CD257" s="61">
        <f t="shared" si="53"/>
        <v>0</v>
      </c>
      <c r="CE257" s="105" t="str">
        <f t="shared" si="46"/>
        <v/>
      </c>
      <c r="CF257" s="61" t="e">
        <f t="shared" si="54"/>
        <v>#N/A</v>
      </c>
      <c r="CG257" s="61" t="e">
        <f t="shared" si="55"/>
        <v>#N/A</v>
      </c>
      <c r="CH257" s="521">
        <f>MAR!AL25-CW257+CR257</f>
        <v>0</v>
      </c>
      <c r="CI257" s="228">
        <f>SUMIF(MAR!$G$121:$M$121,CI$178,MAR!$AM25:$AS25)+SUMIF($CS$178:$CV$178,CI$178,$CS257:$CV257)</f>
        <v>0</v>
      </c>
      <c r="CJ257" s="229">
        <f>SUMIF(MAR!$G$121:$M$121,CJ$178,MAR!$AM25:$AS25)+SUMIF($CS$178:$CV$178,CJ$178,$CS257:$CV257)</f>
        <v>0</v>
      </c>
      <c r="CK257" s="230">
        <f>SUMIF(MAR!$G$121:$M$121,CK$178,MAR!$AM25:$AS25)+SUMIF($CS$178:$CV$178,CK$178,$CS257:$CV257)</f>
        <v>0</v>
      </c>
      <c r="CL257" s="230">
        <f>SUMIF(MAR!$G$121:$M$121,CL$178,MAR!$AM25:$AS25)+SUMIF($CS$178:$CV$178,CL$178,$CS257:$CV257)</f>
        <v>0</v>
      </c>
      <c r="CM257" s="230">
        <f>SUMIF(MAR!$G$121:$M$121,CM$178,MAR!$AM25:$AS25)+SUMIF($CS$178:$CV$178,CM$178,$CS257:$CV257)</f>
        <v>0</v>
      </c>
      <c r="CN257" s="230">
        <f>SUMIF(MAR!$G$121:$M$121,CN$178,MAR!$AM25:$AS25)+SUMIF($CS$178:$CV$178,CN$178,$CS257:$CV257)</f>
        <v>0</v>
      </c>
      <c r="CO257" s="230">
        <f>SUMIF(MAR!$G$121:$M$121,CO$178,MAR!$AM25:$AS25)+SUMIF($CS$178:$CV$178,CO$178,$CS257:$CV257)</f>
        <v>0</v>
      </c>
      <c r="CP257" s="230">
        <f>SUMIF(MAR!$G$121:$M$121,CP$178,MAR!$AM25:$AS25)+SUMIF($CS$178:$CV$178,CP$178,$CS257:$CV257)</f>
        <v>0</v>
      </c>
      <c r="CQ257" s="231">
        <f>SUMIF(MAR!$G$121:$M$121,CQ$178,MAR!$AM25:$AS25)+SUMIF($CS$178:$CV$178,CQ$178,$CS257:$CV257)</f>
        <v>0</v>
      </c>
      <c r="CR257" s="521">
        <f>MAR!AU25</f>
        <v>0</v>
      </c>
      <c r="CS257" s="228">
        <f>MAR!AV25</f>
        <v>0</v>
      </c>
      <c r="CT257" s="229">
        <f>MAR!AW25</f>
        <v>0</v>
      </c>
      <c r="CU257" s="230">
        <f>MAR!AX25</f>
        <v>0</v>
      </c>
      <c r="CV257" s="231">
        <f>MAR!AY25</f>
        <v>0</v>
      </c>
      <c r="CW257" s="521">
        <f>SUM(MAR!AU25:AY25)</f>
        <v>0</v>
      </c>
      <c r="CX257" s="521">
        <f>MAR!AK25</f>
        <v>0</v>
      </c>
      <c r="CY257" s="2"/>
    </row>
    <row r="258" spans="1:103" ht="14.25" hidden="1" customHeight="1" x14ac:dyDescent="0.2">
      <c r="A258" s="2"/>
      <c r="B258" s="105">
        <f t="shared" si="56"/>
        <v>45370</v>
      </c>
      <c r="C258" s="146">
        <f>IF(AND(E258&gt;(E$559-1),E258&lt;(I$559+1)),W$551,IF(ISERROR(HLOOKUP(E258,$E$552:$L$552,1,FALSE)),HLOOKUP(WEEKDAY(E258,2),IMPOSTAZIONI!$C$52:$P$57,6,FALSE),$W$550))</f>
        <v>0</v>
      </c>
      <c r="D258" s="71" t="str">
        <f t="shared" si="57"/>
        <v/>
      </c>
      <c r="E258" s="2258">
        <f t="shared" si="62"/>
        <v>45370</v>
      </c>
      <c r="F258" s="2259"/>
      <c r="G258" s="2228">
        <f>MAR!E26</f>
        <v>0</v>
      </c>
      <c r="H258" s="2229"/>
      <c r="I258" s="2230"/>
      <c r="J258" s="262" t="str">
        <f t="shared" si="47"/>
        <v/>
      </c>
      <c r="K258" s="263"/>
      <c r="L258" s="2217">
        <f t="shared" si="63"/>
        <v>12</v>
      </c>
      <c r="M258" s="2218"/>
      <c r="N258" s="261"/>
      <c r="O258" s="261"/>
      <c r="P258" s="261"/>
      <c r="Q258" s="2219">
        <f t="shared" si="58"/>
        <v>45370</v>
      </c>
      <c r="R258" s="2219"/>
      <c r="S258" s="261"/>
      <c r="T258" s="1173">
        <f t="shared" si="48"/>
        <v>0</v>
      </c>
      <c r="U258" s="261"/>
      <c r="V258" s="261"/>
      <c r="W258" s="261"/>
      <c r="X258" s="261"/>
      <c r="Y258" s="261"/>
      <c r="Z258" s="261"/>
      <c r="AA258" s="261"/>
      <c r="AB258" s="261"/>
      <c r="AC258" s="261"/>
      <c r="AD258" s="261"/>
      <c r="AE258" s="261"/>
      <c r="AF258" s="261"/>
      <c r="AG258" s="1173">
        <f t="shared" si="59"/>
        <v>0</v>
      </c>
      <c r="AH258" s="61" t="str">
        <f t="shared" si="60"/>
        <v/>
      </c>
      <c r="AI258" s="89" t="e">
        <f t="shared" si="61"/>
        <v>#N/A</v>
      </c>
      <c r="AJ258" s="2"/>
      <c r="AK258" s="61">
        <f>IF(G258=G$547,0,IF(OR(G258&lt;&gt;0,CH258&lt;&gt;0,C258="L"),COUNTIF(AK$180:AK257,"&gt;0")+1,0))</f>
        <v>0</v>
      </c>
      <c r="AL258" s="61" t="str">
        <f t="shared" si="49"/>
        <v/>
      </c>
      <c r="AM258" s="61" t="e">
        <f t="shared" si="50"/>
        <v>#N/A</v>
      </c>
      <c r="AN258" s="89" t="e">
        <f t="shared" si="51"/>
        <v>#N/A</v>
      </c>
      <c r="AO258" s="230">
        <f>SUM(MAR!X26:AD26)-BD258+AY258</f>
        <v>0</v>
      </c>
      <c r="AP258" s="228">
        <f>SUMIF(MAR!$G$121:$M$121,AP$178,MAR!$P26:$V26)+SUMIF($AZ$178:$BC$178,AP$178,$AZ258:$BC258)</f>
        <v>0</v>
      </c>
      <c r="AQ258" s="229">
        <f>SUMIF(MAR!$G$121:$M$121,AQ$178,MAR!$P26:$V26)+SUMIF($AZ$178:$BC$178,AQ$178,$AZ258:$BC258)</f>
        <v>0</v>
      </c>
      <c r="AR258" s="230">
        <f>SUMIF(MAR!$G$121:$M$121,AR$178,MAR!$P26:$V26)+SUMIF($AZ$178:$BC$178,AR$178,$AZ258:$BC258)</f>
        <v>0</v>
      </c>
      <c r="AS258" s="230">
        <f>SUMIF(MAR!$G$121:$M$121,AS$178,MAR!$P26:$V26)+SUMIF($AZ$178:$BC$178,AS$178,$AZ258:$BC258)</f>
        <v>0</v>
      </c>
      <c r="AT258" s="230">
        <f>SUMIF(MAR!$G$121:$M$121,AT$178,MAR!$P26:$V26)+SUMIF($AZ$178:$BC$178,AT$178,$AZ258:$BC258)</f>
        <v>0</v>
      </c>
      <c r="AU258" s="230">
        <f>SUMIF(MAR!$G$121:$M$121,AU$178,MAR!$P26:$V26)+SUMIF($AZ$178:$BC$178,AU$178,$AZ258:$BC258)</f>
        <v>0</v>
      </c>
      <c r="AV258" s="230">
        <f>SUMIF(MAR!$G$121:$M$121,AV$178,MAR!$P26:$V26)+SUMIF($AZ$178:$BC$178,AV$178,$AZ258:$BC258)</f>
        <v>0</v>
      </c>
      <c r="AW258" s="230">
        <f>SUMIF(MAR!$G$121:$M$121,AW$178,MAR!$P26:$V26)+SUMIF($AZ$178:$BC$178,AW$178,$AZ258:$BC258)</f>
        <v>0</v>
      </c>
      <c r="AX258" s="231">
        <f>SUMIF(MAR!$G$121:$M$121,AX$178,MAR!$P26:$V26)+SUMIF($AZ$178:$BC$178,AX$178,$AZ258:$BC258)</f>
        <v>0</v>
      </c>
      <c r="AY258" s="232">
        <f>MAR!AF26</f>
        <v>0</v>
      </c>
      <c r="AZ258" s="228">
        <f>MAR!AG26</f>
        <v>0</v>
      </c>
      <c r="BA258" s="229">
        <f>MAR!AH26</f>
        <v>0</v>
      </c>
      <c r="BB258" s="230">
        <f>MAR!AI26</f>
        <v>0</v>
      </c>
      <c r="BC258" s="231">
        <f>MAR!AJ26</f>
        <v>0</v>
      </c>
      <c r="BD258" s="228">
        <f>SUMIF(MAR!$G$120:$M$120,"&gt;0",MAR!$X26:$AD26)</f>
        <v>0</v>
      </c>
      <c r="BE258" s="696"/>
      <c r="BF258" s="228">
        <f>SUMIF(MAR!$BA$6:$BG$6,BF$177,MAR!$BA26:$BG26)</f>
        <v>0</v>
      </c>
      <c r="BG258" s="229">
        <f>SUMIF(MAR!$BA$6:$BG$6,BG$177,MAR!$BA26:$BG26)</f>
        <v>0</v>
      </c>
      <c r="BH258" s="229">
        <f>SUMIF(MAR!$BA$6:$BG$6,BH$177,MAR!$BA26:$BG26)</f>
        <v>0</v>
      </c>
      <c r="BI258" s="229">
        <f>SUMIF(MAR!$BA$6:$BG$6,BI$177,MAR!$BA26:$BG26)</f>
        <v>0</v>
      </c>
      <c r="BJ258" s="229">
        <f>SUMIF(MAR!$BA$6:$BG$6,BJ$177,MAR!$BA26:$BG26)</f>
        <v>0</v>
      </c>
      <c r="BK258" s="229">
        <f>SUMIF(MAR!$BA$6:$BG$6,BK$177,MAR!$BA26:$BG26)</f>
        <v>0</v>
      </c>
      <c r="BL258" s="229">
        <f>SUMIF(MAR!$BA$6:$BG$6,BL$177,MAR!$BA26:$BG26)</f>
        <v>0</v>
      </c>
      <c r="BM258" s="229">
        <f>SUMIF(MAR!$BA$6:$BG$6,BM$177,MAR!$BA26:$BG26)</f>
        <v>0</v>
      </c>
      <c r="BN258" s="229">
        <f>SUMIF(MAR!$BA$6:$BG$6,BN$177,MAR!$BA26:$BG26)</f>
        <v>0</v>
      </c>
      <c r="BO258" s="231">
        <f>SUMIF(MAR!$BA$6:$BG$6,BO$177,MAR!$BA26:$BG26)</f>
        <v>0</v>
      </c>
      <c r="BP258" s="231">
        <f>SUMIF(MAR!$BA$6:$BG$6,BP$177,MAR!$BA26:$BG26)</f>
        <v>0</v>
      </c>
      <c r="BQ258" s="252"/>
      <c r="BR258" s="228">
        <f>SUMIF(MAR!$BA$5:$BG$5,BR$177,MAR!$BA26:$BG26)</f>
        <v>0</v>
      </c>
      <c r="BS258" s="229">
        <f>SUMIF(MAR!$BA$5:$BG$5,BS$177,MAR!$BA26:$BG26)</f>
        <v>0</v>
      </c>
      <c r="BT258" s="229">
        <f>SUMIF(MAR!$BA$5:$BG$5,BT$177,MAR!$BA26:$BG26)</f>
        <v>0</v>
      </c>
      <c r="BU258" s="229">
        <f>SUMIF(MAR!$BA$5:$BG$5,BU$177,MAR!$BA26:$BG26)</f>
        <v>0</v>
      </c>
      <c r="BV258" s="229">
        <f>SUMIF(MAR!$BA$5:$BG$5,BV$177,MAR!$BA26:$BG26)</f>
        <v>0</v>
      </c>
      <c r="BW258" s="229">
        <f>SUMIF(MAR!$BA$5:$BG$5,BW$177,MAR!$BA26:$BG26)</f>
        <v>0</v>
      </c>
      <c r="BX258" s="230">
        <f>SUMIF(MAR!$BA$5:$BG$5,BX$177,MAR!$BA26:$BG26)</f>
        <v>0</v>
      </c>
      <c r="BY258" s="998">
        <f>SUMIF(MAR!$BA$5:$BG$5,BY$177,MAR!$BA26:$BG26)</f>
        <v>0</v>
      </c>
      <c r="CB258" s="252"/>
      <c r="CC258" s="61" t="e">
        <f t="shared" si="52"/>
        <v>#N/A</v>
      </c>
      <c r="CD258" s="61">
        <f t="shared" si="53"/>
        <v>0</v>
      </c>
      <c r="CE258" s="105" t="str">
        <f t="shared" si="46"/>
        <v/>
      </c>
      <c r="CF258" s="61" t="e">
        <f t="shared" si="54"/>
        <v>#N/A</v>
      </c>
      <c r="CG258" s="61" t="e">
        <f t="shared" si="55"/>
        <v>#N/A</v>
      </c>
      <c r="CH258" s="521">
        <f>MAR!AL26-CW258+CR258</f>
        <v>0</v>
      </c>
      <c r="CI258" s="228">
        <f>SUMIF(MAR!$G$121:$M$121,CI$178,MAR!$AM26:$AS26)+SUMIF($CS$178:$CV$178,CI$178,$CS258:$CV258)</f>
        <v>0</v>
      </c>
      <c r="CJ258" s="229">
        <f>SUMIF(MAR!$G$121:$M$121,CJ$178,MAR!$AM26:$AS26)+SUMIF($CS$178:$CV$178,CJ$178,$CS258:$CV258)</f>
        <v>0</v>
      </c>
      <c r="CK258" s="230">
        <f>SUMIF(MAR!$G$121:$M$121,CK$178,MAR!$AM26:$AS26)+SUMIF($CS$178:$CV$178,CK$178,$CS258:$CV258)</f>
        <v>0</v>
      </c>
      <c r="CL258" s="230">
        <f>SUMIF(MAR!$G$121:$M$121,CL$178,MAR!$AM26:$AS26)+SUMIF($CS$178:$CV$178,CL$178,$CS258:$CV258)</f>
        <v>0</v>
      </c>
      <c r="CM258" s="230">
        <f>SUMIF(MAR!$G$121:$M$121,CM$178,MAR!$AM26:$AS26)+SUMIF($CS$178:$CV$178,CM$178,$CS258:$CV258)</f>
        <v>0</v>
      </c>
      <c r="CN258" s="230">
        <f>SUMIF(MAR!$G$121:$M$121,CN$178,MAR!$AM26:$AS26)+SUMIF($CS$178:$CV$178,CN$178,$CS258:$CV258)</f>
        <v>0</v>
      </c>
      <c r="CO258" s="230">
        <f>SUMIF(MAR!$G$121:$M$121,CO$178,MAR!$AM26:$AS26)+SUMIF($CS$178:$CV$178,CO$178,$CS258:$CV258)</f>
        <v>0</v>
      </c>
      <c r="CP258" s="230">
        <f>SUMIF(MAR!$G$121:$M$121,CP$178,MAR!$AM26:$AS26)+SUMIF($CS$178:$CV$178,CP$178,$CS258:$CV258)</f>
        <v>0</v>
      </c>
      <c r="CQ258" s="231">
        <f>SUMIF(MAR!$G$121:$M$121,CQ$178,MAR!$AM26:$AS26)+SUMIF($CS$178:$CV$178,CQ$178,$CS258:$CV258)</f>
        <v>0</v>
      </c>
      <c r="CR258" s="521">
        <f>MAR!AU26</f>
        <v>0</v>
      </c>
      <c r="CS258" s="228">
        <f>MAR!AV26</f>
        <v>0</v>
      </c>
      <c r="CT258" s="229">
        <f>MAR!AW26</f>
        <v>0</v>
      </c>
      <c r="CU258" s="230">
        <f>MAR!AX26</f>
        <v>0</v>
      </c>
      <c r="CV258" s="231">
        <f>MAR!AY26</f>
        <v>0</v>
      </c>
      <c r="CW258" s="521">
        <f>SUM(MAR!AU26:AY26)</f>
        <v>0</v>
      </c>
      <c r="CX258" s="521">
        <f>MAR!AK26</f>
        <v>0</v>
      </c>
      <c r="CY258" s="2"/>
    </row>
    <row r="259" spans="1:103" ht="14.25" hidden="1" customHeight="1" x14ac:dyDescent="0.2">
      <c r="A259" s="2"/>
      <c r="B259" s="105">
        <f t="shared" si="56"/>
        <v>45371</v>
      </c>
      <c r="C259" s="146">
        <f>IF(AND(E259&gt;(E$559-1),E259&lt;(I$559+1)),W$551,IF(ISERROR(HLOOKUP(E259,$E$552:$L$552,1,FALSE)),HLOOKUP(WEEKDAY(E259,2),IMPOSTAZIONI!$C$52:$P$57,6,FALSE),$W$550))</f>
        <v>0</v>
      </c>
      <c r="D259" s="71" t="str">
        <f t="shared" si="57"/>
        <v/>
      </c>
      <c r="E259" s="2258">
        <f t="shared" si="62"/>
        <v>45371</v>
      </c>
      <c r="F259" s="2259"/>
      <c r="G259" s="2228">
        <f>MAR!E27</f>
        <v>0</v>
      </c>
      <c r="H259" s="2229"/>
      <c r="I259" s="2230"/>
      <c r="J259" s="262" t="str">
        <f t="shared" si="47"/>
        <v/>
      </c>
      <c r="K259" s="263"/>
      <c r="L259" s="2217">
        <f t="shared" si="63"/>
        <v>12</v>
      </c>
      <c r="M259" s="2218"/>
      <c r="N259" s="261"/>
      <c r="O259" s="261"/>
      <c r="P259" s="261"/>
      <c r="Q259" s="2219">
        <f t="shared" si="58"/>
        <v>45371</v>
      </c>
      <c r="R259" s="2219"/>
      <c r="S259" s="261"/>
      <c r="T259" s="1173">
        <f t="shared" si="48"/>
        <v>0</v>
      </c>
      <c r="U259" s="261"/>
      <c r="V259" s="261"/>
      <c r="W259" s="261"/>
      <c r="X259" s="261"/>
      <c r="Y259" s="261"/>
      <c r="Z259" s="261"/>
      <c r="AA259" s="261"/>
      <c r="AB259" s="261"/>
      <c r="AC259" s="261"/>
      <c r="AD259" s="261"/>
      <c r="AE259" s="261"/>
      <c r="AF259" s="261"/>
      <c r="AG259" s="1173">
        <f t="shared" si="59"/>
        <v>0</v>
      </c>
      <c r="AH259" s="61" t="str">
        <f t="shared" si="60"/>
        <v/>
      </c>
      <c r="AI259" s="89" t="e">
        <f t="shared" si="61"/>
        <v>#N/A</v>
      </c>
      <c r="AJ259" s="2"/>
      <c r="AK259" s="61">
        <f>IF(G259=G$547,0,IF(OR(G259&lt;&gt;0,CH259&lt;&gt;0,C259="L"),COUNTIF(AK$180:AK258,"&gt;0")+1,0))</f>
        <v>0</v>
      </c>
      <c r="AL259" s="61" t="str">
        <f t="shared" si="49"/>
        <v/>
      </c>
      <c r="AM259" s="61" t="e">
        <f t="shared" si="50"/>
        <v>#N/A</v>
      </c>
      <c r="AN259" s="89" t="e">
        <f t="shared" si="51"/>
        <v>#N/A</v>
      </c>
      <c r="AO259" s="230">
        <f>SUM(MAR!X27:AD27)-BD259+AY259</f>
        <v>0</v>
      </c>
      <c r="AP259" s="228">
        <f>SUMIF(MAR!$G$121:$M$121,AP$178,MAR!$P27:$V27)+SUMIF($AZ$178:$BC$178,AP$178,$AZ259:$BC259)</f>
        <v>0</v>
      </c>
      <c r="AQ259" s="229">
        <f>SUMIF(MAR!$G$121:$M$121,AQ$178,MAR!$P27:$V27)+SUMIF($AZ$178:$BC$178,AQ$178,$AZ259:$BC259)</f>
        <v>0</v>
      </c>
      <c r="AR259" s="230">
        <f>SUMIF(MAR!$G$121:$M$121,AR$178,MAR!$P27:$V27)+SUMIF($AZ$178:$BC$178,AR$178,$AZ259:$BC259)</f>
        <v>0</v>
      </c>
      <c r="AS259" s="230">
        <f>SUMIF(MAR!$G$121:$M$121,AS$178,MAR!$P27:$V27)+SUMIF($AZ$178:$BC$178,AS$178,$AZ259:$BC259)</f>
        <v>0</v>
      </c>
      <c r="AT259" s="230">
        <f>SUMIF(MAR!$G$121:$M$121,AT$178,MAR!$P27:$V27)+SUMIF($AZ$178:$BC$178,AT$178,$AZ259:$BC259)</f>
        <v>0</v>
      </c>
      <c r="AU259" s="230">
        <f>SUMIF(MAR!$G$121:$M$121,AU$178,MAR!$P27:$V27)+SUMIF($AZ$178:$BC$178,AU$178,$AZ259:$BC259)</f>
        <v>0</v>
      </c>
      <c r="AV259" s="230">
        <f>SUMIF(MAR!$G$121:$M$121,AV$178,MAR!$P27:$V27)+SUMIF($AZ$178:$BC$178,AV$178,$AZ259:$BC259)</f>
        <v>0</v>
      </c>
      <c r="AW259" s="230">
        <f>SUMIF(MAR!$G$121:$M$121,AW$178,MAR!$P27:$V27)+SUMIF($AZ$178:$BC$178,AW$178,$AZ259:$BC259)</f>
        <v>0</v>
      </c>
      <c r="AX259" s="231">
        <f>SUMIF(MAR!$G$121:$M$121,AX$178,MAR!$P27:$V27)+SUMIF($AZ$178:$BC$178,AX$178,$AZ259:$BC259)</f>
        <v>0</v>
      </c>
      <c r="AY259" s="232">
        <f>MAR!AF27</f>
        <v>0</v>
      </c>
      <c r="AZ259" s="228">
        <f>MAR!AG27</f>
        <v>0</v>
      </c>
      <c r="BA259" s="229">
        <f>MAR!AH27</f>
        <v>0</v>
      </c>
      <c r="BB259" s="230">
        <f>MAR!AI27</f>
        <v>0</v>
      </c>
      <c r="BC259" s="231">
        <f>MAR!AJ27</f>
        <v>0</v>
      </c>
      <c r="BD259" s="228">
        <f>SUMIF(MAR!$G$120:$M$120,"&gt;0",MAR!$X27:$AD27)</f>
        <v>0</v>
      </c>
      <c r="BE259" s="696"/>
      <c r="BF259" s="228">
        <f>SUMIF(MAR!$BA$6:$BG$6,BF$177,MAR!$BA27:$BG27)</f>
        <v>0</v>
      </c>
      <c r="BG259" s="229">
        <f>SUMIF(MAR!$BA$6:$BG$6,BG$177,MAR!$BA27:$BG27)</f>
        <v>0</v>
      </c>
      <c r="BH259" s="229">
        <f>SUMIF(MAR!$BA$6:$BG$6,BH$177,MAR!$BA27:$BG27)</f>
        <v>0</v>
      </c>
      <c r="BI259" s="229">
        <f>SUMIF(MAR!$BA$6:$BG$6,BI$177,MAR!$BA27:$BG27)</f>
        <v>0</v>
      </c>
      <c r="BJ259" s="229">
        <f>SUMIF(MAR!$BA$6:$BG$6,BJ$177,MAR!$BA27:$BG27)</f>
        <v>0</v>
      </c>
      <c r="BK259" s="229">
        <f>SUMIF(MAR!$BA$6:$BG$6,BK$177,MAR!$BA27:$BG27)</f>
        <v>0</v>
      </c>
      <c r="BL259" s="229">
        <f>SUMIF(MAR!$BA$6:$BG$6,BL$177,MAR!$BA27:$BG27)</f>
        <v>0</v>
      </c>
      <c r="BM259" s="229">
        <f>SUMIF(MAR!$BA$6:$BG$6,BM$177,MAR!$BA27:$BG27)</f>
        <v>0</v>
      </c>
      <c r="BN259" s="229">
        <f>SUMIF(MAR!$BA$6:$BG$6,BN$177,MAR!$BA27:$BG27)</f>
        <v>0</v>
      </c>
      <c r="BO259" s="231">
        <f>SUMIF(MAR!$BA$6:$BG$6,BO$177,MAR!$BA27:$BG27)</f>
        <v>0</v>
      </c>
      <c r="BP259" s="231">
        <f>SUMIF(MAR!$BA$6:$BG$6,BP$177,MAR!$BA27:$BG27)</f>
        <v>0</v>
      </c>
      <c r="BQ259" s="252"/>
      <c r="BR259" s="228">
        <f>SUMIF(MAR!$BA$5:$BG$5,BR$177,MAR!$BA27:$BG27)</f>
        <v>0</v>
      </c>
      <c r="BS259" s="229">
        <f>SUMIF(MAR!$BA$5:$BG$5,BS$177,MAR!$BA27:$BG27)</f>
        <v>0</v>
      </c>
      <c r="BT259" s="229">
        <f>SUMIF(MAR!$BA$5:$BG$5,BT$177,MAR!$BA27:$BG27)</f>
        <v>0</v>
      </c>
      <c r="BU259" s="229">
        <f>SUMIF(MAR!$BA$5:$BG$5,BU$177,MAR!$BA27:$BG27)</f>
        <v>0</v>
      </c>
      <c r="BV259" s="229">
        <f>SUMIF(MAR!$BA$5:$BG$5,BV$177,MAR!$BA27:$BG27)</f>
        <v>0</v>
      </c>
      <c r="BW259" s="229">
        <f>SUMIF(MAR!$BA$5:$BG$5,BW$177,MAR!$BA27:$BG27)</f>
        <v>0</v>
      </c>
      <c r="BX259" s="230">
        <f>SUMIF(MAR!$BA$5:$BG$5,BX$177,MAR!$BA27:$BG27)</f>
        <v>0</v>
      </c>
      <c r="BY259" s="998">
        <f>SUMIF(MAR!$BA$5:$BG$5,BY$177,MAR!$BA27:$BG27)</f>
        <v>0</v>
      </c>
      <c r="CB259" s="252"/>
      <c r="CC259" s="61" t="e">
        <f t="shared" si="52"/>
        <v>#N/A</v>
      </c>
      <c r="CD259" s="61">
        <f t="shared" si="53"/>
        <v>0</v>
      </c>
      <c r="CE259" s="105" t="str">
        <f t="shared" si="46"/>
        <v/>
      </c>
      <c r="CF259" s="61" t="e">
        <f t="shared" si="54"/>
        <v>#N/A</v>
      </c>
      <c r="CG259" s="61" t="e">
        <f t="shared" si="55"/>
        <v>#N/A</v>
      </c>
      <c r="CH259" s="521">
        <f>MAR!AL27-CW259+CR259</f>
        <v>0</v>
      </c>
      <c r="CI259" s="228">
        <f>SUMIF(MAR!$G$121:$M$121,CI$178,MAR!$AM27:$AS27)+SUMIF($CS$178:$CV$178,CI$178,$CS259:$CV259)</f>
        <v>0</v>
      </c>
      <c r="CJ259" s="229">
        <f>SUMIF(MAR!$G$121:$M$121,CJ$178,MAR!$AM27:$AS27)+SUMIF($CS$178:$CV$178,CJ$178,$CS259:$CV259)</f>
        <v>0</v>
      </c>
      <c r="CK259" s="230">
        <f>SUMIF(MAR!$G$121:$M$121,CK$178,MAR!$AM27:$AS27)+SUMIF($CS$178:$CV$178,CK$178,$CS259:$CV259)</f>
        <v>0</v>
      </c>
      <c r="CL259" s="230">
        <f>SUMIF(MAR!$G$121:$M$121,CL$178,MAR!$AM27:$AS27)+SUMIF($CS$178:$CV$178,CL$178,$CS259:$CV259)</f>
        <v>0</v>
      </c>
      <c r="CM259" s="230">
        <f>SUMIF(MAR!$G$121:$M$121,CM$178,MAR!$AM27:$AS27)+SUMIF($CS$178:$CV$178,CM$178,$CS259:$CV259)</f>
        <v>0</v>
      </c>
      <c r="CN259" s="230">
        <f>SUMIF(MAR!$G$121:$M$121,CN$178,MAR!$AM27:$AS27)+SUMIF($CS$178:$CV$178,CN$178,$CS259:$CV259)</f>
        <v>0</v>
      </c>
      <c r="CO259" s="230">
        <f>SUMIF(MAR!$G$121:$M$121,CO$178,MAR!$AM27:$AS27)+SUMIF($CS$178:$CV$178,CO$178,$CS259:$CV259)</f>
        <v>0</v>
      </c>
      <c r="CP259" s="230">
        <f>SUMIF(MAR!$G$121:$M$121,CP$178,MAR!$AM27:$AS27)+SUMIF($CS$178:$CV$178,CP$178,$CS259:$CV259)</f>
        <v>0</v>
      </c>
      <c r="CQ259" s="231">
        <f>SUMIF(MAR!$G$121:$M$121,CQ$178,MAR!$AM27:$AS27)+SUMIF($CS$178:$CV$178,CQ$178,$CS259:$CV259)</f>
        <v>0</v>
      </c>
      <c r="CR259" s="521">
        <f>MAR!AU27</f>
        <v>0</v>
      </c>
      <c r="CS259" s="228">
        <f>MAR!AV27</f>
        <v>0</v>
      </c>
      <c r="CT259" s="229">
        <f>MAR!AW27</f>
        <v>0</v>
      </c>
      <c r="CU259" s="230">
        <f>MAR!AX27</f>
        <v>0</v>
      </c>
      <c r="CV259" s="231">
        <f>MAR!AY27</f>
        <v>0</v>
      </c>
      <c r="CW259" s="521">
        <f>SUM(MAR!AU27:AY27)</f>
        <v>0</v>
      </c>
      <c r="CX259" s="521">
        <f>MAR!AK27</f>
        <v>0</v>
      </c>
      <c r="CY259" s="2"/>
    </row>
    <row r="260" spans="1:103" ht="14.25" hidden="1" customHeight="1" x14ac:dyDescent="0.2">
      <c r="A260" s="2"/>
      <c r="B260" s="105">
        <f t="shared" si="56"/>
        <v>45372</v>
      </c>
      <c r="C260" s="146">
        <f>IF(AND(E260&gt;(E$559-1),E260&lt;(I$559+1)),W$551,IF(ISERROR(HLOOKUP(E260,$E$552:$L$552,1,FALSE)),HLOOKUP(WEEKDAY(E260,2),IMPOSTAZIONI!$C$52:$P$57,6,FALSE),$W$550))</f>
        <v>0</v>
      </c>
      <c r="D260" s="71" t="str">
        <f t="shared" si="57"/>
        <v/>
      </c>
      <c r="E260" s="2258">
        <f t="shared" si="62"/>
        <v>45372</v>
      </c>
      <c r="F260" s="2259"/>
      <c r="G260" s="2228">
        <f>MAR!E28</f>
        <v>0</v>
      </c>
      <c r="H260" s="2229"/>
      <c r="I260" s="2230"/>
      <c r="J260" s="262" t="str">
        <f t="shared" si="47"/>
        <v/>
      </c>
      <c r="K260" s="263"/>
      <c r="L260" s="2217">
        <f t="shared" si="63"/>
        <v>12</v>
      </c>
      <c r="M260" s="2218"/>
      <c r="N260" s="261"/>
      <c r="O260" s="261"/>
      <c r="P260" s="261"/>
      <c r="Q260" s="2219">
        <f t="shared" si="58"/>
        <v>45372</v>
      </c>
      <c r="R260" s="2219"/>
      <c r="S260" s="261"/>
      <c r="T260" s="1173">
        <f t="shared" si="48"/>
        <v>0</v>
      </c>
      <c r="U260" s="261"/>
      <c r="V260" s="261"/>
      <c r="W260" s="261"/>
      <c r="X260" s="261"/>
      <c r="Y260" s="261"/>
      <c r="Z260" s="261"/>
      <c r="AA260" s="261"/>
      <c r="AB260" s="261"/>
      <c r="AC260" s="261"/>
      <c r="AD260" s="261"/>
      <c r="AE260" s="261"/>
      <c r="AF260" s="261"/>
      <c r="AG260" s="1173">
        <f t="shared" si="59"/>
        <v>0</v>
      </c>
      <c r="AH260" s="61" t="str">
        <f t="shared" si="60"/>
        <v/>
      </c>
      <c r="AI260" s="89" t="e">
        <f t="shared" si="61"/>
        <v>#N/A</v>
      </c>
      <c r="AJ260" s="2"/>
      <c r="AK260" s="61">
        <f>IF(G260=G$547,0,IF(OR(G260&lt;&gt;0,CH260&lt;&gt;0,C260="L"),COUNTIF(AK$180:AK259,"&gt;0")+1,0))</f>
        <v>0</v>
      </c>
      <c r="AL260" s="61" t="str">
        <f t="shared" si="49"/>
        <v/>
      </c>
      <c r="AM260" s="61" t="e">
        <f t="shared" si="50"/>
        <v>#N/A</v>
      </c>
      <c r="AN260" s="89" t="e">
        <f t="shared" si="51"/>
        <v>#N/A</v>
      </c>
      <c r="AO260" s="230">
        <f>SUM(MAR!X28:AD28)-BD260+AY260</f>
        <v>0</v>
      </c>
      <c r="AP260" s="228">
        <f>SUMIF(MAR!$G$121:$M$121,AP$178,MAR!$P28:$V28)+SUMIF($AZ$178:$BC$178,AP$178,$AZ260:$BC260)</f>
        <v>0</v>
      </c>
      <c r="AQ260" s="229">
        <f>SUMIF(MAR!$G$121:$M$121,AQ$178,MAR!$P28:$V28)+SUMIF($AZ$178:$BC$178,AQ$178,$AZ260:$BC260)</f>
        <v>0</v>
      </c>
      <c r="AR260" s="230">
        <f>SUMIF(MAR!$G$121:$M$121,AR$178,MAR!$P28:$V28)+SUMIF($AZ$178:$BC$178,AR$178,$AZ260:$BC260)</f>
        <v>0</v>
      </c>
      <c r="AS260" s="230">
        <f>SUMIF(MAR!$G$121:$M$121,AS$178,MAR!$P28:$V28)+SUMIF($AZ$178:$BC$178,AS$178,$AZ260:$BC260)</f>
        <v>0</v>
      </c>
      <c r="AT260" s="230">
        <f>SUMIF(MAR!$G$121:$M$121,AT$178,MAR!$P28:$V28)+SUMIF($AZ$178:$BC$178,AT$178,$AZ260:$BC260)</f>
        <v>0</v>
      </c>
      <c r="AU260" s="230">
        <f>SUMIF(MAR!$G$121:$M$121,AU$178,MAR!$P28:$V28)+SUMIF($AZ$178:$BC$178,AU$178,$AZ260:$BC260)</f>
        <v>0</v>
      </c>
      <c r="AV260" s="230">
        <f>SUMIF(MAR!$G$121:$M$121,AV$178,MAR!$P28:$V28)+SUMIF($AZ$178:$BC$178,AV$178,$AZ260:$BC260)</f>
        <v>0</v>
      </c>
      <c r="AW260" s="230">
        <f>SUMIF(MAR!$G$121:$M$121,AW$178,MAR!$P28:$V28)+SUMIF($AZ$178:$BC$178,AW$178,$AZ260:$BC260)</f>
        <v>0</v>
      </c>
      <c r="AX260" s="231">
        <f>SUMIF(MAR!$G$121:$M$121,AX$178,MAR!$P28:$V28)+SUMIF($AZ$178:$BC$178,AX$178,$AZ260:$BC260)</f>
        <v>0</v>
      </c>
      <c r="AY260" s="232">
        <f>MAR!AF28</f>
        <v>0</v>
      </c>
      <c r="AZ260" s="228">
        <f>MAR!AG28</f>
        <v>0</v>
      </c>
      <c r="BA260" s="229">
        <f>MAR!AH28</f>
        <v>0</v>
      </c>
      <c r="BB260" s="230">
        <f>MAR!AI28</f>
        <v>0</v>
      </c>
      <c r="BC260" s="231">
        <f>MAR!AJ28</f>
        <v>0</v>
      </c>
      <c r="BD260" s="228">
        <f>SUMIF(MAR!$G$120:$M$120,"&gt;0",MAR!$X28:$AD28)</f>
        <v>0</v>
      </c>
      <c r="BE260" s="696"/>
      <c r="BF260" s="228">
        <f>SUMIF(MAR!$BA$6:$BG$6,BF$177,MAR!$BA28:$BG28)</f>
        <v>0</v>
      </c>
      <c r="BG260" s="229">
        <f>SUMIF(MAR!$BA$6:$BG$6,BG$177,MAR!$BA28:$BG28)</f>
        <v>0</v>
      </c>
      <c r="BH260" s="229">
        <f>SUMIF(MAR!$BA$6:$BG$6,BH$177,MAR!$BA28:$BG28)</f>
        <v>0</v>
      </c>
      <c r="BI260" s="229">
        <f>SUMIF(MAR!$BA$6:$BG$6,BI$177,MAR!$BA28:$BG28)</f>
        <v>0</v>
      </c>
      <c r="BJ260" s="229">
        <f>SUMIF(MAR!$BA$6:$BG$6,BJ$177,MAR!$BA28:$BG28)</f>
        <v>0</v>
      </c>
      <c r="BK260" s="229">
        <f>SUMIF(MAR!$BA$6:$BG$6,BK$177,MAR!$BA28:$BG28)</f>
        <v>0</v>
      </c>
      <c r="BL260" s="229">
        <f>SUMIF(MAR!$BA$6:$BG$6,BL$177,MAR!$BA28:$BG28)</f>
        <v>0</v>
      </c>
      <c r="BM260" s="229">
        <f>SUMIF(MAR!$BA$6:$BG$6,BM$177,MAR!$BA28:$BG28)</f>
        <v>0</v>
      </c>
      <c r="BN260" s="229">
        <f>SUMIF(MAR!$BA$6:$BG$6,BN$177,MAR!$BA28:$BG28)</f>
        <v>0</v>
      </c>
      <c r="BO260" s="231">
        <f>SUMIF(MAR!$BA$6:$BG$6,BO$177,MAR!$BA28:$BG28)</f>
        <v>0</v>
      </c>
      <c r="BP260" s="231">
        <f>SUMIF(MAR!$BA$6:$BG$6,BP$177,MAR!$BA28:$BG28)</f>
        <v>0</v>
      </c>
      <c r="BQ260" s="252"/>
      <c r="BR260" s="228">
        <f>SUMIF(MAR!$BA$5:$BG$5,BR$177,MAR!$BA28:$BG28)</f>
        <v>0</v>
      </c>
      <c r="BS260" s="229">
        <f>SUMIF(MAR!$BA$5:$BG$5,BS$177,MAR!$BA28:$BG28)</f>
        <v>0</v>
      </c>
      <c r="BT260" s="229">
        <f>SUMIF(MAR!$BA$5:$BG$5,BT$177,MAR!$BA28:$BG28)</f>
        <v>0</v>
      </c>
      <c r="BU260" s="229">
        <f>SUMIF(MAR!$BA$5:$BG$5,BU$177,MAR!$BA28:$BG28)</f>
        <v>0</v>
      </c>
      <c r="BV260" s="229">
        <f>SUMIF(MAR!$BA$5:$BG$5,BV$177,MAR!$BA28:$BG28)</f>
        <v>0</v>
      </c>
      <c r="BW260" s="229">
        <f>SUMIF(MAR!$BA$5:$BG$5,BW$177,MAR!$BA28:$BG28)</f>
        <v>0</v>
      </c>
      <c r="BX260" s="230">
        <f>SUMIF(MAR!$BA$5:$BG$5,BX$177,MAR!$BA28:$BG28)</f>
        <v>0</v>
      </c>
      <c r="BY260" s="998">
        <f>SUMIF(MAR!$BA$5:$BG$5,BY$177,MAR!$BA28:$BG28)</f>
        <v>0</v>
      </c>
      <c r="CB260" s="252"/>
      <c r="CC260" s="61" t="e">
        <f t="shared" si="52"/>
        <v>#N/A</v>
      </c>
      <c r="CD260" s="61">
        <f t="shared" si="53"/>
        <v>0</v>
      </c>
      <c r="CE260" s="105" t="str">
        <f t="shared" si="46"/>
        <v/>
      </c>
      <c r="CF260" s="61" t="e">
        <f t="shared" si="54"/>
        <v>#N/A</v>
      </c>
      <c r="CG260" s="61" t="e">
        <f t="shared" si="55"/>
        <v>#N/A</v>
      </c>
      <c r="CH260" s="521">
        <f>MAR!AL28-CW260+CR260</f>
        <v>0</v>
      </c>
      <c r="CI260" s="228">
        <f>SUMIF(MAR!$G$121:$M$121,CI$178,MAR!$AM28:$AS28)+SUMIF($CS$178:$CV$178,CI$178,$CS260:$CV260)</f>
        <v>0</v>
      </c>
      <c r="CJ260" s="229">
        <f>SUMIF(MAR!$G$121:$M$121,CJ$178,MAR!$AM28:$AS28)+SUMIF($CS$178:$CV$178,CJ$178,$CS260:$CV260)</f>
        <v>0</v>
      </c>
      <c r="CK260" s="230">
        <f>SUMIF(MAR!$G$121:$M$121,CK$178,MAR!$AM28:$AS28)+SUMIF($CS$178:$CV$178,CK$178,$CS260:$CV260)</f>
        <v>0</v>
      </c>
      <c r="CL260" s="230">
        <f>SUMIF(MAR!$G$121:$M$121,CL$178,MAR!$AM28:$AS28)+SUMIF($CS$178:$CV$178,CL$178,$CS260:$CV260)</f>
        <v>0</v>
      </c>
      <c r="CM260" s="230">
        <f>SUMIF(MAR!$G$121:$M$121,CM$178,MAR!$AM28:$AS28)+SUMIF($CS$178:$CV$178,CM$178,$CS260:$CV260)</f>
        <v>0</v>
      </c>
      <c r="CN260" s="230">
        <f>SUMIF(MAR!$G$121:$M$121,CN$178,MAR!$AM28:$AS28)+SUMIF($CS$178:$CV$178,CN$178,$CS260:$CV260)</f>
        <v>0</v>
      </c>
      <c r="CO260" s="230">
        <f>SUMIF(MAR!$G$121:$M$121,CO$178,MAR!$AM28:$AS28)+SUMIF($CS$178:$CV$178,CO$178,$CS260:$CV260)</f>
        <v>0</v>
      </c>
      <c r="CP260" s="230">
        <f>SUMIF(MAR!$G$121:$M$121,CP$178,MAR!$AM28:$AS28)+SUMIF($CS$178:$CV$178,CP$178,$CS260:$CV260)</f>
        <v>0</v>
      </c>
      <c r="CQ260" s="231">
        <f>SUMIF(MAR!$G$121:$M$121,CQ$178,MAR!$AM28:$AS28)+SUMIF($CS$178:$CV$178,CQ$178,$CS260:$CV260)</f>
        <v>0</v>
      </c>
      <c r="CR260" s="521">
        <f>MAR!AU28</f>
        <v>0</v>
      </c>
      <c r="CS260" s="228">
        <f>MAR!AV28</f>
        <v>0</v>
      </c>
      <c r="CT260" s="229">
        <f>MAR!AW28</f>
        <v>0</v>
      </c>
      <c r="CU260" s="230">
        <f>MAR!AX28</f>
        <v>0</v>
      </c>
      <c r="CV260" s="231">
        <f>MAR!AY28</f>
        <v>0</v>
      </c>
      <c r="CW260" s="521">
        <f>SUM(MAR!AU28:AY28)</f>
        <v>0</v>
      </c>
      <c r="CX260" s="521">
        <f>MAR!AK28</f>
        <v>0</v>
      </c>
      <c r="CY260" s="2"/>
    </row>
    <row r="261" spans="1:103" ht="14.25" hidden="1" customHeight="1" x14ac:dyDescent="0.2">
      <c r="A261" s="2"/>
      <c r="B261" s="105">
        <f t="shared" si="56"/>
        <v>45373</v>
      </c>
      <c r="C261" s="146">
        <f>IF(AND(E261&gt;(E$559-1),E261&lt;(I$559+1)),W$551,IF(ISERROR(HLOOKUP(E261,$E$552:$L$552,1,FALSE)),HLOOKUP(WEEKDAY(E261,2),IMPOSTAZIONI!$C$52:$P$57,6,FALSE),$W$550))</f>
        <v>0</v>
      </c>
      <c r="D261" s="71" t="str">
        <f t="shared" si="57"/>
        <v/>
      </c>
      <c r="E261" s="2258">
        <f t="shared" si="62"/>
        <v>45373</v>
      </c>
      <c r="F261" s="2259"/>
      <c r="G261" s="2228">
        <f>MAR!E29</f>
        <v>0</v>
      </c>
      <c r="H261" s="2229"/>
      <c r="I261" s="2230"/>
      <c r="J261" s="262" t="str">
        <f t="shared" si="47"/>
        <v/>
      </c>
      <c r="K261" s="263"/>
      <c r="L261" s="2217">
        <f t="shared" si="63"/>
        <v>12</v>
      </c>
      <c r="M261" s="2218"/>
      <c r="N261" s="261"/>
      <c r="O261" s="261"/>
      <c r="P261" s="261"/>
      <c r="Q261" s="2219">
        <f t="shared" si="58"/>
        <v>45373</v>
      </c>
      <c r="R261" s="2219"/>
      <c r="S261" s="261"/>
      <c r="T261" s="1173">
        <f t="shared" si="48"/>
        <v>0</v>
      </c>
      <c r="U261" s="261"/>
      <c r="V261" s="261"/>
      <c r="W261" s="261"/>
      <c r="X261" s="261"/>
      <c r="Y261" s="261"/>
      <c r="Z261" s="261"/>
      <c r="AA261" s="261"/>
      <c r="AB261" s="261"/>
      <c r="AC261" s="261"/>
      <c r="AD261" s="261"/>
      <c r="AE261" s="261"/>
      <c r="AF261" s="261"/>
      <c r="AG261" s="1173">
        <f t="shared" si="59"/>
        <v>0</v>
      </c>
      <c r="AH261" s="61" t="str">
        <f t="shared" si="60"/>
        <v/>
      </c>
      <c r="AI261" s="89" t="e">
        <f t="shared" si="61"/>
        <v>#N/A</v>
      </c>
      <c r="AJ261" s="2"/>
      <c r="AK261" s="61">
        <f>IF(G261=G$547,0,IF(OR(G261&lt;&gt;0,CH261&lt;&gt;0,C261="L"),COUNTIF(AK$180:AK260,"&gt;0")+1,0))</f>
        <v>0</v>
      </c>
      <c r="AL261" s="61" t="str">
        <f t="shared" si="49"/>
        <v/>
      </c>
      <c r="AM261" s="61" t="e">
        <f t="shared" si="50"/>
        <v>#N/A</v>
      </c>
      <c r="AN261" s="89" t="e">
        <f t="shared" si="51"/>
        <v>#N/A</v>
      </c>
      <c r="AO261" s="230">
        <f>SUM(MAR!X29:AD29)-BD261+AY261</f>
        <v>0</v>
      </c>
      <c r="AP261" s="228">
        <f>SUMIF(MAR!$G$121:$M$121,AP$178,MAR!$P29:$V29)+SUMIF($AZ$178:$BC$178,AP$178,$AZ261:$BC261)</f>
        <v>0</v>
      </c>
      <c r="AQ261" s="229">
        <f>SUMIF(MAR!$G$121:$M$121,AQ$178,MAR!$P29:$V29)+SUMIF($AZ$178:$BC$178,AQ$178,$AZ261:$BC261)</f>
        <v>0</v>
      </c>
      <c r="AR261" s="230">
        <f>SUMIF(MAR!$G$121:$M$121,AR$178,MAR!$P29:$V29)+SUMIF($AZ$178:$BC$178,AR$178,$AZ261:$BC261)</f>
        <v>0</v>
      </c>
      <c r="AS261" s="230">
        <f>SUMIF(MAR!$G$121:$M$121,AS$178,MAR!$P29:$V29)+SUMIF($AZ$178:$BC$178,AS$178,$AZ261:$BC261)</f>
        <v>0</v>
      </c>
      <c r="AT261" s="230">
        <f>SUMIF(MAR!$G$121:$M$121,AT$178,MAR!$P29:$V29)+SUMIF($AZ$178:$BC$178,AT$178,$AZ261:$BC261)</f>
        <v>0</v>
      </c>
      <c r="AU261" s="230">
        <f>SUMIF(MAR!$G$121:$M$121,AU$178,MAR!$P29:$V29)+SUMIF($AZ$178:$BC$178,AU$178,$AZ261:$BC261)</f>
        <v>0</v>
      </c>
      <c r="AV261" s="230">
        <f>SUMIF(MAR!$G$121:$M$121,AV$178,MAR!$P29:$V29)+SUMIF($AZ$178:$BC$178,AV$178,$AZ261:$BC261)</f>
        <v>0</v>
      </c>
      <c r="AW261" s="230">
        <f>SUMIF(MAR!$G$121:$M$121,AW$178,MAR!$P29:$V29)+SUMIF($AZ$178:$BC$178,AW$178,$AZ261:$BC261)</f>
        <v>0</v>
      </c>
      <c r="AX261" s="231">
        <f>SUMIF(MAR!$G$121:$M$121,AX$178,MAR!$P29:$V29)+SUMIF($AZ$178:$BC$178,AX$178,$AZ261:$BC261)</f>
        <v>0</v>
      </c>
      <c r="AY261" s="232">
        <f>MAR!AF29</f>
        <v>0</v>
      </c>
      <c r="AZ261" s="228">
        <f>MAR!AG29</f>
        <v>0</v>
      </c>
      <c r="BA261" s="229">
        <f>MAR!AH29</f>
        <v>0</v>
      </c>
      <c r="BB261" s="230">
        <f>MAR!AI29</f>
        <v>0</v>
      </c>
      <c r="BC261" s="231">
        <f>MAR!AJ29</f>
        <v>0</v>
      </c>
      <c r="BD261" s="228">
        <f>SUMIF(MAR!$G$120:$M$120,"&gt;0",MAR!$X29:$AD29)</f>
        <v>0</v>
      </c>
      <c r="BE261" s="696"/>
      <c r="BF261" s="228">
        <f>SUMIF(MAR!$BA$6:$BG$6,BF$177,MAR!$BA29:$BG29)</f>
        <v>0</v>
      </c>
      <c r="BG261" s="229">
        <f>SUMIF(MAR!$BA$6:$BG$6,BG$177,MAR!$BA29:$BG29)</f>
        <v>0</v>
      </c>
      <c r="BH261" s="229">
        <f>SUMIF(MAR!$BA$6:$BG$6,BH$177,MAR!$BA29:$BG29)</f>
        <v>0</v>
      </c>
      <c r="BI261" s="229">
        <f>SUMIF(MAR!$BA$6:$BG$6,BI$177,MAR!$BA29:$BG29)</f>
        <v>0</v>
      </c>
      <c r="BJ261" s="229">
        <f>SUMIF(MAR!$BA$6:$BG$6,BJ$177,MAR!$BA29:$BG29)</f>
        <v>0</v>
      </c>
      <c r="BK261" s="229">
        <f>SUMIF(MAR!$BA$6:$BG$6,BK$177,MAR!$BA29:$BG29)</f>
        <v>0</v>
      </c>
      <c r="BL261" s="229">
        <f>SUMIF(MAR!$BA$6:$BG$6,BL$177,MAR!$BA29:$BG29)</f>
        <v>0</v>
      </c>
      <c r="BM261" s="229">
        <f>SUMIF(MAR!$BA$6:$BG$6,BM$177,MAR!$BA29:$BG29)</f>
        <v>0</v>
      </c>
      <c r="BN261" s="229">
        <f>SUMIF(MAR!$BA$6:$BG$6,BN$177,MAR!$BA29:$BG29)</f>
        <v>0</v>
      </c>
      <c r="BO261" s="231">
        <f>SUMIF(MAR!$BA$6:$BG$6,BO$177,MAR!$BA29:$BG29)</f>
        <v>0</v>
      </c>
      <c r="BP261" s="231">
        <f>SUMIF(MAR!$BA$6:$BG$6,BP$177,MAR!$BA29:$BG29)</f>
        <v>0</v>
      </c>
      <c r="BQ261" s="252"/>
      <c r="BR261" s="228">
        <f>SUMIF(MAR!$BA$5:$BG$5,BR$177,MAR!$BA29:$BG29)</f>
        <v>0</v>
      </c>
      <c r="BS261" s="229">
        <f>SUMIF(MAR!$BA$5:$BG$5,BS$177,MAR!$BA29:$BG29)</f>
        <v>0</v>
      </c>
      <c r="BT261" s="229">
        <f>SUMIF(MAR!$BA$5:$BG$5,BT$177,MAR!$BA29:$BG29)</f>
        <v>0</v>
      </c>
      <c r="BU261" s="229">
        <f>SUMIF(MAR!$BA$5:$BG$5,BU$177,MAR!$BA29:$BG29)</f>
        <v>0</v>
      </c>
      <c r="BV261" s="229">
        <f>SUMIF(MAR!$BA$5:$BG$5,BV$177,MAR!$BA29:$BG29)</f>
        <v>0</v>
      </c>
      <c r="BW261" s="229">
        <f>SUMIF(MAR!$BA$5:$BG$5,BW$177,MAR!$BA29:$BG29)</f>
        <v>0</v>
      </c>
      <c r="BX261" s="230">
        <f>SUMIF(MAR!$BA$5:$BG$5,BX$177,MAR!$BA29:$BG29)</f>
        <v>0</v>
      </c>
      <c r="BY261" s="998">
        <f>SUMIF(MAR!$BA$5:$BG$5,BY$177,MAR!$BA29:$BG29)</f>
        <v>0</v>
      </c>
      <c r="CB261" s="252"/>
      <c r="CC261" s="61" t="e">
        <f t="shared" si="52"/>
        <v>#N/A</v>
      </c>
      <c r="CD261" s="61">
        <f t="shared" si="53"/>
        <v>0</v>
      </c>
      <c r="CE261" s="105" t="str">
        <f t="shared" si="46"/>
        <v/>
      </c>
      <c r="CF261" s="61" t="e">
        <f t="shared" si="54"/>
        <v>#N/A</v>
      </c>
      <c r="CG261" s="61" t="e">
        <f t="shared" si="55"/>
        <v>#N/A</v>
      </c>
      <c r="CH261" s="521">
        <f>MAR!AL29-CW261+CR261</f>
        <v>0</v>
      </c>
      <c r="CI261" s="228">
        <f>SUMIF(MAR!$G$121:$M$121,CI$178,MAR!$AM29:$AS29)+SUMIF($CS$178:$CV$178,CI$178,$CS261:$CV261)</f>
        <v>0</v>
      </c>
      <c r="CJ261" s="229">
        <f>SUMIF(MAR!$G$121:$M$121,CJ$178,MAR!$AM29:$AS29)+SUMIF($CS$178:$CV$178,CJ$178,$CS261:$CV261)</f>
        <v>0</v>
      </c>
      <c r="CK261" s="230">
        <f>SUMIF(MAR!$G$121:$M$121,CK$178,MAR!$AM29:$AS29)+SUMIF($CS$178:$CV$178,CK$178,$CS261:$CV261)</f>
        <v>0</v>
      </c>
      <c r="CL261" s="230">
        <f>SUMIF(MAR!$G$121:$M$121,CL$178,MAR!$AM29:$AS29)+SUMIF($CS$178:$CV$178,CL$178,$CS261:$CV261)</f>
        <v>0</v>
      </c>
      <c r="CM261" s="230">
        <f>SUMIF(MAR!$G$121:$M$121,CM$178,MAR!$AM29:$AS29)+SUMIF($CS$178:$CV$178,CM$178,$CS261:$CV261)</f>
        <v>0</v>
      </c>
      <c r="CN261" s="230">
        <f>SUMIF(MAR!$G$121:$M$121,CN$178,MAR!$AM29:$AS29)+SUMIF($CS$178:$CV$178,CN$178,$CS261:$CV261)</f>
        <v>0</v>
      </c>
      <c r="CO261" s="230">
        <f>SUMIF(MAR!$G$121:$M$121,CO$178,MAR!$AM29:$AS29)+SUMIF($CS$178:$CV$178,CO$178,$CS261:$CV261)</f>
        <v>0</v>
      </c>
      <c r="CP261" s="230">
        <f>SUMIF(MAR!$G$121:$M$121,CP$178,MAR!$AM29:$AS29)+SUMIF($CS$178:$CV$178,CP$178,$CS261:$CV261)</f>
        <v>0</v>
      </c>
      <c r="CQ261" s="231">
        <f>SUMIF(MAR!$G$121:$M$121,CQ$178,MAR!$AM29:$AS29)+SUMIF($CS$178:$CV$178,CQ$178,$CS261:$CV261)</f>
        <v>0</v>
      </c>
      <c r="CR261" s="521">
        <f>MAR!AU29</f>
        <v>0</v>
      </c>
      <c r="CS261" s="228">
        <f>MAR!AV29</f>
        <v>0</v>
      </c>
      <c r="CT261" s="229">
        <f>MAR!AW29</f>
        <v>0</v>
      </c>
      <c r="CU261" s="230">
        <f>MAR!AX29</f>
        <v>0</v>
      </c>
      <c r="CV261" s="231">
        <f>MAR!AY29</f>
        <v>0</v>
      </c>
      <c r="CW261" s="521">
        <f>SUM(MAR!AU29:AY29)</f>
        <v>0</v>
      </c>
      <c r="CX261" s="521">
        <f>MAR!AK29</f>
        <v>0</v>
      </c>
      <c r="CY261" s="2"/>
    </row>
    <row r="262" spans="1:103" ht="14.25" hidden="1" customHeight="1" x14ac:dyDescent="0.2">
      <c r="A262" s="2"/>
      <c r="B262" s="105">
        <f t="shared" si="56"/>
        <v>45374</v>
      </c>
      <c r="C262" s="146">
        <f>IF(AND(E262&gt;(E$559-1),E262&lt;(I$559+1)),W$551,IF(ISERROR(HLOOKUP(E262,$E$552:$L$552,1,FALSE)),HLOOKUP(WEEKDAY(E262,2),IMPOSTAZIONI!$C$52:$P$57,6,FALSE),$W$550))</f>
        <v>0</v>
      </c>
      <c r="D262" s="71" t="str">
        <f t="shared" si="57"/>
        <v/>
      </c>
      <c r="E262" s="2258">
        <f t="shared" si="62"/>
        <v>45374</v>
      </c>
      <c r="F262" s="2259"/>
      <c r="G262" s="2228">
        <f>MAR!E30</f>
        <v>0</v>
      </c>
      <c r="H262" s="2229"/>
      <c r="I262" s="2230"/>
      <c r="J262" s="262" t="str">
        <f t="shared" si="47"/>
        <v/>
      </c>
      <c r="K262" s="263"/>
      <c r="L262" s="2217">
        <f t="shared" si="63"/>
        <v>12</v>
      </c>
      <c r="M262" s="2218"/>
      <c r="N262" s="261"/>
      <c r="O262" s="261"/>
      <c r="P262" s="261"/>
      <c r="Q262" s="2219">
        <f t="shared" si="58"/>
        <v>45374</v>
      </c>
      <c r="R262" s="2219"/>
      <c r="S262" s="261"/>
      <c r="T262" s="1173">
        <f t="shared" si="48"/>
        <v>0</v>
      </c>
      <c r="U262" s="261"/>
      <c r="V262" s="261"/>
      <c r="W262" s="261"/>
      <c r="X262" s="261"/>
      <c r="Y262" s="261"/>
      <c r="Z262" s="261"/>
      <c r="AA262" s="261"/>
      <c r="AB262" s="261"/>
      <c r="AC262" s="261"/>
      <c r="AD262" s="261"/>
      <c r="AE262" s="261"/>
      <c r="AF262" s="261"/>
      <c r="AG262" s="1173">
        <f t="shared" si="59"/>
        <v>0</v>
      </c>
      <c r="AH262" s="61" t="str">
        <f t="shared" si="60"/>
        <v/>
      </c>
      <c r="AI262" s="89" t="e">
        <f t="shared" si="61"/>
        <v>#N/A</v>
      </c>
      <c r="AJ262" s="2"/>
      <c r="AK262" s="61">
        <f>IF(G262=G$547,0,IF(OR(G262&lt;&gt;0,CH262&lt;&gt;0,C262="L"),COUNTIF(AK$180:AK261,"&gt;0")+1,0))</f>
        <v>0</v>
      </c>
      <c r="AL262" s="61" t="str">
        <f t="shared" si="49"/>
        <v/>
      </c>
      <c r="AM262" s="61" t="e">
        <f t="shared" si="50"/>
        <v>#N/A</v>
      </c>
      <c r="AN262" s="89" t="e">
        <f t="shared" si="51"/>
        <v>#N/A</v>
      </c>
      <c r="AO262" s="230">
        <f>SUM(MAR!X30:AD30)-BD262+AY262</f>
        <v>0</v>
      </c>
      <c r="AP262" s="228">
        <f>SUMIF(MAR!$G$121:$M$121,AP$178,MAR!$P30:$V30)+SUMIF($AZ$178:$BC$178,AP$178,$AZ262:$BC262)</f>
        <v>0</v>
      </c>
      <c r="AQ262" s="229">
        <f>SUMIF(MAR!$G$121:$M$121,AQ$178,MAR!$P30:$V30)+SUMIF($AZ$178:$BC$178,AQ$178,$AZ262:$BC262)</f>
        <v>0</v>
      </c>
      <c r="AR262" s="230">
        <f>SUMIF(MAR!$G$121:$M$121,AR$178,MAR!$P30:$V30)+SUMIF($AZ$178:$BC$178,AR$178,$AZ262:$BC262)</f>
        <v>0</v>
      </c>
      <c r="AS262" s="230">
        <f>SUMIF(MAR!$G$121:$M$121,AS$178,MAR!$P30:$V30)+SUMIF($AZ$178:$BC$178,AS$178,$AZ262:$BC262)</f>
        <v>0</v>
      </c>
      <c r="AT262" s="230">
        <f>SUMIF(MAR!$G$121:$M$121,AT$178,MAR!$P30:$V30)+SUMIF($AZ$178:$BC$178,AT$178,$AZ262:$BC262)</f>
        <v>0</v>
      </c>
      <c r="AU262" s="230">
        <f>SUMIF(MAR!$G$121:$M$121,AU$178,MAR!$P30:$V30)+SUMIF($AZ$178:$BC$178,AU$178,$AZ262:$BC262)</f>
        <v>0</v>
      </c>
      <c r="AV262" s="230">
        <f>SUMIF(MAR!$G$121:$M$121,AV$178,MAR!$P30:$V30)+SUMIF($AZ$178:$BC$178,AV$178,$AZ262:$BC262)</f>
        <v>0</v>
      </c>
      <c r="AW262" s="230">
        <f>SUMIF(MAR!$G$121:$M$121,AW$178,MAR!$P30:$V30)+SUMIF($AZ$178:$BC$178,AW$178,$AZ262:$BC262)</f>
        <v>0</v>
      </c>
      <c r="AX262" s="231">
        <f>SUMIF(MAR!$G$121:$M$121,AX$178,MAR!$P30:$V30)+SUMIF($AZ$178:$BC$178,AX$178,$AZ262:$BC262)</f>
        <v>0</v>
      </c>
      <c r="AY262" s="232">
        <f>MAR!AF30</f>
        <v>0</v>
      </c>
      <c r="AZ262" s="228">
        <f>MAR!AG30</f>
        <v>0</v>
      </c>
      <c r="BA262" s="229">
        <f>MAR!AH30</f>
        <v>0</v>
      </c>
      <c r="BB262" s="230">
        <f>MAR!AI30</f>
        <v>0</v>
      </c>
      <c r="BC262" s="231">
        <f>MAR!AJ30</f>
        <v>0</v>
      </c>
      <c r="BD262" s="228">
        <f>SUMIF(MAR!$G$120:$M$120,"&gt;0",MAR!$X30:$AD30)</f>
        <v>0</v>
      </c>
      <c r="BE262" s="696"/>
      <c r="BF262" s="228">
        <f>SUMIF(MAR!$BA$6:$BG$6,BF$177,MAR!$BA30:$BG30)</f>
        <v>0</v>
      </c>
      <c r="BG262" s="229">
        <f>SUMIF(MAR!$BA$6:$BG$6,BG$177,MAR!$BA30:$BG30)</f>
        <v>0</v>
      </c>
      <c r="BH262" s="229">
        <f>SUMIF(MAR!$BA$6:$BG$6,BH$177,MAR!$BA30:$BG30)</f>
        <v>0</v>
      </c>
      <c r="BI262" s="229">
        <f>SUMIF(MAR!$BA$6:$BG$6,BI$177,MAR!$BA30:$BG30)</f>
        <v>0</v>
      </c>
      <c r="BJ262" s="229">
        <f>SUMIF(MAR!$BA$6:$BG$6,BJ$177,MAR!$BA30:$BG30)</f>
        <v>0</v>
      </c>
      <c r="BK262" s="229">
        <f>SUMIF(MAR!$BA$6:$BG$6,BK$177,MAR!$BA30:$BG30)</f>
        <v>0</v>
      </c>
      <c r="BL262" s="229">
        <f>SUMIF(MAR!$BA$6:$BG$6,BL$177,MAR!$BA30:$BG30)</f>
        <v>0</v>
      </c>
      <c r="BM262" s="229">
        <f>SUMIF(MAR!$BA$6:$BG$6,BM$177,MAR!$BA30:$BG30)</f>
        <v>0</v>
      </c>
      <c r="BN262" s="229">
        <f>SUMIF(MAR!$BA$6:$BG$6,BN$177,MAR!$BA30:$BG30)</f>
        <v>0</v>
      </c>
      <c r="BO262" s="231">
        <f>SUMIF(MAR!$BA$6:$BG$6,BO$177,MAR!$BA30:$BG30)</f>
        <v>0</v>
      </c>
      <c r="BP262" s="231">
        <f>SUMIF(MAR!$BA$6:$BG$6,BP$177,MAR!$BA30:$BG30)</f>
        <v>0</v>
      </c>
      <c r="BQ262" s="252"/>
      <c r="BR262" s="228">
        <f>SUMIF(MAR!$BA$5:$BG$5,BR$177,MAR!$BA30:$BG30)</f>
        <v>0</v>
      </c>
      <c r="BS262" s="229">
        <f>SUMIF(MAR!$BA$5:$BG$5,BS$177,MAR!$BA30:$BG30)</f>
        <v>0</v>
      </c>
      <c r="BT262" s="229">
        <f>SUMIF(MAR!$BA$5:$BG$5,BT$177,MAR!$BA30:$BG30)</f>
        <v>0</v>
      </c>
      <c r="BU262" s="229">
        <f>SUMIF(MAR!$BA$5:$BG$5,BU$177,MAR!$BA30:$BG30)</f>
        <v>0</v>
      </c>
      <c r="BV262" s="229">
        <f>SUMIF(MAR!$BA$5:$BG$5,BV$177,MAR!$BA30:$BG30)</f>
        <v>0</v>
      </c>
      <c r="BW262" s="229">
        <f>SUMIF(MAR!$BA$5:$BG$5,BW$177,MAR!$BA30:$BG30)</f>
        <v>0</v>
      </c>
      <c r="BX262" s="230">
        <f>SUMIF(MAR!$BA$5:$BG$5,BX$177,MAR!$BA30:$BG30)</f>
        <v>0</v>
      </c>
      <c r="BY262" s="998">
        <f>SUMIF(MAR!$BA$5:$BG$5,BY$177,MAR!$BA30:$BG30)</f>
        <v>0</v>
      </c>
      <c r="CB262" s="252"/>
      <c r="CC262" s="61" t="e">
        <f t="shared" si="52"/>
        <v>#N/A</v>
      </c>
      <c r="CD262" s="61">
        <f t="shared" si="53"/>
        <v>0</v>
      </c>
      <c r="CE262" s="105" t="str">
        <f t="shared" si="46"/>
        <v/>
      </c>
      <c r="CF262" s="61" t="e">
        <f t="shared" si="54"/>
        <v>#N/A</v>
      </c>
      <c r="CG262" s="61" t="e">
        <f t="shared" si="55"/>
        <v>#N/A</v>
      </c>
      <c r="CH262" s="521">
        <f>MAR!AL30-CW262+CR262</f>
        <v>0</v>
      </c>
      <c r="CI262" s="228">
        <f>SUMIF(MAR!$G$121:$M$121,CI$178,MAR!$AM30:$AS30)+SUMIF($CS$178:$CV$178,CI$178,$CS262:$CV262)</f>
        <v>0</v>
      </c>
      <c r="CJ262" s="229">
        <f>SUMIF(MAR!$G$121:$M$121,CJ$178,MAR!$AM30:$AS30)+SUMIF($CS$178:$CV$178,CJ$178,$CS262:$CV262)</f>
        <v>0</v>
      </c>
      <c r="CK262" s="230">
        <f>SUMIF(MAR!$G$121:$M$121,CK$178,MAR!$AM30:$AS30)+SUMIF($CS$178:$CV$178,CK$178,$CS262:$CV262)</f>
        <v>0</v>
      </c>
      <c r="CL262" s="230">
        <f>SUMIF(MAR!$G$121:$M$121,CL$178,MAR!$AM30:$AS30)+SUMIF($CS$178:$CV$178,CL$178,$CS262:$CV262)</f>
        <v>0</v>
      </c>
      <c r="CM262" s="230">
        <f>SUMIF(MAR!$G$121:$M$121,CM$178,MAR!$AM30:$AS30)+SUMIF($CS$178:$CV$178,CM$178,$CS262:$CV262)</f>
        <v>0</v>
      </c>
      <c r="CN262" s="230">
        <f>SUMIF(MAR!$G$121:$M$121,CN$178,MAR!$AM30:$AS30)+SUMIF($CS$178:$CV$178,CN$178,$CS262:$CV262)</f>
        <v>0</v>
      </c>
      <c r="CO262" s="230">
        <f>SUMIF(MAR!$G$121:$M$121,CO$178,MAR!$AM30:$AS30)+SUMIF($CS$178:$CV$178,CO$178,$CS262:$CV262)</f>
        <v>0</v>
      </c>
      <c r="CP262" s="230">
        <f>SUMIF(MAR!$G$121:$M$121,CP$178,MAR!$AM30:$AS30)+SUMIF($CS$178:$CV$178,CP$178,$CS262:$CV262)</f>
        <v>0</v>
      </c>
      <c r="CQ262" s="231">
        <f>SUMIF(MAR!$G$121:$M$121,CQ$178,MAR!$AM30:$AS30)+SUMIF($CS$178:$CV$178,CQ$178,$CS262:$CV262)</f>
        <v>0</v>
      </c>
      <c r="CR262" s="521">
        <f>MAR!AU30</f>
        <v>0</v>
      </c>
      <c r="CS262" s="228">
        <f>MAR!AV30</f>
        <v>0</v>
      </c>
      <c r="CT262" s="229">
        <f>MAR!AW30</f>
        <v>0</v>
      </c>
      <c r="CU262" s="230">
        <f>MAR!AX30</f>
        <v>0</v>
      </c>
      <c r="CV262" s="231">
        <f>MAR!AY30</f>
        <v>0</v>
      </c>
      <c r="CW262" s="521">
        <f>SUM(MAR!AU30:AY30)</f>
        <v>0</v>
      </c>
      <c r="CX262" s="521">
        <f>MAR!AK30</f>
        <v>0</v>
      </c>
      <c r="CY262" s="2"/>
    </row>
    <row r="263" spans="1:103" ht="14.25" hidden="1" customHeight="1" x14ac:dyDescent="0.2">
      <c r="A263" s="2"/>
      <c r="B263" s="105">
        <f t="shared" si="56"/>
        <v>45375</v>
      </c>
      <c r="C263" s="146">
        <f>IF(AND(E263&gt;(E$559-1),E263&lt;(I$559+1)),W$551,IF(ISERROR(HLOOKUP(E263,$E$552:$L$552,1,FALSE)),HLOOKUP(WEEKDAY(E263,2),IMPOSTAZIONI!$C$52:$P$57,6,FALSE),$W$550))</f>
        <v>0</v>
      </c>
      <c r="D263" s="71" t="str">
        <f t="shared" si="57"/>
        <v/>
      </c>
      <c r="E263" s="2258">
        <f t="shared" si="62"/>
        <v>45375</v>
      </c>
      <c r="F263" s="2259"/>
      <c r="G263" s="2228">
        <f>MAR!E31</f>
        <v>0</v>
      </c>
      <c r="H263" s="2229"/>
      <c r="I263" s="2230"/>
      <c r="J263" s="262" t="str">
        <f t="shared" si="47"/>
        <v/>
      </c>
      <c r="K263" s="263"/>
      <c r="L263" s="2220">
        <f t="shared" si="63"/>
        <v>12</v>
      </c>
      <c r="M263" s="2221"/>
      <c r="N263" s="261"/>
      <c r="O263" s="261"/>
      <c r="P263" s="261"/>
      <c r="Q263" s="2219">
        <f t="shared" si="58"/>
        <v>45375</v>
      </c>
      <c r="R263" s="2219"/>
      <c r="S263" s="261"/>
      <c r="T263" s="1173">
        <f t="shared" si="48"/>
        <v>0</v>
      </c>
      <c r="U263" s="261"/>
      <c r="V263" s="261"/>
      <c r="W263" s="261"/>
      <c r="X263" s="261"/>
      <c r="Y263" s="261"/>
      <c r="Z263" s="261"/>
      <c r="AA263" s="261"/>
      <c r="AB263" s="261"/>
      <c r="AC263" s="261"/>
      <c r="AD263" s="261"/>
      <c r="AE263" s="261"/>
      <c r="AF263" s="261"/>
      <c r="AG263" s="1173">
        <f t="shared" si="59"/>
        <v>0</v>
      </c>
      <c r="AH263" s="61" t="str">
        <f t="shared" si="60"/>
        <v/>
      </c>
      <c r="AI263" s="89" t="e">
        <f t="shared" si="61"/>
        <v>#N/A</v>
      </c>
      <c r="AJ263" s="2"/>
      <c r="AK263" s="61">
        <f>IF(G263=G$547,0,IF(OR(G263&lt;&gt;0,CH263&lt;&gt;0,C263="L"),COUNTIF(AK$180:AK262,"&gt;0")+1,0))</f>
        <v>0</v>
      </c>
      <c r="AL263" s="61" t="str">
        <f t="shared" si="49"/>
        <v/>
      </c>
      <c r="AM263" s="61" t="e">
        <f t="shared" si="50"/>
        <v>#N/A</v>
      </c>
      <c r="AN263" s="89" t="e">
        <f t="shared" si="51"/>
        <v>#N/A</v>
      </c>
      <c r="AO263" s="230">
        <f>SUM(MAR!X31:AD31)-BD263+AY263</f>
        <v>0</v>
      </c>
      <c r="AP263" s="228">
        <f>SUMIF(MAR!$G$121:$M$121,AP$178,MAR!$P31:$V31)+SUMIF($AZ$178:$BC$178,AP$178,$AZ263:$BC263)</f>
        <v>0</v>
      </c>
      <c r="AQ263" s="229">
        <f>SUMIF(MAR!$G$121:$M$121,AQ$178,MAR!$P31:$V31)+SUMIF($AZ$178:$BC$178,AQ$178,$AZ263:$BC263)</f>
        <v>0</v>
      </c>
      <c r="AR263" s="230">
        <f>SUMIF(MAR!$G$121:$M$121,AR$178,MAR!$P31:$V31)+SUMIF($AZ$178:$BC$178,AR$178,$AZ263:$BC263)</f>
        <v>0</v>
      </c>
      <c r="AS263" s="230">
        <f>SUMIF(MAR!$G$121:$M$121,AS$178,MAR!$P31:$V31)+SUMIF($AZ$178:$BC$178,AS$178,$AZ263:$BC263)</f>
        <v>0</v>
      </c>
      <c r="AT263" s="230">
        <f>SUMIF(MAR!$G$121:$M$121,AT$178,MAR!$P31:$V31)+SUMIF($AZ$178:$BC$178,AT$178,$AZ263:$BC263)</f>
        <v>0</v>
      </c>
      <c r="AU263" s="230">
        <f>SUMIF(MAR!$G$121:$M$121,AU$178,MAR!$P31:$V31)+SUMIF($AZ$178:$BC$178,AU$178,$AZ263:$BC263)</f>
        <v>0</v>
      </c>
      <c r="AV263" s="230">
        <f>SUMIF(MAR!$G$121:$M$121,AV$178,MAR!$P31:$V31)+SUMIF($AZ$178:$BC$178,AV$178,$AZ263:$BC263)</f>
        <v>0</v>
      </c>
      <c r="AW263" s="230">
        <f>SUMIF(MAR!$G$121:$M$121,AW$178,MAR!$P31:$V31)+SUMIF($AZ$178:$BC$178,AW$178,$AZ263:$BC263)</f>
        <v>0</v>
      </c>
      <c r="AX263" s="231">
        <f>SUMIF(MAR!$G$121:$M$121,AX$178,MAR!$P31:$V31)+SUMIF($AZ$178:$BC$178,AX$178,$AZ263:$BC263)</f>
        <v>0</v>
      </c>
      <c r="AY263" s="232">
        <f>MAR!AF31</f>
        <v>0</v>
      </c>
      <c r="AZ263" s="228">
        <f>MAR!AG31</f>
        <v>0</v>
      </c>
      <c r="BA263" s="229">
        <f>MAR!AH31</f>
        <v>0</v>
      </c>
      <c r="BB263" s="230">
        <f>MAR!AI31</f>
        <v>0</v>
      </c>
      <c r="BC263" s="231">
        <f>MAR!AJ31</f>
        <v>0</v>
      </c>
      <c r="BD263" s="228">
        <f>SUMIF(MAR!$G$120:$M$120,"&gt;0",MAR!$X31:$AD31)</f>
        <v>0</v>
      </c>
      <c r="BE263" s="696"/>
      <c r="BF263" s="228">
        <f>SUMIF(MAR!$BA$6:$BG$6,BF$177,MAR!$BA31:$BG31)</f>
        <v>0</v>
      </c>
      <c r="BG263" s="229">
        <f>SUMIF(MAR!$BA$6:$BG$6,BG$177,MAR!$BA31:$BG31)</f>
        <v>0</v>
      </c>
      <c r="BH263" s="229">
        <f>SUMIF(MAR!$BA$6:$BG$6,BH$177,MAR!$BA31:$BG31)</f>
        <v>0</v>
      </c>
      <c r="BI263" s="229">
        <f>SUMIF(MAR!$BA$6:$BG$6,BI$177,MAR!$BA31:$BG31)</f>
        <v>0</v>
      </c>
      <c r="BJ263" s="229">
        <f>SUMIF(MAR!$BA$6:$BG$6,BJ$177,MAR!$BA31:$BG31)</f>
        <v>0</v>
      </c>
      <c r="BK263" s="229">
        <f>SUMIF(MAR!$BA$6:$BG$6,BK$177,MAR!$BA31:$BG31)</f>
        <v>0</v>
      </c>
      <c r="BL263" s="229">
        <f>SUMIF(MAR!$BA$6:$BG$6,BL$177,MAR!$BA31:$BG31)</f>
        <v>0</v>
      </c>
      <c r="BM263" s="229">
        <f>SUMIF(MAR!$BA$6:$BG$6,BM$177,MAR!$BA31:$BG31)</f>
        <v>0</v>
      </c>
      <c r="BN263" s="229">
        <f>SUMIF(MAR!$BA$6:$BG$6,BN$177,MAR!$BA31:$BG31)</f>
        <v>0</v>
      </c>
      <c r="BO263" s="231">
        <f>SUMIF(MAR!$BA$6:$BG$6,BO$177,MAR!$BA31:$BG31)</f>
        <v>0</v>
      </c>
      <c r="BP263" s="231">
        <f>SUMIF(MAR!$BA$6:$BG$6,BP$177,MAR!$BA31:$BG31)</f>
        <v>0</v>
      </c>
      <c r="BQ263" s="252"/>
      <c r="BR263" s="228">
        <f>SUMIF(MAR!$BA$5:$BG$5,BR$177,MAR!$BA31:$BG31)</f>
        <v>0</v>
      </c>
      <c r="BS263" s="229">
        <f>SUMIF(MAR!$BA$5:$BG$5,BS$177,MAR!$BA31:$BG31)</f>
        <v>0</v>
      </c>
      <c r="BT263" s="229">
        <f>SUMIF(MAR!$BA$5:$BG$5,BT$177,MAR!$BA31:$BG31)</f>
        <v>0</v>
      </c>
      <c r="BU263" s="229">
        <f>SUMIF(MAR!$BA$5:$BG$5,BU$177,MAR!$BA31:$BG31)</f>
        <v>0</v>
      </c>
      <c r="BV263" s="229">
        <f>SUMIF(MAR!$BA$5:$BG$5,BV$177,MAR!$BA31:$BG31)</f>
        <v>0</v>
      </c>
      <c r="BW263" s="229">
        <f>SUMIF(MAR!$BA$5:$BG$5,BW$177,MAR!$BA31:$BG31)</f>
        <v>0</v>
      </c>
      <c r="BX263" s="230">
        <f>SUMIF(MAR!$BA$5:$BG$5,BX$177,MAR!$BA31:$BG31)</f>
        <v>0</v>
      </c>
      <c r="BY263" s="998">
        <f>SUMIF(MAR!$BA$5:$BG$5,BY$177,MAR!$BA31:$BG31)</f>
        <v>0</v>
      </c>
      <c r="CB263" s="252"/>
      <c r="CC263" s="61" t="e">
        <f t="shared" si="52"/>
        <v>#N/A</v>
      </c>
      <c r="CD263" s="61">
        <f t="shared" si="53"/>
        <v>0</v>
      </c>
      <c r="CE263" s="105" t="str">
        <f t="shared" si="46"/>
        <v/>
      </c>
      <c r="CF263" s="61" t="e">
        <f t="shared" si="54"/>
        <v>#N/A</v>
      </c>
      <c r="CG263" s="61" t="e">
        <f t="shared" si="55"/>
        <v>#N/A</v>
      </c>
      <c r="CH263" s="521">
        <f>MAR!AL31-CW263+CR263</f>
        <v>0</v>
      </c>
      <c r="CI263" s="228">
        <f>SUMIF(MAR!$G$121:$M$121,CI$178,MAR!$AM31:$AS31)+SUMIF($CS$178:$CV$178,CI$178,$CS263:$CV263)</f>
        <v>0</v>
      </c>
      <c r="CJ263" s="229">
        <f>SUMIF(MAR!$G$121:$M$121,CJ$178,MAR!$AM31:$AS31)+SUMIF($CS$178:$CV$178,CJ$178,$CS263:$CV263)</f>
        <v>0</v>
      </c>
      <c r="CK263" s="230">
        <f>SUMIF(MAR!$G$121:$M$121,CK$178,MAR!$AM31:$AS31)+SUMIF($CS$178:$CV$178,CK$178,$CS263:$CV263)</f>
        <v>0</v>
      </c>
      <c r="CL263" s="230">
        <f>SUMIF(MAR!$G$121:$M$121,CL$178,MAR!$AM31:$AS31)+SUMIF($CS$178:$CV$178,CL$178,$CS263:$CV263)</f>
        <v>0</v>
      </c>
      <c r="CM263" s="230">
        <f>SUMIF(MAR!$G$121:$M$121,CM$178,MAR!$AM31:$AS31)+SUMIF($CS$178:$CV$178,CM$178,$CS263:$CV263)</f>
        <v>0</v>
      </c>
      <c r="CN263" s="230">
        <f>SUMIF(MAR!$G$121:$M$121,CN$178,MAR!$AM31:$AS31)+SUMIF($CS$178:$CV$178,CN$178,$CS263:$CV263)</f>
        <v>0</v>
      </c>
      <c r="CO263" s="230">
        <f>SUMIF(MAR!$G$121:$M$121,CO$178,MAR!$AM31:$AS31)+SUMIF($CS$178:$CV$178,CO$178,$CS263:$CV263)</f>
        <v>0</v>
      </c>
      <c r="CP263" s="230">
        <f>SUMIF(MAR!$G$121:$M$121,CP$178,MAR!$AM31:$AS31)+SUMIF($CS$178:$CV$178,CP$178,$CS263:$CV263)</f>
        <v>0</v>
      </c>
      <c r="CQ263" s="231">
        <f>SUMIF(MAR!$G$121:$M$121,CQ$178,MAR!$AM31:$AS31)+SUMIF($CS$178:$CV$178,CQ$178,$CS263:$CV263)</f>
        <v>0</v>
      </c>
      <c r="CR263" s="521">
        <f>MAR!AU31</f>
        <v>0</v>
      </c>
      <c r="CS263" s="228">
        <f>MAR!AV31</f>
        <v>0</v>
      </c>
      <c r="CT263" s="229">
        <f>MAR!AW31</f>
        <v>0</v>
      </c>
      <c r="CU263" s="230">
        <f>MAR!AX31</f>
        <v>0</v>
      </c>
      <c r="CV263" s="231">
        <f>MAR!AY31</f>
        <v>0</v>
      </c>
      <c r="CW263" s="521">
        <f>SUM(MAR!AU31:AY31)</f>
        <v>0</v>
      </c>
      <c r="CX263" s="521">
        <f>MAR!AK31</f>
        <v>0</v>
      </c>
      <c r="CY263" s="2"/>
    </row>
    <row r="264" spans="1:103" ht="14.25" hidden="1" customHeight="1" x14ac:dyDescent="0.2">
      <c r="A264" s="2"/>
      <c r="B264" s="105">
        <f t="shared" si="56"/>
        <v>45376</v>
      </c>
      <c r="C264" s="146">
        <f>IF(AND(E264&gt;(E$559-1),E264&lt;(I$559+1)),W$551,IF(ISERROR(HLOOKUP(E264,$E$552:$L$552,1,FALSE)),HLOOKUP(WEEKDAY(E264,2),IMPOSTAZIONI!$C$52:$P$57,6,FALSE),$W$550))</f>
        <v>0</v>
      </c>
      <c r="D264" s="71" t="str">
        <f t="shared" si="57"/>
        <v/>
      </c>
      <c r="E264" s="2258">
        <f t="shared" si="62"/>
        <v>45376</v>
      </c>
      <c r="F264" s="2259"/>
      <c r="G264" s="2228">
        <f>MAR!E32</f>
        <v>0</v>
      </c>
      <c r="H264" s="2229"/>
      <c r="I264" s="2230"/>
      <c r="J264" s="262" t="str">
        <f t="shared" si="47"/>
        <v/>
      </c>
      <c r="K264" s="263"/>
      <c r="L264" s="2222">
        <f t="shared" si="63"/>
        <v>13</v>
      </c>
      <c r="M264" s="2223"/>
      <c r="N264" s="261"/>
      <c r="O264" s="261"/>
      <c r="P264" s="261"/>
      <c r="Q264" s="2219">
        <f t="shared" si="58"/>
        <v>45376</v>
      </c>
      <c r="R264" s="2219"/>
      <c r="S264" s="261"/>
      <c r="T264" s="1173">
        <f t="shared" si="48"/>
        <v>0</v>
      </c>
      <c r="U264" s="261"/>
      <c r="V264" s="261"/>
      <c r="W264" s="261"/>
      <c r="X264" s="261"/>
      <c r="Y264" s="261"/>
      <c r="Z264" s="261"/>
      <c r="AA264" s="261"/>
      <c r="AB264" s="261"/>
      <c r="AC264" s="261"/>
      <c r="AD264" s="261"/>
      <c r="AE264" s="261"/>
      <c r="AF264" s="261"/>
      <c r="AG264" s="1173">
        <f t="shared" si="59"/>
        <v>0</v>
      </c>
      <c r="AH264" s="61" t="str">
        <f t="shared" si="60"/>
        <v/>
      </c>
      <c r="AI264" s="89" t="e">
        <f t="shared" si="61"/>
        <v>#N/A</v>
      </c>
      <c r="AJ264" s="2"/>
      <c r="AK264" s="61">
        <f>IF(G264=G$547,0,IF(OR(G264&lt;&gt;0,CH264&lt;&gt;0,C264="L"),COUNTIF(AK$180:AK263,"&gt;0")+1,0))</f>
        <v>0</v>
      </c>
      <c r="AL264" s="61" t="str">
        <f t="shared" si="49"/>
        <v/>
      </c>
      <c r="AM264" s="61" t="e">
        <f t="shared" si="50"/>
        <v>#N/A</v>
      </c>
      <c r="AN264" s="89" t="e">
        <f t="shared" si="51"/>
        <v>#N/A</v>
      </c>
      <c r="AO264" s="230">
        <f>SUM(MAR!X32:AD32)-BD264+AY264</f>
        <v>0</v>
      </c>
      <c r="AP264" s="228">
        <f>SUMIF(MAR!$G$121:$M$121,AP$178,MAR!$P32:$V32)+SUMIF($AZ$178:$BC$178,AP$178,$AZ264:$BC264)</f>
        <v>0</v>
      </c>
      <c r="AQ264" s="229">
        <f>SUMIF(MAR!$G$121:$M$121,AQ$178,MAR!$P32:$V32)+SUMIF($AZ$178:$BC$178,AQ$178,$AZ264:$BC264)</f>
        <v>0</v>
      </c>
      <c r="AR264" s="230">
        <f>SUMIF(MAR!$G$121:$M$121,AR$178,MAR!$P32:$V32)+SUMIF($AZ$178:$BC$178,AR$178,$AZ264:$BC264)</f>
        <v>0</v>
      </c>
      <c r="AS264" s="230">
        <f>SUMIF(MAR!$G$121:$M$121,AS$178,MAR!$P32:$V32)+SUMIF($AZ$178:$BC$178,AS$178,$AZ264:$BC264)</f>
        <v>0</v>
      </c>
      <c r="AT264" s="230">
        <f>SUMIF(MAR!$G$121:$M$121,AT$178,MAR!$P32:$V32)+SUMIF($AZ$178:$BC$178,AT$178,$AZ264:$BC264)</f>
        <v>0</v>
      </c>
      <c r="AU264" s="230">
        <f>SUMIF(MAR!$G$121:$M$121,AU$178,MAR!$P32:$V32)+SUMIF($AZ$178:$BC$178,AU$178,$AZ264:$BC264)</f>
        <v>0</v>
      </c>
      <c r="AV264" s="230">
        <f>SUMIF(MAR!$G$121:$M$121,AV$178,MAR!$P32:$V32)+SUMIF($AZ$178:$BC$178,AV$178,$AZ264:$BC264)</f>
        <v>0</v>
      </c>
      <c r="AW264" s="230">
        <f>SUMIF(MAR!$G$121:$M$121,AW$178,MAR!$P32:$V32)+SUMIF($AZ$178:$BC$178,AW$178,$AZ264:$BC264)</f>
        <v>0</v>
      </c>
      <c r="AX264" s="231">
        <f>SUMIF(MAR!$G$121:$M$121,AX$178,MAR!$P32:$V32)+SUMIF($AZ$178:$BC$178,AX$178,$AZ264:$BC264)</f>
        <v>0</v>
      </c>
      <c r="AY264" s="232">
        <f>MAR!AF32</f>
        <v>0</v>
      </c>
      <c r="AZ264" s="228">
        <f>MAR!AG32</f>
        <v>0</v>
      </c>
      <c r="BA264" s="229">
        <f>MAR!AH32</f>
        <v>0</v>
      </c>
      <c r="BB264" s="230">
        <f>MAR!AI32</f>
        <v>0</v>
      </c>
      <c r="BC264" s="231">
        <f>MAR!AJ32</f>
        <v>0</v>
      </c>
      <c r="BD264" s="228">
        <f>SUMIF(MAR!$G$120:$M$120,"&gt;0",MAR!$X32:$AD32)</f>
        <v>0</v>
      </c>
      <c r="BE264" s="696"/>
      <c r="BF264" s="228">
        <f>SUMIF(MAR!$BA$6:$BG$6,BF$177,MAR!$BA32:$BG32)</f>
        <v>0</v>
      </c>
      <c r="BG264" s="229">
        <f>SUMIF(MAR!$BA$6:$BG$6,BG$177,MAR!$BA32:$BG32)</f>
        <v>0</v>
      </c>
      <c r="BH264" s="229">
        <f>SUMIF(MAR!$BA$6:$BG$6,BH$177,MAR!$BA32:$BG32)</f>
        <v>0</v>
      </c>
      <c r="BI264" s="229">
        <f>SUMIF(MAR!$BA$6:$BG$6,BI$177,MAR!$BA32:$BG32)</f>
        <v>0</v>
      </c>
      <c r="BJ264" s="229">
        <f>SUMIF(MAR!$BA$6:$BG$6,BJ$177,MAR!$BA32:$BG32)</f>
        <v>0</v>
      </c>
      <c r="BK264" s="229">
        <f>SUMIF(MAR!$BA$6:$BG$6,BK$177,MAR!$BA32:$BG32)</f>
        <v>0</v>
      </c>
      <c r="BL264" s="229">
        <f>SUMIF(MAR!$BA$6:$BG$6,BL$177,MAR!$BA32:$BG32)</f>
        <v>0</v>
      </c>
      <c r="BM264" s="229">
        <f>SUMIF(MAR!$BA$6:$BG$6,BM$177,MAR!$BA32:$BG32)</f>
        <v>0</v>
      </c>
      <c r="BN264" s="229">
        <f>SUMIF(MAR!$BA$6:$BG$6,BN$177,MAR!$BA32:$BG32)</f>
        <v>0</v>
      </c>
      <c r="BO264" s="231">
        <f>SUMIF(MAR!$BA$6:$BG$6,BO$177,MAR!$BA32:$BG32)</f>
        <v>0</v>
      </c>
      <c r="BP264" s="231">
        <f>SUMIF(MAR!$BA$6:$BG$6,BP$177,MAR!$BA32:$BG32)</f>
        <v>0</v>
      </c>
      <c r="BQ264" s="252"/>
      <c r="BR264" s="228">
        <f>SUMIF(MAR!$BA$5:$BG$5,BR$177,MAR!$BA32:$BG32)</f>
        <v>0</v>
      </c>
      <c r="BS264" s="229">
        <f>SUMIF(MAR!$BA$5:$BG$5,BS$177,MAR!$BA32:$BG32)</f>
        <v>0</v>
      </c>
      <c r="BT264" s="229">
        <f>SUMIF(MAR!$BA$5:$BG$5,BT$177,MAR!$BA32:$BG32)</f>
        <v>0</v>
      </c>
      <c r="BU264" s="229">
        <f>SUMIF(MAR!$BA$5:$BG$5,BU$177,MAR!$BA32:$BG32)</f>
        <v>0</v>
      </c>
      <c r="BV264" s="229">
        <f>SUMIF(MAR!$BA$5:$BG$5,BV$177,MAR!$BA32:$BG32)</f>
        <v>0</v>
      </c>
      <c r="BW264" s="229">
        <f>SUMIF(MAR!$BA$5:$BG$5,BW$177,MAR!$BA32:$BG32)</f>
        <v>0</v>
      </c>
      <c r="BX264" s="230">
        <f>SUMIF(MAR!$BA$5:$BG$5,BX$177,MAR!$BA32:$BG32)</f>
        <v>0</v>
      </c>
      <c r="BY264" s="998">
        <f>SUMIF(MAR!$BA$5:$BG$5,BY$177,MAR!$BA32:$BG32)</f>
        <v>0</v>
      </c>
      <c r="CB264" s="252"/>
      <c r="CC264" s="61" t="e">
        <f t="shared" si="52"/>
        <v>#N/A</v>
      </c>
      <c r="CD264" s="61">
        <f t="shared" si="53"/>
        <v>0</v>
      </c>
      <c r="CE264" s="105" t="str">
        <f t="shared" si="46"/>
        <v/>
      </c>
      <c r="CF264" s="61" t="e">
        <f t="shared" si="54"/>
        <v>#N/A</v>
      </c>
      <c r="CG264" s="61" t="e">
        <f t="shared" si="55"/>
        <v>#N/A</v>
      </c>
      <c r="CH264" s="521">
        <f>MAR!AL32-CW264+CR264</f>
        <v>0</v>
      </c>
      <c r="CI264" s="228">
        <f>SUMIF(MAR!$G$121:$M$121,CI$178,MAR!$AM32:$AS32)+SUMIF($CS$178:$CV$178,CI$178,$CS264:$CV264)</f>
        <v>0</v>
      </c>
      <c r="CJ264" s="229">
        <f>SUMIF(MAR!$G$121:$M$121,CJ$178,MAR!$AM32:$AS32)+SUMIF($CS$178:$CV$178,CJ$178,$CS264:$CV264)</f>
        <v>0</v>
      </c>
      <c r="CK264" s="230">
        <f>SUMIF(MAR!$G$121:$M$121,CK$178,MAR!$AM32:$AS32)+SUMIF($CS$178:$CV$178,CK$178,$CS264:$CV264)</f>
        <v>0</v>
      </c>
      <c r="CL264" s="230">
        <f>SUMIF(MAR!$G$121:$M$121,CL$178,MAR!$AM32:$AS32)+SUMIF($CS$178:$CV$178,CL$178,$CS264:$CV264)</f>
        <v>0</v>
      </c>
      <c r="CM264" s="230">
        <f>SUMIF(MAR!$G$121:$M$121,CM$178,MAR!$AM32:$AS32)+SUMIF($CS$178:$CV$178,CM$178,$CS264:$CV264)</f>
        <v>0</v>
      </c>
      <c r="CN264" s="230">
        <f>SUMIF(MAR!$G$121:$M$121,CN$178,MAR!$AM32:$AS32)+SUMIF($CS$178:$CV$178,CN$178,$CS264:$CV264)</f>
        <v>0</v>
      </c>
      <c r="CO264" s="230">
        <f>SUMIF(MAR!$G$121:$M$121,CO$178,MAR!$AM32:$AS32)+SUMIF($CS$178:$CV$178,CO$178,$CS264:$CV264)</f>
        <v>0</v>
      </c>
      <c r="CP264" s="230">
        <f>SUMIF(MAR!$G$121:$M$121,CP$178,MAR!$AM32:$AS32)+SUMIF($CS$178:$CV$178,CP$178,$CS264:$CV264)</f>
        <v>0</v>
      </c>
      <c r="CQ264" s="231">
        <f>SUMIF(MAR!$G$121:$M$121,CQ$178,MAR!$AM32:$AS32)+SUMIF($CS$178:$CV$178,CQ$178,$CS264:$CV264)</f>
        <v>0</v>
      </c>
      <c r="CR264" s="521">
        <f>MAR!AU32</f>
        <v>0</v>
      </c>
      <c r="CS264" s="228">
        <f>MAR!AV32</f>
        <v>0</v>
      </c>
      <c r="CT264" s="229">
        <f>MAR!AW32</f>
        <v>0</v>
      </c>
      <c r="CU264" s="230">
        <f>MAR!AX32</f>
        <v>0</v>
      </c>
      <c r="CV264" s="231">
        <f>MAR!AY32</f>
        <v>0</v>
      </c>
      <c r="CW264" s="521">
        <f>SUM(MAR!AU32:AY32)</f>
        <v>0</v>
      </c>
      <c r="CX264" s="521">
        <f>MAR!AK32</f>
        <v>0</v>
      </c>
      <c r="CY264" s="2"/>
    </row>
    <row r="265" spans="1:103" ht="14.25" hidden="1" customHeight="1" x14ac:dyDescent="0.2">
      <c r="A265" s="2"/>
      <c r="B265" s="105">
        <f t="shared" si="56"/>
        <v>45377</v>
      </c>
      <c r="C265" s="146">
        <f>IF(AND(E265&gt;(E$559-1),E265&lt;(I$559+1)),W$551,IF(ISERROR(HLOOKUP(E265,$E$552:$L$552,1,FALSE)),HLOOKUP(WEEKDAY(E265,2),IMPOSTAZIONI!$C$52:$P$57,6,FALSE),$W$550))</f>
        <v>0</v>
      </c>
      <c r="D265" s="71" t="str">
        <f t="shared" si="57"/>
        <v/>
      </c>
      <c r="E265" s="2258">
        <f t="shared" si="62"/>
        <v>45377</v>
      </c>
      <c r="F265" s="2259"/>
      <c r="G265" s="2228">
        <f>MAR!E33</f>
        <v>0</v>
      </c>
      <c r="H265" s="2229"/>
      <c r="I265" s="2230"/>
      <c r="J265" s="262" t="str">
        <f t="shared" si="47"/>
        <v/>
      </c>
      <c r="K265" s="263"/>
      <c r="L265" s="2217">
        <f t="shared" si="63"/>
        <v>13</v>
      </c>
      <c r="M265" s="2218"/>
      <c r="N265" s="261"/>
      <c r="O265" s="261"/>
      <c r="P265" s="261"/>
      <c r="Q265" s="2219">
        <f t="shared" si="58"/>
        <v>45377</v>
      </c>
      <c r="R265" s="2219"/>
      <c r="S265" s="261"/>
      <c r="T265" s="1173">
        <f t="shared" si="48"/>
        <v>0</v>
      </c>
      <c r="U265" s="261"/>
      <c r="V265" s="261"/>
      <c r="W265" s="261"/>
      <c r="X265" s="261"/>
      <c r="Y265" s="261"/>
      <c r="Z265" s="261"/>
      <c r="AA265" s="261"/>
      <c r="AB265" s="261"/>
      <c r="AC265" s="261"/>
      <c r="AD265" s="261"/>
      <c r="AE265" s="261"/>
      <c r="AF265" s="261"/>
      <c r="AG265" s="1173">
        <f t="shared" si="59"/>
        <v>0</v>
      </c>
      <c r="AH265" s="61" t="str">
        <f t="shared" si="60"/>
        <v/>
      </c>
      <c r="AI265" s="89" t="e">
        <f t="shared" si="61"/>
        <v>#N/A</v>
      </c>
      <c r="AJ265" s="2"/>
      <c r="AK265" s="61">
        <f>IF(G265=G$547,0,IF(OR(G265&lt;&gt;0,CH265&lt;&gt;0,C265="L"),COUNTIF(AK$180:AK264,"&gt;0")+1,0))</f>
        <v>0</v>
      </c>
      <c r="AL265" s="61" t="str">
        <f t="shared" si="49"/>
        <v/>
      </c>
      <c r="AM265" s="61" t="e">
        <f t="shared" si="50"/>
        <v>#N/A</v>
      </c>
      <c r="AN265" s="89" t="e">
        <f t="shared" si="51"/>
        <v>#N/A</v>
      </c>
      <c r="AO265" s="230">
        <f>SUM(MAR!X33:AD33)-BD265+AY265</f>
        <v>0</v>
      </c>
      <c r="AP265" s="228">
        <f>SUMIF(MAR!$G$121:$M$121,AP$178,MAR!$P33:$V33)+SUMIF($AZ$178:$BC$178,AP$178,$AZ265:$BC265)</f>
        <v>0</v>
      </c>
      <c r="AQ265" s="229">
        <f>SUMIF(MAR!$G$121:$M$121,AQ$178,MAR!$P33:$V33)+SUMIF($AZ$178:$BC$178,AQ$178,$AZ265:$BC265)</f>
        <v>0</v>
      </c>
      <c r="AR265" s="230">
        <f>SUMIF(MAR!$G$121:$M$121,AR$178,MAR!$P33:$V33)+SUMIF($AZ$178:$BC$178,AR$178,$AZ265:$BC265)</f>
        <v>0</v>
      </c>
      <c r="AS265" s="230">
        <f>SUMIF(MAR!$G$121:$M$121,AS$178,MAR!$P33:$V33)+SUMIF($AZ$178:$BC$178,AS$178,$AZ265:$BC265)</f>
        <v>0</v>
      </c>
      <c r="AT265" s="230">
        <f>SUMIF(MAR!$G$121:$M$121,AT$178,MAR!$P33:$V33)+SUMIF($AZ$178:$BC$178,AT$178,$AZ265:$BC265)</f>
        <v>0</v>
      </c>
      <c r="AU265" s="230">
        <f>SUMIF(MAR!$G$121:$M$121,AU$178,MAR!$P33:$V33)+SUMIF($AZ$178:$BC$178,AU$178,$AZ265:$BC265)</f>
        <v>0</v>
      </c>
      <c r="AV265" s="230">
        <f>SUMIF(MAR!$G$121:$M$121,AV$178,MAR!$P33:$V33)+SUMIF($AZ$178:$BC$178,AV$178,$AZ265:$BC265)</f>
        <v>0</v>
      </c>
      <c r="AW265" s="230">
        <f>SUMIF(MAR!$G$121:$M$121,AW$178,MAR!$P33:$V33)+SUMIF($AZ$178:$BC$178,AW$178,$AZ265:$BC265)</f>
        <v>0</v>
      </c>
      <c r="AX265" s="231">
        <f>SUMIF(MAR!$G$121:$M$121,AX$178,MAR!$P33:$V33)+SUMIF($AZ$178:$BC$178,AX$178,$AZ265:$BC265)</f>
        <v>0</v>
      </c>
      <c r="AY265" s="232">
        <f>MAR!AF33</f>
        <v>0</v>
      </c>
      <c r="AZ265" s="228">
        <f>MAR!AG33</f>
        <v>0</v>
      </c>
      <c r="BA265" s="229">
        <f>MAR!AH33</f>
        <v>0</v>
      </c>
      <c r="BB265" s="230">
        <f>MAR!AI33</f>
        <v>0</v>
      </c>
      <c r="BC265" s="231">
        <f>MAR!AJ33</f>
        <v>0</v>
      </c>
      <c r="BD265" s="228">
        <f>SUMIF(MAR!$G$120:$M$120,"&gt;0",MAR!$X33:$AD33)</f>
        <v>0</v>
      </c>
      <c r="BE265" s="696"/>
      <c r="BF265" s="228">
        <f>SUMIF(MAR!$BA$6:$BG$6,BF$177,MAR!$BA33:$BG33)</f>
        <v>0</v>
      </c>
      <c r="BG265" s="229">
        <f>SUMIF(MAR!$BA$6:$BG$6,BG$177,MAR!$BA33:$BG33)</f>
        <v>0</v>
      </c>
      <c r="BH265" s="229">
        <f>SUMIF(MAR!$BA$6:$BG$6,BH$177,MAR!$BA33:$BG33)</f>
        <v>0</v>
      </c>
      <c r="BI265" s="229">
        <f>SUMIF(MAR!$BA$6:$BG$6,BI$177,MAR!$BA33:$BG33)</f>
        <v>0</v>
      </c>
      <c r="BJ265" s="229">
        <f>SUMIF(MAR!$BA$6:$BG$6,BJ$177,MAR!$BA33:$BG33)</f>
        <v>0</v>
      </c>
      <c r="BK265" s="229">
        <f>SUMIF(MAR!$BA$6:$BG$6,BK$177,MAR!$BA33:$BG33)</f>
        <v>0</v>
      </c>
      <c r="BL265" s="229">
        <f>SUMIF(MAR!$BA$6:$BG$6,BL$177,MAR!$BA33:$BG33)</f>
        <v>0</v>
      </c>
      <c r="BM265" s="229">
        <f>SUMIF(MAR!$BA$6:$BG$6,BM$177,MAR!$BA33:$BG33)</f>
        <v>0</v>
      </c>
      <c r="BN265" s="229">
        <f>SUMIF(MAR!$BA$6:$BG$6,BN$177,MAR!$BA33:$BG33)</f>
        <v>0</v>
      </c>
      <c r="BO265" s="231">
        <f>SUMIF(MAR!$BA$6:$BG$6,BO$177,MAR!$BA33:$BG33)</f>
        <v>0</v>
      </c>
      <c r="BP265" s="231">
        <f>SUMIF(MAR!$BA$6:$BG$6,BP$177,MAR!$BA33:$BG33)</f>
        <v>0</v>
      </c>
      <c r="BQ265" s="252"/>
      <c r="BR265" s="228">
        <f>SUMIF(MAR!$BA$5:$BG$5,BR$177,MAR!$BA33:$BG33)</f>
        <v>0</v>
      </c>
      <c r="BS265" s="229">
        <f>SUMIF(MAR!$BA$5:$BG$5,BS$177,MAR!$BA33:$BG33)</f>
        <v>0</v>
      </c>
      <c r="BT265" s="229">
        <f>SUMIF(MAR!$BA$5:$BG$5,BT$177,MAR!$BA33:$BG33)</f>
        <v>0</v>
      </c>
      <c r="BU265" s="229">
        <f>SUMIF(MAR!$BA$5:$BG$5,BU$177,MAR!$BA33:$BG33)</f>
        <v>0</v>
      </c>
      <c r="BV265" s="229">
        <f>SUMIF(MAR!$BA$5:$BG$5,BV$177,MAR!$BA33:$BG33)</f>
        <v>0</v>
      </c>
      <c r="BW265" s="229">
        <f>SUMIF(MAR!$BA$5:$BG$5,BW$177,MAR!$BA33:$BG33)</f>
        <v>0</v>
      </c>
      <c r="BX265" s="230">
        <f>SUMIF(MAR!$BA$5:$BG$5,BX$177,MAR!$BA33:$BG33)</f>
        <v>0</v>
      </c>
      <c r="BY265" s="998">
        <f>SUMIF(MAR!$BA$5:$BG$5,BY$177,MAR!$BA33:$BG33)</f>
        <v>0</v>
      </c>
      <c r="CB265" s="252"/>
      <c r="CC265" s="61" t="e">
        <f t="shared" si="52"/>
        <v>#N/A</v>
      </c>
      <c r="CD265" s="61">
        <f t="shared" si="53"/>
        <v>0</v>
      </c>
      <c r="CE265" s="105" t="str">
        <f t="shared" si="46"/>
        <v/>
      </c>
      <c r="CF265" s="61" t="e">
        <f t="shared" si="54"/>
        <v>#N/A</v>
      </c>
      <c r="CG265" s="61" t="e">
        <f t="shared" si="55"/>
        <v>#N/A</v>
      </c>
      <c r="CH265" s="521">
        <f>MAR!AL33-CW265+CR265</f>
        <v>0</v>
      </c>
      <c r="CI265" s="228">
        <f>SUMIF(MAR!$G$121:$M$121,CI$178,MAR!$AM33:$AS33)+SUMIF($CS$178:$CV$178,CI$178,$CS265:$CV265)</f>
        <v>0</v>
      </c>
      <c r="CJ265" s="229">
        <f>SUMIF(MAR!$G$121:$M$121,CJ$178,MAR!$AM33:$AS33)+SUMIF($CS$178:$CV$178,CJ$178,$CS265:$CV265)</f>
        <v>0</v>
      </c>
      <c r="CK265" s="230">
        <f>SUMIF(MAR!$G$121:$M$121,CK$178,MAR!$AM33:$AS33)+SUMIF($CS$178:$CV$178,CK$178,$CS265:$CV265)</f>
        <v>0</v>
      </c>
      <c r="CL265" s="230">
        <f>SUMIF(MAR!$G$121:$M$121,CL$178,MAR!$AM33:$AS33)+SUMIF($CS$178:$CV$178,CL$178,$CS265:$CV265)</f>
        <v>0</v>
      </c>
      <c r="CM265" s="230">
        <f>SUMIF(MAR!$G$121:$M$121,CM$178,MAR!$AM33:$AS33)+SUMIF($CS$178:$CV$178,CM$178,$CS265:$CV265)</f>
        <v>0</v>
      </c>
      <c r="CN265" s="230">
        <f>SUMIF(MAR!$G$121:$M$121,CN$178,MAR!$AM33:$AS33)+SUMIF($CS$178:$CV$178,CN$178,$CS265:$CV265)</f>
        <v>0</v>
      </c>
      <c r="CO265" s="230">
        <f>SUMIF(MAR!$G$121:$M$121,CO$178,MAR!$AM33:$AS33)+SUMIF($CS$178:$CV$178,CO$178,$CS265:$CV265)</f>
        <v>0</v>
      </c>
      <c r="CP265" s="230">
        <f>SUMIF(MAR!$G$121:$M$121,CP$178,MAR!$AM33:$AS33)+SUMIF($CS$178:$CV$178,CP$178,$CS265:$CV265)</f>
        <v>0</v>
      </c>
      <c r="CQ265" s="231">
        <f>SUMIF(MAR!$G$121:$M$121,CQ$178,MAR!$AM33:$AS33)+SUMIF($CS$178:$CV$178,CQ$178,$CS265:$CV265)</f>
        <v>0</v>
      </c>
      <c r="CR265" s="521">
        <f>MAR!AU33</f>
        <v>0</v>
      </c>
      <c r="CS265" s="228">
        <f>MAR!AV33</f>
        <v>0</v>
      </c>
      <c r="CT265" s="229">
        <f>MAR!AW33</f>
        <v>0</v>
      </c>
      <c r="CU265" s="230">
        <f>MAR!AX33</f>
        <v>0</v>
      </c>
      <c r="CV265" s="231">
        <f>MAR!AY33</f>
        <v>0</v>
      </c>
      <c r="CW265" s="521">
        <f>SUM(MAR!AU33:AY33)</f>
        <v>0</v>
      </c>
      <c r="CX265" s="521">
        <f>MAR!AK33</f>
        <v>0</v>
      </c>
      <c r="CY265" s="2"/>
    </row>
    <row r="266" spans="1:103" ht="14.25" hidden="1" customHeight="1" x14ac:dyDescent="0.2">
      <c r="A266" s="2"/>
      <c r="B266" s="105">
        <f t="shared" si="56"/>
        <v>45378</v>
      </c>
      <c r="C266" s="146">
        <f>IF(AND(E266&gt;(E$559-1),E266&lt;(I$559+1)),W$551,IF(ISERROR(HLOOKUP(E266,$E$552:$L$552,1,FALSE)),HLOOKUP(WEEKDAY(E266,2),IMPOSTAZIONI!$C$52:$P$57,6,FALSE),$W$550))</f>
        <v>0</v>
      </c>
      <c r="D266" s="71" t="str">
        <f t="shared" si="57"/>
        <v/>
      </c>
      <c r="E266" s="2258">
        <f t="shared" si="62"/>
        <v>45378</v>
      </c>
      <c r="F266" s="2259"/>
      <c r="G266" s="2228">
        <f>MAR!E34</f>
        <v>0</v>
      </c>
      <c r="H266" s="2229"/>
      <c r="I266" s="2230"/>
      <c r="J266" s="262" t="str">
        <f t="shared" si="47"/>
        <v/>
      </c>
      <c r="K266" s="263"/>
      <c r="L266" s="2217">
        <f t="shared" si="63"/>
        <v>13</v>
      </c>
      <c r="M266" s="2218"/>
      <c r="N266" s="261"/>
      <c r="O266" s="261"/>
      <c r="P266" s="261"/>
      <c r="Q266" s="2219">
        <f t="shared" si="58"/>
        <v>45378</v>
      </c>
      <c r="R266" s="2219"/>
      <c r="S266" s="261"/>
      <c r="T266" s="1173">
        <f t="shared" si="48"/>
        <v>0</v>
      </c>
      <c r="U266" s="261"/>
      <c r="V266" s="261"/>
      <c r="W266" s="261"/>
      <c r="X266" s="261"/>
      <c r="Y266" s="261"/>
      <c r="Z266" s="261"/>
      <c r="AA266" s="261"/>
      <c r="AB266" s="261"/>
      <c r="AC266" s="261"/>
      <c r="AD266" s="261"/>
      <c r="AE266" s="261"/>
      <c r="AF266" s="261"/>
      <c r="AG266" s="1173">
        <f t="shared" si="59"/>
        <v>0</v>
      </c>
      <c r="AH266" s="61" t="str">
        <f t="shared" si="60"/>
        <v/>
      </c>
      <c r="AI266" s="89" t="e">
        <f t="shared" si="61"/>
        <v>#N/A</v>
      </c>
      <c r="AJ266" s="2"/>
      <c r="AK266" s="61">
        <f>IF(G266=G$547,0,IF(OR(G266&lt;&gt;0,CH266&lt;&gt;0,C266="L"),COUNTIF(AK$180:AK265,"&gt;0")+1,0))</f>
        <v>0</v>
      </c>
      <c r="AL266" s="61" t="str">
        <f t="shared" si="49"/>
        <v/>
      </c>
      <c r="AM266" s="61" t="e">
        <f t="shared" si="50"/>
        <v>#N/A</v>
      </c>
      <c r="AN266" s="89" t="e">
        <f t="shared" si="51"/>
        <v>#N/A</v>
      </c>
      <c r="AO266" s="230">
        <f>SUM(MAR!X34:AD34)-BD266+AY266</f>
        <v>0</v>
      </c>
      <c r="AP266" s="228">
        <f>SUMIF(MAR!$G$121:$M$121,AP$178,MAR!$P34:$V34)+SUMIF($AZ$178:$BC$178,AP$178,$AZ266:$BC266)</f>
        <v>0</v>
      </c>
      <c r="AQ266" s="229">
        <f>SUMIF(MAR!$G$121:$M$121,AQ$178,MAR!$P34:$V34)+SUMIF($AZ$178:$BC$178,AQ$178,$AZ266:$BC266)</f>
        <v>0</v>
      </c>
      <c r="AR266" s="230">
        <f>SUMIF(MAR!$G$121:$M$121,AR$178,MAR!$P34:$V34)+SUMIF($AZ$178:$BC$178,AR$178,$AZ266:$BC266)</f>
        <v>0</v>
      </c>
      <c r="AS266" s="230">
        <f>SUMIF(MAR!$G$121:$M$121,AS$178,MAR!$P34:$V34)+SUMIF($AZ$178:$BC$178,AS$178,$AZ266:$BC266)</f>
        <v>0</v>
      </c>
      <c r="AT266" s="230">
        <f>SUMIF(MAR!$G$121:$M$121,AT$178,MAR!$P34:$V34)+SUMIF($AZ$178:$BC$178,AT$178,$AZ266:$BC266)</f>
        <v>0</v>
      </c>
      <c r="AU266" s="230">
        <f>SUMIF(MAR!$G$121:$M$121,AU$178,MAR!$P34:$V34)+SUMIF($AZ$178:$BC$178,AU$178,$AZ266:$BC266)</f>
        <v>0</v>
      </c>
      <c r="AV266" s="230">
        <f>SUMIF(MAR!$G$121:$M$121,AV$178,MAR!$P34:$V34)+SUMIF($AZ$178:$BC$178,AV$178,$AZ266:$BC266)</f>
        <v>0</v>
      </c>
      <c r="AW266" s="230">
        <f>SUMIF(MAR!$G$121:$M$121,AW$178,MAR!$P34:$V34)+SUMIF($AZ$178:$BC$178,AW$178,$AZ266:$BC266)</f>
        <v>0</v>
      </c>
      <c r="AX266" s="231">
        <f>SUMIF(MAR!$G$121:$M$121,AX$178,MAR!$P34:$V34)+SUMIF($AZ$178:$BC$178,AX$178,$AZ266:$BC266)</f>
        <v>0</v>
      </c>
      <c r="AY266" s="232">
        <f>MAR!AF34</f>
        <v>0</v>
      </c>
      <c r="AZ266" s="228">
        <f>MAR!AG34</f>
        <v>0</v>
      </c>
      <c r="BA266" s="229">
        <f>MAR!AH34</f>
        <v>0</v>
      </c>
      <c r="BB266" s="230">
        <f>MAR!AI34</f>
        <v>0</v>
      </c>
      <c r="BC266" s="231">
        <f>MAR!AJ34</f>
        <v>0</v>
      </c>
      <c r="BD266" s="228">
        <f>SUMIF(MAR!$G$120:$M$120,"&gt;0",MAR!$X34:$AD34)</f>
        <v>0</v>
      </c>
      <c r="BE266" s="696"/>
      <c r="BF266" s="228">
        <f>SUMIF(MAR!$BA$6:$BG$6,BF$177,MAR!$BA34:$BG34)</f>
        <v>0</v>
      </c>
      <c r="BG266" s="229">
        <f>SUMIF(MAR!$BA$6:$BG$6,BG$177,MAR!$BA34:$BG34)</f>
        <v>0</v>
      </c>
      <c r="BH266" s="229">
        <f>SUMIF(MAR!$BA$6:$BG$6,BH$177,MAR!$BA34:$BG34)</f>
        <v>0</v>
      </c>
      <c r="BI266" s="229">
        <f>SUMIF(MAR!$BA$6:$BG$6,BI$177,MAR!$BA34:$BG34)</f>
        <v>0</v>
      </c>
      <c r="BJ266" s="229">
        <f>SUMIF(MAR!$BA$6:$BG$6,BJ$177,MAR!$BA34:$BG34)</f>
        <v>0</v>
      </c>
      <c r="BK266" s="229">
        <f>SUMIF(MAR!$BA$6:$BG$6,BK$177,MAR!$BA34:$BG34)</f>
        <v>0</v>
      </c>
      <c r="BL266" s="229">
        <f>SUMIF(MAR!$BA$6:$BG$6,BL$177,MAR!$BA34:$BG34)</f>
        <v>0</v>
      </c>
      <c r="BM266" s="229">
        <f>SUMIF(MAR!$BA$6:$BG$6,BM$177,MAR!$BA34:$BG34)</f>
        <v>0</v>
      </c>
      <c r="BN266" s="229">
        <f>SUMIF(MAR!$BA$6:$BG$6,BN$177,MAR!$BA34:$BG34)</f>
        <v>0</v>
      </c>
      <c r="BO266" s="231">
        <f>SUMIF(MAR!$BA$6:$BG$6,BO$177,MAR!$BA34:$BG34)</f>
        <v>0</v>
      </c>
      <c r="BP266" s="231">
        <f>SUMIF(MAR!$BA$6:$BG$6,BP$177,MAR!$BA34:$BG34)</f>
        <v>0</v>
      </c>
      <c r="BQ266" s="252"/>
      <c r="BR266" s="228">
        <f>SUMIF(MAR!$BA$5:$BG$5,BR$177,MAR!$BA34:$BG34)</f>
        <v>0</v>
      </c>
      <c r="BS266" s="229">
        <f>SUMIF(MAR!$BA$5:$BG$5,BS$177,MAR!$BA34:$BG34)</f>
        <v>0</v>
      </c>
      <c r="BT266" s="229">
        <f>SUMIF(MAR!$BA$5:$BG$5,BT$177,MAR!$BA34:$BG34)</f>
        <v>0</v>
      </c>
      <c r="BU266" s="229">
        <f>SUMIF(MAR!$BA$5:$BG$5,BU$177,MAR!$BA34:$BG34)</f>
        <v>0</v>
      </c>
      <c r="BV266" s="229">
        <f>SUMIF(MAR!$BA$5:$BG$5,BV$177,MAR!$BA34:$BG34)</f>
        <v>0</v>
      </c>
      <c r="BW266" s="229">
        <f>SUMIF(MAR!$BA$5:$BG$5,BW$177,MAR!$BA34:$BG34)</f>
        <v>0</v>
      </c>
      <c r="BX266" s="230">
        <f>SUMIF(MAR!$BA$5:$BG$5,BX$177,MAR!$BA34:$BG34)</f>
        <v>0</v>
      </c>
      <c r="BY266" s="998">
        <f>SUMIF(MAR!$BA$5:$BG$5,BY$177,MAR!$BA34:$BG34)</f>
        <v>0</v>
      </c>
      <c r="CB266" s="252"/>
      <c r="CC266" s="61" t="e">
        <f t="shared" si="52"/>
        <v>#N/A</v>
      </c>
      <c r="CD266" s="61">
        <f t="shared" si="53"/>
        <v>0</v>
      </c>
      <c r="CE266" s="105" t="str">
        <f t="shared" si="46"/>
        <v/>
      </c>
      <c r="CF266" s="61" t="e">
        <f t="shared" si="54"/>
        <v>#N/A</v>
      </c>
      <c r="CG266" s="61" t="e">
        <f t="shared" si="55"/>
        <v>#N/A</v>
      </c>
      <c r="CH266" s="521">
        <f>MAR!AL34-CW266+CR266</f>
        <v>0</v>
      </c>
      <c r="CI266" s="228">
        <f>SUMIF(MAR!$G$121:$M$121,CI$178,MAR!$AM34:$AS34)+SUMIF($CS$178:$CV$178,CI$178,$CS266:$CV266)</f>
        <v>0</v>
      </c>
      <c r="CJ266" s="229">
        <f>SUMIF(MAR!$G$121:$M$121,CJ$178,MAR!$AM34:$AS34)+SUMIF($CS$178:$CV$178,CJ$178,$CS266:$CV266)</f>
        <v>0</v>
      </c>
      <c r="CK266" s="230">
        <f>SUMIF(MAR!$G$121:$M$121,CK$178,MAR!$AM34:$AS34)+SUMIF($CS$178:$CV$178,CK$178,$CS266:$CV266)</f>
        <v>0</v>
      </c>
      <c r="CL266" s="230">
        <f>SUMIF(MAR!$G$121:$M$121,CL$178,MAR!$AM34:$AS34)+SUMIF($CS$178:$CV$178,CL$178,$CS266:$CV266)</f>
        <v>0</v>
      </c>
      <c r="CM266" s="230">
        <f>SUMIF(MAR!$G$121:$M$121,CM$178,MAR!$AM34:$AS34)+SUMIF($CS$178:$CV$178,CM$178,$CS266:$CV266)</f>
        <v>0</v>
      </c>
      <c r="CN266" s="230">
        <f>SUMIF(MAR!$G$121:$M$121,CN$178,MAR!$AM34:$AS34)+SUMIF($CS$178:$CV$178,CN$178,$CS266:$CV266)</f>
        <v>0</v>
      </c>
      <c r="CO266" s="230">
        <f>SUMIF(MAR!$G$121:$M$121,CO$178,MAR!$AM34:$AS34)+SUMIF($CS$178:$CV$178,CO$178,$CS266:$CV266)</f>
        <v>0</v>
      </c>
      <c r="CP266" s="230">
        <f>SUMIF(MAR!$G$121:$M$121,CP$178,MAR!$AM34:$AS34)+SUMIF($CS$178:$CV$178,CP$178,$CS266:$CV266)</f>
        <v>0</v>
      </c>
      <c r="CQ266" s="231">
        <f>SUMIF(MAR!$G$121:$M$121,CQ$178,MAR!$AM34:$AS34)+SUMIF($CS$178:$CV$178,CQ$178,$CS266:$CV266)</f>
        <v>0</v>
      </c>
      <c r="CR266" s="521">
        <f>MAR!AU34</f>
        <v>0</v>
      </c>
      <c r="CS266" s="228">
        <f>MAR!AV34</f>
        <v>0</v>
      </c>
      <c r="CT266" s="229">
        <f>MAR!AW34</f>
        <v>0</v>
      </c>
      <c r="CU266" s="230">
        <f>MAR!AX34</f>
        <v>0</v>
      </c>
      <c r="CV266" s="231">
        <f>MAR!AY34</f>
        <v>0</v>
      </c>
      <c r="CW266" s="521">
        <f>SUM(MAR!AU34:AY34)</f>
        <v>0</v>
      </c>
      <c r="CX266" s="521">
        <f>MAR!AK34</f>
        <v>0</v>
      </c>
      <c r="CY266" s="2"/>
    </row>
    <row r="267" spans="1:103" ht="14.25" hidden="1" customHeight="1" x14ac:dyDescent="0.2">
      <c r="A267" s="2"/>
      <c r="B267" s="105">
        <f t="shared" si="56"/>
        <v>45379</v>
      </c>
      <c r="C267" s="146">
        <f>IF(AND(E267&gt;(E$559-1),E267&lt;(I$559+1)),W$551,IF(ISERROR(HLOOKUP(E267,$E$552:$L$552,1,FALSE)),HLOOKUP(WEEKDAY(E267,2),IMPOSTAZIONI!$C$52:$P$57,6,FALSE),$W$550))</f>
        <v>0</v>
      </c>
      <c r="D267" s="71" t="str">
        <f t="shared" si="57"/>
        <v/>
      </c>
      <c r="E267" s="2258">
        <f t="shared" si="62"/>
        <v>45379</v>
      </c>
      <c r="F267" s="2259"/>
      <c r="G267" s="2228">
        <f>MAR!E35</f>
        <v>0</v>
      </c>
      <c r="H267" s="2229"/>
      <c r="I267" s="2230"/>
      <c r="J267" s="262" t="str">
        <f t="shared" si="47"/>
        <v/>
      </c>
      <c r="K267" s="263"/>
      <c r="L267" s="2217">
        <f t="shared" si="63"/>
        <v>13</v>
      </c>
      <c r="M267" s="2218"/>
      <c r="N267" s="261"/>
      <c r="O267" s="261"/>
      <c r="P267" s="261"/>
      <c r="Q267" s="2219">
        <f t="shared" si="58"/>
        <v>45379</v>
      </c>
      <c r="R267" s="2219"/>
      <c r="S267" s="261"/>
      <c r="T267" s="1173">
        <f t="shared" si="48"/>
        <v>0</v>
      </c>
      <c r="U267" s="261"/>
      <c r="V267" s="261"/>
      <c r="W267" s="261"/>
      <c r="X267" s="261"/>
      <c r="Y267" s="261"/>
      <c r="Z267" s="261"/>
      <c r="AA267" s="261"/>
      <c r="AB267" s="261"/>
      <c r="AC267" s="261"/>
      <c r="AD267" s="261"/>
      <c r="AE267" s="261"/>
      <c r="AF267" s="261"/>
      <c r="AG267" s="1173">
        <f t="shared" si="59"/>
        <v>0</v>
      </c>
      <c r="AH267" s="61" t="str">
        <f t="shared" si="60"/>
        <v/>
      </c>
      <c r="AI267" s="89" t="e">
        <f t="shared" si="61"/>
        <v>#N/A</v>
      </c>
      <c r="AJ267" s="2"/>
      <c r="AK267" s="61">
        <f>IF(G267=G$547,0,IF(OR(G267&lt;&gt;0,CH267&lt;&gt;0,C267="L"),COUNTIF(AK$180:AK266,"&gt;0")+1,0))</f>
        <v>0</v>
      </c>
      <c r="AL267" s="61" t="str">
        <f t="shared" si="49"/>
        <v/>
      </c>
      <c r="AM267" s="61" t="e">
        <f t="shared" si="50"/>
        <v>#N/A</v>
      </c>
      <c r="AN267" s="89" t="e">
        <f t="shared" si="51"/>
        <v>#N/A</v>
      </c>
      <c r="AO267" s="230">
        <f>SUM(MAR!X35:AD35)-BD267+AY267</f>
        <v>0</v>
      </c>
      <c r="AP267" s="228">
        <f>SUMIF(MAR!$G$121:$M$121,AP$178,MAR!$P35:$V35)+SUMIF($AZ$178:$BC$178,AP$178,$AZ267:$BC267)</f>
        <v>0</v>
      </c>
      <c r="AQ267" s="229">
        <f>SUMIF(MAR!$G$121:$M$121,AQ$178,MAR!$P35:$V35)+SUMIF($AZ$178:$BC$178,AQ$178,$AZ267:$BC267)</f>
        <v>0</v>
      </c>
      <c r="AR267" s="230">
        <f>SUMIF(MAR!$G$121:$M$121,AR$178,MAR!$P35:$V35)+SUMIF($AZ$178:$BC$178,AR$178,$AZ267:$BC267)</f>
        <v>0</v>
      </c>
      <c r="AS267" s="230">
        <f>SUMIF(MAR!$G$121:$M$121,AS$178,MAR!$P35:$V35)+SUMIF($AZ$178:$BC$178,AS$178,$AZ267:$BC267)</f>
        <v>0</v>
      </c>
      <c r="AT267" s="230">
        <f>SUMIF(MAR!$G$121:$M$121,AT$178,MAR!$P35:$V35)+SUMIF($AZ$178:$BC$178,AT$178,$AZ267:$BC267)</f>
        <v>0</v>
      </c>
      <c r="AU267" s="230">
        <f>SUMIF(MAR!$G$121:$M$121,AU$178,MAR!$P35:$V35)+SUMIF($AZ$178:$BC$178,AU$178,$AZ267:$BC267)</f>
        <v>0</v>
      </c>
      <c r="AV267" s="230">
        <f>SUMIF(MAR!$G$121:$M$121,AV$178,MAR!$P35:$V35)+SUMIF($AZ$178:$BC$178,AV$178,$AZ267:$BC267)</f>
        <v>0</v>
      </c>
      <c r="AW267" s="230">
        <f>SUMIF(MAR!$G$121:$M$121,AW$178,MAR!$P35:$V35)+SUMIF($AZ$178:$BC$178,AW$178,$AZ267:$BC267)</f>
        <v>0</v>
      </c>
      <c r="AX267" s="231">
        <f>SUMIF(MAR!$G$121:$M$121,AX$178,MAR!$P35:$V35)+SUMIF($AZ$178:$BC$178,AX$178,$AZ267:$BC267)</f>
        <v>0</v>
      </c>
      <c r="AY267" s="232">
        <f>MAR!AF35</f>
        <v>0</v>
      </c>
      <c r="AZ267" s="228">
        <f>MAR!AG35</f>
        <v>0</v>
      </c>
      <c r="BA267" s="229">
        <f>MAR!AH35</f>
        <v>0</v>
      </c>
      <c r="BB267" s="230">
        <f>MAR!AI35</f>
        <v>0</v>
      </c>
      <c r="BC267" s="231">
        <f>MAR!AJ35</f>
        <v>0</v>
      </c>
      <c r="BD267" s="228">
        <f>SUMIF(MAR!$G$120:$M$120,"&gt;0",MAR!$X35:$AD35)</f>
        <v>0</v>
      </c>
      <c r="BE267" s="696"/>
      <c r="BF267" s="228">
        <f>SUMIF(MAR!$BA$6:$BG$6,BF$177,MAR!$BA35:$BG35)</f>
        <v>0</v>
      </c>
      <c r="BG267" s="229">
        <f>SUMIF(MAR!$BA$6:$BG$6,BG$177,MAR!$BA35:$BG35)</f>
        <v>0</v>
      </c>
      <c r="BH267" s="229">
        <f>SUMIF(MAR!$BA$6:$BG$6,BH$177,MAR!$BA35:$BG35)</f>
        <v>0</v>
      </c>
      <c r="BI267" s="229">
        <f>SUMIF(MAR!$BA$6:$BG$6,BI$177,MAR!$BA35:$BG35)</f>
        <v>0</v>
      </c>
      <c r="BJ267" s="229">
        <f>SUMIF(MAR!$BA$6:$BG$6,BJ$177,MAR!$BA35:$BG35)</f>
        <v>0</v>
      </c>
      <c r="BK267" s="229">
        <f>SUMIF(MAR!$BA$6:$BG$6,BK$177,MAR!$BA35:$BG35)</f>
        <v>0</v>
      </c>
      <c r="BL267" s="229">
        <f>SUMIF(MAR!$BA$6:$BG$6,BL$177,MAR!$BA35:$BG35)</f>
        <v>0</v>
      </c>
      <c r="BM267" s="229">
        <f>SUMIF(MAR!$BA$6:$BG$6,BM$177,MAR!$BA35:$BG35)</f>
        <v>0</v>
      </c>
      <c r="BN267" s="229">
        <f>SUMIF(MAR!$BA$6:$BG$6,BN$177,MAR!$BA35:$BG35)</f>
        <v>0</v>
      </c>
      <c r="BO267" s="231">
        <f>SUMIF(MAR!$BA$6:$BG$6,BO$177,MAR!$BA35:$BG35)</f>
        <v>0</v>
      </c>
      <c r="BP267" s="231">
        <f>SUMIF(MAR!$BA$6:$BG$6,BP$177,MAR!$BA35:$BG35)</f>
        <v>0</v>
      </c>
      <c r="BQ267" s="252"/>
      <c r="BR267" s="228">
        <f>SUMIF(MAR!$BA$5:$BG$5,BR$177,MAR!$BA35:$BG35)</f>
        <v>0</v>
      </c>
      <c r="BS267" s="229">
        <f>SUMIF(MAR!$BA$5:$BG$5,BS$177,MAR!$BA35:$BG35)</f>
        <v>0</v>
      </c>
      <c r="BT267" s="229">
        <f>SUMIF(MAR!$BA$5:$BG$5,BT$177,MAR!$BA35:$BG35)</f>
        <v>0</v>
      </c>
      <c r="BU267" s="229">
        <f>SUMIF(MAR!$BA$5:$BG$5,BU$177,MAR!$BA35:$BG35)</f>
        <v>0</v>
      </c>
      <c r="BV267" s="229">
        <f>SUMIF(MAR!$BA$5:$BG$5,BV$177,MAR!$BA35:$BG35)</f>
        <v>0</v>
      </c>
      <c r="BW267" s="229">
        <f>SUMIF(MAR!$BA$5:$BG$5,BW$177,MAR!$BA35:$BG35)</f>
        <v>0</v>
      </c>
      <c r="BX267" s="230">
        <f>SUMIF(MAR!$BA$5:$BG$5,BX$177,MAR!$BA35:$BG35)</f>
        <v>0</v>
      </c>
      <c r="BY267" s="998">
        <f>SUMIF(MAR!$BA$5:$BG$5,BY$177,MAR!$BA35:$BG35)</f>
        <v>0</v>
      </c>
      <c r="CB267" s="252"/>
      <c r="CC267" s="61" t="e">
        <f t="shared" si="52"/>
        <v>#N/A</v>
      </c>
      <c r="CD267" s="61">
        <f t="shared" si="53"/>
        <v>0</v>
      </c>
      <c r="CE267" s="105" t="str">
        <f t="shared" si="46"/>
        <v/>
      </c>
      <c r="CF267" s="61" t="e">
        <f t="shared" si="54"/>
        <v>#N/A</v>
      </c>
      <c r="CG267" s="61" t="e">
        <f t="shared" si="55"/>
        <v>#N/A</v>
      </c>
      <c r="CH267" s="521">
        <f>MAR!AL35-CW267+CR267</f>
        <v>0</v>
      </c>
      <c r="CI267" s="228">
        <f>SUMIF(MAR!$G$121:$M$121,CI$178,MAR!$AM35:$AS35)+SUMIF($CS$178:$CV$178,CI$178,$CS267:$CV267)</f>
        <v>0</v>
      </c>
      <c r="CJ267" s="229">
        <f>SUMIF(MAR!$G$121:$M$121,CJ$178,MAR!$AM35:$AS35)+SUMIF($CS$178:$CV$178,CJ$178,$CS267:$CV267)</f>
        <v>0</v>
      </c>
      <c r="CK267" s="230">
        <f>SUMIF(MAR!$G$121:$M$121,CK$178,MAR!$AM35:$AS35)+SUMIF($CS$178:$CV$178,CK$178,$CS267:$CV267)</f>
        <v>0</v>
      </c>
      <c r="CL267" s="230">
        <f>SUMIF(MAR!$G$121:$M$121,CL$178,MAR!$AM35:$AS35)+SUMIF($CS$178:$CV$178,CL$178,$CS267:$CV267)</f>
        <v>0</v>
      </c>
      <c r="CM267" s="230">
        <f>SUMIF(MAR!$G$121:$M$121,CM$178,MAR!$AM35:$AS35)+SUMIF($CS$178:$CV$178,CM$178,$CS267:$CV267)</f>
        <v>0</v>
      </c>
      <c r="CN267" s="230">
        <f>SUMIF(MAR!$G$121:$M$121,CN$178,MAR!$AM35:$AS35)+SUMIF($CS$178:$CV$178,CN$178,$CS267:$CV267)</f>
        <v>0</v>
      </c>
      <c r="CO267" s="230">
        <f>SUMIF(MAR!$G$121:$M$121,CO$178,MAR!$AM35:$AS35)+SUMIF($CS$178:$CV$178,CO$178,$CS267:$CV267)</f>
        <v>0</v>
      </c>
      <c r="CP267" s="230">
        <f>SUMIF(MAR!$G$121:$M$121,CP$178,MAR!$AM35:$AS35)+SUMIF($CS$178:$CV$178,CP$178,$CS267:$CV267)</f>
        <v>0</v>
      </c>
      <c r="CQ267" s="231">
        <f>SUMIF(MAR!$G$121:$M$121,CQ$178,MAR!$AM35:$AS35)+SUMIF($CS$178:$CV$178,CQ$178,$CS267:$CV267)</f>
        <v>0</v>
      </c>
      <c r="CR267" s="521">
        <f>MAR!AU35</f>
        <v>0</v>
      </c>
      <c r="CS267" s="228">
        <f>MAR!AV35</f>
        <v>0</v>
      </c>
      <c r="CT267" s="229">
        <f>MAR!AW35</f>
        <v>0</v>
      </c>
      <c r="CU267" s="230">
        <f>MAR!AX35</f>
        <v>0</v>
      </c>
      <c r="CV267" s="231">
        <f>MAR!AY35</f>
        <v>0</v>
      </c>
      <c r="CW267" s="521">
        <f>SUM(MAR!AU35:AY35)</f>
        <v>0</v>
      </c>
      <c r="CX267" s="521">
        <f>MAR!AK35</f>
        <v>0</v>
      </c>
      <c r="CY267" s="2"/>
    </row>
    <row r="268" spans="1:103" ht="14.25" hidden="1" customHeight="1" x14ac:dyDescent="0.2">
      <c r="A268" s="2"/>
      <c r="B268" s="105">
        <f t="shared" si="56"/>
        <v>45380</v>
      </c>
      <c r="C268" s="146">
        <f>IF(AND(E268&gt;(E$559-1),E268&lt;(I$559+1)),W$551,IF(ISERROR(HLOOKUP(E268,$E$552:$L$552,1,FALSE)),HLOOKUP(WEEKDAY(E268,2),IMPOSTAZIONI!$C$52:$P$57,6,FALSE),$W$550))</f>
        <v>0</v>
      </c>
      <c r="D268" s="71" t="str">
        <f t="shared" si="57"/>
        <v/>
      </c>
      <c r="E268" s="2258">
        <f t="shared" si="62"/>
        <v>45380</v>
      </c>
      <c r="F268" s="2259"/>
      <c r="G268" s="2228">
        <f>MAR!E36</f>
        <v>0</v>
      </c>
      <c r="H268" s="2229"/>
      <c r="I268" s="2230"/>
      <c r="J268" s="262" t="str">
        <f t="shared" si="47"/>
        <v/>
      </c>
      <c r="K268" s="263"/>
      <c r="L268" s="2217">
        <f t="shared" si="63"/>
        <v>13</v>
      </c>
      <c r="M268" s="2218"/>
      <c r="N268" s="261"/>
      <c r="O268" s="261"/>
      <c r="P268" s="261"/>
      <c r="Q268" s="2219">
        <f t="shared" si="58"/>
        <v>45380</v>
      </c>
      <c r="R268" s="2219"/>
      <c r="S268" s="261"/>
      <c r="T268" s="1173">
        <f t="shared" si="48"/>
        <v>0</v>
      </c>
      <c r="U268" s="261"/>
      <c r="V268" s="261"/>
      <c r="W268" s="261"/>
      <c r="X268" s="261"/>
      <c r="Y268" s="261"/>
      <c r="Z268" s="261"/>
      <c r="AA268" s="261"/>
      <c r="AB268" s="261"/>
      <c r="AC268" s="261"/>
      <c r="AD268" s="261"/>
      <c r="AE268" s="261"/>
      <c r="AF268" s="261"/>
      <c r="AG268" s="1173">
        <f t="shared" si="59"/>
        <v>0</v>
      </c>
      <c r="AH268" s="61" t="str">
        <f t="shared" si="60"/>
        <v/>
      </c>
      <c r="AI268" s="89" t="e">
        <f t="shared" si="61"/>
        <v>#N/A</v>
      </c>
      <c r="AJ268" s="2"/>
      <c r="AK268" s="61">
        <f>IF(G268=G$547,0,IF(OR(G268&lt;&gt;0,CH268&lt;&gt;0,C268="L"),COUNTIF(AK$180:AK267,"&gt;0")+1,0))</f>
        <v>0</v>
      </c>
      <c r="AL268" s="61" t="str">
        <f t="shared" si="49"/>
        <v/>
      </c>
      <c r="AM268" s="61" t="e">
        <f t="shared" si="50"/>
        <v>#N/A</v>
      </c>
      <c r="AN268" s="89" t="e">
        <f t="shared" si="51"/>
        <v>#N/A</v>
      </c>
      <c r="AO268" s="230">
        <f>SUM(MAR!X36:AD36)-BD268+AY268</f>
        <v>0</v>
      </c>
      <c r="AP268" s="228">
        <f>SUMIF(MAR!$G$121:$M$121,AP$178,MAR!$P36:$V36)+SUMIF($AZ$178:$BC$178,AP$178,$AZ268:$BC268)</f>
        <v>0</v>
      </c>
      <c r="AQ268" s="229">
        <f>SUMIF(MAR!$G$121:$M$121,AQ$178,MAR!$P36:$V36)+SUMIF($AZ$178:$BC$178,AQ$178,$AZ268:$BC268)</f>
        <v>0</v>
      </c>
      <c r="AR268" s="230">
        <f>SUMIF(MAR!$G$121:$M$121,AR$178,MAR!$P36:$V36)+SUMIF($AZ$178:$BC$178,AR$178,$AZ268:$BC268)</f>
        <v>0</v>
      </c>
      <c r="AS268" s="230">
        <f>SUMIF(MAR!$G$121:$M$121,AS$178,MAR!$P36:$V36)+SUMIF($AZ$178:$BC$178,AS$178,$AZ268:$BC268)</f>
        <v>0</v>
      </c>
      <c r="AT268" s="230">
        <f>SUMIF(MAR!$G$121:$M$121,AT$178,MAR!$P36:$V36)+SUMIF($AZ$178:$BC$178,AT$178,$AZ268:$BC268)</f>
        <v>0</v>
      </c>
      <c r="AU268" s="230">
        <f>SUMIF(MAR!$G$121:$M$121,AU$178,MAR!$P36:$V36)+SUMIF($AZ$178:$BC$178,AU$178,$AZ268:$BC268)</f>
        <v>0</v>
      </c>
      <c r="AV268" s="230">
        <f>SUMIF(MAR!$G$121:$M$121,AV$178,MAR!$P36:$V36)+SUMIF($AZ$178:$BC$178,AV$178,$AZ268:$BC268)</f>
        <v>0</v>
      </c>
      <c r="AW268" s="230">
        <f>SUMIF(MAR!$G$121:$M$121,AW$178,MAR!$P36:$V36)+SUMIF($AZ$178:$BC$178,AW$178,$AZ268:$BC268)</f>
        <v>0</v>
      </c>
      <c r="AX268" s="231">
        <f>SUMIF(MAR!$G$121:$M$121,AX$178,MAR!$P36:$V36)+SUMIF($AZ$178:$BC$178,AX$178,$AZ268:$BC268)</f>
        <v>0</v>
      </c>
      <c r="AY268" s="232">
        <f>MAR!AF36</f>
        <v>0</v>
      </c>
      <c r="AZ268" s="228">
        <f>MAR!AG36</f>
        <v>0</v>
      </c>
      <c r="BA268" s="229">
        <f>MAR!AH36</f>
        <v>0</v>
      </c>
      <c r="BB268" s="230">
        <f>MAR!AI36</f>
        <v>0</v>
      </c>
      <c r="BC268" s="231">
        <f>MAR!AJ36</f>
        <v>0</v>
      </c>
      <c r="BD268" s="228">
        <f>SUMIF(MAR!$G$120:$M$120,"&gt;0",MAR!$X36:$AD36)</f>
        <v>0</v>
      </c>
      <c r="BE268" s="696"/>
      <c r="BF268" s="228">
        <f>SUMIF(MAR!$BA$6:$BG$6,BF$177,MAR!$BA36:$BG36)</f>
        <v>0</v>
      </c>
      <c r="BG268" s="229">
        <f>SUMIF(MAR!$BA$6:$BG$6,BG$177,MAR!$BA36:$BG36)</f>
        <v>0</v>
      </c>
      <c r="BH268" s="229">
        <f>SUMIF(MAR!$BA$6:$BG$6,BH$177,MAR!$BA36:$BG36)</f>
        <v>0</v>
      </c>
      <c r="BI268" s="229">
        <f>SUMIF(MAR!$BA$6:$BG$6,BI$177,MAR!$BA36:$BG36)</f>
        <v>0</v>
      </c>
      <c r="BJ268" s="229">
        <f>SUMIF(MAR!$BA$6:$BG$6,BJ$177,MAR!$BA36:$BG36)</f>
        <v>0</v>
      </c>
      <c r="BK268" s="229">
        <f>SUMIF(MAR!$BA$6:$BG$6,BK$177,MAR!$BA36:$BG36)</f>
        <v>0</v>
      </c>
      <c r="BL268" s="229">
        <f>SUMIF(MAR!$BA$6:$BG$6,BL$177,MAR!$BA36:$BG36)</f>
        <v>0</v>
      </c>
      <c r="BM268" s="229">
        <f>SUMIF(MAR!$BA$6:$BG$6,BM$177,MAR!$BA36:$BG36)</f>
        <v>0</v>
      </c>
      <c r="BN268" s="229">
        <f>SUMIF(MAR!$BA$6:$BG$6,BN$177,MAR!$BA36:$BG36)</f>
        <v>0</v>
      </c>
      <c r="BO268" s="231">
        <f>SUMIF(MAR!$BA$6:$BG$6,BO$177,MAR!$BA36:$BG36)</f>
        <v>0</v>
      </c>
      <c r="BP268" s="231">
        <f>SUMIF(MAR!$BA$6:$BG$6,BP$177,MAR!$BA36:$BG36)</f>
        <v>0</v>
      </c>
      <c r="BQ268" s="252"/>
      <c r="BR268" s="228">
        <f>SUMIF(MAR!$BA$5:$BG$5,BR$177,MAR!$BA36:$BG36)</f>
        <v>0</v>
      </c>
      <c r="BS268" s="229">
        <f>SUMIF(MAR!$BA$5:$BG$5,BS$177,MAR!$BA36:$BG36)</f>
        <v>0</v>
      </c>
      <c r="BT268" s="229">
        <f>SUMIF(MAR!$BA$5:$BG$5,BT$177,MAR!$BA36:$BG36)</f>
        <v>0</v>
      </c>
      <c r="BU268" s="229">
        <f>SUMIF(MAR!$BA$5:$BG$5,BU$177,MAR!$BA36:$BG36)</f>
        <v>0</v>
      </c>
      <c r="BV268" s="229">
        <f>SUMIF(MAR!$BA$5:$BG$5,BV$177,MAR!$BA36:$BG36)</f>
        <v>0</v>
      </c>
      <c r="BW268" s="229">
        <f>SUMIF(MAR!$BA$5:$BG$5,BW$177,MAR!$BA36:$BG36)</f>
        <v>0</v>
      </c>
      <c r="BX268" s="230">
        <f>SUMIF(MAR!$BA$5:$BG$5,BX$177,MAR!$BA36:$BG36)</f>
        <v>0</v>
      </c>
      <c r="BY268" s="998">
        <f>SUMIF(MAR!$BA$5:$BG$5,BY$177,MAR!$BA36:$BG36)</f>
        <v>0</v>
      </c>
      <c r="CB268" s="252"/>
      <c r="CC268" s="61" t="e">
        <f t="shared" si="52"/>
        <v>#N/A</v>
      </c>
      <c r="CD268" s="61">
        <f t="shared" si="53"/>
        <v>0</v>
      </c>
      <c r="CE268" s="105" t="str">
        <f t="shared" si="46"/>
        <v/>
      </c>
      <c r="CF268" s="61" t="e">
        <f t="shared" si="54"/>
        <v>#N/A</v>
      </c>
      <c r="CG268" s="61" t="e">
        <f t="shared" si="55"/>
        <v>#N/A</v>
      </c>
      <c r="CH268" s="521">
        <f>MAR!AL36-CW268+CR268</f>
        <v>0</v>
      </c>
      <c r="CI268" s="228">
        <f>SUMIF(MAR!$G$121:$M$121,CI$178,MAR!$AM36:$AS36)+SUMIF($CS$178:$CV$178,CI$178,$CS268:$CV268)</f>
        <v>0</v>
      </c>
      <c r="CJ268" s="229">
        <f>SUMIF(MAR!$G$121:$M$121,CJ$178,MAR!$AM36:$AS36)+SUMIF($CS$178:$CV$178,CJ$178,$CS268:$CV268)</f>
        <v>0</v>
      </c>
      <c r="CK268" s="230">
        <f>SUMIF(MAR!$G$121:$M$121,CK$178,MAR!$AM36:$AS36)+SUMIF($CS$178:$CV$178,CK$178,$CS268:$CV268)</f>
        <v>0</v>
      </c>
      <c r="CL268" s="230">
        <f>SUMIF(MAR!$G$121:$M$121,CL$178,MAR!$AM36:$AS36)+SUMIF($CS$178:$CV$178,CL$178,$CS268:$CV268)</f>
        <v>0</v>
      </c>
      <c r="CM268" s="230">
        <f>SUMIF(MAR!$G$121:$M$121,CM$178,MAR!$AM36:$AS36)+SUMIF($CS$178:$CV$178,CM$178,$CS268:$CV268)</f>
        <v>0</v>
      </c>
      <c r="CN268" s="230">
        <f>SUMIF(MAR!$G$121:$M$121,CN$178,MAR!$AM36:$AS36)+SUMIF($CS$178:$CV$178,CN$178,$CS268:$CV268)</f>
        <v>0</v>
      </c>
      <c r="CO268" s="230">
        <f>SUMIF(MAR!$G$121:$M$121,CO$178,MAR!$AM36:$AS36)+SUMIF($CS$178:$CV$178,CO$178,$CS268:$CV268)</f>
        <v>0</v>
      </c>
      <c r="CP268" s="230">
        <f>SUMIF(MAR!$G$121:$M$121,CP$178,MAR!$AM36:$AS36)+SUMIF($CS$178:$CV$178,CP$178,$CS268:$CV268)</f>
        <v>0</v>
      </c>
      <c r="CQ268" s="231">
        <f>SUMIF(MAR!$G$121:$M$121,CQ$178,MAR!$AM36:$AS36)+SUMIF($CS$178:$CV$178,CQ$178,$CS268:$CV268)</f>
        <v>0</v>
      </c>
      <c r="CR268" s="521">
        <f>MAR!AU36</f>
        <v>0</v>
      </c>
      <c r="CS268" s="228">
        <f>MAR!AV36</f>
        <v>0</v>
      </c>
      <c r="CT268" s="229">
        <f>MAR!AW36</f>
        <v>0</v>
      </c>
      <c r="CU268" s="230">
        <f>MAR!AX36</f>
        <v>0</v>
      </c>
      <c r="CV268" s="231">
        <f>MAR!AY36</f>
        <v>0</v>
      </c>
      <c r="CW268" s="521">
        <f>SUM(MAR!AU36:AY36)</f>
        <v>0</v>
      </c>
      <c r="CX268" s="521">
        <f>MAR!AK36</f>
        <v>0</v>
      </c>
      <c r="CY268" s="2"/>
    </row>
    <row r="269" spans="1:103" ht="14.25" hidden="1" customHeight="1" x14ac:dyDescent="0.2">
      <c r="A269" s="2"/>
      <c r="B269" s="105">
        <f t="shared" si="56"/>
        <v>45381</v>
      </c>
      <c r="C269" s="146">
        <f>IF(AND(E269&gt;(E$559-1),E269&lt;(I$559+1)),W$551,IF(ISERROR(HLOOKUP(E269,$E$552:$L$552,1,FALSE)),HLOOKUP(WEEKDAY(E269,2),IMPOSTAZIONI!$C$52:$P$57,6,FALSE),$W$550))</f>
        <v>0</v>
      </c>
      <c r="D269" s="71" t="str">
        <f t="shared" si="57"/>
        <v/>
      </c>
      <c r="E269" s="2258">
        <f t="shared" si="62"/>
        <v>45381</v>
      </c>
      <c r="F269" s="2259"/>
      <c r="G269" s="2228">
        <f>MAR!E37</f>
        <v>0</v>
      </c>
      <c r="H269" s="2229"/>
      <c r="I269" s="2230"/>
      <c r="J269" s="262" t="str">
        <f t="shared" si="47"/>
        <v/>
      </c>
      <c r="K269" s="263"/>
      <c r="L269" s="2217">
        <f t="shared" si="63"/>
        <v>13</v>
      </c>
      <c r="M269" s="2218"/>
      <c r="N269" s="261"/>
      <c r="O269" s="261"/>
      <c r="P269" s="261"/>
      <c r="Q269" s="2219">
        <f t="shared" si="58"/>
        <v>45381</v>
      </c>
      <c r="R269" s="2219"/>
      <c r="S269" s="261"/>
      <c r="T269" s="1173">
        <f t="shared" si="48"/>
        <v>0</v>
      </c>
      <c r="U269" s="261"/>
      <c r="V269" s="261"/>
      <c r="W269" s="261"/>
      <c r="X269" s="261"/>
      <c r="Y269" s="261"/>
      <c r="Z269" s="261"/>
      <c r="AA269" s="261"/>
      <c r="AB269" s="261"/>
      <c r="AC269" s="261"/>
      <c r="AD269" s="261"/>
      <c r="AE269" s="261"/>
      <c r="AF269" s="261"/>
      <c r="AG269" s="1173">
        <f t="shared" si="59"/>
        <v>0</v>
      </c>
      <c r="AH269" s="61" t="str">
        <f t="shared" si="60"/>
        <v/>
      </c>
      <c r="AI269" s="89" t="e">
        <f t="shared" si="61"/>
        <v>#N/A</v>
      </c>
      <c r="AJ269" s="2"/>
      <c r="AK269" s="61">
        <f>IF(G269=G$547,0,IF(OR(G269&lt;&gt;0,CH269&lt;&gt;0,C269="L"),COUNTIF(AK$180:AK268,"&gt;0")+1,0))</f>
        <v>0</v>
      </c>
      <c r="AL269" s="61" t="str">
        <f t="shared" si="49"/>
        <v/>
      </c>
      <c r="AM269" s="61" t="e">
        <f t="shared" si="50"/>
        <v>#N/A</v>
      </c>
      <c r="AN269" s="89" t="e">
        <f t="shared" si="51"/>
        <v>#N/A</v>
      </c>
      <c r="AO269" s="230">
        <f>SUM(MAR!X37:AD37)-BD269+AY269</f>
        <v>0</v>
      </c>
      <c r="AP269" s="228">
        <f>SUMIF(MAR!$G$121:$M$121,AP$178,MAR!$P37:$V37)+SUMIF($AZ$178:$BC$178,AP$178,$AZ269:$BC269)</f>
        <v>0</v>
      </c>
      <c r="AQ269" s="229">
        <f>SUMIF(MAR!$G$121:$M$121,AQ$178,MAR!$P37:$V37)+SUMIF($AZ$178:$BC$178,AQ$178,$AZ269:$BC269)</f>
        <v>0</v>
      </c>
      <c r="AR269" s="230">
        <f>SUMIF(MAR!$G$121:$M$121,AR$178,MAR!$P37:$V37)+SUMIF($AZ$178:$BC$178,AR$178,$AZ269:$BC269)</f>
        <v>0</v>
      </c>
      <c r="AS269" s="230">
        <f>SUMIF(MAR!$G$121:$M$121,AS$178,MAR!$P37:$V37)+SUMIF($AZ$178:$BC$178,AS$178,$AZ269:$BC269)</f>
        <v>0</v>
      </c>
      <c r="AT269" s="230">
        <f>SUMIF(MAR!$G$121:$M$121,AT$178,MAR!$P37:$V37)+SUMIF($AZ$178:$BC$178,AT$178,$AZ269:$BC269)</f>
        <v>0</v>
      </c>
      <c r="AU269" s="230">
        <f>SUMIF(MAR!$G$121:$M$121,AU$178,MAR!$P37:$V37)+SUMIF($AZ$178:$BC$178,AU$178,$AZ269:$BC269)</f>
        <v>0</v>
      </c>
      <c r="AV269" s="230">
        <f>SUMIF(MAR!$G$121:$M$121,AV$178,MAR!$P37:$V37)+SUMIF($AZ$178:$BC$178,AV$178,$AZ269:$BC269)</f>
        <v>0</v>
      </c>
      <c r="AW269" s="230">
        <f>SUMIF(MAR!$G$121:$M$121,AW$178,MAR!$P37:$V37)+SUMIF($AZ$178:$BC$178,AW$178,$AZ269:$BC269)</f>
        <v>0</v>
      </c>
      <c r="AX269" s="231">
        <f>SUMIF(MAR!$G$121:$M$121,AX$178,MAR!$P37:$V37)+SUMIF($AZ$178:$BC$178,AX$178,$AZ269:$BC269)</f>
        <v>0</v>
      </c>
      <c r="AY269" s="232">
        <f>MAR!AF37</f>
        <v>0</v>
      </c>
      <c r="AZ269" s="228">
        <f>MAR!AG37</f>
        <v>0</v>
      </c>
      <c r="BA269" s="229">
        <f>MAR!AH37</f>
        <v>0</v>
      </c>
      <c r="BB269" s="230">
        <f>MAR!AI37</f>
        <v>0</v>
      </c>
      <c r="BC269" s="231">
        <f>MAR!AJ37</f>
        <v>0</v>
      </c>
      <c r="BD269" s="228">
        <f>SUMIF(MAR!$G$120:$M$120,"&gt;0",MAR!$X37:$AD37)</f>
        <v>0</v>
      </c>
      <c r="BE269" s="696"/>
      <c r="BF269" s="228">
        <f>SUMIF(MAR!$BA$6:$BG$6,BF$177,MAR!$BA37:$BG37)</f>
        <v>0</v>
      </c>
      <c r="BG269" s="229">
        <f>SUMIF(MAR!$BA$6:$BG$6,BG$177,MAR!$BA37:$BG37)</f>
        <v>0</v>
      </c>
      <c r="BH269" s="229">
        <f>SUMIF(MAR!$BA$6:$BG$6,BH$177,MAR!$BA37:$BG37)</f>
        <v>0</v>
      </c>
      <c r="BI269" s="229">
        <f>SUMIF(MAR!$BA$6:$BG$6,BI$177,MAR!$BA37:$BG37)</f>
        <v>0</v>
      </c>
      <c r="BJ269" s="229">
        <f>SUMIF(MAR!$BA$6:$BG$6,BJ$177,MAR!$BA37:$BG37)</f>
        <v>0</v>
      </c>
      <c r="BK269" s="229">
        <f>SUMIF(MAR!$BA$6:$BG$6,BK$177,MAR!$BA37:$BG37)</f>
        <v>0</v>
      </c>
      <c r="BL269" s="229">
        <f>SUMIF(MAR!$BA$6:$BG$6,BL$177,MAR!$BA37:$BG37)</f>
        <v>0</v>
      </c>
      <c r="BM269" s="229">
        <f>SUMIF(MAR!$BA$6:$BG$6,BM$177,MAR!$BA37:$BG37)</f>
        <v>0</v>
      </c>
      <c r="BN269" s="229">
        <f>SUMIF(MAR!$BA$6:$BG$6,BN$177,MAR!$BA37:$BG37)</f>
        <v>0</v>
      </c>
      <c r="BO269" s="231">
        <f>SUMIF(MAR!$BA$6:$BG$6,BO$177,MAR!$BA37:$BG37)</f>
        <v>0</v>
      </c>
      <c r="BP269" s="231">
        <f>SUMIF(MAR!$BA$6:$BG$6,BP$177,MAR!$BA37:$BG37)</f>
        <v>0</v>
      </c>
      <c r="BQ269" s="252"/>
      <c r="BR269" s="228">
        <f>SUMIF(MAR!$BA$5:$BG$5,BR$177,MAR!$BA37:$BG37)</f>
        <v>0</v>
      </c>
      <c r="BS269" s="229">
        <f>SUMIF(MAR!$BA$5:$BG$5,BS$177,MAR!$BA37:$BG37)</f>
        <v>0</v>
      </c>
      <c r="BT269" s="229">
        <f>SUMIF(MAR!$BA$5:$BG$5,BT$177,MAR!$BA37:$BG37)</f>
        <v>0</v>
      </c>
      <c r="BU269" s="229">
        <f>SUMIF(MAR!$BA$5:$BG$5,BU$177,MAR!$BA37:$BG37)</f>
        <v>0</v>
      </c>
      <c r="BV269" s="229">
        <f>SUMIF(MAR!$BA$5:$BG$5,BV$177,MAR!$BA37:$BG37)</f>
        <v>0</v>
      </c>
      <c r="BW269" s="229">
        <f>SUMIF(MAR!$BA$5:$BG$5,BW$177,MAR!$BA37:$BG37)</f>
        <v>0</v>
      </c>
      <c r="BX269" s="230">
        <f>SUMIF(MAR!$BA$5:$BG$5,BX$177,MAR!$BA37:$BG37)</f>
        <v>0</v>
      </c>
      <c r="BY269" s="998">
        <f>SUMIF(MAR!$BA$5:$BG$5,BY$177,MAR!$BA37:$BG37)</f>
        <v>0</v>
      </c>
      <c r="CB269" s="252"/>
      <c r="CC269" s="61" t="e">
        <f t="shared" si="52"/>
        <v>#N/A</v>
      </c>
      <c r="CD269" s="61">
        <f t="shared" si="53"/>
        <v>0</v>
      </c>
      <c r="CE269" s="105" t="str">
        <f t="shared" si="46"/>
        <v/>
      </c>
      <c r="CF269" s="61" t="e">
        <f t="shared" si="54"/>
        <v>#N/A</v>
      </c>
      <c r="CG269" s="61" t="e">
        <f t="shared" si="55"/>
        <v>#N/A</v>
      </c>
      <c r="CH269" s="521">
        <f>MAR!AL37-CW269+CR269</f>
        <v>0</v>
      </c>
      <c r="CI269" s="228">
        <f>SUMIF(MAR!$G$121:$M$121,CI$178,MAR!$AM37:$AS37)+SUMIF($CS$178:$CV$178,CI$178,$CS269:$CV269)</f>
        <v>0</v>
      </c>
      <c r="CJ269" s="229">
        <f>SUMIF(MAR!$G$121:$M$121,CJ$178,MAR!$AM37:$AS37)+SUMIF($CS$178:$CV$178,CJ$178,$CS269:$CV269)</f>
        <v>0</v>
      </c>
      <c r="CK269" s="230">
        <f>SUMIF(MAR!$G$121:$M$121,CK$178,MAR!$AM37:$AS37)+SUMIF($CS$178:$CV$178,CK$178,$CS269:$CV269)</f>
        <v>0</v>
      </c>
      <c r="CL269" s="230">
        <f>SUMIF(MAR!$G$121:$M$121,CL$178,MAR!$AM37:$AS37)+SUMIF($CS$178:$CV$178,CL$178,$CS269:$CV269)</f>
        <v>0</v>
      </c>
      <c r="CM269" s="230">
        <f>SUMIF(MAR!$G$121:$M$121,CM$178,MAR!$AM37:$AS37)+SUMIF($CS$178:$CV$178,CM$178,$CS269:$CV269)</f>
        <v>0</v>
      </c>
      <c r="CN269" s="230">
        <f>SUMIF(MAR!$G$121:$M$121,CN$178,MAR!$AM37:$AS37)+SUMIF($CS$178:$CV$178,CN$178,$CS269:$CV269)</f>
        <v>0</v>
      </c>
      <c r="CO269" s="230">
        <f>SUMIF(MAR!$G$121:$M$121,CO$178,MAR!$AM37:$AS37)+SUMIF($CS$178:$CV$178,CO$178,$CS269:$CV269)</f>
        <v>0</v>
      </c>
      <c r="CP269" s="230">
        <f>SUMIF(MAR!$G$121:$M$121,CP$178,MAR!$AM37:$AS37)+SUMIF($CS$178:$CV$178,CP$178,$CS269:$CV269)</f>
        <v>0</v>
      </c>
      <c r="CQ269" s="231">
        <f>SUMIF(MAR!$G$121:$M$121,CQ$178,MAR!$AM37:$AS37)+SUMIF($CS$178:$CV$178,CQ$178,$CS269:$CV269)</f>
        <v>0</v>
      </c>
      <c r="CR269" s="521">
        <f>MAR!AU37</f>
        <v>0</v>
      </c>
      <c r="CS269" s="228">
        <f>MAR!AV37</f>
        <v>0</v>
      </c>
      <c r="CT269" s="229">
        <f>MAR!AW37</f>
        <v>0</v>
      </c>
      <c r="CU269" s="230">
        <f>MAR!AX37</f>
        <v>0</v>
      </c>
      <c r="CV269" s="231">
        <f>MAR!AY37</f>
        <v>0</v>
      </c>
      <c r="CW269" s="521">
        <f>SUM(MAR!AU37:AY37)</f>
        <v>0</v>
      </c>
      <c r="CX269" s="521">
        <f>MAR!AK37</f>
        <v>0</v>
      </c>
      <c r="CY269" s="2"/>
    </row>
    <row r="270" spans="1:103" ht="14.25" hidden="1" customHeight="1" x14ac:dyDescent="0.2">
      <c r="A270" s="2"/>
      <c r="B270" s="105">
        <f t="shared" si="56"/>
        <v>45382</v>
      </c>
      <c r="C270" s="146">
        <f>IF(AND(E270&gt;(E$559-1),E270&lt;(I$559+1)),W$551,IF(ISERROR(HLOOKUP(E270,$E$552:$L$552,1,FALSE)),HLOOKUP(WEEKDAY(E270,2),IMPOSTAZIONI!$C$52:$P$57,6,FALSE),$W$550))</f>
        <v>0</v>
      </c>
      <c r="D270" s="71" t="str">
        <f t="shared" si="57"/>
        <v/>
      </c>
      <c r="E270" s="2262">
        <f t="shared" si="62"/>
        <v>45382</v>
      </c>
      <c r="F270" s="2263"/>
      <c r="G270" s="2266">
        <f>MAR!E38</f>
        <v>0</v>
      </c>
      <c r="H270" s="2267"/>
      <c r="I270" s="2268"/>
      <c r="J270" s="262" t="str">
        <f t="shared" si="47"/>
        <v/>
      </c>
      <c r="K270" s="263"/>
      <c r="L270" s="2220">
        <f t="shared" si="63"/>
        <v>13</v>
      </c>
      <c r="M270" s="2221"/>
      <c r="N270" s="261"/>
      <c r="O270" s="261"/>
      <c r="P270" s="261"/>
      <c r="Q270" s="2219">
        <f t="shared" si="58"/>
        <v>45382</v>
      </c>
      <c r="R270" s="2219"/>
      <c r="S270" s="261"/>
      <c r="T270" s="1173">
        <f t="shared" si="48"/>
        <v>0</v>
      </c>
      <c r="U270" s="261"/>
      <c r="V270" s="261"/>
      <c r="W270" s="261"/>
      <c r="X270" s="261"/>
      <c r="Y270" s="261"/>
      <c r="Z270" s="261"/>
      <c r="AA270" s="261"/>
      <c r="AB270" s="261"/>
      <c r="AC270" s="261"/>
      <c r="AD270" s="261"/>
      <c r="AE270" s="261"/>
      <c r="AF270" s="261"/>
      <c r="AG270" s="1173">
        <f t="shared" si="59"/>
        <v>0</v>
      </c>
      <c r="AH270" s="61" t="str">
        <f t="shared" si="60"/>
        <v/>
      </c>
      <c r="AI270" s="89" t="e">
        <f t="shared" si="61"/>
        <v>#N/A</v>
      </c>
      <c r="AJ270" s="2"/>
      <c r="AK270" s="61">
        <f>IF(G270=G$547,0,IF(OR(G270&lt;&gt;0,CH270&lt;&gt;0,C270="L"),COUNTIF(AK$180:AK269,"&gt;0")+1,0))</f>
        <v>0</v>
      </c>
      <c r="AL270" s="61" t="str">
        <f t="shared" si="49"/>
        <v/>
      </c>
      <c r="AM270" s="61" t="e">
        <f t="shared" si="50"/>
        <v>#N/A</v>
      </c>
      <c r="AN270" s="89" t="e">
        <f t="shared" si="51"/>
        <v>#N/A</v>
      </c>
      <c r="AO270" s="235">
        <f>SUM(MAR!X38:AD38)-BD270+AY270</f>
        <v>0</v>
      </c>
      <c r="AP270" s="233">
        <f>SUMIF(MAR!$G$121:$M$121,AP$178,MAR!$P38:$V38)+SUMIF($AZ$178:$BC$178,AP$178,$AZ270:$BC270)</f>
        <v>0</v>
      </c>
      <c r="AQ270" s="234">
        <f>SUMIF(MAR!$G$121:$M$121,AQ$178,MAR!$P38:$V38)+SUMIF($AZ$178:$BC$178,AQ$178,$AZ270:$BC270)</f>
        <v>0</v>
      </c>
      <c r="AR270" s="235">
        <f>SUMIF(MAR!$G$121:$M$121,AR$178,MAR!$P38:$V38)+SUMIF($AZ$178:$BC$178,AR$178,$AZ270:$BC270)</f>
        <v>0</v>
      </c>
      <c r="AS270" s="235">
        <f>SUMIF(MAR!$G$121:$M$121,AS$178,MAR!$P38:$V38)+SUMIF($AZ$178:$BC$178,AS$178,$AZ270:$BC270)</f>
        <v>0</v>
      </c>
      <c r="AT270" s="235">
        <f>SUMIF(MAR!$G$121:$M$121,AT$178,MAR!$P38:$V38)+SUMIF($AZ$178:$BC$178,AT$178,$AZ270:$BC270)</f>
        <v>0</v>
      </c>
      <c r="AU270" s="235">
        <f>SUMIF(MAR!$G$121:$M$121,AU$178,MAR!$P38:$V38)+SUMIF($AZ$178:$BC$178,AU$178,$AZ270:$BC270)</f>
        <v>0</v>
      </c>
      <c r="AV270" s="235">
        <f>SUMIF(MAR!$G$121:$M$121,AV$178,MAR!$P38:$V38)+SUMIF($AZ$178:$BC$178,AV$178,$AZ270:$BC270)</f>
        <v>0</v>
      </c>
      <c r="AW270" s="235">
        <f>SUMIF(MAR!$G$121:$M$121,AW$178,MAR!$P38:$V38)+SUMIF($AZ$178:$BC$178,AW$178,$AZ270:$BC270)</f>
        <v>0</v>
      </c>
      <c r="AX270" s="236">
        <f>SUMIF(MAR!$G$121:$M$121,AX$178,MAR!$P38:$V38)+SUMIF($AZ$178:$BC$178,AX$178,$AZ270:$BC270)</f>
        <v>0</v>
      </c>
      <c r="AY270" s="237">
        <f>MAR!AF38</f>
        <v>0</v>
      </c>
      <c r="AZ270" s="233">
        <f>MAR!AG38</f>
        <v>0</v>
      </c>
      <c r="BA270" s="234">
        <f>MAR!AH38</f>
        <v>0</v>
      </c>
      <c r="BB270" s="235">
        <f>MAR!AI38</f>
        <v>0</v>
      </c>
      <c r="BC270" s="236">
        <f>MAR!AJ38</f>
        <v>0</v>
      </c>
      <c r="BD270" s="233">
        <f>SUMIF(MAR!$G$120:$M$120,"&gt;0",MAR!$X38:$AD38)</f>
        <v>0</v>
      </c>
      <c r="BE270" s="696"/>
      <c r="BF270" s="233">
        <f>SUMIF(MAR!$BA$6:$BG$6,BF$177,MAR!$BA38:$BG38)</f>
        <v>0</v>
      </c>
      <c r="BG270" s="234">
        <f>SUMIF(MAR!$BA$6:$BG$6,BG$177,MAR!$BA38:$BG38)</f>
        <v>0</v>
      </c>
      <c r="BH270" s="234">
        <f>SUMIF(MAR!$BA$6:$BG$6,BH$177,MAR!$BA38:$BG38)</f>
        <v>0</v>
      </c>
      <c r="BI270" s="234">
        <f>SUMIF(MAR!$BA$6:$BG$6,BI$177,MAR!$BA38:$BG38)</f>
        <v>0</v>
      </c>
      <c r="BJ270" s="234">
        <f>SUMIF(MAR!$BA$6:$BG$6,BJ$177,MAR!$BA38:$BG38)</f>
        <v>0</v>
      </c>
      <c r="BK270" s="234">
        <f>SUMIF(MAR!$BA$6:$BG$6,BK$177,MAR!$BA38:$BG38)</f>
        <v>0</v>
      </c>
      <c r="BL270" s="234">
        <f>SUMIF(MAR!$BA$6:$BG$6,BL$177,MAR!$BA38:$BG38)</f>
        <v>0</v>
      </c>
      <c r="BM270" s="234">
        <f>SUMIF(MAR!$BA$6:$BG$6,BM$177,MAR!$BA38:$BG38)</f>
        <v>0</v>
      </c>
      <c r="BN270" s="234">
        <f>SUMIF(MAR!$BA$6:$BG$6,BN$177,MAR!$BA38:$BG38)</f>
        <v>0</v>
      </c>
      <c r="BO270" s="236">
        <f>SUMIF(MAR!$BA$6:$BG$6,BO$177,MAR!$BA38:$BG38)</f>
        <v>0</v>
      </c>
      <c r="BP270" s="236">
        <f>SUMIF(MAR!$BA$6:$BG$6,BP$177,MAR!$BA38:$BG38)</f>
        <v>0</v>
      </c>
      <c r="BQ270" s="252"/>
      <c r="BR270" s="233">
        <f>SUMIF(MAR!$BA$5:$BG$5,BR$177,MAR!$BA38:$BG38)</f>
        <v>0</v>
      </c>
      <c r="BS270" s="234">
        <f>SUMIF(MAR!$BA$5:$BG$5,BS$177,MAR!$BA38:$BG38)</f>
        <v>0</v>
      </c>
      <c r="BT270" s="234">
        <f>SUMIF(MAR!$BA$5:$BG$5,BT$177,MAR!$BA38:$BG38)</f>
        <v>0</v>
      </c>
      <c r="BU270" s="234">
        <f>SUMIF(MAR!$BA$5:$BG$5,BU$177,MAR!$BA38:$BG38)</f>
        <v>0</v>
      </c>
      <c r="BV270" s="234">
        <f>SUMIF(MAR!$BA$5:$BG$5,BV$177,MAR!$BA38:$BG38)</f>
        <v>0</v>
      </c>
      <c r="BW270" s="234">
        <f>SUMIF(MAR!$BA$5:$BG$5,BW$177,MAR!$BA38:$BG38)</f>
        <v>0</v>
      </c>
      <c r="BX270" s="235">
        <f>SUMIF(MAR!$BA$5:$BG$5,BX$177,MAR!$BA38:$BG38)</f>
        <v>0</v>
      </c>
      <c r="BY270" s="999">
        <f>SUMIF(MAR!$BA$5:$BG$5,BY$177,MAR!$BA38:$BG38)</f>
        <v>0</v>
      </c>
      <c r="CB270" s="252"/>
      <c r="CC270" s="61" t="e">
        <f t="shared" si="52"/>
        <v>#N/A</v>
      </c>
      <c r="CD270" s="61">
        <f t="shared" si="53"/>
        <v>0</v>
      </c>
      <c r="CE270" s="105" t="str">
        <f t="shared" si="46"/>
        <v/>
      </c>
      <c r="CF270" s="61" t="e">
        <f t="shared" si="54"/>
        <v>#N/A</v>
      </c>
      <c r="CG270" s="61" t="e">
        <f t="shared" si="55"/>
        <v>#N/A</v>
      </c>
      <c r="CH270" s="522">
        <f>MAR!AL38-CW270+CR270</f>
        <v>0</v>
      </c>
      <c r="CI270" s="233">
        <f>SUMIF(MAR!$G$121:$M$121,CI$178,MAR!$AM38:$AS38)+SUMIF($CS$178:$CV$178,CI$178,$CS270:$CV270)</f>
        <v>0</v>
      </c>
      <c r="CJ270" s="234">
        <f>SUMIF(MAR!$G$121:$M$121,CJ$178,MAR!$AM38:$AS38)+SUMIF($CS$178:$CV$178,CJ$178,$CS270:$CV270)</f>
        <v>0</v>
      </c>
      <c r="CK270" s="235">
        <f>SUMIF(MAR!$G$121:$M$121,CK$178,MAR!$AM38:$AS38)+SUMIF($CS$178:$CV$178,CK$178,$CS270:$CV270)</f>
        <v>0</v>
      </c>
      <c r="CL270" s="235">
        <f>SUMIF(MAR!$G$121:$M$121,CL$178,MAR!$AM38:$AS38)+SUMIF($CS$178:$CV$178,CL$178,$CS270:$CV270)</f>
        <v>0</v>
      </c>
      <c r="CM270" s="235">
        <f>SUMIF(MAR!$G$121:$M$121,CM$178,MAR!$AM38:$AS38)+SUMIF($CS$178:$CV$178,CM$178,$CS270:$CV270)</f>
        <v>0</v>
      </c>
      <c r="CN270" s="235">
        <f>SUMIF(MAR!$G$121:$M$121,CN$178,MAR!$AM38:$AS38)+SUMIF($CS$178:$CV$178,CN$178,$CS270:$CV270)</f>
        <v>0</v>
      </c>
      <c r="CO270" s="235">
        <f>SUMIF(MAR!$G$121:$M$121,CO$178,MAR!$AM38:$AS38)+SUMIF($CS$178:$CV$178,CO$178,$CS270:$CV270)</f>
        <v>0</v>
      </c>
      <c r="CP270" s="235">
        <f>SUMIF(MAR!$G$121:$M$121,CP$178,MAR!$AM38:$AS38)+SUMIF($CS$178:$CV$178,CP$178,$CS270:$CV270)</f>
        <v>0</v>
      </c>
      <c r="CQ270" s="236">
        <f>SUMIF(MAR!$G$121:$M$121,CQ$178,MAR!$AM38:$AS38)+SUMIF($CS$178:$CV$178,CQ$178,$CS270:$CV270)</f>
        <v>0</v>
      </c>
      <c r="CR270" s="522">
        <f>MAR!AU38</f>
        <v>0</v>
      </c>
      <c r="CS270" s="233">
        <f>MAR!AV38</f>
        <v>0</v>
      </c>
      <c r="CT270" s="234">
        <f>MAR!AW38</f>
        <v>0</v>
      </c>
      <c r="CU270" s="235">
        <f>MAR!AX38</f>
        <v>0</v>
      </c>
      <c r="CV270" s="236">
        <f>MAR!AY38</f>
        <v>0</v>
      </c>
      <c r="CW270" s="522">
        <f>SUM(MAR!AU38:AY38)</f>
        <v>0</v>
      </c>
      <c r="CX270" s="522">
        <f>MAR!AK38</f>
        <v>0</v>
      </c>
      <c r="CY270" s="2"/>
    </row>
    <row r="271" spans="1:103" ht="14.25" hidden="1" customHeight="1" x14ac:dyDescent="0.2">
      <c r="A271" s="2"/>
      <c r="B271" s="105">
        <f t="shared" si="56"/>
        <v>45383</v>
      </c>
      <c r="C271" s="146">
        <f>IF(AND(E271&gt;(E$560-1),E271&lt;(I$560+1)),W$551,IF(ISERROR(HLOOKUP(E271,$E$553:$L$553,1,FALSE)),HLOOKUP(WEEKDAY(E271,2),IMPOSTAZIONI!$C$52:$P$57,6,FALSE),$W$550))</f>
        <v>0</v>
      </c>
      <c r="D271" s="71" t="str">
        <f t="shared" si="57"/>
        <v/>
      </c>
      <c r="E271" s="2260">
        <f t="shared" si="62"/>
        <v>45383</v>
      </c>
      <c r="F271" s="2261"/>
      <c r="G271" s="2249" t="str">
        <f>APR!E8</f>
        <v xml:space="preserve">disattivato  </v>
      </c>
      <c r="H271" s="2250"/>
      <c r="I271" s="2251"/>
      <c r="J271" s="262" t="str">
        <f t="shared" si="47"/>
        <v/>
      </c>
      <c r="K271" s="263"/>
      <c r="L271" s="2222">
        <f t="shared" si="63"/>
        <v>14</v>
      </c>
      <c r="M271" s="2223"/>
      <c r="N271" s="261"/>
      <c r="O271" s="261"/>
      <c r="P271" s="261"/>
      <c r="Q271" s="2219">
        <f t="shared" si="58"/>
        <v>45383</v>
      </c>
      <c r="R271" s="2219"/>
      <c r="S271" s="261"/>
      <c r="T271" s="1173">
        <f t="shared" si="48"/>
        <v>1</v>
      </c>
      <c r="U271" s="261"/>
      <c r="V271" s="261"/>
      <c r="W271" s="261"/>
      <c r="X271" s="261"/>
      <c r="Y271" s="261"/>
      <c r="Z271" s="261"/>
      <c r="AA271" s="261"/>
      <c r="AB271" s="261"/>
      <c r="AC271" s="261"/>
      <c r="AD271" s="261"/>
      <c r="AE271" s="261"/>
      <c r="AF271" s="261"/>
      <c r="AG271" s="1173">
        <f t="shared" si="59"/>
        <v>0</v>
      </c>
      <c r="AH271" s="61" t="str">
        <f t="shared" si="60"/>
        <v/>
      </c>
      <c r="AI271" s="89" t="e">
        <f t="shared" si="61"/>
        <v>#N/A</v>
      </c>
      <c r="AJ271" s="89">
        <f>IF(G271=G547,0,COUNTIF(T271:T300,"&gt;0"))</f>
        <v>0</v>
      </c>
      <c r="AK271" s="61">
        <f>IF(G271=G$547,0,IF(OR(G271&lt;&gt;0,CH271&lt;&gt;0,C271="L"),COUNTIF(AK$180:AK270,"&gt;0")+1,0))</f>
        <v>0</v>
      </c>
      <c r="AL271" s="61" t="str">
        <f t="shared" si="49"/>
        <v/>
      </c>
      <c r="AM271" s="61" t="e">
        <f t="shared" si="50"/>
        <v>#N/A</v>
      </c>
      <c r="AN271" s="89" t="e">
        <f t="shared" si="51"/>
        <v>#N/A</v>
      </c>
      <c r="AO271" s="230">
        <f>SUM(APR!X8:AD8)-BD271+AY271</f>
        <v>0</v>
      </c>
      <c r="AP271" s="228">
        <f>SUMIF(APR!$G$121:$M$121,AP$178,APR!$P8:$V8)+SUMIF($AZ$178:$BC$178,AP$178,$AZ271:$BC271)</f>
        <v>0</v>
      </c>
      <c r="AQ271" s="229">
        <f>SUMIF(APR!$G$121:$M$121,AQ$178,APR!$P8:$V8)+SUMIF($AZ$178:$BC$178,AQ$178,$AZ271:$BC271)</f>
        <v>0</v>
      </c>
      <c r="AR271" s="230">
        <f>SUMIF(APR!$G$121:$M$121,AR$178,APR!$P8:$V8)+SUMIF($AZ$178:$BC$178,AR$178,$AZ271:$BC271)</f>
        <v>0</v>
      </c>
      <c r="AS271" s="230">
        <f>SUMIF(APR!$G$121:$M$121,AS$178,APR!$P8:$V8)+SUMIF($AZ$178:$BC$178,AS$178,$AZ271:$BC271)</f>
        <v>0</v>
      </c>
      <c r="AT271" s="230">
        <f>SUMIF(APR!$G$121:$M$121,AT$178,APR!$P8:$V8)+SUMIF($AZ$178:$BC$178,AT$178,$AZ271:$BC271)</f>
        <v>0</v>
      </c>
      <c r="AU271" s="230">
        <f>SUMIF(APR!$G$121:$M$121,AU$178,APR!$P8:$V8)+SUMIF($AZ$178:$BC$178,AU$178,$AZ271:$BC271)</f>
        <v>0</v>
      </c>
      <c r="AV271" s="230">
        <f>SUMIF(APR!$G$121:$M$121,AV$178,APR!$P8:$V8)+SUMIF($AZ$178:$BC$178,AV$178,$AZ271:$BC271)</f>
        <v>0</v>
      </c>
      <c r="AW271" s="230">
        <f>SUMIF(APR!$G$121:$M$121,AW$178,APR!$P8:$V8)+SUMIF($AZ$178:$BC$178,AW$178,$AZ271:$BC271)</f>
        <v>0</v>
      </c>
      <c r="AX271" s="231">
        <f>SUMIF(APR!$G$121:$M$121,AX$178,APR!$P8:$V8)+SUMIF($AZ$178:$BC$178,AX$178,$AZ271:$BC271)</f>
        <v>0</v>
      </c>
      <c r="AY271" s="232">
        <f>APR!AF8</f>
        <v>0</v>
      </c>
      <c r="AZ271" s="228">
        <f>APR!AG8</f>
        <v>0</v>
      </c>
      <c r="BA271" s="229">
        <f>APR!AH8</f>
        <v>0</v>
      </c>
      <c r="BB271" s="230">
        <f>APR!AI8</f>
        <v>0</v>
      </c>
      <c r="BC271" s="231">
        <f>APR!AJ8</f>
        <v>0</v>
      </c>
      <c r="BD271" s="228">
        <f>SUMIF(APR!$G$120:$M$120,"&gt;0",APR!$X8:$AD8)</f>
        <v>0</v>
      </c>
      <c r="BE271" s="696"/>
      <c r="BF271" s="254">
        <f>SUMIF(APR!$BA$6:$BG$6,BF$177,APR!$BA8:$BG8)</f>
        <v>0</v>
      </c>
      <c r="BG271" s="255">
        <f>SUMIF(APR!$BA$6:$BG$6,BG$177,APR!$BA8:$BG8)</f>
        <v>0</v>
      </c>
      <c r="BH271" s="255">
        <f>SUMIF(APR!$BA$6:$BG$6,BH$177,APR!$BA8:$BG8)</f>
        <v>0</v>
      </c>
      <c r="BI271" s="255">
        <f>SUMIF(APR!$BA$6:$BG$6,BI$177,APR!$BA8:$BG8)</f>
        <v>0</v>
      </c>
      <c r="BJ271" s="255">
        <f>SUMIF(APR!$BA$6:$BG$6,BJ$177,APR!$BA8:$BG8)</f>
        <v>0</v>
      </c>
      <c r="BK271" s="255">
        <f>SUMIF(APR!$BA$6:$BG$6,BK$177,APR!$BA8:$BG8)</f>
        <v>0</v>
      </c>
      <c r="BL271" s="255">
        <f>SUMIF(APR!$BA$6:$BG$6,BL$177,APR!$BA8:$BG8)</f>
        <v>0</v>
      </c>
      <c r="BM271" s="255">
        <f>SUMIF(APR!$BA$6:$BG$6,BM$177,APR!$BA8:$BG8)</f>
        <v>0</v>
      </c>
      <c r="BN271" s="255">
        <f>SUMIF(APR!$BA$6:$BG$6,BN$177,APR!$BA8:$BG8)</f>
        <v>0</v>
      </c>
      <c r="BO271" s="256">
        <f>SUMIF(APR!$BA$6:$BG$6,BO$177,APR!$BA8:$BG8)</f>
        <v>0</v>
      </c>
      <c r="BP271" s="256">
        <f>SUMIF(APR!$BA$6:$BG$6,BP$177,APR!$BA8:$BG8)</f>
        <v>0</v>
      </c>
      <c r="BQ271" s="252"/>
      <c r="BR271" s="254">
        <f>SUMIF(APR!$BA$5:$BG$5,BR$177,APR!$BA8:$BG8)</f>
        <v>0</v>
      </c>
      <c r="BS271" s="255">
        <f>SUMIF(APR!$BA$5:$BG$5,BS$177,APR!$BA8:$BG8)</f>
        <v>0</v>
      </c>
      <c r="BT271" s="255">
        <f>SUMIF(APR!$BA$5:$BG$5,BT$177,APR!$BA8:$BG8)</f>
        <v>0</v>
      </c>
      <c r="BU271" s="255">
        <f>SUMIF(APR!$BA$5:$BG$5,BU$177,APR!$BA8:$BG8)</f>
        <v>0</v>
      </c>
      <c r="BV271" s="255">
        <f>SUMIF(APR!$BA$5:$BG$5,BV$177,APR!$BA8:$BG8)</f>
        <v>0</v>
      </c>
      <c r="BW271" s="255">
        <f>SUMIF(APR!$BA$5:$BG$5,BW$177,APR!$BA8:$BG8)</f>
        <v>0</v>
      </c>
      <c r="BX271" s="996">
        <f>SUMIF(APR!$BA$5:$BG$5,BX$177,APR!$BA8:$BG8)</f>
        <v>0</v>
      </c>
      <c r="BY271" s="997">
        <f>SUMIF(APR!$BA$5:$BG$5,BY$177,APR!$BA8:$BG8)</f>
        <v>0</v>
      </c>
      <c r="CB271" s="252"/>
      <c r="CC271" s="61" t="e">
        <f t="shared" si="52"/>
        <v>#N/A</v>
      </c>
      <c r="CD271" s="61">
        <f t="shared" si="53"/>
        <v>0</v>
      </c>
      <c r="CE271" s="105" t="str">
        <f t="shared" si="46"/>
        <v/>
      </c>
      <c r="CF271" s="61" t="e">
        <f t="shared" si="54"/>
        <v>#N/A</v>
      </c>
      <c r="CG271" s="61" t="e">
        <f t="shared" si="55"/>
        <v>#N/A</v>
      </c>
      <c r="CH271" s="523">
        <f>APR!AL8-CW271+CR271</f>
        <v>0</v>
      </c>
      <c r="CI271" s="228">
        <f>SUMIF(APR!$G$121:$M$121,CI$178,APR!$AM8:$AS8)+SUMIF($CS$178:$CV$178,CI$178,$CS271:$CV271)</f>
        <v>0</v>
      </c>
      <c r="CJ271" s="229">
        <f>SUMIF(APR!$G$121:$M$121,CJ$178,APR!$AM8:$AS8)+SUMIF($CS$178:$CV$178,CJ$178,$CS271:$CV271)</f>
        <v>0</v>
      </c>
      <c r="CK271" s="230">
        <f>SUMIF(APR!$G$121:$M$121,CK$178,APR!$AM8:$AS8)+SUMIF($CS$178:$CV$178,CK$178,$CS271:$CV271)</f>
        <v>0</v>
      </c>
      <c r="CL271" s="230">
        <f>SUMIF(APR!$G$121:$M$121,CL$178,APR!$AM8:$AS8)+SUMIF($CS$178:$CV$178,CL$178,$CS271:$CV271)</f>
        <v>0</v>
      </c>
      <c r="CM271" s="230">
        <f>SUMIF(APR!$G$121:$M$121,CM$178,APR!$AM8:$AS8)+SUMIF($CS$178:$CV$178,CM$178,$CS271:$CV271)</f>
        <v>0</v>
      </c>
      <c r="CN271" s="230">
        <f>SUMIF(APR!$G$121:$M$121,CN$178,APR!$AM8:$AS8)+SUMIF($CS$178:$CV$178,CN$178,$CS271:$CV271)</f>
        <v>0</v>
      </c>
      <c r="CO271" s="230">
        <f>SUMIF(APR!$G$121:$M$121,CO$178,APR!$AM8:$AS8)+SUMIF($CS$178:$CV$178,CO$178,$CS271:$CV271)</f>
        <v>0</v>
      </c>
      <c r="CP271" s="230">
        <f>SUMIF(APR!$G$121:$M$121,CP$178,APR!$AM8:$AS8)+SUMIF($CS$178:$CV$178,CP$178,$CS271:$CV271)</f>
        <v>0</v>
      </c>
      <c r="CQ271" s="231">
        <f>SUMIF(APR!$G$121:$M$121,CQ$178,APR!$AM8:$AS8)+SUMIF($CS$178:$CV$178,CQ$178,$CS271:$CV271)</f>
        <v>0</v>
      </c>
      <c r="CR271" s="523">
        <f>APR!AU8</f>
        <v>0</v>
      </c>
      <c r="CS271" s="228">
        <f>APR!AV8</f>
        <v>0</v>
      </c>
      <c r="CT271" s="229">
        <f>APR!AW8</f>
        <v>0</v>
      </c>
      <c r="CU271" s="230">
        <f>APR!AX8</f>
        <v>0</v>
      </c>
      <c r="CV271" s="231">
        <f>APR!AY8</f>
        <v>0</v>
      </c>
      <c r="CW271" s="523">
        <f>SUM(APR!AU8:AY8)</f>
        <v>0</v>
      </c>
      <c r="CX271" s="523">
        <f>APR!AK8</f>
        <v>0</v>
      </c>
      <c r="CY271" s="2"/>
    </row>
    <row r="272" spans="1:103" ht="14.25" hidden="1" customHeight="1" x14ac:dyDescent="0.2">
      <c r="A272" s="2"/>
      <c r="B272" s="105">
        <f t="shared" si="56"/>
        <v>45384</v>
      </c>
      <c r="C272" s="146">
        <f>IF(AND(E272&gt;(E$560-1),E272&lt;(I$560+1)),W$551,IF(ISERROR(HLOOKUP(E272,$E$553:$L$553,1,FALSE)),HLOOKUP(WEEKDAY(E272,2),IMPOSTAZIONI!$C$52:$P$57,6,FALSE),$W$550))</f>
        <v>0</v>
      </c>
      <c r="D272" s="71" t="str">
        <f t="shared" si="57"/>
        <v/>
      </c>
      <c r="E272" s="2258">
        <f t="shared" si="62"/>
        <v>45384</v>
      </c>
      <c r="F272" s="2259"/>
      <c r="G272" s="2228" t="str">
        <f>APR!E9</f>
        <v xml:space="preserve">disattivato  </v>
      </c>
      <c r="H272" s="2229"/>
      <c r="I272" s="2230"/>
      <c r="J272" s="262" t="str">
        <f t="shared" si="47"/>
        <v/>
      </c>
      <c r="K272" s="263"/>
      <c r="L272" s="2217">
        <f t="shared" si="63"/>
        <v>14</v>
      </c>
      <c r="M272" s="2218"/>
      <c r="N272" s="261"/>
      <c r="O272" s="261"/>
      <c r="P272" s="261"/>
      <c r="Q272" s="2219">
        <f t="shared" si="58"/>
        <v>45384</v>
      </c>
      <c r="R272" s="2219"/>
      <c r="S272" s="261"/>
      <c r="T272" s="1173">
        <f t="shared" si="48"/>
        <v>1</v>
      </c>
      <c r="U272" s="261"/>
      <c r="V272" s="261"/>
      <c r="W272" s="261"/>
      <c r="X272" s="261"/>
      <c r="Y272" s="261"/>
      <c r="Z272" s="261"/>
      <c r="AA272" s="261"/>
      <c r="AB272" s="261"/>
      <c r="AC272" s="261"/>
      <c r="AD272" s="261"/>
      <c r="AE272" s="261"/>
      <c r="AF272" s="261"/>
      <c r="AG272" s="1173">
        <f t="shared" si="59"/>
        <v>0</v>
      </c>
      <c r="AH272" s="61" t="str">
        <f t="shared" si="60"/>
        <v/>
      </c>
      <c r="AI272" s="89" t="e">
        <f t="shared" si="61"/>
        <v>#N/A</v>
      </c>
      <c r="AJ272" s="2"/>
      <c r="AK272" s="61">
        <f>IF(G272=G$547,0,IF(OR(G272&lt;&gt;0,CH272&lt;&gt;0,C272="L"),COUNTIF(AK$180:AK271,"&gt;0")+1,0))</f>
        <v>0</v>
      </c>
      <c r="AL272" s="61" t="str">
        <f t="shared" si="49"/>
        <v/>
      </c>
      <c r="AM272" s="61" t="e">
        <f t="shared" si="50"/>
        <v>#N/A</v>
      </c>
      <c r="AN272" s="89" t="e">
        <f t="shared" si="51"/>
        <v>#N/A</v>
      </c>
      <c r="AO272" s="230">
        <f>SUM(APR!X9:AD9)-BD272+AY272</f>
        <v>0</v>
      </c>
      <c r="AP272" s="228">
        <f>SUMIF(APR!$G$121:$M$121,AP$178,APR!$P9:$V9)+SUMIF($AZ$178:$BC$178,AP$178,$AZ272:$BC272)</f>
        <v>0</v>
      </c>
      <c r="AQ272" s="229">
        <f>SUMIF(APR!$G$121:$M$121,AQ$178,APR!$P9:$V9)+SUMIF($AZ$178:$BC$178,AQ$178,$AZ272:$BC272)</f>
        <v>0</v>
      </c>
      <c r="AR272" s="230">
        <f>SUMIF(APR!$G$121:$M$121,AR$178,APR!$P9:$V9)+SUMIF($AZ$178:$BC$178,AR$178,$AZ272:$BC272)</f>
        <v>0</v>
      </c>
      <c r="AS272" s="230">
        <f>SUMIF(APR!$G$121:$M$121,AS$178,APR!$P9:$V9)+SUMIF($AZ$178:$BC$178,AS$178,$AZ272:$BC272)</f>
        <v>0</v>
      </c>
      <c r="AT272" s="230">
        <f>SUMIF(APR!$G$121:$M$121,AT$178,APR!$P9:$V9)+SUMIF($AZ$178:$BC$178,AT$178,$AZ272:$BC272)</f>
        <v>0</v>
      </c>
      <c r="AU272" s="230">
        <f>SUMIF(APR!$G$121:$M$121,AU$178,APR!$P9:$V9)+SUMIF($AZ$178:$BC$178,AU$178,$AZ272:$BC272)</f>
        <v>0</v>
      </c>
      <c r="AV272" s="230">
        <f>SUMIF(APR!$G$121:$M$121,AV$178,APR!$P9:$V9)+SUMIF($AZ$178:$BC$178,AV$178,$AZ272:$BC272)</f>
        <v>0</v>
      </c>
      <c r="AW272" s="230">
        <f>SUMIF(APR!$G$121:$M$121,AW$178,APR!$P9:$V9)+SUMIF($AZ$178:$BC$178,AW$178,$AZ272:$BC272)</f>
        <v>0</v>
      </c>
      <c r="AX272" s="231">
        <f>SUMIF(APR!$G$121:$M$121,AX$178,APR!$P9:$V9)+SUMIF($AZ$178:$BC$178,AX$178,$AZ272:$BC272)</f>
        <v>0</v>
      </c>
      <c r="AY272" s="232">
        <f>APR!AF9</f>
        <v>0</v>
      </c>
      <c r="AZ272" s="228">
        <f>APR!AG9</f>
        <v>0</v>
      </c>
      <c r="BA272" s="229">
        <f>APR!AH9</f>
        <v>0</v>
      </c>
      <c r="BB272" s="230">
        <f>APR!AI9</f>
        <v>0</v>
      </c>
      <c r="BC272" s="231">
        <f>APR!AJ9</f>
        <v>0</v>
      </c>
      <c r="BD272" s="228">
        <f>SUMIF(APR!$G$120:$M$120,"&gt;0",APR!$X9:$AD9)</f>
        <v>0</v>
      </c>
      <c r="BE272" s="696"/>
      <c r="BF272" s="228">
        <f>SUMIF(APR!$BA$6:$BG$6,BF$177,APR!$BA9:$BG9)</f>
        <v>0</v>
      </c>
      <c r="BG272" s="229">
        <f>SUMIF(APR!$BA$6:$BG$6,BG$177,APR!$BA9:$BG9)</f>
        <v>0</v>
      </c>
      <c r="BH272" s="229">
        <f>SUMIF(APR!$BA$6:$BG$6,BH$177,APR!$BA9:$BG9)</f>
        <v>0</v>
      </c>
      <c r="BI272" s="229">
        <f>SUMIF(APR!$BA$6:$BG$6,BI$177,APR!$BA9:$BG9)</f>
        <v>0</v>
      </c>
      <c r="BJ272" s="229">
        <f>SUMIF(APR!$BA$6:$BG$6,BJ$177,APR!$BA9:$BG9)</f>
        <v>0</v>
      </c>
      <c r="BK272" s="229">
        <f>SUMIF(APR!$BA$6:$BG$6,BK$177,APR!$BA9:$BG9)</f>
        <v>0</v>
      </c>
      <c r="BL272" s="229">
        <f>SUMIF(APR!$BA$6:$BG$6,BL$177,APR!$BA9:$BG9)</f>
        <v>0</v>
      </c>
      <c r="BM272" s="229">
        <f>SUMIF(APR!$BA$6:$BG$6,BM$177,APR!$BA9:$BG9)</f>
        <v>0</v>
      </c>
      <c r="BN272" s="229">
        <f>SUMIF(APR!$BA$6:$BG$6,BN$177,APR!$BA9:$BG9)</f>
        <v>0</v>
      </c>
      <c r="BO272" s="231">
        <f>SUMIF(APR!$BA$6:$BG$6,BO$177,APR!$BA9:$BG9)</f>
        <v>0</v>
      </c>
      <c r="BP272" s="231">
        <f>SUMIF(APR!$BA$6:$BG$6,BP$177,APR!$BA9:$BG9)</f>
        <v>0</v>
      </c>
      <c r="BQ272" s="252"/>
      <c r="BR272" s="228">
        <f>SUMIF(APR!$BA$5:$BG$5,BR$177,APR!$BA9:$BG9)</f>
        <v>0</v>
      </c>
      <c r="BS272" s="229">
        <f>SUMIF(APR!$BA$5:$BG$5,BS$177,APR!$BA9:$BG9)</f>
        <v>0</v>
      </c>
      <c r="BT272" s="229">
        <f>SUMIF(APR!$BA$5:$BG$5,BT$177,APR!$BA9:$BG9)</f>
        <v>0</v>
      </c>
      <c r="BU272" s="229">
        <f>SUMIF(APR!$BA$5:$BG$5,BU$177,APR!$BA9:$BG9)</f>
        <v>0</v>
      </c>
      <c r="BV272" s="229">
        <f>SUMIF(APR!$BA$5:$BG$5,BV$177,APR!$BA9:$BG9)</f>
        <v>0</v>
      </c>
      <c r="BW272" s="229">
        <f>SUMIF(APR!$BA$5:$BG$5,BW$177,APR!$BA9:$BG9)</f>
        <v>0</v>
      </c>
      <c r="BX272" s="230">
        <f>SUMIF(APR!$BA$5:$BG$5,BX$177,APR!$BA9:$BG9)</f>
        <v>0</v>
      </c>
      <c r="BY272" s="998">
        <f>SUMIF(APR!$BA$5:$BG$5,BY$177,APR!$BA9:$BG9)</f>
        <v>0</v>
      </c>
      <c r="CB272" s="252"/>
      <c r="CC272" s="61" t="e">
        <f t="shared" si="52"/>
        <v>#N/A</v>
      </c>
      <c r="CD272" s="61">
        <f t="shared" si="53"/>
        <v>0</v>
      </c>
      <c r="CE272" s="105" t="str">
        <f t="shared" si="46"/>
        <v/>
      </c>
      <c r="CF272" s="61" t="e">
        <f t="shared" si="54"/>
        <v>#N/A</v>
      </c>
      <c r="CG272" s="61" t="e">
        <f t="shared" si="55"/>
        <v>#N/A</v>
      </c>
      <c r="CH272" s="521">
        <f>APR!AL9-CW272+CR272</f>
        <v>0</v>
      </c>
      <c r="CI272" s="228">
        <f>SUMIF(APR!$G$121:$M$121,CI$178,APR!$AM9:$AS9)+SUMIF($CS$178:$CV$178,CI$178,$CS272:$CV272)</f>
        <v>0</v>
      </c>
      <c r="CJ272" s="229">
        <f>SUMIF(APR!$G$121:$M$121,CJ$178,APR!$AM9:$AS9)+SUMIF($CS$178:$CV$178,CJ$178,$CS272:$CV272)</f>
        <v>0</v>
      </c>
      <c r="CK272" s="230">
        <f>SUMIF(APR!$G$121:$M$121,CK$178,APR!$AM9:$AS9)+SUMIF($CS$178:$CV$178,CK$178,$CS272:$CV272)</f>
        <v>0</v>
      </c>
      <c r="CL272" s="230">
        <f>SUMIF(APR!$G$121:$M$121,CL$178,APR!$AM9:$AS9)+SUMIF($CS$178:$CV$178,CL$178,$CS272:$CV272)</f>
        <v>0</v>
      </c>
      <c r="CM272" s="230">
        <f>SUMIF(APR!$G$121:$M$121,CM$178,APR!$AM9:$AS9)+SUMIF($CS$178:$CV$178,CM$178,$CS272:$CV272)</f>
        <v>0</v>
      </c>
      <c r="CN272" s="230">
        <f>SUMIF(APR!$G$121:$M$121,CN$178,APR!$AM9:$AS9)+SUMIF($CS$178:$CV$178,CN$178,$CS272:$CV272)</f>
        <v>0</v>
      </c>
      <c r="CO272" s="230">
        <f>SUMIF(APR!$G$121:$M$121,CO$178,APR!$AM9:$AS9)+SUMIF($CS$178:$CV$178,CO$178,$CS272:$CV272)</f>
        <v>0</v>
      </c>
      <c r="CP272" s="230">
        <f>SUMIF(APR!$G$121:$M$121,CP$178,APR!$AM9:$AS9)+SUMIF($CS$178:$CV$178,CP$178,$CS272:$CV272)</f>
        <v>0</v>
      </c>
      <c r="CQ272" s="231">
        <f>SUMIF(APR!$G$121:$M$121,CQ$178,APR!$AM9:$AS9)+SUMIF($CS$178:$CV$178,CQ$178,$CS272:$CV272)</f>
        <v>0</v>
      </c>
      <c r="CR272" s="521">
        <f>APR!AU9</f>
        <v>0</v>
      </c>
      <c r="CS272" s="228">
        <f>APR!AV9</f>
        <v>0</v>
      </c>
      <c r="CT272" s="229">
        <f>APR!AW9</f>
        <v>0</v>
      </c>
      <c r="CU272" s="230">
        <f>APR!AX9</f>
        <v>0</v>
      </c>
      <c r="CV272" s="231">
        <f>APR!AY9</f>
        <v>0</v>
      </c>
      <c r="CW272" s="521">
        <f>SUM(APR!AU9:AY9)</f>
        <v>0</v>
      </c>
      <c r="CX272" s="521">
        <f>APR!AK9</f>
        <v>0</v>
      </c>
      <c r="CY272" s="2"/>
    </row>
    <row r="273" spans="1:103" ht="14.25" hidden="1" customHeight="1" x14ac:dyDescent="0.2">
      <c r="A273" s="2"/>
      <c r="B273" s="105">
        <f t="shared" si="56"/>
        <v>45385</v>
      </c>
      <c r="C273" s="146">
        <f>IF(AND(E273&gt;(E$560-1),E273&lt;(I$560+1)),W$551,IF(ISERROR(HLOOKUP(E273,$E$553:$L$553,1,FALSE)),HLOOKUP(WEEKDAY(E273,2),IMPOSTAZIONI!$C$52:$P$57,6,FALSE),$W$550))</f>
        <v>0</v>
      </c>
      <c r="D273" s="71" t="str">
        <f t="shared" si="57"/>
        <v/>
      </c>
      <c r="E273" s="2258">
        <f t="shared" si="62"/>
        <v>45385</v>
      </c>
      <c r="F273" s="2259"/>
      <c r="G273" s="2228" t="str">
        <f>APR!E10</f>
        <v xml:space="preserve">disattivato  </v>
      </c>
      <c r="H273" s="2229"/>
      <c r="I273" s="2230"/>
      <c r="J273" s="262" t="str">
        <f t="shared" si="47"/>
        <v/>
      </c>
      <c r="K273" s="263"/>
      <c r="L273" s="2217">
        <f t="shared" si="63"/>
        <v>14</v>
      </c>
      <c r="M273" s="2218"/>
      <c r="N273" s="261"/>
      <c r="O273" s="261"/>
      <c r="P273" s="261"/>
      <c r="Q273" s="2219">
        <f t="shared" si="58"/>
        <v>45385</v>
      </c>
      <c r="R273" s="2219"/>
      <c r="S273" s="261"/>
      <c r="T273" s="1173">
        <f t="shared" si="48"/>
        <v>1</v>
      </c>
      <c r="U273" s="261"/>
      <c r="V273" s="261"/>
      <c r="W273" s="261"/>
      <c r="X273" s="261"/>
      <c r="Y273" s="261"/>
      <c r="Z273" s="261"/>
      <c r="AA273" s="261"/>
      <c r="AB273" s="261"/>
      <c r="AC273" s="261"/>
      <c r="AD273" s="261"/>
      <c r="AE273" s="261"/>
      <c r="AF273" s="261"/>
      <c r="AG273" s="1173">
        <f t="shared" si="59"/>
        <v>0</v>
      </c>
      <c r="AH273" s="61" t="str">
        <f t="shared" si="60"/>
        <v/>
      </c>
      <c r="AI273" s="89" t="e">
        <f t="shared" si="61"/>
        <v>#N/A</v>
      </c>
      <c r="AJ273" s="2"/>
      <c r="AK273" s="61">
        <f>IF(G273=G$547,0,IF(OR(G273&lt;&gt;0,CH273&lt;&gt;0,C273="L"),COUNTIF(AK$180:AK272,"&gt;0")+1,0))</f>
        <v>0</v>
      </c>
      <c r="AL273" s="61" t="str">
        <f t="shared" si="49"/>
        <v/>
      </c>
      <c r="AM273" s="61" t="e">
        <f t="shared" si="50"/>
        <v>#N/A</v>
      </c>
      <c r="AN273" s="89" t="e">
        <f t="shared" si="51"/>
        <v>#N/A</v>
      </c>
      <c r="AO273" s="230">
        <f>SUM(APR!X10:AD10)-BD273+AY273</f>
        <v>0</v>
      </c>
      <c r="AP273" s="228">
        <f>SUMIF(APR!$G$121:$M$121,AP$178,APR!$P10:$V10)+SUMIF($AZ$178:$BC$178,AP$178,$AZ273:$BC273)</f>
        <v>0</v>
      </c>
      <c r="AQ273" s="229">
        <f>SUMIF(APR!$G$121:$M$121,AQ$178,APR!$P10:$V10)+SUMIF($AZ$178:$BC$178,AQ$178,$AZ273:$BC273)</f>
        <v>0</v>
      </c>
      <c r="AR273" s="230">
        <f>SUMIF(APR!$G$121:$M$121,AR$178,APR!$P10:$V10)+SUMIF($AZ$178:$BC$178,AR$178,$AZ273:$BC273)</f>
        <v>0</v>
      </c>
      <c r="AS273" s="230">
        <f>SUMIF(APR!$G$121:$M$121,AS$178,APR!$P10:$V10)+SUMIF($AZ$178:$BC$178,AS$178,$AZ273:$BC273)</f>
        <v>0</v>
      </c>
      <c r="AT273" s="230">
        <f>SUMIF(APR!$G$121:$M$121,AT$178,APR!$P10:$V10)+SUMIF($AZ$178:$BC$178,AT$178,$AZ273:$BC273)</f>
        <v>0</v>
      </c>
      <c r="AU273" s="230">
        <f>SUMIF(APR!$G$121:$M$121,AU$178,APR!$P10:$V10)+SUMIF($AZ$178:$BC$178,AU$178,$AZ273:$BC273)</f>
        <v>0</v>
      </c>
      <c r="AV273" s="230">
        <f>SUMIF(APR!$G$121:$M$121,AV$178,APR!$P10:$V10)+SUMIF($AZ$178:$BC$178,AV$178,$AZ273:$BC273)</f>
        <v>0</v>
      </c>
      <c r="AW273" s="230">
        <f>SUMIF(APR!$G$121:$M$121,AW$178,APR!$P10:$V10)+SUMIF($AZ$178:$BC$178,AW$178,$AZ273:$BC273)</f>
        <v>0</v>
      </c>
      <c r="AX273" s="231">
        <f>SUMIF(APR!$G$121:$M$121,AX$178,APR!$P10:$V10)+SUMIF($AZ$178:$BC$178,AX$178,$AZ273:$BC273)</f>
        <v>0</v>
      </c>
      <c r="AY273" s="232">
        <f>APR!AF10</f>
        <v>0</v>
      </c>
      <c r="AZ273" s="228">
        <f>APR!AG10</f>
        <v>0</v>
      </c>
      <c r="BA273" s="229">
        <f>APR!AH10</f>
        <v>0</v>
      </c>
      <c r="BB273" s="230">
        <f>APR!AI10</f>
        <v>0</v>
      </c>
      <c r="BC273" s="231">
        <f>APR!AJ10</f>
        <v>0</v>
      </c>
      <c r="BD273" s="228">
        <f>SUMIF(APR!$G$120:$M$120,"&gt;0",APR!$X10:$AD10)</f>
        <v>0</v>
      </c>
      <c r="BE273" s="696"/>
      <c r="BF273" s="228">
        <f>SUMIF(APR!$BA$6:$BG$6,BF$177,APR!$BA10:$BG10)</f>
        <v>0</v>
      </c>
      <c r="BG273" s="229">
        <f>SUMIF(APR!$BA$6:$BG$6,BG$177,APR!$BA10:$BG10)</f>
        <v>0</v>
      </c>
      <c r="BH273" s="229">
        <f>SUMIF(APR!$BA$6:$BG$6,BH$177,APR!$BA10:$BG10)</f>
        <v>0</v>
      </c>
      <c r="BI273" s="229">
        <f>SUMIF(APR!$BA$6:$BG$6,BI$177,APR!$BA10:$BG10)</f>
        <v>0</v>
      </c>
      <c r="BJ273" s="229">
        <f>SUMIF(APR!$BA$6:$BG$6,BJ$177,APR!$BA10:$BG10)</f>
        <v>0</v>
      </c>
      <c r="BK273" s="229">
        <f>SUMIF(APR!$BA$6:$BG$6,BK$177,APR!$BA10:$BG10)</f>
        <v>0</v>
      </c>
      <c r="BL273" s="229">
        <f>SUMIF(APR!$BA$6:$BG$6,BL$177,APR!$BA10:$BG10)</f>
        <v>0</v>
      </c>
      <c r="BM273" s="229">
        <f>SUMIF(APR!$BA$6:$BG$6,BM$177,APR!$BA10:$BG10)</f>
        <v>0</v>
      </c>
      <c r="BN273" s="229">
        <f>SUMIF(APR!$BA$6:$BG$6,BN$177,APR!$BA10:$BG10)</f>
        <v>0</v>
      </c>
      <c r="BO273" s="231">
        <f>SUMIF(APR!$BA$6:$BG$6,BO$177,APR!$BA10:$BG10)</f>
        <v>0</v>
      </c>
      <c r="BP273" s="231">
        <f>SUMIF(APR!$BA$6:$BG$6,BP$177,APR!$BA10:$BG10)</f>
        <v>0</v>
      </c>
      <c r="BQ273" s="252"/>
      <c r="BR273" s="228">
        <f>SUMIF(APR!$BA$5:$BG$5,BR$177,APR!$BA10:$BG10)</f>
        <v>0</v>
      </c>
      <c r="BS273" s="229">
        <f>SUMIF(APR!$BA$5:$BG$5,BS$177,APR!$BA10:$BG10)</f>
        <v>0</v>
      </c>
      <c r="BT273" s="229">
        <f>SUMIF(APR!$BA$5:$BG$5,BT$177,APR!$BA10:$BG10)</f>
        <v>0</v>
      </c>
      <c r="BU273" s="229">
        <f>SUMIF(APR!$BA$5:$BG$5,BU$177,APR!$BA10:$BG10)</f>
        <v>0</v>
      </c>
      <c r="BV273" s="229">
        <f>SUMIF(APR!$BA$5:$BG$5,BV$177,APR!$BA10:$BG10)</f>
        <v>0</v>
      </c>
      <c r="BW273" s="229">
        <f>SUMIF(APR!$BA$5:$BG$5,BW$177,APR!$BA10:$BG10)</f>
        <v>0</v>
      </c>
      <c r="BX273" s="230">
        <f>SUMIF(APR!$BA$5:$BG$5,BX$177,APR!$BA10:$BG10)</f>
        <v>0</v>
      </c>
      <c r="BY273" s="998">
        <f>SUMIF(APR!$BA$5:$BG$5,BY$177,APR!$BA10:$BG10)</f>
        <v>0</v>
      </c>
      <c r="CB273" s="252"/>
      <c r="CC273" s="61" t="e">
        <f t="shared" si="52"/>
        <v>#N/A</v>
      </c>
      <c r="CD273" s="61">
        <f t="shared" si="53"/>
        <v>0</v>
      </c>
      <c r="CE273" s="105" t="str">
        <f t="shared" si="46"/>
        <v/>
      </c>
      <c r="CF273" s="61" t="e">
        <f t="shared" si="54"/>
        <v>#N/A</v>
      </c>
      <c r="CG273" s="61" t="e">
        <f t="shared" si="55"/>
        <v>#N/A</v>
      </c>
      <c r="CH273" s="521">
        <f>APR!AL10-CW273+CR273</f>
        <v>0</v>
      </c>
      <c r="CI273" s="228">
        <f>SUMIF(APR!$G$121:$M$121,CI$178,APR!$AM10:$AS10)+SUMIF($CS$178:$CV$178,CI$178,$CS273:$CV273)</f>
        <v>0</v>
      </c>
      <c r="CJ273" s="229">
        <f>SUMIF(APR!$G$121:$M$121,CJ$178,APR!$AM10:$AS10)+SUMIF($CS$178:$CV$178,CJ$178,$CS273:$CV273)</f>
        <v>0</v>
      </c>
      <c r="CK273" s="230">
        <f>SUMIF(APR!$G$121:$M$121,CK$178,APR!$AM10:$AS10)+SUMIF($CS$178:$CV$178,CK$178,$CS273:$CV273)</f>
        <v>0</v>
      </c>
      <c r="CL273" s="230">
        <f>SUMIF(APR!$G$121:$M$121,CL$178,APR!$AM10:$AS10)+SUMIF($CS$178:$CV$178,CL$178,$CS273:$CV273)</f>
        <v>0</v>
      </c>
      <c r="CM273" s="230">
        <f>SUMIF(APR!$G$121:$M$121,CM$178,APR!$AM10:$AS10)+SUMIF($CS$178:$CV$178,CM$178,$CS273:$CV273)</f>
        <v>0</v>
      </c>
      <c r="CN273" s="230">
        <f>SUMIF(APR!$G$121:$M$121,CN$178,APR!$AM10:$AS10)+SUMIF($CS$178:$CV$178,CN$178,$CS273:$CV273)</f>
        <v>0</v>
      </c>
      <c r="CO273" s="230">
        <f>SUMIF(APR!$G$121:$M$121,CO$178,APR!$AM10:$AS10)+SUMIF($CS$178:$CV$178,CO$178,$CS273:$CV273)</f>
        <v>0</v>
      </c>
      <c r="CP273" s="230">
        <f>SUMIF(APR!$G$121:$M$121,CP$178,APR!$AM10:$AS10)+SUMIF($CS$178:$CV$178,CP$178,$CS273:$CV273)</f>
        <v>0</v>
      </c>
      <c r="CQ273" s="231">
        <f>SUMIF(APR!$G$121:$M$121,CQ$178,APR!$AM10:$AS10)+SUMIF($CS$178:$CV$178,CQ$178,$CS273:$CV273)</f>
        <v>0</v>
      </c>
      <c r="CR273" s="521">
        <f>APR!AU10</f>
        <v>0</v>
      </c>
      <c r="CS273" s="228">
        <f>APR!AV10</f>
        <v>0</v>
      </c>
      <c r="CT273" s="229">
        <f>APR!AW10</f>
        <v>0</v>
      </c>
      <c r="CU273" s="230">
        <f>APR!AX10</f>
        <v>0</v>
      </c>
      <c r="CV273" s="231">
        <f>APR!AY10</f>
        <v>0</v>
      </c>
      <c r="CW273" s="521">
        <f>SUM(APR!AU10:AY10)</f>
        <v>0</v>
      </c>
      <c r="CX273" s="521">
        <f>APR!AK10</f>
        <v>0</v>
      </c>
      <c r="CY273" s="2"/>
    </row>
    <row r="274" spans="1:103" ht="14.25" hidden="1" customHeight="1" x14ac:dyDescent="0.2">
      <c r="A274" s="2"/>
      <c r="B274" s="105">
        <f t="shared" si="56"/>
        <v>45386</v>
      </c>
      <c r="C274" s="146">
        <f>IF(AND(E274&gt;(E$560-1),E274&lt;(I$560+1)),W$551,IF(ISERROR(HLOOKUP(E274,$E$553:$L$553,1,FALSE)),HLOOKUP(WEEKDAY(E274,2),IMPOSTAZIONI!$C$52:$P$57,6,FALSE),$W$550))</f>
        <v>0</v>
      </c>
      <c r="D274" s="71" t="str">
        <f t="shared" si="57"/>
        <v/>
      </c>
      <c r="E274" s="2258">
        <f t="shared" si="62"/>
        <v>45386</v>
      </c>
      <c r="F274" s="2259"/>
      <c r="G274" s="2228" t="str">
        <f>APR!E11</f>
        <v xml:space="preserve">disattivato  </v>
      </c>
      <c r="H274" s="2229"/>
      <c r="I274" s="2230"/>
      <c r="J274" s="262" t="str">
        <f t="shared" si="47"/>
        <v/>
      </c>
      <c r="K274" s="263"/>
      <c r="L274" s="2217">
        <f t="shared" si="63"/>
        <v>14</v>
      </c>
      <c r="M274" s="2218"/>
      <c r="N274" s="261"/>
      <c r="O274" s="261"/>
      <c r="P274" s="261"/>
      <c r="Q274" s="2219">
        <f t="shared" si="58"/>
        <v>45386</v>
      </c>
      <c r="R274" s="2219"/>
      <c r="S274" s="261"/>
      <c r="T274" s="1173">
        <f t="shared" si="48"/>
        <v>1</v>
      </c>
      <c r="U274" s="261"/>
      <c r="V274" s="261"/>
      <c r="W274" s="261"/>
      <c r="X274" s="261"/>
      <c r="Y274" s="261"/>
      <c r="Z274" s="261"/>
      <c r="AA274" s="261"/>
      <c r="AB274" s="261"/>
      <c r="AC274" s="261"/>
      <c r="AD274" s="261"/>
      <c r="AE274" s="261"/>
      <c r="AF274" s="261"/>
      <c r="AG274" s="1173">
        <f t="shared" si="59"/>
        <v>0</v>
      </c>
      <c r="AH274" s="61" t="str">
        <f t="shared" si="60"/>
        <v/>
      </c>
      <c r="AI274" s="89" t="e">
        <f t="shared" si="61"/>
        <v>#N/A</v>
      </c>
      <c r="AJ274" s="2"/>
      <c r="AK274" s="61">
        <f>IF(G274=G$547,0,IF(OR(G274&lt;&gt;0,CH274&lt;&gt;0,C274="L"),COUNTIF(AK$180:AK273,"&gt;0")+1,0))</f>
        <v>0</v>
      </c>
      <c r="AL274" s="61" t="str">
        <f t="shared" si="49"/>
        <v/>
      </c>
      <c r="AM274" s="61" t="e">
        <f t="shared" si="50"/>
        <v>#N/A</v>
      </c>
      <c r="AN274" s="89" t="e">
        <f t="shared" si="51"/>
        <v>#N/A</v>
      </c>
      <c r="AO274" s="230">
        <f>SUM(APR!X11:AD11)-BD274+AY274</f>
        <v>0</v>
      </c>
      <c r="AP274" s="228">
        <f>SUMIF(APR!$G$121:$M$121,AP$178,APR!$P11:$V11)+SUMIF($AZ$178:$BC$178,AP$178,$AZ274:$BC274)</f>
        <v>0</v>
      </c>
      <c r="AQ274" s="229">
        <f>SUMIF(APR!$G$121:$M$121,AQ$178,APR!$P11:$V11)+SUMIF($AZ$178:$BC$178,AQ$178,$AZ274:$BC274)</f>
        <v>0</v>
      </c>
      <c r="AR274" s="230">
        <f>SUMIF(APR!$G$121:$M$121,AR$178,APR!$P11:$V11)+SUMIF($AZ$178:$BC$178,AR$178,$AZ274:$BC274)</f>
        <v>0</v>
      </c>
      <c r="AS274" s="230">
        <f>SUMIF(APR!$G$121:$M$121,AS$178,APR!$P11:$V11)+SUMIF($AZ$178:$BC$178,AS$178,$AZ274:$BC274)</f>
        <v>0</v>
      </c>
      <c r="AT274" s="230">
        <f>SUMIF(APR!$G$121:$M$121,AT$178,APR!$P11:$V11)+SUMIF($AZ$178:$BC$178,AT$178,$AZ274:$BC274)</f>
        <v>0</v>
      </c>
      <c r="AU274" s="230">
        <f>SUMIF(APR!$G$121:$M$121,AU$178,APR!$P11:$V11)+SUMIF($AZ$178:$BC$178,AU$178,$AZ274:$BC274)</f>
        <v>0</v>
      </c>
      <c r="AV274" s="230">
        <f>SUMIF(APR!$G$121:$M$121,AV$178,APR!$P11:$V11)+SUMIF($AZ$178:$BC$178,AV$178,$AZ274:$BC274)</f>
        <v>0</v>
      </c>
      <c r="AW274" s="230">
        <f>SUMIF(APR!$G$121:$M$121,AW$178,APR!$P11:$V11)+SUMIF($AZ$178:$BC$178,AW$178,$AZ274:$BC274)</f>
        <v>0</v>
      </c>
      <c r="AX274" s="231">
        <f>SUMIF(APR!$G$121:$M$121,AX$178,APR!$P11:$V11)+SUMIF($AZ$178:$BC$178,AX$178,$AZ274:$BC274)</f>
        <v>0</v>
      </c>
      <c r="AY274" s="232">
        <f>APR!AF11</f>
        <v>0</v>
      </c>
      <c r="AZ274" s="228">
        <f>APR!AG11</f>
        <v>0</v>
      </c>
      <c r="BA274" s="229">
        <f>APR!AH11</f>
        <v>0</v>
      </c>
      <c r="BB274" s="230">
        <f>APR!AI11</f>
        <v>0</v>
      </c>
      <c r="BC274" s="231">
        <f>APR!AJ11</f>
        <v>0</v>
      </c>
      <c r="BD274" s="228">
        <f>SUMIF(APR!$G$120:$M$120,"&gt;0",APR!$X11:$AD11)</f>
        <v>0</v>
      </c>
      <c r="BE274" s="696"/>
      <c r="BF274" s="228">
        <f>SUMIF(APR!$BA$6:$BG$6,BF$177,APR!$BA11:$BG11)</f>
        <v>0</v>
      </c>
      <c r="BG274" s="229">
        <f>SUMIF(APR!$BA$6:$BG$6,BG$177,APR!$BA11:$BG11)</f>
        <v>0</v>
      </c>
      <c r="BH274" s="229">
        <f>SUMIF(APR!$BA$6:$BG$6,BH$177,APR!$BA11:$BG11)</f>
        <v>0</v>
      </c>
      <c r="BI274" s="229">
        <f>SUMIF(APR!$BA$6:$BG$6,BI$177,APR!$BA11:$BG11)</f>
        <v>0</v>
      </c>
      <c r="BJ274" s="229">
        <f>SUMIF(APR!$BA$6:$BG$6,BJ$177,APR!$BA11:$BG11)</f>
        <v>0</v>
      </c>
      <c r="BK274" s="229">
        <f>SUMIF(APR!$BA$6:$BG$6,BK$177,APR!$BA11:$BG11)</f>
        <v>0</v>
      </c>
      <c r="BL274" s="229">
        <f>SUMIF(APR!$BA$6:$BG$6,BL$177,APR!$BA11:$BG11)</f>
        <v>0</v>
      </c>
      <c r="BM274" s="229">
        <f>SUMIF(APR!$BA$6:$BG$6,BM$177,APR!$BA11:$BG11)</f>
        <v>0</v>
      </c>
      <c r="BN274" s="229">
        <f>SUMIF(APR!$BA$6:$BG$6,BN$177,APR!$BA11:$BG11)</f>
        <v>0</v>
      </c>
      <c r="BO274" s="231">
        <f>SUMIF(APR!$BA$6:$BG$6,BO$177,APR!$BA11:$BG11)</f>
        <v>0</v>
      </c>
      <c r="BP274" s="231">
        <f>SUMIF(APR!$BA$6:$BG$6,BP$177,APR!$BA11:$BG11)</f>
        <v>0</v>
      </c>
      <c r="BQ274" s="252"/>
      <c r="BR274" s="228">
        <f>SUMIF(APR!$BA$5:$BG$5,BR$177,APR!$BA11:$BG11)</f>
        <v>0</v>
      </c>
      <c r="BS274" s="229">
        <f>SUMIF(APR!$BA$5:$BG$5,BS$177,APR!$BA11:$BG11)</f>
        <v>0</v>
      </c>
      <c r="BT274" s="229">
        <f>SUMIF(APR!$BA$5:$BG$5,BT$177,APR!$BA11:$BG11)</f>
        <v>0</v>
      </c>
      <c r="BU274" s="229">
        <f>SUMIF(APR!$BA$5:$BG$5,BU$177,APR!$BA11:$BG11)</f>
        <v>0</v>
      </c>
      <c r="BV274" s="229">
        <f>SUMIF(APR!$BA$5:$BG$5,BV$177,APR!$BA11:$BG11)</f>
        <v>0</v>
      </c>
      <c r="BW274" s="229">
        <f>SUMIF(APR!$BA$5:$BG$5,BW$177,APR!$BA11:$BG11)</f>
        <v>0</v>
      </c>
      <c r="BX274" s="230">
        <f>SUMIF(APR!$BA$5:$BG$5,BX$177,APR!$BA11:$BG11)</f>
        <v>0</v>
      </c>
      <c r="BY274" s="998">
        <f>SUMIF(APR!$BA$5:$BG$5,BY$177,APR!$BA11:$BG11)</f>
        <v>0</v>
      </c>
      <c r="CB274" s="252"/>
      <c r="CC274" s="61" t="e">
        <f t="shared" si="52"/>
        <v>#N/A</v>
      </c>
      <c r="CD274" s="61">
        <f t="shared" si="53"/>
        <v>0</v>
      </c>
      <c r="CE274" s="105" t="str">
        <f t="shared" si="46"/>
        <v/>
      </c>
      <c r="CF274" s="61" t="e">
        <f t="shared" si="54"/>
        <v>#N/A</v>
      </c>
      <c r="CG274" s="61" t="e">
        <f t="shared" si="55"/>
        <v>#N/A</v>
      </c>
      <c r="CH274" s="521">
        <f>APR!AL11-CW274+CR274</f>
        <v>0</v>
      </c>
      <c r="CI274" s="228">
        <f>SUMIF(APR!$G$121:$M$121,CI$178,APR!$AM11:$AS11)+SUMIF($CS$178:$CV$178,CI$178,$CS274:$CV274)</f>
        <v>0</v>
      </c>
      <c r="CJ274" s="229">
        <f>SUMIF(APR!$G$121:$M$121,CJ$178,APR!$AM11:$AS11)+SUMIF($CS$178:$CV$178,CJ$178,$CS274:$CV274)</f>
        <v>0</v>
      </c>
      <c r="CK274" s="230">
        <f>SUMIF(APR!$G$121:$M$121,CK$178,APR!$AM11:$AS11)+SUMIF($CS$178:$CV$178,CK$178,$CS274:$CV274)</f>
        <v>0</v>
      </c>
      <c r="CL274" s="230">
        <f>SUMIF(APR!$G$121:$M$121,CL$178,APR!$AM11:$AS11)+SUMIF($CS$178:$CV$178,CL$178,$CS274:$CV274)</f>
        <v>0</v>
      </c>
      <c r="CM274" s="230">
        <f>SUMIF(APR!$G$121:$M$121,CM$178,APR!$AM11:$AS11)+SUMIF($CS$178:$CV$178,CM$178,$CS274:$CV274)</f>
        <v>0</v>
      </c>
      <c r="CN274" s="230">
        <f>SUMIF(APR!$G$121:$M$121,CN$178,APR!$AM11:$AS11)+SUMIF($CS$178:$CV$178,CN$178,$CS274:$CV274)</f>
        <v>0</v>
      </c>
      <c r="CO274" s="230">
        <f>SUMIF(APR!$G$121:$M$121,CO$178,APR!$AM11:$AS11)+SUMIF($CS$178:$CV$178,CO$178,$CS274:$CV274)</f>
        <v>0</v>
      </c>
      <c r="CP274" s="230">
        <f>SUMIF(APR!$G$121:$M$121,CP$178,APR!$AM11:$AS11)+SUMIF($CS$178:$CV$178,CP$178,$CS274:$CV274)</f>
        <v>0</v>
      </c>
      <c r="CQ274" s="231">
        <f>SUMIF(APR!$G$121:$M$121,CQ$178,APR!$AM11:$AS11)+SUMIF($CS$178:$CV$178,CQ$178,$CS274:$CV274)</f>
        <v>0</v>
      </c>
      <c r="CR274" s="521">
        <f>APR!AU11</f>
        <v>0</v>
      </c>
      <c r="CS274" s="228">
        <f>APR!AV11</f>
        <v>0</v>
      </c>
      <c r="CT274" s="229">
        <f>APR!AW11</f>
        <v>0</v>
      </c>
      <c r="CU274" s="230">
        <f>APR!AX11</f>
        <v>0</v>
      </c>
      <c r="CV274" s="231">
        <f>APR!AY11</f>
        <v>0</v>
      </c>
      <c r="CW274" s="521">
        <f>SUM(APR!AU11:AY11)</f>
        <v>0</v>
      </c>
      <c r="CX274" s="521">
        <f>APR!AK11</f>
        <v>0</v>
      </c>
      <c r="CY274" s="2"/>
    </row>
    <row r="275" spans="1:103" ht="14.25" hidden="1" customHeight="1" x14ac:dyDescent="0.2">
      <c r="A275" s="2"/>
      <c r="B275" s="105">
        <f t="shared" si="56"/>
        <v>45387</v>
      </c>
      <c r="C275" s="146">
        <f>IF(AND(E275&gt;(E$560-1),E275&lt;(I$560+1)),W$551,IF(ISERROR(HLOOKUP(E275,$E$553:$L$553,1,FALSE)),HLOOKUP(WEEKDAY(E275,2),IMPOSTAZIONI!$C$52:$P$57,6,FALSE),$W$550))</f>
        <v>0</v>
      </c>
      <c r="D275" s="71" t="str">
        <f t="shared" si="57"/>
        <v/>
      </c>
      <c r="E275" s="2258">
        <f t="shared" si="62"/>
        <v>45387</v>
      </c>
      <c r="F275" s="2259"/>
      <c r="G275" s="2228" t="str">
        <f>APR!E12</f>
        <v xml:space="preserve">disattivato  </v>
      </c>
      <c r="H275" s="2229"/>
      <c r="I275" s="2230"/>
      <c r="J275" s="262" t="str">
        <f t="shared" si="47"/>
        <v/>
      </c>
      <c r="K275" s="263"/>
      <c r="L275" s="2217">
        <f t="shared" si="63"/>
        <v>14</v>
      </c>
      <c r="M275" s="2218"/>
      <c r="N275" s="261"/>
      <c r="O275" s="261"/>
      <c r="P275" s="261"/>
      <c r="Q275" s="2219">
        <f t="shared" si="58"/>
        <v>45387</v>
      </c>
      <c r="R275" s="2219"/>
      <c r="S275" s="261"/>
      <c r="T275" s="1173">
        <f t="shared" si="48"/>
        <v>1</v>
      </c>
      <c r="U275" s="261"/>
      <c r="V275" s="261"/>
      <c r="W275" s="261"/>
      <c r="X275" s="261"/>
      <c r="Y275" s="261"/>
      <c r="Z275" s="261"/>
      <c r="AA275" s="261"/>
      <c r="AB275" s="261"/>
      <c r="AC275" s="261"/>
      <c r="AD275" s="261"/>
      <c r="AE275" s="261"/>
      <c r="AF275" s="261"/>
      <c r="AG275" s="1173">
        <f t="shared" si="59"/>
        <v>0</v>
      </c>
      <c r="AH275" s="61" t="str">
        <f t="shared" si="60"/>
        <v/>
      </c>
      <c r="AI275" s="89" t="e">
        <f t="shared" si="61"/>
        <v>#N/A</v>
      </c>
      <c r="AJ275" s="2"/>
      <c r="AK275" s="61">
        <f>IF(G275=G$547,0,IF(OR(G275&lt;&gt;0,CH275&lt;&gt;0,C275="L"),COUNTIF(AK$180:AK274,"&gt;0")+1,0))</f>
        <v>0</v>
      </c>
      <c r="AL275" s="61" t="str">
        <f t="shared" si="49"/>
        <v/>
      </c>
      <c r="AM275" s="61" t="e">
        <f t="shared" si="50"/>
        <v>#N/A</v>
      </c>
      <c r="AN275" s="89" t="e">
        <f t="shared" si="51"/>
        <v>#N/A</v>
      </c>
      <c r="AO275" s="230">
        <f>SUM(APR!X12:AD12)-BD275+AY275</f>
        <v>0</v>
      </c>
      <c r="AP275" s="228">
        <f>SUMIF(APR!$G$121:$M$121,AP$178,APR!$P12:$V12)+SUMIF($AZ$178:$BC$178,AP$178,$AZ275:$BC275)</f>
        <v>0</v>
      </c>
      <c r="AQ275" s="229">
        <f>SUMIF(APR!$G$121:$M$121,AQ$178,APR!$P12:$V12)+SUMIF($AZ$178:$BC$178,AQ$178,$AZ275:$BC275)</f>
        <v>0</v>
      </c>
      <c r="AR275" s="230">
        <f>SUMIF(APR!$G$121:$M$121,AR$178,APR!$P12:$V12)+SUMIF($AZ$178:$BC$178,AR$178,$AZ275:$BC275)</f>
        <v>0</v>
      </c>
      <c r="AS275" s="230">
        <f>SUMIF(APR!$G$121:$M$121,AS$178,APR!$P12:$V12)+SUMIF($AZ$178:$BC$178,AS$178,$AZ275:$BC275)</f>
        <v>0</v>
      </c>
      <c r="AT275" s="230">
        <f>SUMIF(APR!$G$121:$M$121,AT$178,APR!$P12:$V12)+SUMIF($AZ$178:$BC$178,AT$178,$AZ275:$BC275)</f>
        <v>0</v>
      </c>
      <c r="AU275" s="230">
        <f>SUMIF(APR!$G$121:$M$121,AU$178,APR!$P12:$V12)+SUMIF($AZ$178:$BC$178,AU$178,$AZ275:$BC275)</f>
        <v>0</v>
      </c>
      <c r="AV275" s="230">
        <f>SUMIF(APR!$G$121:$M$121,AV$178,APR!$P12:$V12)+SUMIF($AZ$178:$BC$178,AV$178,$AZ275:$BC275)</f>
        <v>0</v>
      </c>
      <c r="AW275" s="230">
        <f>SUMIF(APR!$G$121:$M$121,AW$178,APR!$P12:$V12)+SUMIF($AZ$178:$BC$178,AW$178,$AZ275:$BC275)</f>
        <v>0</v>
      </c>
      <c r="AX275" s="231">
        <f>SUMIF(APR!$G$121:$M$121,AX$178,APR!$P12:$V12)+SUMIF($AZ$178:$BC$178,AX$178,$AZ275:$BC275)</f>
        <v>0</v>
      </c>
      <c r="AY275" s="232">
        <f>APR!AF12</f>
        <v>0</v>
      </c>
      <c r="AZ275" s="228">
        <f>APR!AG12</f>
        <v>0</v>
      </c>
      <c r="BA275" s="229">
        <f>APR!AH12</f>
        <v>0</v>
      </c>
      <c r="BB275" s="230">
        <f>APR!AI12</f>
        <v>0</v>
      </c>
      <c r="BC275" s="231">
        <f>APR!AJ12</f>
        <v>0</v>
      </c>
      <c r="BD275" s="228">
        <f>SUMIF(APR!$G$120:$M$120,"&gt;0",APR!$X12:$AD12)</f>
        <v>0</v>
      </c>
      <c r="BE275" s="696"/>
      <c r="BF275" s="228">
        <f>SUMIF(APR!$BA$6:$BG$6,BF$177,APR!$BA12:$BG12)</f>
        <v>0</v>
      </c>
      <c r="BG275" s="229">
        <f>SUMIF(APR!$BA$6:$BG$6,BG$177,APR!$BA12:$BG12)</f>
        <v>0</v>
      </c>
      <c r="BH275" s="229">
        <f>SUMIF(APR!$BA$6:$BG$6,BH$177,APR!$BA12:$BG12)</f>
        <v>0</v>
      </c>
      <c r="BI275" s="229">
        <f>SUMIF(APR!$BA$6:$BG$6,BI$177,APR!$BA12:$BG12)</f>
        <v>0</v>
      </c>
      <c r="BJ275" s="229">
        <f>SUMIF(APR!$BA$6:$BG$6,BJ$177,APR!$BA12:$BG12)</f>
        <v>0</v>
      </c>
      <c r="BK275" s="229">
        <f>SUMIF(APR!$BA$6:$BG$6,BK$177,APR!$BA12:$BG12)</f>
        <v>0</v>
      </c>
      <c r="BL275" s="229">
        <f>SUMIF(APR!$BA$6:$BG$6,BL$177,APR!$BA12:$BG12)</f>
        <v>0</v>
      </c>
      <c r="BM275" s="229">
        <f>SUMIF(APR!$BA$6:$BG$6,BM$177,APR!$BA12:$BG12)</f>
        <v>0</v>
      </c>
      <c r="BN275" s="229">
        <f>SUMIF(APR!$BA$6:$BG$6,BN$177,APR!$BA12:$BG12)</f>
        <v>0</v>
      </c>
      <c r="BO275" s="231">
        <f>SUMIF(APR!$BA$6:$BG$6,BO$177,APR!$BA12:$BG12)</f>
        <v>0</v>
      </c>
      <c r="BP275" s="231">
        <f>SUMIF(APR!$BA$6:$BG$6,BP$177,APR!$BA12:$BG12)</f>
        <v>0</v>
      </c>
      <c r="BQ275" s="252"/>
      <c r="BR275" s="228">
        <f>SUMIF(APR!$BA$5:$BG$5,BR$177,APR!$BA12:$BG12)</f>
        <v>0</v>
      </c>
      <c r="BS275" s="229">
        <f>SUMIF(APR!$BA$5:$BG$5,BS$177,APR!$BA12:$BG12)</f>
        <v>0</v>
      </c>
      <c r="BT275" s="229">
        <f>SUMIF(APR!$BA$5:$BG$5,BT$177,APR!$BA12:$BG12)</f>
        <v>0</v>
      </c>
      <c r="BU275" s="229">
        <f>SUMIF(APR!$BA$5:$BG$5,BU$177,APR!$BA12:$BG12)</f>
        <v>0</v>
      </c>
      <c r="BV275" s="229">
        <f>SUMIF(APR!$BA$5:$BG$5,BV$177,APR!$BA12:$BG12)</f>
        <v>0</v>
      </c>
      <c r="BW275" s="229">
        <f>SUMIF(APR!$BA$5:$BG$5,BW$177,APR!$BA12:$BG12)</f>
        <v>0</v>
      </c>
      <c r="BX275" s="230">
        <f>SUMIF(APR!$BA$5:$BG$5,BX$177,APR!$BA12:$BG12)</f>
        <v>0</v>
      </c>
      <c r="BY275" s="998">
        <f>SUMIF(APR!$BA$5:$BG$5,BY$177,APR!$BA12:$BG12)</f>
        <v>0</v>
      </c>
      <c r="CB275" s="252"/>
      <c r="CC275" s="61" t="e">
        <f t="shared" si="52"/>
        <v>#N/A</v>
      </c>
      <c r="CD275" s="61">
        <f t="shared" si="53"/>
        <v>0</v>
      </c>
      <c r="CE275" s="105" t="str">
        <f t="shared" si="46"/>
        <v/>
      </c>
      <c r="CF275" s="61" t="e">
        <f t="shared" si="54"/>
        <v>#N/A</v>
      </c>
      <c r="CG275" s="61" t="e">
        <f t="shared" si="55"/>
        <v>#N/A</v>
      </c>
      <c r="CH275" s="521">
        <f>APR!AL12-CW275+CR275</f>
        <v>0</v>
      </c>
      <c r="CI275" s="228">
        <f>SUMIF(APR!$G$121:$M$121,CI$178,APR!$AM12:$AS12)+SUMIF($CS$178:$CV$178,CI$178,$CS275:$CV275)</f>
        <v>0</v>
      </c>
      <c r="CJ275" s="229">
        <f>SUMIF(APR!$G$121:$M$121,CJ$178,APR!$AM12:$AS12)+SUMIF($CS$178:$CV$178,CJ$178,$CS275:$CV275)</f>
        <v>0</v>
      </c>
      <c r="CK275" s="230">
        <f>SUMIF(APR!$G$121:$M$121,CK$178,APR!$AM12:$AS12)+SUMIF($CS$178:$CV$178,CK$178,$CS275:$CV275)</f>
        <v>0</v>
      </c>
      <c r="CL275" s="230">
        <f>SUMIF(APR!$G$121:$M$121,CL$178,APR!$AM12:$AS12)+SUMIF($CS$178:$CV$178,CL$178,$CS275:$CV275)</f>
        <v>0</v>
      </c>
      <c r="CM275" s="230">
        <f>SUMIF(APR!$G$121:$M$121,CM$178,APR!$AM12:$AS12)+SUMIF($CS$178:$CV$178,CM$178,$CS275:$CV275)</f>
        <v>0</v>
      </c>
      <c r="CN275" s="230">
        <f>SUMIF(APR!$G$121:$M$121,CN$178,APR!$AM12:$AS12)+SUMIF($CS$178:$CV$178,CN$178,$CS275:$CV275)</f>
        <v>0</v>
      </c>
      <c r="CO275" s="230">
        <f>SUMIF(APR!$G$121:$M$121,CO$178,APR!$AM12:$AS12)+SUMIF($CS$178:$CV$178,CO$178,$CS275:$CV275)</f>
        <v>0</v>
      </c>
      <c r="CP275" s="230">
        <f>SUMIF(APR!$G$121:$M$121,CP$178,APR!$AM12:$AS12)+SUMIF($CS$178:$CV$178,CP$178,$CS275:$CV275)</f>
        <v>0</v>
      </c>
      <c r="CQ275" s="231">
        <f>SUMIF(APR!$G$121:$M$121,CQ$178,APR!$AM12:$AS12)+SUMIF($CS$178:$CV$178,CQ$178,$CS275:$CV275)</f>
        <v>0</v>
      </c>
      <c r="CR275" s="521">
        <f>APR!AU12</f>
        <v>0</v>
      </c>
      <c r="CS275" s="228">
        <f>APR!AV12</f>
        <v>0</v>
      </c>
      <c r="CT275" s="229">
        <f>APR!AW12</f>
        <v>0</v>
      </c>
      <c r="CU275" s="230">
        <f>APR!AX12</f>
        <v>0</v>
      </c>
      <c r="CV275" s="231">
        <f>APR!AY12</f>
        <v>0</v>
      </c>
      <c r="CW275" s="521">
        <f>SUM(APR!AU12:AY12)</f>
        <v>0</v>
      </c>
      <c r="CX275" s="521">
        <f>APR!AK12</f>
        <v>0</v>
      </c>
      <c r="CY275" s="2"/>
    </row>
    <row r="276" spans="1:103" ht="14.25" hidden="1" customHeight="1" x14ac:dyDescent="0.2">
      <c r="A276" s="2"/>
      <c r="B276" s="105">
        <f t="shared" si="56"/>
        <v>45388</v>
      </c>
      <c r="C276" s="146">
        <f>IF(AND(E276&gt;(E$560-1),E276&lt;(I$560+1)),W$551,IF(ISERROR(HLOOKUP(E276,$E$553:$L$553,1,FALSE)),HLOOKUP(WEEKDAY(E276,2),IMPOSTAZIONI!$C$52:$P$57,6,FALSE),$W$550))</f>
        <v>0</v>
      </c>
      <c r="D276" s="71" t="str">
        <f t="shared" si="57"/>
        <v/>
      </c>
      <c r="E276" s="2258">
        <f t="shared" si="62"/>
        <v>45388</v>
      </c>
      <c r="F276" s="2259"/>
      <c r="G276" s="2228" t="str">
        <f>APR!E13</f>
        <v xml:space="preserve">disattivato  </v>
      </c>
      <c r="H276" s="2229"/>
      <c r="I276" s="2230"/>
      <c r="J276" s="262" t="str">
        <f t="shared" si="47"/>
        <v/>
      </c>
      <c r="K276" s="263"/>
      <c r="L276" s="2217">
        <f t="shared" si="63"/>
        <v>14</v>
      </c>
      <c r="M276" s="2218"/>
      <c r="N276" s="261"/>
      <c r="O276" s="261"/>
      <c r="P276" s="261"/>
      <c r="Q276" s="2219">
        <f t="shared" si="58"/>
        <v>45388</v>
      </c>
      <c r="R276" s="2219"/>
      <c r="S276" s="261"/>
      <c r="T276" s="1173">
        <f t="shared" si="48"/>
        <v>1</v>
      </c>
      <c r="U276" s="261"/>
      <c r="V276" s="261"/>
      <c r="W276" s="261"/>
      <c r="X276" s="261"/>
      <c r="Y276" s="261"/>
      <c r="Z276" s="261"/>
      <c r="AA276" s="261"/>
      <c r="AB276" s="261"/>
      <c r="AC276" s="261"/>
      <c r="AD276" s="261"/>
      <c r="AE276" s="261"/>
      <c r="AF276" s="261"/>
      <c r="AG276" s="1173">
        <f t="shared" si="59"/>
        <v>0</v>
      </c>
      <c r="AH276" s="61" t="str">
        <f t="shared" si="60"/>
        <v/>
      </c>
      <c r="AI276" s="89" t="e">
        <f t="shared" si="61"/>
        <v>#N/A</v>
      </c>
      <c r="AJ276" s="2"/>
      <c r="AK276" s="61">
        <f>IF(G276=G$547,0,IF(OR(G276&lt;&gt;0,CH276&lt;&gt;0,C276="L"),COUNTIF(AK$180:AK275,"&gt;0")+1,0))</f>
        <v>0</v>
      </c>
      <c r="AL276" s="61" t="str">
        <f t="shared" si="49"/>
        <v/>
      </c>
      <c r="AM276" s="61" t="e">
        <f t="shared" si="50"/>
        <v>#N/A</v>
      </c>
      <c r="AN276" s="89" t="e">
        <f t="shared" si="51"/>
        <v>#N/A</v>
      </c>
      <c r="AO276" s="230">
        <f>SUM(APR!X13:AD13)-BD276+AY276</f>
        <v>0</v>
      </c>
      <c r="AP276" s="228">
        <f>SUMIF(APR!$G$121:$M$121,AP$178,APR!$P13:$V13)+SUMIF($AZ$178:$BC$178,AP$178,$AZ276:$BC276)</f>
        <v>0</v>
      </c>
      <c r="AQ276" s="229">
        <f>SUMIF(APR!$G$121:$M$121,AQ$178,APR!$P13:$V13)+SUMIF($AZ$178:$BC$178,AQ$178,$AZ276:$BC276)</f>
        <v>0</v>
      </c>
      <c r="AR276" s="230">
        <f>SUMIF(APR!$G$121:$M$121,AR$178,APR!$P13:$V13)+SUMIF($AZ$178:$BC$178,AR$178,$AZ276:$BC276)</f>
        <v>0</v>
      </c>
      <c r="AS276" s="230">
        <f>SUMIF(APR!$G$121:$M$121,AS$178,APR!$P13:$V13)+SUMIF($AZ$178:$BC$178,AS$178,$AZ276:$BC276)</f>
        <v>0</v>
      </c>
      <c r="AT276" s="230">
        <f>SUMIF(APR!$G$121:$M$121,AT$178,APR!$P13:$V13)+SUMIF($AZ$178:$BC$178,AT$178,$AZ276:$BC276)</f>
        <v>0</v>
      </c>
      <c r="AU276" s="230">
        <f>SUMIF(APR!$G$121:$M$121,AU$178,APR!$P13:$V13)+SUMIF($AZ$178:$BC$178,AU$178,$AZ276:$BC276)</f>
        <v>0</v>
      </c>
      <c r="AV276" s="230">
        <f>SUMIF(APR!$G$121:$M$121,AV$178,APR!$P13:$V13)+SUMIF($AZ$178:$BC$178,AV$178,$AZ276:$BC276)</f>
        <v>0</v>
      </c>
      <c r="AW276" s="230">
        <f>SUMIF(APR!$G$121:$M$121,AW$178,APR!$P13:$V13)+SUMIF($AZ$178:$BC$178,AW$178,$AZ276:$BC276)</f>
        <v>0</v>
      </c>
      <c r="AX276" s="231">
        <f>SUMIF(APR!$G$121:$M$121,AX$178,APR!$P13:$V13)+SUMIF($AZ$178:$BC$178,AX$178,$AZ276:$BC276)</f>
        <v>0</v>
      </c>
      <c r="AY276" s="232">
        <f>APR!AF13</f>
        <v>0</v>
      </c>
      <c r="AZ276" s="228">
        <f>APR!AG13</f>
        <v>0</v>
      </c>
      <c r="BA276" s="229">
        <f>APR!AH13</f>
        <v>0</v>
      </c>
      <c r="BB276" s="230">
        <f>APR!AI13</f>
        <v>0</v>
      </c>
      <c r="BC276" s="231">
        <f>APR!AJ13</f>
        <v>0</v>
      </c>
      <c r="BD276" s="228">
        <f>SUMIF(APR!$G$120:$M$120,"&gt;0",APR!$X13:$AD13)</f>
        <v>0</v>
      </c>
      <c r="BE276" s="696"/>
      <c r="BF276" s="228">
        <f>SUMIF(APR!$BA$6:$BG$6,BF$177,APR!$BA13:$BG13)</f>
        <v>0</v>
      </c>
      <c r="BG276" s="229">
        <f>SUMIF(APR!$BA$6:$BG$6,BG$177,APR!$BA13:$BG13)</f>
        <v>0</v>
      </c>
      <c r="BH276" s="229">
        <f>SUMIF(APR!$BA$6:$BG$6,BH$177,APR!$BA13:$BG13)</f>
        <v>0</v>
      </c>
      <c r="BI276" s="229">
        <f>SUMIF(APR!$BA$6:$BG$6,BI$177,APR!$BA13:$BG13)</f>
        <v>0</v>
      </c>
      <c r="BJ276" s="229">
        <f>SUMIF(APR!$BA$6:$BG$6,BJ$177,APR!$BA13:$BG13)</f>
        <v>0</v>
      </c>
      <c r="BK276" s="229">
        <f>SUMIF(APR!$BA$6:$BG$6,BK$177,APR!$BA13:$BG13)</f>
        <v>0</v>
      </c>
      <c r="BL276" s="229">
        <f>SUMIF(APR!$BA$6:$BG$6,BL$177,APR!$BA13:$BG13)</f>
        <v>0</v>
      </c>
      <c r="BM276" s="229">
        <f>SUMIF(APR!$BA$6:$BG$6,BM$177,APR!$BA13:$BG13)</f>
        <v>0</v>
      </c>
      <c r="BN276" s="229">
        <f>SUMIF(APR!$BA$6:$BG$6,BN$177,APR!$BA13:$BG13)</f>
        <v>0</v>
      </c>
      <c r="BO276" s="231">
        <f>SUMIF(APR!$BA$6:$BG$6,BO$177,APR!$BA13:$BG13)</f>
        <v>0</v>
      </c>
      <c r="BP276" s="231">
        <f>SUMIF(APR!$BA$6:$BG$6,BP$177,APR!$BA13:$BG13)</f>
        <v>0</v>
      </c>
      <c r="BQ276" s="252"/>
      <c r="BR276" s="228">
        <f>SUMIF(APR!$BA$5:$BG$5,BR$177,APR!$BA13:$BG13)</f>
        <v>0</v>
      </c>
      <c r="BS276" s="229">
        <f>SUMIF(APR!$BA$5:$BG$5,BS$177,APR!$BA13:$BG13)</f>
        <v>0</v>
      </c>
      <c r="BT276" s="229">
        <f>SUMIF(APR!$BA$5:$BG$5,BT$177,APR!$BA13:$BG13)</f>
        <v>0</v>
      </c>
      <c r="BU276" s="229">
        <f>SUMIF(APR!$BA$5:$BG$5,BU$177,APR!$BA13:$BG13)</f>
        <v>0</v>
      </c>
      <c r="BV276" s="229">
        <f>SUMIF(APR!$BA$5:$BG$5,BV$177,APR!$BA13:$BG13)</f>
        <v>0</v>
      </c>
      <c r="BW276" s="229">
        <f>SUMIF(APR!$BA$5:$BG$5,BW$177,APR!$BA13:$BG13)</f>
        <v>0</v>
      </c>
      <c r="BX276" s="230">
        <f>SUMIF(APR!$BA$5:$BG$5,BX$177,APR!$BA13:$BG13)</f>
        <v>0</v>
      </c>
      <c r="BY276" s="998">
        <f>SUMIF(APR!$BA$5:$BG$5,BY$177,APR!$BA13:$BG13)</f>
        <v>0</v>
      </c>
      <c r="CB276" s="252"/>
      <c r="CC276" s="61" t="e">
        <f t="shared" si="52"/>
        <v>#N/A</v>
      </c>
      <c r="CD276" s="61">
        <f t="shared" si="53"/>
        <v>0</v>
      </c>
      <c r="CE276" s="105" t="str">
        <f t="shared" si="46"/>
        <v/>
      </c>
      <c r="CF276" s="61" t="e">
        <f t="shared" si="54"/>
        <v>#N/A</v>
      </c>
      <c r="CG276" s="61" t="e">
        <f t="shared" si="55"/>
        <v>#N/A</v>
      </c>
      <c r="CH276" s="521">
        <f>APR!AL13-CW276+CR276</f>
        <v>0</v>
      </c>
      <c r="CI276" s="228">
        <f>SUMIF(APR!$G$121:$M$121,CI$178,APR!$AM13:$AS13)+SUMIF($CS$178:$CV$178,CI$178,$CS276:$CV276)</f>
        <v>0</v>
      </c>
      <c r="CJ276" s="229">
        <f>SUMIF(APR!$G$121:$M$121,CJ$178,APR!$AM13:$AS13)+SUMIF($CS$178:$CV$178,CJ$178,$CS276:$CV276)</f>
        <v>0</v>
      </c>
      <c r="CK276" s="230">
        <f>SUMIF(APR!$G$121:$M$121,CK$178,APR!$AM13:$AS13)+SUMIF($CS$178:$CV$178,CK$178,$CS276:$CV276)</f>
        <v>0</v>
      </c>
      <c r="CL276" s="230">
        <f>SUMIF(APR!$G$121:$M$121,CL$178,APR!$AM13:$AS13)+SUMIF($CS$178:$CV$178,CL$178,$CS276:$CV276)</f>
        <v>0</v>
      </c>
      <c r="CM276" s="230">
        <f>SUMIF(APR!$G$121:$M$121,CM$178,APR!$AM13:$AS13)+SUMIF($CS$178:$CV$178,CM$178,$CS276:$CV276)</f>
        <v>0</v>
      </c>
      <c r="CN276" s="230">
        <f>SUMIF(APR!$G$121:$M$121,CN$178,APR!$AM13:$AS13)+SUMIF($CS$178:$CV$178,CN$178,$CS276:$CV276)</f>
        <v>0</v>
      </c>
      <c r="CO276" s="230">
        <f>SUMIF(APR!$G$121:$M$121,CO$178,APR!$AM13:$AS13)+SUMIF($CS$178:$CV$178,CO$178,$CS276:$CV276)</f>
        <v>0</v>
      </c>
      <c r="CP276" s="230">
        <f>SUMIF(APR!$G$121:$M$121,CP$178,APR!$AM13:$AS13)+SUMIF($CS$178:$CV$178,CP$178,$CS276:$CV276)</f>
        <v>0</v>
      </c>
      <c r="CQ276" s="231">
        <f>SUMIF(APR!$G$121:$M$121,CQ$178,APR!$AM13:$AS13)+SUMIF($CS$178:$CV$178,CQ$178,$CS276:$CV276)</f>
        <v>0</v>
      </c>
      <c r="CR276" s="521">
        <f>APR!AU13</f>
        <v>0</v>
      </c>
      <c r="CS276" s="228">
        <f>APR!AV13</f>
        <v>0</v>
      </c>
      <c r="CT276" s="229">
        <f>APR!AW13</f>
        <v>0</v>
      </c>
      <c r="CU276" s="230">
        <f>APR!AX13</f>
        <v>0</v>
      </c>
      <c r="CV276" s="231">
        <f>APR!AY13</f>
        <v>0</v>
      </c>
      <c r="CW276" s="521">
        <f>SUM(APR!AU13:AY13)</f>
        <v>0</v>
      </c>
      <c r="CX276" s="521">
        <f>APR!AK13</f>
        <v>0</v>
      </c>
      <c r="CY276" s="2"/>
    </row>
    <row r="277" spans="1:103" ht="14.25" hidden="1" customHeight="1" x14ac:dyDescent="0.2">
      <c r="A277" s="2"/>
      <c r="B277" s="105">
        <f t="shared" si="56"/>
        <v>45389</v>
      </c>
      <c r="C277" s="146">
        <f>IF(AND(E277&gt;(E$560-1),E277&lt;(I$560+1)),W$551,IF(ISERROR(HLOOKUP(E277,$E$553:$L$553,1,FALSE)),HLOOKUP(WEEKDAY(E277,2),IMPOSTAZIONI!$C$52:$P$57,6,FALSE),$W$550))</f>
        <v>0</v>
      </c>
      <c r="D277" s="71" t="str">
        <f t="shared" si="57"/>
        <v/>
      </c>
      <c r="E277" s="2258">
        <f t="shared" si="62"/>
        <v>45389</v>
      </c>
      <c r="F277" s="2259"/>
      <c r="G277" s="2228" t="str">
        <f>APR!E14</f>
        <v xml:space="preserve">disattivato  </v>
      </c>
      <c r="H277" s="2229"/>
      <c r="I277" s="2230"/>
      <c r="J277" s="262" t="str">
        <f t="shared" si="47"/>
        <v/>
      </c>
      <c r="K277" s="263"/>
      <c r="L277" s="2220">
        <f t="shared" si="63"/>
        <v>14</v>
      </c>
      <c r="M277" s="2221"/>
      <c r="N277" s="261"/>
      <c r="O277" s="261"/>
      <c r="P277" s="261"/>
      <c r="Q277" s="2219">
        <f t="shared" si="58"/>
        <v>45389</v>
      </c>
      <c r="R277" s="2219"/>
      <c r="S277" s="261"/>
      <c r="T277" s="1173">
        <f t="shared" si="48"/>
        <v>1</v>
      </c>
      <c r="U277" s="261"/>
      <c r="V277" s="261"/>
      <c r="W277" s="261"/>
      <c r="X277" s="261"/>
      <c r="Y277" s="261"/>
      <c r="Z277" s="261"/>
      <c r="AA277" s="261"/>
      <c r="AB277" s="261"/>
      <c r="AC277" s="261"/>
      <c r="AD277" s="261"/>
      <c r="AE277" s="261"/>
      <c r="AF277" s="261"/>
      <c r="AG277" s="1173">
        <f t="shared" si="59"/>
        <v>0</v>
      </c>
      <c r="AH277" s="61" t="str">
        <f t="shared" si="60"/>
        <v/>
      </c>
      <c r="AI277" s="89" t="e">
        <f t="shared" si="61"/>
        <v>#N/A</v>
      </c>
      <c r="AJ277" s="2"/>
      <c r="AK277" s="61">
        <f>IF(G277=G$547,0,IF(OR(G277&lt;&gt;0,CH277&lt;&gt;0,C277="L"),COUNTIF(AK$180:AK276,"&gt;0")+1,0))</f>
        <v>0</v>
      </c>
      <c r="AL277" s="61" t="str">
        <f t="shared" si="49"/>
        <v/>
      </c>
      <c r="AM277" s="61" t="e">
        <f t="shared" si="50"/>
        <v>#N/A</v>
      </c>
      <c r="AN277" s="89" t="e">
        <f t="shared" si="51"/>
        <v>#N/A</v>
      </c>
      <c r="AO277" s="230">
        <f>SUM(APR!X14:AD14)-BD277+AY277</f>
        <v>0</v>
      </c>
      <c r="AP277" s="228">
        <f>SUMIF(APR!$G$121:$M$121,AP$178,APR!$P14:$V14)+SUMIF($AZ$178:$BC$178,AP$178,$AZ277:$BC277)</f>
        <v>0</v>
      </c>
      <c r="AQ277" s="229">
        <f>SUMIF(APR!$G$121:$M$121,AQ$178,APR!$P14:$V14)+SUMIF($AZ$178:$BC$178,AQ$178,$AZ277:$BC277)</f>
        <v>0</v>
      </c>
      <c r="AR277" s="230">
        <f>SUMIF(APR!$G$121:$M$121,AR$178,APR!$P14:$V14)+SUMIF($AZ$178:$BC$178,AR$178,$AZ277:$BC277)</f>
        <v>0</v>
      </c>
      <c r="AS277" s="230">
        <f>SUMIF(APR!$G$121:$M$121,AS$178,APR!$P14:$V14)+SUMIF($AZ$178:$BC$178,AS$178,$AZ277:$BC277)</f>
        <v>0</v>
      </c>
      <c r="AT277" s="230">
        <f>SUMIF(APR!$G$121:$M$121,AT$178,APR!$P14:$V14)+SUMIF($AZ$178:$BC$178,AT$178,$AZ277:$BC277)</f>
        <v>0</v>
      </c>
      <c r="AU277" s="230">
        <f>SUMIF(APR!$G$121:$M$121,AU$178,APR!$P14:$V14)+SUMIF($AZ$178:$BC$178,AU$178,$AZ277:$BC277)</f>
        <v>0</v>
      </c>
      <c r="AV277" s="230">
        <f>SUMIF(APR!$G$121:$M$121,AV$178,APR!$P14:$V14)+SUMIF($AZ$178:$BC$178,AV$178,$AZ277:$BC277)</f>
        <v>0</v>
      </c>
      <c r="AW277" s="230">
        <f>SUMIF(APR!$G$121:$M$121,AW$178,APR!$P14:$V14)+SUMIF($AZ$178:$BC$178,AW$178,$AZ277:$BC277)</f>
        <v>0</v>
      </c>
      <c r="AX277" s="231">
        <f>SUMIF(APR!$G$121:$M$121,AX$178,APR!$P14:$V14)+SUMIF($AZ$178:$BC$178,AX$178,$AZ277:$BC277)</f>
        <v>0</v>
      </c>
      <c r="AY277" s="232">
        <f>APR!AF14</f>
        <v>0</v>
      </c>
      <c r="AZ277" s="228">
        <f>APR!AG14</f>
        <v>0</v>
      </c>
      <c r="BA277" s="229">
        <f>APR!AH14</f>
        <v>0</v>
      </c>
      <c r="BB277" s="230">
        <f>APR!AI14</f>
        <v>0</v>
      </c>
      <c r="BC277" s="231">
        <f>APR!AJ14</f>
        <v>0</v>
      </c>
      <c r="BD277" s="228">
        <f>SUMIF(APR!$G$120:$M$120,"&gt;0",APR!$X14:$AD14)</f>
        <v>0</v>
      </c>
      <c r="BE277" s="696"/>
      <c r="BF277" s="228">
        <f>SUMIF(APR!$BA$6:$BG$6,BF$177,APR!$BA14:$BG14)</f>
        <v>0</v>
      </c>
      <c r="BG277" s="229">
        <f>SUMIF(APR!$BA$6:$BG$6,BG$177,APR!$BA14:$BG14)</f>
        <v>0</v>
      </c>
      <c r="BH277" s="229">
        <f>SUMIF(APR!$BA$6:$BG$6,BH$177,APR!$BA14:$BG14)</f>
        <v>0</v>
      </c>
      <c r="BI277" s="229">
        <f>SUMIF(APR!$BA$6:$BG$6,BI$177,APR!$BA14:$BG14)</f>
        <v>0</v>
      </c>
      <c r="BJ277" s="229">
        <f>SUMIF(APR!$BA$6:$BG$6,BJ$177,APR!$BA14:$BG14)</f>
        <v>0</v>
      </c>
      <c r="BK277" s="229">
        <f>SUMIF(APR!$BA$6:$BG$6,BK$177,APR!$BA14:$BG14)</f>
        <v>0</v>
      </c>
      <c r="BL277" s="229">
        <f>SUMIF(APR!$BA$6:$BG$6,BL$177,APR!$BA14:$BG14)</f>
        <v>0</v>
      </c>
      <c r="BM277" s="229">
        <f>SUMIF(APR!$BA$6:$BG$6,BM$177,APR!$BA14:$BG14)</f>
        <v>0</v>
      </c>
      <c r="BN277" s="229">
        <f>SUMIF(APR!$BA$6:$BG$6,BN$177,APR!$BA14:$BG14)</f>
        <v>0</v>
      </c>
      <c r="BO277" s="231">
        <f>SUMIF(APR!$BA$6:$BG$6,BO$177,APR!$BA14:$BG14)</f>
        <v>0</v>
      </c>
      <c r="BP277" s="231">
        <f>SUMIF(APR!$BA$6:$BG$6,BP$177,APR!$BA14:$BG14)</f>
        <v>0</v>
      </c>
      <c r="BQ277" s="252"/>
      <c r="BR277" s="228">
        <f>SUMIF(APR!$BA$5:$BG$5,BR$177,APR!$BA14:$BG14)</f>
        <v>0</v>
      </c>
      <c r="BS277" s="229">
        <f>SUMIF(APR!$BA$5:$BG$5,BS$177,APR!$BA14:$BG14)</f>
        <v>0</v>
      </c>
      <c r="BT277" s="229">
        <f>SUMIF(APR!$BA$5:$BG$5,BT$177,APR!$BA14:$BG14)</f>
        <v>0</v>
      </c>
      <c r="BU277" s="229">
        <f>SUMIF(APR!$BA$5:$BG$5,BU$177,APR!$BA14:$BG14)</f>
        <v>0</v>
      </c>
      <c r="BV277" s="229">
        <f>SUMIF(APR!$BA$5:$BG$5,BV$177,APR!$BA14:$BG14)</f>
        <v>0</v>
      </c>
      <c r="BW277" s="229">
        <f>SUMIF(APR!$BA$5:$BG$5,BW$177,APR!$BA14:$BG14)</f>
        <v>0</v>
      </c>
      <c r="BX277" s="230">
        <f>SUMIF(APR!$BA$5:$BG$5,BX$177,APR!$BA14:$BG14)</f>
        <v>0</v>
      </c>
      <c r="BY277" s="998">
        <f>SUMIF(APR!$BA$5:$BG$5,BY$177,APR!$BA14:$BG14)</f>
        <v>0</v>
      </c>
      <c r="CB277" s="252"/>
      <c r="CC277" s="61" t="e">
        <f t="shared" si="52"/>
        <v>#N/A</v>
      </c>
      <c r="CD277" s="61">
        <f t="shared" si="53"/>
        <v>0</v>
      </c>
      <c r="CE277" s="105" t="str">
        <f t="shared" si="46"/>
        <v/>
      </c>
      <c r="CF277" s="61" t="e">
        <f t="shared" si="54"/>
        <v>#N/A</v>
      </c>
      <c r="CG277" s="61" t="e">
        <f t="shared" si="55"/>
        <v>#N/A</v>
      </c>
      <c r="CH277" s="521">
        <f>APR!AL14-CW277+CR277</f>
        <v>0</v>
      </c>
      <c r="CI277" s="228">
        <f>SUMIF(APR!$G$121:$M$121,CI$178,APR!$AM14:$AS14)+SUMIF($CS$178:$CV$178,CI$178,$CS277:$CV277)</f>
        <v>0</v>
      </c>
      <c r="CJ277" s="229">
        <f>SUMIF(APR!$G$121:$M$121,CJ$178,APR!$AM14:$AS14)+SUMIF($CS$178:$CV$178,CJ$178,$CS277:$CV277)</f>
        <v>0</v>
      </c>
      <c r="CK277" s="230">
        <f>SUMIF(APR!$G$121:$M$121,CK$178,APR!$AM14:$AS14)+SUMIF($CS$178:$CV$178,CK$178,$CS277:$CV277)</f>
        <v>0</v>
      </c>
      <c r="CL277" s="230">
        <f>SUMIF(APR!$G$121:$M$121,CL$178,APR!$AM14:$AS14)+SUMIF($CS$178:$CV$178,CL$178,$CS277:$CV277)</f>
        <v>0</v>
      </c>
      <c r="CM277" s="230">
        <f>SUMIF(APR!$G$121:$M$121,CM$178,APR!$AM14:$AS14)+SUMIF($CS$178:$CV$178,CM$178,$CS277:$CV277)</f>
        <v>0</v>
      </c>
      <c r="CN277" s="230">
        <f>SUMIF(APR!$G$121:$M$121,CN$178,APR!$AM14:$AS14)+SUMIF($CS$178:$CV$178,CN$178,$CS277:$CV277)</f>
        <v>0</v>
      </c>
      <c r="CO277" s="230">
        <f>SUMIF(APR!$G$121:$M$121,CO$178,APR!$AM14:$AS14)+SUMIF($CS$178:$CV$178,CO$178,$CS277:$CV277)</f>
        <v>0</v>
      </c>
      <c r="CP277" s="230">
        <f>SUMIF(APR!$G$121:$M$121,CP$178,APR!$AM14:$AS14)+SUMIF($CS$178:$CV$178,CP$178,$CS277:$CV277)</f>
        <v>0</v>
      </c>
      <c r="CQ277" s="231">
        <f>SUMIF(APR!$G$121:$M$121,CQ$178,APR!$AM14:$AS14)+SUMIF($CS$178:$CV$178,CQ$178,$CS277:$CV277)</f>
        <v>0</v>
      </c>
      <c r="CR277" s="521">
        <f>APR!AU14</f>
        <v>0</v>
      </c>
      <c r="CS277" s="228">
        <f>APR!AV14</f>
        <v>0</v>
      </c>
      <c r="CT277" s="229">
        <f>APR!AW14</f>
        <v>0</v>
      </c>
      <c r="CU277" s="230">
        <f>APR!AX14</f>
        <v>0</v>
      </c>
      <c r="CV277" s="231">
        <f>APR!AY14</f>
        <v>0</v>
      </c>
      <c r="CW277" s="521">
        <f>SUM(APR!AU14:AY14)</f>
        <v>0</v>
      </c>
      <c r="CX277" s="521">
        <f>APR!AK14</f>
        <v>0</v>
      </c>
      <c r="CY277" s="2"/>
    </row>
    <row r="278" spans="1:103" ht="14.25" hidden="1" customHeight="1" x14ac:dyDescent="0.2">
      <c r="A278" s="2"/>
      <c r="B278" s="105">
        <f t="shared" si="56"/>
        <v>45390</v>
      </c>
      <c r="C278" s="146">
        <f>IF(AND(E278&gt;(E$560-1),E278&lt;(I$560+1)),W$551,IF(ISERROR(HLOOKUP(E278,$E$553:$L$553,1,FALSE)),HLOOKUP(WEEKDAY(E278,2),IMPOSTAZIONI!$C$52:$P$57,6,FALSE),$W$550))</f>
        <v>0</v>
      </c>
      <c r="D278" s="71" t="str">
        <f t="shared" si="57"/>
        <v/>
      </c>
      <c r="E278" s="2258">
        <f t="shared" si="62"/>
        <v>45390</v>
      </c>
      <c r="F278" s="2259"/>
      <c r="G278" s="2228" t="str">
        <f>APR!E15</f>
        <v xml:space="preserve">disattivato  </v>
      </c>
      <c r="H278" s="2229"/>
      <c r="I278" s="2230"/>
      <c r="J278" s="262" t="str">
        <f t="shared" si="47"/>
        <v/>
      </c>
      <c r="K278" s="263"/>
      <c r="L278" s="2222">
        <f t="shared" si="63"/>
        <v>15</v>
      </c>
      <c r="M278" s="2223"/>
      <c r="N278" s="261"/>
      <c r="O278" s="261"/>
      <c r="P278" s="261"/>
      <c r="Q278" s="2219">
        <f t="shared" si="58"/>
        <v>45390</v>
      </c>
      <c r="R278" s="2219"/>
      <c r="S278" s="261"/>
      <c r="T278" s="1173">
        <f t="shared" si="48"/>
        <v>1</v>
      </c>
      <c r="U278" s="261"/>
      <c r="V278" s="261"/>
      <c r="W278" s="261"/>
      <c r="X278" s="261"/>
      <c r="Y278" s="261"/>
      <c r="Z278" s="261"/>
      <c r="AA278" s="261"/>
      <c r="AB278" s="261"/>
      <c r="AC278" s="261"/>
      <c r="AD278" s="261"/>
      <c r="AE278" s="261"/>
      <c r="AF278" s="261"/>
      <c r="AG278" s="1173">
        <f t="shared" si="59"/>
        <v>0</v>
      </c>
      <c r="AH278" s="61" t="str">
        <f t="shared" si="60"/>
        <v/>
      </c>
      <c r="AI278" s="89" t="e">
        <f t="shared" si="61"/>
        <v>#N/A</v>
      </c>
      <c r="AJ278" s="2"/>
      <c r="AK278" s="61">
        <f>IF(G278=G$547,0,IF(OR(G278&lt;&gt;0,CH278&lt;&gt;0,C278="L"),COUNTIF(AK$180:AK277,"&gt;0")+1,0))</f>
        <v>0</v>
      </c>
      <c r="AL278" s="61" t="str">
        <f t="shared" si="49"/>
        <v/>
      </c>
      <c r="AM278" s="61" t="e">
        <f t="shared" si="50"/>
        <v>#N/A</v>
      </c>
      <c r="AN278" s="89" t="e">
        <f t="shared" si="51"/>
        <v>#N/A</v>
      </c>
      <c r="AO278" s="230">
        <f>SUM(APR!X15:AD15)-BD278+AY278</f>
        <v>0</v>
      </c>
      <c r="AP278" s="228">
        <f>SUMIF(APR!$G$121:$M$121,AP$178,APR!$P15:$V15)+SUMIF($AZ$178:$BC$178,AP$178,$AZ278:$BC278)</f>
        <v>0</v>
      </c>
      <c r="AQ278" s="229">
        <f>SUMIF(APR!$G$121:$M$121,AQ$178,APR!$P15:$V15)+SUMIF($AZ$178:$BC$178,AQ$178,$AZ278:$BC278)</f>
        <v>0</v>
      </c>
      <c r="AR278" s="230">
        <f>SUMIF(APR!$G$121:$M$121,AR$178,APR!$P15:$V15)+SUMIF($AZ$178:$BC$178,AR$178,$AZ278:$BC278)</f>
        <v>0</v>
      </c>
      <c r="AS278" s="230">
        <f>SUMIF(APR!$G$121:$M$121,AS$178,APR!$P15:$V15)+SUMIF($AZ$178:$BC$178,AS$178,$AZ278:$BC278)</f>
        <v>0</v>
      </c>
      <c r="AT278" s="230">
        <f>SUMIF(APR!$G$121:$M$121,AT$178,APR!$P15:$V15)+SUMIF($AZ$178:$BC$178,AT$178,$AZ278:$BC278)</f>
        <v>0</v>
      </c>
      <c r="AU278" s="230">
        <f>SUMIF(APR!$G$121:$M$121,AU$178,APR!$P15:$V15)+SUMIF($AZ$178:$BC$178,AU$178,$AZ278:$BC278)</f>
        <v>0</v>
      </c>
      <c r="AV278" s="230">
        <f>SUMIF(APR!$G$121:$M$121,AV$178,APR!$P15:$V15)+SUMIF($AZ$178:$BC$178,AV$178,$AZ278:$BC278)</f>
        <v>0</v>
      </c>
      <c r="AW278" s="230">
        <f>SUMIF(APR!$G$121:$M$121,AW$178,APR!$P15:$V15)+SUMIF($AZ$178:$BC$178,AW$178,$AZ278:$BC278)</f>
        <v>0</v>
      </c>
      <c r="AX278" s="231">
        <f>SUMIF(APR!$G$121:$M$121,AX$178,APR!$P15:$V15)+SUMIF($AZ$178:$BC$178,AX$178,$AZ278:$BC278)</f>
        <v>0</v>
      </c>
      <c r="AY278" s="232">
        <f>APR!AF15</f>
        <v>0</v>
      </c>
      <c r="AZ278" s="228">
        <f>APR!AG15</f>
        <v>0</v>
      </c>
      <c r="BA278" s="229">
        <f>APR!AH15</f>
        <v>0</v>
      </c>
      <c r="BB278" s="230">
        <f>APR!AI15</f>
        <v>0</v>
      </c>
      <c r="BC278" s="231">
        <f>APR!AJ15</f>
        <v>0</v>
      </c>
      <c r="BD278" s="228">
        <f>SUMIF(APR!$G$120:$M$120,"&gt;0",APR!$X15:$AD15)</f>
        <v>0</v>
      </c>
      <c r="BE278" s="696"/>
      <c r="BF278" s="228">
        <f>SUMIF(APR!$BA$6:$BG$6,BF$177,APR!$BA15:$BG15)</f>
        <v>0</v>
      </c>
      <c r="BG278" s="229">
        <f>SUMIF(APR!$BA$6:$BG$6,BG$177,APR!$BA15:$BG15)</f>
        <v>0</v>
      </c>
      <c r="BH278" s="229">
        <f>SUMIF(APR!$BA$6:$BG$6,BH$177,APR!$BA15:$BG15)</f>
        <v>0</v>
      </c>
      <c r="BI278" s="229">
        <f>SUMIF(APR!$BA$6:$BG$6,BI$177,APR!$BA15:$BG15)</f>
        <v>0</v>
      </c>
      <c r="BJ278" s="229">
        <f>SUMIF(APR!$BA$6:$BG$6,BJ$177,APR!$BA15:$BG15)</f>
        <v>0</v>
      </c>
      <c r="BK278" s="229">
        <f>SUMIF(APR!$BA$6:$BG$6,BK$177,APR!$BA15:$BG15)</f>
        <v>0</v>
      </c>
      <c r="BL278" s="229">
        <f>SUMIF(APR!$BA$6:$BG$6,BL$177,APR!$BA15:$BG15)</f>
        <v>0</v>
      </c>
      <c r="BM278" s="229">
        <f>SUMIF(APR!$BA$6:$BG$6,BM$177,APR!$BA15:$BG15)</f>
        <v>0</v>
      </c>
      <c r="BN278" s="229">
        <f>SUMIF(APR!$BA$6:$BG$6,BN$177,APR!$BA15:$BG15)</f>
        <v>0</v>
      </c>
      <c r="BO278" s="231">
        <f>SUMIF(APR!$BA$6:$BG$6,BO$177,APR!$BA15:$BG15)</f>
        <v>0</v>
      </c>
      <c r="BP278" s="231">
        <f>SUMIF(APR!$BA$6:$BG$6,BP$177,APR!$BA15:$BG15)</f>
        <v>0</v>
      </c>
      <c r="BQ278" s="252"/>
      <c r="BR278" s="228">
        <f>SUMIF(APR!$BA$5:$BG$5,BR$177,APR!$BA15:$BG15)</f>
        <v>0</v>
      </c>
      <c r="BS278" s="229">
        <f>SUMIF(APR!$BA$5:$BG$5,BS$177,APR!$BA15:$BG15)</f>
        <v>0</v>
      </c>
      <c r="BT278" s="229">
        <f>SUMIF(APR!$BA$5:$BG$5,BT$177,APR!$BA15:$BG15)</f>
        <v>0</v>
      </c>
      <c r="BU278" s="229">
        <f>SUMIF(APR!$BA$5:$BG$5,BU$177,APR!$BA15:$BG15)</f>
        <v>0</v>
      </c>
      <c r="BV278" s="229">
        <f>SUMIF(APR!$BA$5:$BG$5,BV$177,APR!$BA15:$BG15)</f>
        <v>0</v>
      </c>
      <c r="BW278" s="229">
        <f>SUMIF(APR!$BA$5:$BG$5,BW$177,APR!$BA15:$BG15)</f>
        <v>0</v>
      </c>
      <c r="BX278" s="230">
        <f>SUMIF(APR!$BA$5:$BG$5,BX$177,APR!$BA15:$BG15)</f>
        <v>0</v>
      </c>
      <c r="BY278" s="998">
        <f>SUMIF(APR!$BA$5:$BG$5,BY$177,APR!$BA15:$BG15)</f>
        <v>0</v>
      </c>
      <c r="CB278" s="252"/>
      <c r="CC278" s="61" t="e">
        <f t="shared" si="52"/>
        <v>#N/A</v>
      </c>
      <c r="CD278" s="61">
        <f t="shared" si="53"/>
        <v>0</v>
      </c>
      <c r="CE278" s="105" t="str">
        <f t="shared" si="46"/>
        <v/>
      </c>
      <c r="CF278" s="61" t="e">
        <f t="shared" si="54"/>
        <v>#N/A</v>
      </c>
      <c r="CG278" s="61" t="e">
        <f t="shared" si="55"/>
        <v>#N/A</v>
      </c>
      <c r="CH278" s="521">
        <f>APR!AL15-CW278+CR278</f>
        <v>0</v>
      </c>
      <c r="CI278" s="228">
        <f>SUMIF(APR!$G$121:$M$121,CI$178,APR!$AM15:$AS15)+SUMIF($CS$178:$CV$178,CI$178,$CS278:$CV278)</f>
        <v>0</v>
      </c>
      <c r="CJ278" s="229">
        <f>SUMIF(APR!$G$121:$M$121,CJ$178,APR!$AM15:$AS15)+SUMIF($CS$178:$CV$178,CJ$178,$CS278:$CV278)</f>
        <v>0</v>
      </c>
      <c r="CK278" s="230">
        <f>SUMIF(APR!$G$121:$M$121,CK$178,APR!$AM15:$AS15)+SUMIF($CS$178:$CV$178,CK$178,$CS278:$CV278)</f>
        <v>0</v>
      </c>
      <c r="CL278" s="230">
        <f>SUMIF(APR!$G$121:$M$121,CL$178,APR!$AM15:$AS15)+SUMIF($CS$178:$CV$178,CL$178,$CS278:$CV278)</f>
        <v>0</v>
      </c>
      <c r="CM278" s="230">
        <f>SUMIF(APR!$G$121:$M$121,CM$178,APR!$AM15:$AS15)+SUMIF($CS$178:$CV$178,CM$178,$CS278:$CV278)</f>
        <v>0</v>
      </c>
      <c r="CN278" s="230">
        <f>SUMIF(APR!$G$121:$M$121,CN$178,APR!$AM15:$AS15)+SUMIF($CS$178:$CV$178,CN$178,$CS278:$CV278)</f>
        <v>0</v>
      </c>
      <c r="CO278" s="230">
        <f>SUMIF(APR!$G$121:$M$121,CO$178,APR!$AM15:$AS15)+SUMIF($CS$178:$CV$178,CO$178,$CS278:$CV278)</f>
        <v>0</v>
      </c>
      <c r="CP278" s="230">
        <f>SUMIF(APR!$G$121:$M$121,CP$178,APR!$AM15:$AS15)+SUMIF($CS$178:$CV$178,CP$178,$CS278:$CV278)</f>
        <v>0</v>
      </c>
      <c r="CQ278" s="231">
        <f>SUMIF(APR!$G$121:$M$121,CQ$178,APR!$AM15:$AS15)+SUMIF($CS$178:$CV$178,CQ$178,$CS278:$CV278)</f>
        <v>0</v>
      </c>
      <c r="CR278" s="521">
        <f>APR!AU15</f>
        <v>0</v>
      </c>
      <c r="CS278" s="228">
        <f>APR!AV15</f>
        <v>0</v>
      </c>
      <c r="CT278" s="229">
        <f>APR!AW15</f>
        <v>0</v>
      </c>
      <c r="CU278" s="230">
        <f>APR!AX15</f>
        <v>0</v>
      </c>
      <c r="CV278" s="231">
        <f>APR!AY15</f>
        <v>0</v>
      </c>
      <c r="CW278" s="521">
        <f>SUM(APR!AU15:AY15)</f>
        <v>0</v>
      </c>
      <c r="CX278" s="521">
        <f>APR!AK15</f>
        <v>0</v>
      </c>
      <c r="CY278" s="2"/>
    </row>
    <row r="279" spans="1:103" ht="14.25" hidden="1" customHeight="1" x14ac:dyDescent="0.2">
      <c r="A279" s="2"/>
      <c r="B279" s="105">
        <f t="shared" si="56"/>
        <v>45391</v>
      </c>
      <c r="C279" s="146">
        <f>IF(AND(E279&gt;(E$560-1),E279&lt;(I$560+1)),W$551,IF(ISERROR(HLOOKUP(E279,$E$553:$L$553,1,FALSE)),HLOOKUP(WEEKDAY(E279,2),IMPOSTAZIONI!$C$52:$P$57,6,FALSE),$W$550))</f>
        <v>0</v>
      </c>
      <c r="D279" s="71" t="str">
        <f t="shared" si="57"/>
        <v/>
      </c>
      <c r="E279" s="2258">
        <f t="shared" si="62"/>
        <v>45391</v>
      </c>
      <c r="F279" s="2259"/>
      <c r="G279" s="2228" t="str">
        <f>APR!E16</f>
        <v xml:space="preserve">disattivato  </v>
      </c>
      <c r="H279" s="2229"/>
      <c r="I279" s="2230"/>
      <c r="J279" s="262" t="str">
        <f t="shared" si="47"/>
        <v/>
      </c>
      <c r="K279" s="263"/>
      <c r="L279" s="2217">
        <f t="shared" si="63"/>
        <v>15</v>
      </c>
      <c r="M279" s="2218"/>
      <c r="N279" s="261"/>
      <c r="O279" s="261"/>
      <c r="P279" s="261"/>
      <c r="Q279" s="2219">
        <f t="shared" si="58"/>
        <v>45391</v>
      </c>
      <c r="R279" s="2219"/>
      <c r="S279" s="261"/>
      <c r="T279" s="1173">
        <f t="shared" si="48"/>
        <v>1</v>
      </c>
      <c r="U279" s="261"/>
      <c r="V279" s="261"/>
      <c r="W279" s="261"/>
      <c r="X279" s="261"/>
      <c r="Y279" s="261"/>
      <c r="Z279" s="261"/>
      <c r="AA279" s="261"/>
      <c r="AB279" s="261"/>
      <c r="AC279" s="261"/>
      <c r="AD279" s="261"/>
      <c r="AE279" s="261"/>
      <c r="AF279" s="261"/>
      <c r="AG279" s="1173">
        <f t="shared" si="59"/>
        <v>0</v>
      </c>
      <c r="AH279" s="61" t="str">
        <f t="shared" si="60"/>
        <v/>
      </c>
      <c r="AI279" s="89" t="e">
        <f t="shared" si="61"/>
        <v>#N/A</v>
      </c>
      <c r="AJ279" s="2"/>
      <c r="AK279" s="61">
        <f>IF(G279=G$547,0,IF(OR(G279&lt;&gt;0,CH279&lt;&gt;0,C279="L"),COUNTIF(AK$180:AK278,"&gt;0")+1,0))</f>
        <v>0</v>
      </c>
      <c r="AL279" s="61" t="str">
        <f t="shared" si="49"/>
        <v/>
      </c>
      <c r="AM279" s="61" t="e">
        <f t="shared" si="50"/>
        <v>#N/A</v>
      </c>
      <c r="AN279" s="89" t="e">
        <f t="shared" si="51"/>
        <v>#N/A</v>
      </c>
      <c r="AO279" s="230">
        <f>SUM(APR!X16:AD16)-BD279+AY279</f>
        <v>0</v>
      </c>
      <c r="AP279" s="228">
        <f>SUMIF(APR!$G$121:$M$121,AP$178,APR!$P16:$V16)+SUMIF($AZ$178:$BC$178,AP$178,$AZ279:$BC279)</f>
        <v>0</v>
      </c>
      <c r="AQ279" s="229">
        <f>SUMIF(APR!$G$121:$M$121,AQ$178,APR!$P16:$V16)+SUMIF($AZ$178:$BC$178,AQ$178,$AZ279:$BC279)</f>
        <v>0</v>
      </c>
      <c r="AR279" s="230">
        <f>SUMIF(APR!$G$121:$M$121,AR$178,APR!$P16:$V16)+SUMIF($AZ$178:$BC$178,AR$178,$AZ279:$BC279)</f>
        <v>0</v>
      </c>
      <c r="AS279" s="230">
        <f>SUMIF(APR!$G$121:$M$121,AS$178,APR!$P16:$V16)+SUMIF($AZ$178:$BC$178,AS$178,$AZ279:$BC279)</f>
        <v>0</v>
      </c>
      <c r="AT279" s="230">
        <f>SUMIF(APR!$G$121:$M$121,AT$178,APR!$P16:$V16)+SUMIF($AZ$178:$BC$178,AT$178,$AZ279:$BC279)</f>
        <v>0</v>
      </c>
      <c r="AU279" s="230">
        <f>SUMIF(APR!$G$121:$M$121,AU$178,APR!$P16:$V16)+SUMIF($AZ$178:$BC$178,AU$178,$AZ279:$BC279)</f>
        <v>0</v>
      </c>
      <c r="AV279" s="230">
        <f>SUMIF(APR!$G$121:$M$121,AV$178,APR!$P16:$V16)+SUMIF($AZ$178:$BC$178,AV$178,$AZ279:$BC279)</f>
        <v>0</v>
      </c>
      <c r="AW279" s="230">
        <f>SUMIF(APR!$G$121:$M$121,AW$178,APR!$P16:$V16)+SUMIF($AZ$178:$BC$178,AW$178,$AZ279:$BC279)</f>
        <v>0</v>
      </c>
      <c r="AX279" s="231">
        <f>SUMIF(APR!$G$121:$M$121,AX$178,APR!$P16:$V16)+SUMIF($AZ$178:$BC$178,AX$178,$AZ279:$BC279)</f>
        <v>0</v>
      </c>
      <c r="AY279" s="232">
        <f>APR!AF16</f>
        <v>0</v>
      </c>
      <c r="AZ279" s="228">
        <f>APR!AG16</f>
        <v>0</v>
      </c>
      <c r="BA279" s="229">
        <f>APR!AH16</f>
        <v>0</v>
      </c>
      <c r="BB279" s="230">
        <f>APR!AI16</f>
        <v>0</v>
      </c>
      <c r="BC279" s="231">
        <f>APR!AJ16</f>
        <v>0</v>
      </c>
      <c r="BD279" s="228">
        <f>SUMIF(APR!$G$120:$M$120,"&gt;0",APR!$X16:$AD16)</f>
        <v>0</v>
      </c>
      <c r="BE279" s="696"/>
      <c r="BF279" s="228">
        <f>SUMIF(APR!$BA$6:$BG$6,BF$177,APR!$BA16:$BG16)</f>
        <v>0</v>
      </c>
      <c r="BG279" s="229">
        <f>SUMIF(APR!$BA$6:$BG$6,BG$177,APR!$BA16:$BG16)</f>
        <v>0</v>
      </c>
      <c r="BH279" s="229">
        <f>SUMIF(APR!$BA$6:$BG$6,BH$177,APR!$BA16:$BG16)</f>
        <v>0</v>
      </c>
      <c r="BI279" s="229">
        <f>SUMIF(APR!$BA$6:$BG$6,BI$177,APR!$BA16:$BG16)</f>
        <v>0</v>
      </c>
      <c r="BJ279" s="229">
        <f>SUMIF(APR!$BA$6:$BG$6,BJ$177,APR!$BA16:$BG16)</f>
        <v>0</v>
      </c>
      <c r="BK279" s="229">
        <f>SUMIF(APR!$BA$6:$BG$6,BK$177,APR!$BA16:$BG16)</f>
        <v>0</v>
      </c>
      <c r="BL279" s="229">
        <f>SUMIF(APR!$BA$6:$BG$6,BL$177,APR!$BA16:$BG16)</f>
        <v>0</v>
      </c>
      <c r="BM279" s="229">
        <f>SUMIF(APR!$BA$6:$BG$6,BM$177,APR!$BA16:$BG16)</f>
        <v>0</v>
      </c>
      <c r="BN279" s="229">
        <f>SUMIF(APR!$BA$6:$BG$6,BN$177,APR!$BA16:$BG16)</f>
        <v>0</v>
      </c>
      <c r="BO279" s="231">
        <f>SUMIF(APR!$BA$6:$BG$6,BO$177,APR!$BA16:$BG16)</f>
        <v>0</v>
      </c>
      <c r="BP279" s="231">
        <f>SUMIF(APR!$BA$6:$BG$6,BP$177,APR!$BA16:$BG16)</f>
        <v>0</v>
      </c>
      <c r="BQ279" s="252"/>
      <c r="BR279" s="228">
        <f>SUMIF(APR!$BA$5:$BG$5,BR$177,APR!$BA16:$BG16)</f>
        <v>0</v>
      </c>
      <c r="BS279" s="229">
        <f>SUMIF(APR!$BA$5:$BG$5,BS$177,APR!$BA16:$BG16)</f>
        <v>0</v>
      </c>
      <c r="BT279" s="229">
        <f>SUMIF(APR!$BA$5:$BG$5,BT$177,APR!$BA16:$BG16)</f>
        <v>0</v>
      </c>
      <c r="BU279" s="229">
        <f>SUMIF(APR!$BA$5:$BG$5,BU$177,APR!$BA16:$BG16)</f>
        <v>0</v>
      </c>
      <c r="BV279" s="229">
        <f>SUMIF(APR!$BA$5:$BG$5,BV$177,APR!$BA16:$BG16)</f>
        <v>0</v>
      </c>
      <c r="BW279" s="229">
        <f>SUMIF(APR!$BA$5:$BG$5,BW$177,APR!$BA16:$BG16)</f>
        <v>0</v>
      </c>
      <c r="BX279" s="230">
        <f>SUMIF(APR!$BA$5:$BG$5,BX$177,APR!$BA16:$BG16)</f>
        <v>0</v>
      </c>
      <c r="BY279" s="998">
        <f>SUMIF(APR!$BA$5:$BG$5,BY$177,APR!$BA16:$BG16)</f>
        <v>0</v>
      </c>
      <c r="CB279" s="252"/>
      <c r="CC279" s="61" t="e">
        <f t="shared" si="52"/>
        <v>#N/A</v>
      </c>
      <c r="CD279" s="61">
        <f t="shared" si="53"/>
        <v>0</v>
      </c>
      <c r="CE279" s="105" t="str">
        <f t="shared" si="46"/>
        <v/>
      </c>
      <c r="CF279" s="61" t="e">
        <f t="shared" si="54"/>
        <v>#N/A</v>
      </c>
      <c r="CG279" s="61" t="e">
        <f t="shared" si="55"/>
        <v>#N/A</v>
      </c>
      <c r="CH279" s="521">
        <f>APR!AL16-CW279+CR279</f>
        <v>0</v>
      </c>
      <c r="CI279" s="228">
        <f>SUMIF(APR!$G$121:$M$121,CI$178,APR!$AM16:$AS16)+SUMIF($CS$178:$CV$178,CI$178,$CS279:$CV279)</f>
        <v>0</v>
      </c>
      <c r="CJ279" s="229">
        <f>SUMIF(APR!$G$121:$M$121,CJ$178,APR!$AM16:$AS16)+SUMIF($CS$178:$CV$178,CJ$178,$CS279:$CV279)</f>
        <v>0</v>
      </c>
      <c r="CK279" s="230">
        <f>SUMIF(APR!$G$121:$M$121,CK$178,APR!$AM16:$AS16)+SUMIF($CS$178:$CV$178,CK$178,$CS279:$CV279)</f>
        <v>0</v>
      </c>
      <c r="CL279" s="230">
        <f>SUMIF(APR!$G$121:$M$121,CL$178,APR!$AM16:$AS16)+SUMIF($CS$178:$CV$178,CL$178,$CS279:$CV279)</f>
        <v>0</v>
      </c>
      <c r="CM279" s="230">
        <f>SUMIF(APR!$G$121:$M$121,CM$178,APR!$AM16:$AS16)+SUMIF($CS$178:$CV$178,CM$178,$CS279:$CV279)</f>
        <v>0</v>
      </c>
      <c r="CN279" s="230">
        <f>SUMIF(APR!$G$121:$M$121,CN$178,APR!$AM16:$AS16)+SUMIF($CS$178:$CV$178,CN$178,$CS279:$CV279)</f>
        <v>0</v>
      </c>
      <c r="CO279" s="230">
        <f>SUMIF(APR!$G$121:$M$121,CO$178,APR!$AM16:$AS16)+SUMIF($CS$178:$CV$178,CO$178,$CS279:$CV279)</f>
        <v>0</v>
      </c>
      <c r="CP279" s="230">
        <f>SUMIF(APR!$G$121:$M$121,CP$178,APR!$AM16:$AS16)+SUMIF($CS$178:$CV$178,CP$178,$CS279:$CV279)</f>
        <v>0</v>
      </c>
      <c r="CQ279" s="231">
        <f>SUMIF(APR!$G$121:$M$121,CQ$178,APR!$AM16:$AS16)+SUMIF($CS$178:$CV$178,CQ$178,$CS279:$CV279)</f>
        <v>0</v>
      </c>
      <c r="CR279" s="521">
        <f>APR!AU16</f>
        <v>0</v>
      </c>
      <c r="CS279" s="228">
        <f>APR!AV16</f>
        <v>0</v>
      </c>
      <c r="CT279" s="229">
        <f>APR!AW16</f>
        <v>0</v>
      </c>
      <c r="CU279" s="230">
        <f>APR!AX16</f>
        <v>0</v>
      </c>
      <c r="CV279" s="231">
        <f>APR!AY16</f>
        <v>0</v>
      </c>
      <c r="CW279" s="521">
        <f>SUM(APR!AU16:AY16)</f>
        <v>0</v>
      </c>
      <c r="CX279" s="521">
        <f>APR!AK16</f>
        <v>0</v>
      </c>
      <c r="CY279" s="2"/>
    </row>
    <row r="280" spans="1:103" ht="14.25" hidden="1" customHeight="1" x14ac:dyDescent="0.2">
      <c r="A280" s="2"/>
      <c r="B280" s="105">
        <f t="shared" si="56"/>
        <v>45392</v>
      </c>
      <c r="C280" s="146">
        <f>IF(AND(E280&gt;(E$560-1),E280&lt;(I$560+1)),W$551,IF(ISERROR(HLOOKUP(E280,$E$553:$L$553,1,FALSE)),HLOOKUP(WEEKDAY(E280,2),IMPOSTAZIONI!$C$52:$P$57,6,FALSE),$W$550))</f>
        <v>0</v>
      </c>
      <c r="D280" s="71" t="str">
        <f t="shared" si="57"/>
        <v/>
      </c>
      <c r="E280" s="2258">
        <f t="shared" si="62"/>
        <v>45392</v>
      </c>
      <c r="F280" s="2259"/>
      <c r="G280" s="2228" t="str">
        <f>APR!E17</f>
        <v xml:space="preserve">disattivato  </v>
      </c>
      <c r="H280" s="2229"/>
      <c r="I280" s="2230"/>
      <c r="J280" s="262" t="str">
        <f t="shared" si="47"/>
        <v/>
      </c>
      <c r="K280" s="263"/>
      <c r="L280" s="2217">
        <f t="shared" si="63"/>
        <v>15</v>
      </c>
      <c r="M280" s="2218"/>
      <c r="N280" s="261"/>
      <c r="O280" s="261"/>
      <c r="P280" s="261"/>
      <c r="Q280" s="2219">
        <f t="shared" si="58"/>
        <v>45392</v>
      </c>
      <c r="R280" s="2219"/>
      <c r="S280" s="261"/>
      <c r="T280" s="1173">
        <f t="shared" si="48"/>
        <v>1</v>
      </c>
      <c r="U280" s="261"/>
      <c r="V280" s="261"/>
      <c r="W280" s="261"/>
      <c r="X280" s="261"/>
      <c r="Y280" s="261"/>
      <c r="Z280" s="261"/>
      <c r="AA280" s="261"/>
      <c r="AB280" s="261"/>
      <c r="AC280" s="261"/>
      <c r="AD280" s="261"/>
      <c r="AE280" s="261"/>
      <c r="AF280" s="261"/>
      <c r="AG280" s="1173">
        <f t="shared" si="59"/>
        <v>0</v>
      </c>
      <c r="AH280" s="61" t="str">
        <f t="shared" si="60"/>
        <v/>
      </c>
      <c r="AI280" s="89" t="e">
        <f t="shared" si="61"/>
        <v>#N/A</v>
      </c>
      <c r="AJ280" s="2"/>
      <c r="AK280" s="61">
        <f>IF(G280=G$547,0,IF(OR(G280&lt;&gt;0,CH280&lt;&gt;0,C280="L"),COUNTIF(AK$180:AK279,"&gt;0")+1,0))</f>
        <v>0</v>
      </c>
      <c r="AL280" s="61" t="str">
        <f t="shared" si="49"/>
        <v/>
      </c>
      <c r="AM280" s="61" t="e">
        <f t="shared" si="50"/>
        <v>#N/A</v>
      </c>
      <c r="AN280" s="89" t="e">
        <f t="shared" si="51"/>
        <v>#N/A</v>
      </c>
      <c r="AO280" s="230">
        <f>SUM(APR!X17:AD17)-BD280+AY280</f>
        <v>0</v>
      </c>
      <c r="AP280" s="228">
        <f>SUMIF(APR!$G$121:$M$121,AP$178,APR!$P17:$V17)+SUMIF($AZ$178:$BC$178,AP$178,$AZ280:$BC280)</f>
        <v>0</v>
      </c>
      <c r="AQ280" s="229">
        <f>SUMIF(APR!$G$121:$M$121,AQ$178,APR!$P17:$V17)+SUMIF($AZ$178:$BC$178,AQ$178,$AZ280:$BC280)</f>
        <v>0</v>
      </c>
      <c r="AR280" s="230">
        <f>SUMIF(APR!$G$121:$M$121,AR$178,APR!$P17:$V17)+SUMIF($AZ$178:$BC$178,AR$178,$AZ280:$BC280)</f>
        <v>0</v>
      </c>
      <c r="AS280" s="230">
        <f>SUMIF(APR!$G$121:$M$121,AS$178,APR!$P17:$V17)+SUMIF($AZ$178:$BC$178,AS$178,$AZ280:$BC280)</f>
        <v>0</v>
      </c>
      <c r="AT280" s="230">
        <f>SUMIF(APR!$G$121:$M$121,AT$178,APR!$P17:$V17)+SUMIF($AZ$178:$BC$178,AT$178,$AZ280:$BC280)</f>
        <v>0</v>
      </c>
      <c r="AU280" s="230">
        <f>SUMIF(APR!$G$121:$M$121,AU$178,APR!$P17:$V17)+SUMIF($AZ$178:$BC$178,AU$178,$AZ280:$BC280)</f>
        <v>0</v>
      </c>
      <c r="AV280" s="230">
        <f>SUMIF(APR!$G$121:$M$121,AV$178,APR!$P17:$V17)+SUMIF($AZ$178:$BC$178,AV$178,$AZ280:$BC280)</f>
        <v>0</v>
      </c>
      <c r="AW280" s="230">
        <f>SUMIF(APR!$G$121:$M$121,AW$178,APR!$P17:$V17)+SUMIF($AZ$178:$BC$178,AW$178,$AZ280:$BC280)</f>
        <v>0</v>
      </c>
      <c r="AX280" s="231">
        <f>SUMIF(APR!$G$121:$M$121,AX$178,APR!$P17:$V17)+SUMIF($AZ$178:$BC$178,AX$178,$AZ280:$BC280)</f>
        <v>0</v>
      </c>
      <c r="AY280" s="232">
        <f>APR!AF17</f>
        <v>0</v>
      </c>
      <c r="AZ280" s="228">
        <f>APR!AG17</f>
        <v>0</v>
      </c>
      <c r="BA280" s="229">
        <f>APR!AH17</f>
        <v>0</v>
      </c>
      <c r="BB280" s="230">
        <f>APR!AI17</f>
        <v>0</v>
      </c>
      <c r="BC280" s="231">
        <f>APR!AJ17</f>
        <v>0</v>
      </c>
      <c r="BD280" s="228">
        <f>SUMIF(APR!$G$120:$M$120,"&gt;0",APR!$X17:$AD17)</f>
        <v>0</v>
      </c>
      <c r="BE280" s="696"/>
      <c r="BF280" s="228">
        <f>SUMIF(APR!$BA$6:$BG$6,BF$177,APR!$BA17:$BG17)</f>
        <v>0</v>
      </c>
      <c r="BG280" s="229">
        <f>SUMIF(APR!$BA$6:$BG$6,BG$177,APR!$BA17:$BG17)</f>
        <v>0</v>
      </c>
      <c r="BH280" s="229">
        <f>SUMIF(APR!$BA$6:$BG$6,BH$177,APR!$BA17:$BG17)</f>
        <v>0</v>
      </c>
      <c r="BI280" s="229">
        <f>SUMIF(APR!$BA$6:$BG$6,BI$177,APR!$BA17:$BG17)</f>
        <v>0</v>
      </c>
      <c r="BJ280" s="229">
        <f>SUMIF(APR!$BA$6:$BG$6,BJ$177,APR!$BA17:$BG17)</f>
        <v>0</v>
      </c>
      <c r="BK280" s="229">
        <f>SUMIF(APR!$BA$6:$BG$6,BK$177,APR!$BA17:$BG17)</f>
        <v>0</v>
      </c>
      <c r="BL280" s="229">
        <f>SUMIF(APR!$BA$6:$BG$6,BL$177,APR!$BA17:$BG17)</f>
        <v>0</v>
      </c>
      <c r="BM280" s="229">
        <f>SUMIF(APR!$BA$6:$BG$6,BM$177,APR!$BA17:$BG17)</f>
        <v>0</v>
      </c>
      <c r="BN280" s="229">
        <f>SUMIF(APR!$BA$6:$BG$6,BN$177,APR!$BA17:$BG17)</f>
        <v>0</v>
      </c>
      <c r="BO280" s="231">
        <f>SUMIF(APR!$BA$6:$BG$6,BO$177,APR!$BA17:$BG17)</f>
        <v>0</v>
      </c>
      <c r="BP280" s="231">
        <f>SUMIF(APR!$BA$6:$BG$6,BP$177,APR!$BA17:$BG17)</f>
        <v>0</v>
      </c>
      <c r="BQ280" s="252"/>
      <c r="BR280" s="228">
        <f>SUMIF(APR!$BA$5:$BG$5,BR$177,APR!$BA17:$BG17)</f>
        <v>0</v>
      </c>
      <c r="BS280" s="229">
        <f>SUMIF(APR!$BA$5:$BG$5,BS$177,APR!$BA17:$BG17)</f>
        <v>0</v>
      </c>
      <c r="BT280" s="229">
        <f>SUMIF(APR!$BA$5:$BG$5,BT$177,APR!$BA17:$BG17)</f>
        <v>0</v>
      </c>
      <c r="BU280" s="229">
        <f>SUMIF(APR!$BA$5:$BG$5,BU$177,APR!$BA17:$BG17)</f>
        <v>0</v>
      </c>
      <c r="BV280" s="229">
        <f>SUMIF(APR!$BA$5:$BG$5,BV$177,APR!$BA17:$BG17)</f>
        <v>0</v>
      </c>
      <c r="BW280" s="229">
        <f>SUMIF(APR!$BA$5:$BG$5,BW$177,APR!$BA17:$BG17)</f>
        <v>0</v>
      </c>
      <c r="BX280" s="230">
        <f>SUMIF(APR!$BA$5:$BG$5,BX$177,APR!$BA17:$BG17)</f>
        <v>0</v>
      </c>
      <c r="BY280" s="998">
        <f>SUMIF(APR!$BA$5:$BG$5,BY$177,APR!$BA17:$BG17)</f>
        <v>0</v>
      </c>
      <c r="CB280" s="252"/>
      <c r="CC280" s="61" t="e">
        <f t="shared" si="52"/>
        <v>#N/A</v>
      </c>
      <c r="CD280" s="61">
        <f t="shared" si="53"/>
        <v>0</v>
      </c>
      <c r="CE280" s="105" t="str">
        <f t="shared" si="46"/>
        <v/>
      </c>
      <c r="CF280" s="61" t="e">
        <f t="shared" si="54"/>
        <v>#N/A</v>
      </c>
      <c r="CG280" s="61" t="e">
        <f t="shared" si="55"/>
        <v>#N/A</v>
      </c>
      <c r="CH280" s="521">
        <f>APR!AL17-CW280+CR280</f>
        <v>0</v>
      </c>
      <c r="CI280" s="228">
        <f>SUMIF(APR!$G$121:$M$121,CI$178,APR!$AM17:$AS17)+SUMIF($CS$178:$CV$178,CI$178,$CS280:$CV280)</f>
        <v>0</v>
      </c>
      <c r="CJ280" s="229">
        <f>SUMIF(APR!$G$121:$M$121,CJ$178,APR!$AM17:$AS17)+SUMIF($CS$178:$CV$178,CJ$178,$CS280:$CV280)</f>
        <v>0</v>
      </c>
      <c r="CK280" s="230">
        <f>SUMIF(APR!$G$121:$M$121,CK$178,APR!$AM17:$AS17)+SUMIF($CS$178:$CV$178,CK$178,$CS280:$CV280)</f>
        <v>0</v>
      </c>
      <c r="CL280" s="230">
        <f>SUMIF(APR!$G$121:$M$121,CL$178,APR!$AM17:$AS17)+SUMIF($CS$178:$CV$178,CL$178,$CS280:$CV280)</f>
        <v>0</v>
      </c>
      <c r="CM280" s="230">
        <f>SUMIF(APR!$G$121:$M$121,CM$178,APR!$AM17:$AS17)+SUMIF($CS$178:$CV$178,CM$178,$CS280:$CV280)</f>
        <v>0</v>
      </c>
      <c r="CN280" s="230">
        <f>SUMIF(APR!$G$121:$M$121,CN$178,APR!$AM17:$AS17)+SUMIF($CS$178:$CV$178,CN$178,$CS280:$CV280)</f>
        <v>0</v>
      </c>
      <c r="CO280" s="230">
        <f>SUMIF(APR!$G$121:$M$121,CO$178,APR!$AM17:$AS17)+SUMIF($CS$178:$CV$178,CO$178,$CS280:$CV280)</f>
        <v>0</v>
      </c>
      <c r="CP280" s="230">
        <f>SUMIF(APR!$G$121:$M$121,CP$178,APR!$AM17:$AS17)+SUMIF($CS$178:$CV$178,CP$178,$CS280:$CV280)</f>
        <v>0</v>
      </c>
      <c r="CQ280" s="231">
        <f>SUMIF(APR!$G$121:$M$121,CQ$178,APR!$AM17:$AS17)+SUMIF($CS$178:$CV$178,CQ$178,$CS280:$CV280)</f>
        <v>0</v>
      </c>
      <c r="CR280" s="521">
        <f>APR!AU17</f>
        <v>0</v>
      </c>
      <c r="CS280" s="228">
        <f>APR!AV17</f>
        <v>0</v>
      </c>
      <c r="CT280" s="229">
        <f>APR!AW17</f>
        <v>0</v>
      </c>
      <c r="CU280" s="230">
        <f>APR!AX17</f>
        <v>0</v>
      </c>
      <c r="CV280" s="231">
        <f>APR!AY17</f>
        <v>0</v>
      </c>
      <c r="CW280" s="521">
        <f>SUM(APR!AU17:AY17)</f>
        <v>0</v>
      </c>
      <c r="CX280" s="521">
        <f>APR!AK17</f>
        <v>0</v>
      </c>
      <c r="CY280" s="2"/>
    </row>
    <row r="281" spans="1:103" ht="14.25" hidden="1" customHeight="1" x14ac:dyDescent="0.2">
      <c r="A281" s="2"/>
      <c r="B281" s="105">
        <f t="shared" si="56"/>
        <v>45393</v>
      </c>
      <c r="C281" s="146">
        <f>IF(AND(E281&gt;(E$560-1),E281&lt;(I$560+1)),W$551,IF(ISERROR(HLOOKUP(E281,$E$553:$L$553,1,FALSE)),HLOOKUP(WEEKDAY(E281,2),IMPOSTAZIONI!$C$52:$P$57,6,FALSE),$W$550))</f>
        <v>0</v>
      </c>
      <c r="D281" s="71" t="str">
        <f t="shared" si="57"/>
        <v/>
      </c>
      <c r="E281" s="2258">
        <f t="shared" si="62"/>
        <v>45393</v>
      </c>
      <c r="F281" s="2259"/>
      <c r="G281" s="2228" t="str">
        <f>APR!E18</f>
        <v xml:space="preserve">disattivato  </v>
      </c>
      <c r="H281" s="2229"/>
      <c r="I281" s="2230"/>
      <c r="J281" s="262" t="str">
        <f t="shared" si="47"/>
        <v/>
      </c>
      <c r="K281" s="263"/>
      <c r="L281" s="2217">
        <f t="shared" si="63"/>
        <v>15</v>
      </c>
      <c r="M281" s="2218"/>
      <c r="N281" s="261"/>
      <c r="O281" s="261"/>
      <c r="P281" s="261"/>
      <c r="Q281" s="2219">
        <f t="shared" si="58"/>
        <v>45393</v>
      </c>
      <c r="R281" s="2219"/>
      <c r="S281" s="261"/>
      <c r="T281" s="1173">
        <f t="shared" si="48"/>
        <v>1</v>
      </c>
      <c r="U281" s="261"/>
      <c r="V281" s="261"/>
      <c r="W281" s="261"/>
      <c r="X281" s="261"/>
      <c r="Y281" s="261"/>
      <c r="Z281" s="261"/>
      <c r="AA281" s="261"/>
      <c r="AB281" s="261"/>
      <c r="AC281" s="261"/>
      <c r="AD281" s="261"/>
      <c r="AE281" s="261"/>
      <c r="AF281" s="261"/>
      <c r="AG281" s="1173">
        <f t="shared" si="59"/>
        <v>0</v>
      </c>
      <c r="AH281" s="61" t="str">
        <f t="shared" si="60"/>
        <v/>
      </c>
      <c r="AI281" s="89" t="e">
        <f t="shared" si="61"/>
        <v>#N/A</v>
      </c>
      <c r="AJ281" s="2"/>
      <c r="AK281" s="61">
        <f>IF(G281=G$547,0,IF(OR(G281&lt;&gt;0,CH281&lt;&gt;0,C281="L"),COUNTIF(AK$180:AK280,"&gt;0")+1,0))</f>
        <v>0</v>
      </c>
      <c r="AL281" s="61" t="str">
        <f t="shared" si="49"/>
        <v/>
      </c>
      <c r="AM281" s="61" t="e">
        <f t="shared" si="50"/>
        <v>#N/A</v>
      </c>
      <c r="AN281" s="89" t="e">
        <f t="shared" si="51"/>
        <v>#N/A</v>
      </c>
      <c r="AO281" s="230">
        <f>SUM(APR!X18:AD18)-BD281+AY281</f>
        <v>0</v>
      </c>
      <c r="AP281" s="228">
        <f>SUMIF(APR!$G$121:$M$121,AP$178,APR!$P18:$V18)+SUMIF($AZ$178:$BC$178,AP$178,$AZ281:$BC281)</f>
        <v>0</v>
      </c>
      <c r="AQ281" s="229">
        <f>SUMIF(APR!$G$121:$M$121,AQ$178,APR!$P18:$V18)+SUMIF($AZ$178:$BC$178,AQ$178,$AZ281:$BC281)</f>
        <v>0</v>
      </c>
      <c r="AR281" s="230">
        <f>SUMIF(APR!$G$121:$M$121,AR$178,APR!$P18:$V18)+SUMIF($AZ$178:$BC$178,AR$178,$AZ281:$BC281)</f>
        <v>0</v>
      </c>
      <c r="AS281" s="230">
        <f>SUMIF(APR!$G$121:$M$121,AS$178,APR!$P18:$V18)+SUMIF($AZ$178:$BC$178,AS$178,$AZ281:$BC281)</f>
        <v>0</v>
      </c>
      <c r="AT281" s="230">
        <f>SUMIF(APR!$G$121:$M$121,AT$178,APR!$P18:$V18)+SUMIF($AZ$178:$BC$178,AT$178,$AZ281:$BC281)</f>
        <v>0</v>
      </c>
      <c r="AU281" s="230">
        <f>SUMIF(APR!$G$121:$M$121,AU$178,APR!$P18:$V18)+SUMIF($AZ$178:$BC$178,AU$178,$AZ281:$BC281)</f>
        <v>0</v>
      </c>
      <c r="AV281" s="230">
        <f>SUMIF(APR!$G$121:$M$121,AV$178,APR!$P18:$V18)+SUMIF($AZ$178:$BC$178,AV$178,$AZ281:$BC281)</f>
        <v>0</v>
      </c>
      <c r="AW281" s="230">
        <f>SUMIF(APR!$G$121:$M$121,AW$178,APR!$P18:$V18)+SUMIF($AZ$178:$BC$178,AW$178,$AZ281:$BC281)</f>
        <v>0</v>
      </c>
      <c r="AX281" s="231">
        <f>SUMIF(APR!$G$121:$M$121,AX$178,APR!$P18:$V18)+SUMIF($AZ$178:$BC$178,AX$178,$AZ281:$BC281)</f>
        <v>0</v>
      </c>
      <c r="AY281" s="232">
        <f>APR!AF18</f>
        <v>0</v>
      </c>
      <c r="AZ281" s="228">
        <f>APR!AG18</f>
        <v>0</v>
      </c>
      <c r="BA281" s="229">
        <f>APR!AH18</f>
        <v>0</v>
      </c>
      <c r="BB281" s="230">
        <f>APR!AI18</f>
        <v>0</v>
      </c>
      <c r="BC281" s="231">
        <f>APR!AJ18</f>
        <v>0</v>
      </c>
      <c r="BD281" s="228">
        <f>SUMIF(APR!$G$120:$M$120,"&gt;0",APR!$X18:$AD18)</f>
        <v>0</v>
      </c>
      <c r="BE281" s="696"/>
      <c r="BF281" s="228">
        <f>SUMIF(APR!$BA$6:$BG$6,BF$177,APR!$BA18:$BG18)</f>
        <v>0</v>
      </c>
      <c r="BG281" s="229">
        <f>SUMIF(APR!$BA$6:$BG$6,BG$177,APR!$BA18:$BG18)</f>
        <v>0</v>
      </c>
      <c r="BH281" s="229">
        <f>SUMIF(APR!$BA$6:$BG$6,BH$177,APR!$BA18:$BG18)</f>
        <v>0</v>
      </c>
      <c r="BI281" s="229">
        <f>SUMIF(APR!$BA$6:$BG$6,BI$177,APR!$BA18:$BG18)</f>
        <v>0</v>
      </c>
      <c r="BJ281" s="229">
        <f>SUMIF(APR!$BA$6:$BG$6,BJ$177,APR!$BA18:$BG18)</f>
        <v>0</v>
      </c>
      <c r="BK281" s="229">
        <f>SUMIF(APR!$BA$6:$BG$6,BK$177,APR!$BA18:$BG18)</f>
        <v>0</v>
      </c>
      <c r="BL281" s="229">
        <f>SUMIF(APR!$BA$6:$BG$6,BL$177,APR!$BA18:$BG18)</f>
        <v>0</v>
      </c>
      <c r="BM281" s="229">
        <f>SUMIF(APR!$BA$6:$BG$6,BM$177,APR!$BA18:$BG18)</f>
        <v>0</v>
      </c>
      <c r="BN281" s="229">
        <f>SUMIF(APR!$BA$6:$BG$6,BN$177,APR!$BA18:$BG18)</f>
        <v>0</v>
      </c>
      <c r="BO281" s="231">
        <f>SUMIF(APR!$BA$6:$BG$6,BO$177,APR!$BA18:$BG18)</f>
        <v>0</v>
      </c>
      <c r="BP281" s="231">
        <f>SUMIF(APR!$BA$6:$BG$6,BP$177,APR!$BA18:$BG18)</f>
        <v>0</v>
      </c>
      <c r="BQ281" s="252"/>
      <c r="BR281" s="228">
        <f>SUMIF(APR!$BA$5:$BG$5,BR$177,APR!$BA18:$BG18)</f>
        <v>0</v>
      </c>
      <c r="BS281" s="229">
        <f>SUMIF(APR!$BA$5:$BG$5,BS$177,APR!$BA18:$BG18)</f>
        <v>0</v>
      </c>
      <c r="BT281" s="229">
        <f>SUMIF(APR!$BA$5:$BG$5,BT$177,APR!$BA18:$BG18)</f>
        <v>0</v>
      </c>
      <c r="BU281" s="229">
        <f>SUMIF(APR!$BA$5:$BG$5,BU$177,APR!$BA18:$BG18)</f>
        <v>0</v>
      </c>
      <c r="BV281" s="229">
        <f>SUMIF(APR!$BA$5:$BG$5,BV$177,APR!$BA18:$BG18)</f>
        <v>0</v>
      </c>
      <c r="BW281" s="229">
        <f>SUMIF(APR!$BA$5:$BG$5,BW$177,APR!$BA18:$BG18)</f>
        <v>0</v>
      </c>
      <c r="BX281" s="230">
        <f>SUMIF(APR!$BA$5:$BG$5,BX$177,APR!$BA18:$BG18)</f>
        <v>0</v>
      </c>
      <c r="BY281" s="998">
        <f>SUMIF(APR!$BA$5:$BG$5,BY$177,APR!$BA18:$BG18)</f>
        <v>0</v>
      </c>
      <c r="CB281" s="252"/>
      <c r="CC281" s="61" t="e">
        <f t="shared" si="52"/>
        <v>#N/A</v>
      </c>
      <c r="CD281" s="61">
        <f t="shared" si="53"/>
        <v>0</v>
      </c>
      <c r="CE281" s="105" t="str">
        <f t="shared" si="46"/>
        <v/>
      </c>
      <c r="CF281" s="61" t="e">
        <f t="shared" si="54"/>
        <v>#N/A</v>
      </c>
      <c r="CG281" s="61" t="e">
        <f t="shared" si="55"/>
        <v>#N/A</v>
      </c>
      <c r="CH281" s="521">
        <f>APR!AL18-CW281+CR281</f>
        <v>0</v>
      </c>
      <c r="CI281" s="228">
        <f>SUMIF(APR!$G$121:$M$121,CI$178,APR!$AM18:$AS18)+SUMIF($CS$178:$CV$178,CI$178,$CS281:$CV281)</f>
        <v>0</v>
      </c>
      <c r="CJ281" s="229">
        <f>SUMIF(APR!$G$121:$M$121,CJ$178,APR!$AM18:$AS18)+SUMIF($CS$178:$CV$178,CJ$178,$CS281:$CV281)</f>
        <v>0</v>
      </c>
      <c r="CK281" s="230">
        <f>SUMIF(APR!$G$121:$M$121,CK$178,APR!$AM18:$AS18)+SUMIF($CS$178:$CV$178,CK$178,$CS281:$CV281)</f>
        <v>0</v>
      </c>
      <c r="CL281" s="230">
        <f>SUMIF(APR!$G$121:$M$121,CL$178,APR!$AM18:$AS18)+SUMIF($CS$178:$CV$178,CL$178,$CS281:$CV281)</f>
        <v>0</v>
      </c>
      <c r="CM281" s="230">
        <f>SUMIF(APR!$G$121:$M$121,CM$178,APR!$AM18:$AS18)+SUMIF($CS$178:$CV$178,CM$178,$CS281:$CV281)</f>
        <v>0</v>
      </c>
      <c r="CN281" s="230">
        <f>SUMIF(APR!$G$121:$M$121,CN$178,APR!$AM18:$AS18)+SUMIF($CS$178:$CV$178,CN$178,$CS281:$CV281)</f>
        <v>0</v>
      </c>
      <c r="CO281" s="230">
        <f>SUMIF(APR!$G$121:$M$121,CO$178,APR!$AM18:$AS18)+SUMIF($CS$178:$CV$178,CO$178,$CS281:$CV281)</f>
        <v>0</v>
      </c>
      <c r="CP281" s="230">
        <f>SUMIF(APR!$G$121:$M$121,CP$178,APR!$AM18:$AS18)+SUMIF($CS$178:$CV$178,CP$178,$CS281:$CV281)</f>
        <v>0</v>
      </c>
      <c r="CQ281" s="231">
        <f>SUMIF(APR!$G$121:$M$121,CQ$178,APR!$AM18:$AS18)+SUMIF($CS$178:$CV$178,CQ$178,$CS281:$CV281)</f>
        <v>0</v>
      </c>
      <c r="CR281" s="521">
        <f>APR!AU18</f>
        <v>0</v>
      </c>
      <c r="CS281" s="228">
        <f>APR!AV18</f>
        <v>0</v>
      </c>
      <c r="CT281" s="229">
        <f>APR!AW18</f>
        <v>0</v>
      </c>
      <c r="CU281" s="230">
        <f>APR!AX18</f>
        <v>0</v>
      </c>
      <c r="CV281" s="231">
        <f>APR!AY18</f>
        <v>0</v>
      </c>
      <c r="CW281" s="521">
        <f>SUM(APR!AU18:AY18)</f>
        <v>0</v>
      </c>
      <c r="CX281" s="521">
        <f>APR!AK18</f>
        <v>0</v>
      </c>
      <c r="CY281" s="2"/>
    </row>
    <row r="282" spans="1:103" ht="14.25" hidden="1" customHeight="1" x14ac:dyDescent="0.2">
      <c r="A282" s="2"/>
      <c r="B282" s="105">
        <f t="shared" si="56"/>
        <v>45394</v>
      </c>
      <c r="C282" s="146">
        <f>IF(AND(E282&gt;(E$560-1),E282&lt;(I$560+1)),W$551,IF(ISERROR(HLOOKUP(E282,$E$553:$L$553,1,FALSE)),HLOOKUP(WEEKDAY(E282,2),IMPOSTAZIONI!$C$52:$P$57,6,FALSE),$W$550))</f>
        <v>0</v>
      </c>
      <c r="D282" s="71" t="str">
        <f t="shared" si="57"/>
        <v/>
      </c>
      <c r="E282" s="2258">
        <f t="shared" si="62"/>
        <v>45394</v>
      </c>
      <c r="F282" s="2259"/>
      <c r="G282" s="2228" t="str">
        <f>APR!E19</f>
        <v xml:space="preserve">disattivato  </v>
      </c>
      <c r="H282" s="2229"/>
      <c r="I282" s="2230"/>
      <c r="J282" s="262" t="str">
        <f t="shared" si="47"/>
        <v/>
      </c>
      <c r="K282" s="263"/>
      <c r="L282" s="2217">
        <f t="shared" si="63"/>
        <v>15</v>
      </c>
      <c r="M282" s="2218"/>
      <c r="N282" s="261"/>
      <c r="O282" s="261"/>
      <c r="P282" s="261"/>
      <c r="Q282" s="2219">
        <f t="shared" si="58"/>
        <v>45394</v>
      </c>
      <c r="R282" s="2219"/>
      <c r="S282" s="261"/>
      <c r="T282" s="1173">
        <f t="shared" si="48"/>
        <v>1</v>
      </c>
      <c r="U282" s="261"/>
      <c r="V282" s="261"/>
      <c r="W282" s="261"/>
      <c r="X282" s="261"/>
      <c r="Y282" s="261"/>
      <c r="Z282" s="261"/>
      <c r="AA282" s="261"/>
      <c r="AB282" s="261"/>
      <c r="AC282" s="261"/>
      <c r="AD282" s="261"/>
      <c r="AE282" s="261"/>
      <c r="AF282" s="261"/>
      <c r="AG282" s="1173">
        <f t="shared" si="59"/>
        <v>0</v>
      </c>
      <c r="AH282" s="61" t="str">
        <f t="shared" si="60"/>
        <v/>
      </c>
      <c r="AI282" s="89" t="e">
        <f t="shared" si="61"/>
        <v>#N/A</v>
      </c>
      <c r="AJ282" s="2"/>
      <c r="AK282" s="61">
        <f>IF(G282=G$547,0,IF(OR(G282&lt;&gt;0,CH282&lt;&gt;0,C282="L"),COUNTIF(AK$180:AK281,"&gt;0")+1,0))</f>
        <v>0</v>
      </c>
      <c r="AL282" s="61" t="str">
        <f t="shared" si="49"/>
        <v/>
      </c>
      <c r="AM282" s="61" t="e">
        <f t="shared" si="50"/>
        <v>#N/A</v>
      </c>
      <c r="AN282" s="89" t="e">
        <f t="shared" si="51"/>
        <v>#N/A</v>
      </c>
      <c r="AO282" s="230">
        <f>SUM(APR!X19:AD19)-BD282+AY282</f>
        <v>0</v>
      </c>
      <c r="AP282" s="228">
        <f>SUMIF(APR!$G$121:$M$121,AP$178,APR!$P19:$V19)+SUMIF($AZ$178:$BC$178,AP$178,$AZ282:$BC282)</f>
        <v>0</v>
      </c>
      <c r="AQ282" s="229">
        <f>SUMIF(APR!$G$121:$M$121,AQ$178,APR!$P19:$V19)+SUMIF($AZ$178:$BC$178,AQ$178,$AZ282:$BC282)</f>
        <v>0</v>
      </c>
      <c r="AR282" s="230">
        <f>SUMIF(APR!$G$121:$M$121,AR$178,APR!$P19:$V19)+SUMIF($AZ$178:$BC$178,AR$178,$AZ282:$BC282)</f>
        <v>0</v>
      </c>
      <c r="AS282" s="230">
        <f>SUMIF(APR!$G$121:$M$121,AS$178,APR!$P19:$V19)+SUMIF($AZ$178:$BC$178,AS$178,$AZ282:$BC282)</f>
        <v>0</v>
      </c>
      <c r="AT282" s="230">
        <f>SUMIF(APR!$G$121:$M$121,AT$178,APR!$P19:$V19)+SUMIF($AZ$178:$BC$178,AT$178,$AZ282:$BC282)</f>
        <v>0</v>
      </c>
      <c r="AU282" s="230">
        <f>SUMIF(APR!$G$121:$M$121,AU$178,APR!$P19:$V19)+SUMIF($AZ$178:$BC$178,AU$178,$AZ282:$BC282)</f>
        <v>0</v>
      </c>
      <c r="AV282" s="230">
        <f>SUMIF(APR!$G$121:$M$121,AV$178,APR!$P19:$V19)+SUMIF($AZ$178:$BC$178,AV$178,$AZ282:$BC282)</f>
        <v>0</v>
      </c>
      <c r="AW282" s="230">
        <f>SUMIF(APR!$G$121:$M$121,AW$178,APR!$P19:$V19)+SUMIF($AZ$178:$BC$178,AW$178,$AZ282:$BC282)</f>
        <v>0</v>
      </c>
      <c r="AX282" s="231">
        <f>SUMIF(APR!$G$121:$M$121,AX$178,APR!$P19:$V19)+SUMIF($AZ$178:$BC$178,AX$178,$AZ282:$BC282)</f>
        <v>0</v>
      </c>
      <c r="AY282" s="232">
        <f>APR!AF19</f>
        <v>0</v>
      </c>
      <c r="AZ282" s="228">
        <f>APR!AG19</f>
        <v>0</v>
      </c>
      <c r="BA282" s="229">
        <f>APR!AH19</f>
        <v>0</v>
      </c>
      <c r="BB282" s="230">
        <f>APR!AI19</f>
        <v>0</v>
      </c>
      <c r="BC282" s="231">
        <f>APR!AJ19</f>
        <v>0</v>
      </c>
      <c r="BD282" s="228">
        <f>SUMIF(APR!$G$120:$M$120,"&gt;0",APR!$X19:$AD19)</f>
        <v>0</v>
      </c>
      <c r="BE282" s="696"/>
      <c r="BF282" s="228">
        <f>SUMIF(APR!$BA$6:$BG$6,BF$177,APR!$BA19:$BG19)</f>
        <v>0</v>
      </c>
      <c r="BG282" s="229">
        <f>SUMIF(APR!$BA$6:$BG$6,BG$177,APR!$BA19:$BG19)</f>
        <v>0</v>
      </c>
      <c r="BH282" s="229">
        <f>SUMIF(APR!$BA$6:$BG$6,BH$177,APR!$BA19:$BG19)</f>
        <v>0</v>
      </c>
      <c r="BI282" s="229">
        <f>SUMIF(APR!$BA$6:$BG$6,BI$177,APR!$BA19:$BG19)</f>
        <v>0</v>
      </c>
      <c r="BJ282" s="229">
        <f>SUMIF(APR!$BA$6:$BG$6,BJ$177,APR!$BA19:$BG19)</f>
        <v>0</v>
      </c>
      <c r="BK282" s="229">
        <f>SUMIF(APR!$BA$6:$BG$6,BK$177,APR!$BA19:$BG19)</f>
        <v>0</v>
      </c>
      <c r="BL282" s="229">
        <f>SUMIF(APR!$BA$6:$BG$6,BL$177,APR!$BA19:$BG19)</f>
        <v>0</v>
      </c>
      <c r="BM282" s="229">
        <f>SUMIF(APR!$BA$6:$BG$6,BM$177,APR!$BA19:$BG19)</f>
        <v>0</v>
      </c>
      <c r="BN282" s="229">
        <f>SUMIF(APR!$BA$6:$BG$6,BN$177,APR!$BA19:$BG19)</f>
        <v>0</v>
      </c>
      <c r="BO282" s="231">
        <f>SUMIF(APR!$BA$6:$BG$6,BO$177,APR!$BA19:$BG19)</f>
        <v>0</v>
      </c>
      <c r="BP282" s="231">
        <f>SUMIF(APR!$BA$6:$BG$6,BP$177,APR!$BA19:$BG19)</f>
        <v>0</v>
      </c>
      <c r="BQ282" s="252"/>
      <c r="BR282" s="228">
        <f>SUMIF(APR!$BA$5:$BG$5,BR$177,APR!$BA19:$BG19)</f>
        <v>0</v>
      </c>
      <c r="BS282" s="229">
        <f>SUMIF(APR!$BA$5:$BG$5,BS$177,APR!$BA19:$BG19)</f>
        <v>0</v>
      </c>
      <c r="BT282" s="229">
        <f>SUMIF(APR!$BA$5:$BG$5,BT$177,APR!$BA19:$BG19)</f>
        <v>0</v>
      </c>
      <c r="BU282" s="229">
        <f>SUMIF(APR!$BA$5:$BG$5,BU$177,APR!$BA19:$BG19)</f>
        <v>0</v>
      </c>
      <c r="BV282" s="229">
        <f>SUMIF(APR!$BA$5:$BG$5,BV$177,APR!$BA19:$BG19)</f>
        <v>0</v>
      </c>
      <c r="BW282" s="229">
        <f>SUMIF(APR!$BA$5:$BG$5,BW$177,APR!$BA19:$BG19)</f>
        <v>0</v>
      </c>
      <c r="BX282" s="230">
        <f>SUMIF(APR!$BA$5:$BG$5,BX$177,APR!$BA19:$BG19)</f>
        <v>0</v>
      </c>
      <c r="BY282" s="998">
        <f>SUMIF(APR!$BA$5:$BG$5,BY$177,APR!$BA19:$BG19)</f>
        <v>0</v>
      </c>
      <c r="CB282" s="252"/>
      <c r="CC282" s="61" t="e">
        <f t="shared" si="52"/>
        <v>#N/A</v>
      </c>
      <c r="CD282" s="61">
        <f t="shared" si="53"/>
        <v>0</v>
      </c>
      <c r="CE282" s="105" t="str">
        <f t="shared" si="46"/>
        <v/>
      </c>
      <c r="CF282" s="61" t="e">
        <f t="shared" si="54"/>
        <v>#N/A</v>
      </c>
      <c r="CG282" s="61" t="e">
        <f t="shared" si="55"/>
        <v>#N/A</v>
      </c>
      <c r="CH282" s="521">
        <f>APR!AL19-CW282+CR282</f>
        <v>0</v>
      </c>
      <c r="CI282" s="228">
        <f>SUMIF(APR!$G$121:$M$121,CI$178,APR!$AM19:$AS19)+SUMIF($CS$178:$CV$178,CI$178,$CS282:$CV282)</f>
        <v>0</v>
      </c>
      <c r="CJ282" s="229">
        <f>SUMIF(APR!$G$121:$M$121,CJ$178,APR!$AM19:$AS19)+SUMIF($CS$178:$CV$178,CJ$178,$CS282:$CV282)</f>
        <v>0</v>
      </c>
      <c r="CK282" s="230">
        <f>SUMIF(APR!$G$121:$M$121,CK$178,APR!$AM19:$AS19)+SUMIF($CS$178:$CV$178,CK$178,$CS282:$CV282)</f>
        <v>0</v>
      </c>
      <c r="CL282" s="230">
        <f>SUMIF(APR!$G$121:$M$121,CL$178,APR!$AM19:$AS19)+SUMIF($CS$178:$CV$178,CL$178,$CS282:$CV282)</f>
        <v>0</v>
      </c>
      <c r="CM282" s="230">
        <f>SUMIF(APR!$G$121:$M$121,CM$178,APR!$AM19:$AS19)+SUMIF($CS$178:$CV$178,CM$178,$CS282:$CV282)</f>
        <v>0</v>
      </c>
      <c r="CN282" s="230">
        <f>SUMIF(APR!$G$121:$M$121,CN$178,APR!$AM19:$AS19)+SUMIF($CS$178:$CV$178,CN$178,$CS282:$CV282)</f>
        <v>0</v>
      </c>
      <c r="CO282" s="230">
        <f>SUMIF(APR!$G$121:$M$121,CO$178,APR!$AM19:$AS19)+SUMIF($CS$178:$CV$178,CO$178,$CS282:$CV282)</f>
        <v>0</v>
      </c>
      <c r="CP282" s="230">
        <f>SUMIF(APR!$G$121:$M$121,CP$178,APR!$AM19:$AS19)+SUMIF($CS$178:$CV$178,CP$178,$CS282:$CV282)</f>
        <v>0</v>
      </c>
      <c r="CQ282" s="231">
        <f>SUMIF(APR!$G$121:$M$121,CQ$178,APR!$AM19:$AS19)+SUMIF($CS$178:$CV$178,CQ$178,$CS282:$CV282)</f>
        <v>0</v>
      </c>
      <c r="CR282" s="521">
        <f>APR!AU19</f>
        <v>0</v>
      </c>
      <c r="CS282" s="228">
        <f>APR!AV19</f>
        <v>0</v>
      </c>
      <c r="CT282" s="229">
        <f>APR!AW19</f>
        <v>0</v>
      </c>
      <c r="CU282" s="230">
        <f>APR!AX19</f>
        <v>0</v>
      </c>
      <c r="CV282" s="231">
        <f>APR!AY19</f>
        <v>0</v>
      </c>
      <c r="CW282" s="521">
        <f>SUM(APR!AU19:AY19)</f>
        <v>0</v>
      </c>
      <c r="CX282" s="521">
        <f>APR!AK19</f>
        <v>0</v>
      </c>
      <c r="CY282" s="2"/>
    </row>
    <row r="283" spans="1:103" ht="14.25" hidden="1" customHeight="1" x14ac:dyDescent="0.2">
      <c r="A283" s="2"/>
      <c r="B283" s="105">
        <f t="shared" si="56"/>
        <v>45395</v>
      </c>
      <c r="C283" s="146">
        <f>IF(AND(E283&gt;(E$560-1),E283&lt;(I$560+1)),W$551,IF(ISERROR(HLOOKUP(E283,$E$553:$L$553,1,FALSE)),HLOOKUP(WEEKDAY(E283,2),IMPOSTAZIONI!$C$52:$P$57,6,FALSE),$W$550))</f>
        <v>0</v>
      </c>
      <c r="D283" s="71" t="str">
        <f t="shared" si="57"/>
        <v/>
      </c>
      <c r="E283" s="2258">
        <f t="shared" si="62"/>
        <v>45395</v>
      </c>
      <c r="F283" s="2259"/>
      <c r="G283" s="2228" t="str">
        <f>APR!E20</f>
        <v xml:space="preserve">disattivato  </v>
      </c>
      <c r="H283" s="2229"/>
      <c r="I283" s="2230"/>
      <c r="J283" s="262" t="str">
        <f t="shared" si="47"/>
        <v/>
      </c>
      <c r="K283" s="263"/>
      <c r="L283" s="2217">
        <f t="shared" si="63"/>
        <v>15</v>
      </c>
      <c r="M283" s="2218"/>
      <c r="N283" s="261"/>
      <c r="O283" s="261"/>
      <c r="P283" s="261"/>
      <c r="Q283" s="2219">
        <f t="shared" si="58"/>
        <v>45395</v>
      </c>
      <c r="R283" s="2219"/>
      <c r="S283" s="261"/>
      <c r="T283" s="1173">
        <f t="shared" si="48"/>
        <v>1</v>
      </c>
      <c r="U283" s="261"/>
      <c r="V283" s="261"/>
      <c r="W283" s="261"/>
      <c r="X283" s="261"/>
      <c r="Y283" s="261"/>
      <c r="Z283" s="261"/>
      <c r="AA283" s="261"/>
      <c r="AB283" s="261"/>
      <c r="AC283" s="261"/>
      <c r="AD283" s="261"/>
      <c r="AE283" s="261"/>
      <c r="AF283" s="261"/>
      <c r="AG283" s="1173">
        <f t="shared" si="59"/>
        <v>0</v>
      </c>
      <c r="AH283" s="61" t="str">
        <f t="shared" si="60"/>
        <v/>
      </c>
      <c r="AI283" s="89" t="e">
        <f t="shared" si="61"/>
        <v>#N/A</v>
      </c>
      <c r="AJ283" s="2"/>
      <c r="AK283" s="61">
        <f>IF(G283=G$547,0,IF(OR(G283&lt;&gt;0,CH283&lt;&gt;0,C283="L"),COUNTIF(AK$180:AK282,"&gt;0")+1,0))</f>
        <v>0</v>
      </c>
      <c r="AL283" s="61" t="str">
        <f t="shared" si="49"/>
        <v/>
      </c>
      <c r="AM283" s="61" t="e">
        <f t="shared" si="50"/>
        <v>#N/A</v>
      </c>
      <c r="AN283" s="89" t="e">
        <f t="shared" si="51"/>
        <v>#N/A</v>
      </c>
      <c r="AO283" s="230">
        <f>SUM(APR!X20:AD20)-BD283+AY283</f>
        <v>0</v>
      </c>
      <c r="AP283" s="228">
        <f>SUMIF(APR!$G$121:$M$121,AP$178,APR!$P20:$V20)+SUMIF($AZ$178:$BC$178,AP$178,$AZ283:$BC283)</f>
        <v>0</v>
      </c>
      <c r="AQ283" s="229">
        <f>SUMIF(APR!$G$121:$M$121,AQ$178,APR!$P20:$V20)+SUMIF($AZ$178:$BC$178,AQ$178,$AZ283:$BC283)</f>
        <v>0</v>
      </c>
      <c r="AR283" s="230">
        <f>SUMIF(APR!$G$121:$M$121,AR$178,APR!$P20:$V20)+SUMIF($AZ$178:$BC$178,AR$178,$AZ283:$BC283)</f>
        <v>0</v>
      </c>
      <c r="AS283" s="230">
        <f>SUMIF(APR!$G$121:$M$121,AS$178,APR!$P20:$V20)+SUMIF($AZ$178:$BC$178,AS$178,$AZ283:$BC283)</f>
        <v>0</v>
      </c>
      <c r="AT283" s="230">
        <f>SUMIF(APR!$G$121:$M$121,AT$178,APR!$P20:$V20)+SUMIF($AZ$178:$BC$178,AT$178,$AZ283:$BC283)</f>
        <v>0</v>
      </c>
      <c r="AU283" s="230">
        <f>SUMIF(APR!$G$121:$M$121,AU$178,APR!$P20:$V20)+SUMIF($AZ$178:$BC$178,AU$178,$AZ283:$BC283)</f>
        <v>0</v>
      </c>
      <c r="AV283" s="230">
        <f>SUMIF(APR!$G$121:$M$121,AV$178,APR!$P20:$V20)+SUMIF($AZ$178:$BC$178,AV$178,$AZ283:$BC283)</f>
        <v>0</v>
      </c>
      <c r="AW283" s="230">
        <f>SUMIF(APR!$G$121:$M$121,AW$178,APR!$P20:$V20)+SUMIF($AZ$178:$BC$178,AW$178,$AZ283:$BC283)</f>
        <v>0</v>
      </c>
      <c r="AX283" s="231">
        <f>SUMIF(APR!$G$121:$M$121,AX$178,APR!$P20:$V20)+SUMIF($AZ$178:$BC$178,AX$178,$AZ283:$BC283)</f>
        <v>0</v>
      </c>
      <c r="AY283" s="232">
        <f>APR!AF20</f>
        <v>0</v>
      </c>
      <c r="AZ283" s="228">
        <f>APR!AG20</f>
        <v>0</v>
      </c>
      <c r="BA283" s="229">
        <f>APR!AH20</f>
        <v>0</v>
      </c>
      <c r="BB283" s="230">
        <f>APR!AI20</f>
        <v>0</v>
      </c>
      <c r="BC283" s="231">
        <f>APR!AJ20</f>
        <v>0</v>
      </c>
      <c r="BD283" s="228">
        <f>SUMIF(APR!$G$120:$M$120,"&gt;0",APR!$X20:$AD20)</f>
        <v>0</v>
      </c>
      <c r="BE283" s="696"/>
      <c r="BF283" s="228">
        <f>SUMIF(APR!$BA$6:$BG$6,BF$177,APR!$BA20:$BG20)</f>
        <v>0</v>
      </c>
      <c r="BG283" s="229">
        <f>SUMIF(APR!$BA$6:$BG$6,BG$177,APR!$BA20:$BG20)</f>
        <v>0</v>
      </c>
      <c r="BH283" s="229">
        <f>SUMIF(APR!$BA$6:$BG$6,BH$177,APR!$BA20:$BG20)</f>
        <v>0</v>
      </c>
      <c r="BI283" s="229">
        <f>SUMIF(APR!$BA$6:$BG$6,BI$177,APR!$BA20:$BG20)</f>
        <v>0</v>
      </c>
      <c r="BJ283" s="229">
        <f>SUMIF(APR!$BA$6:$BG$6,BJ$177,APR!$BA20:$BG20)</f>
        <v>0</v>
      </c>
      <c r="BK283" s="229">
        <f>SUMIF(APR!$BA$6:$BG$6,BK$177,APR!$BA20:$BG20)</f>
        <v>0</v>
      </c>
      <c r="BL283" s="229">
        <f>SUMIF(APR!$BA$6:$BG$6,BL$177,APR!$BA20:$BG20)</f>
        <v>0</v>
      </c>
      <c r="BM283" s="229">
        <f>SUMIF(APR!$BA$6:$BG$6,BM$177,APR!$BA20:$BG20)</f>
        <v>0</v>
      </c>
      <c r="BN283" s="229">
        <f>SUMIF(APR!$BA$6:$BG$6,BN$177,APR!$BA20:$BG20)</f>
        <v>0</v>
      </c>
      <c r="BO283" s="231">
        <f>SUMIF(APR!$BA$6:$BG$6,BO$177,APR!$BA20:$BG20)</f>
        <v>0</v>
      </c>
      <c r="BP283" s="231">
        <f>SUMIF(APR!$BA$6:$BG$6,BP$177,APR!$BA20:$BG20)</f>
        <v>0</v>
      </c>
      <c r="BQ283" s="252"/>
      <c r="BR283" s="228">
        <f>SUMIF(APR!$BA$5:$BG$5,BR$177,APR!$BA20:$BG20)</f>
        <v>0</v>
      </c>
      <c r="BS283" s="229">
        <f>SUMIF(APR!$BA$5:$BG$5,BS$177,APR!$BA20:$BG20)</f>
        <v>0</v>
      </c>
      <c r="BT283" s="229">
        <f>SUMIF(APR!$BA$5:$BG$5,BT$177,APR!$BA20:$BG20)</f>
        <v>0</v>
      </c>
      <c r="BU283" s="229">
        <f>SUMIF(APR!$BA$5:$BG$5,BU$177,APR!$BA20:$BG20)</f>
        <v>0</v>
      </c>
      <c r="BV283" s="229">
        <f>SUMIF(APR!$BA$5:$BG$5,BV$177,APR!$BA20:$BG20)</f>
        <v>0</v>
      </c>
      <c r="BW283" s="229">
        <f>SUMIF(APR!$BA$5:$BG$5,BW$177,APR!$BA20:$BG20)</f>
        <v>0</v>
      </c>
      <c r="BX283" s="230">
        <f>SUMIF(APR!$BA$5:$BG$5,BX$177,APR!$BA20:$BG20)</f>
        <v>0</v>
      </c>
      <c r="BY283" s="998">
        <f>SUMIF(APR!$BA$5:$BG$5,BY$177,APR!$BA20:$BG20)</f>
        <v>0</v>
      </c>
      <c r="CB283" s="252"/>
      <c r="CC283" s="61" t="e">
        <f t="shared" si="52"/>
        <v>#N/A</v>
      </c>
      <c r="CD283" s="61">
        <f t="shared" si="53"/>
        <v>0</v>
      </c>
      <c r="CE283" s="105" t="str">
        <f t="shared" si="46"/>
        <v/>
      </c>
      <c r="CF283" s="61" t="e">
        <f t="shared" si="54"/>
        <v>#N/A</v>
      </c>
      <c r="CG283" s="61" t="e">
        <f t="shared" si="55"/>
        <v>#N/A</v>
      </c>
      <c r="CH283" s="521">
        <f>APR!AL20-CW283+CR283</f>
        <v>0</v>
      </c>
      <c r="CI283" s="228">
        <f>SUMIF(APR!$G$121:$M$121,CI$178,APR!$AM20:$AS20)+SUMIF($CS$178:$CV$178,CI$178,$CS283:$CV283)</f>
        <v>0</v>
      </c>
      <c r="CJ283" s="229">
        <f>SUMIF(APR!$G$121:$M$121,CJ$178,APR!$AM20:$AS20)+SUMIF($CS$178:$CV$178,CJ$178,$CS283:$CV283)</f>
        <v>0</v>
      </c>
      <c r="CK283" s="230">
        <f>SUMIF(APR!$G$121:$M$121,CK$178,APR!$AM20:$AS20)+SUMIF($CS$178:$CV$178,CK$178,$CS283:$CV283)</f>
        <v>0</v>
      </c>
      <c r="CL283" s="230">
        <f>SUMIF(APR!$G$121:$M$121,CL$178,APR!$AM20:$AS20)+SUMIF($CS$178:$CV$178,CL$178,$CS283:$CV283)</f>
        <v>0</v>
      </c>
      <c r="CM283" s="230">
        <f>SUMIF(APR!$G$121:$M$121,CM$178,APR!$AM20:$AS20)+SUMIF($CS$178:$CV$178,CM$178,$CS283:$CV283)</f>
        <v>0</v>
      </c>
      <c r="CN283" s="230">
        <f>SUMIF(APR!$G$121:$M$121,CN$178,APR!$AM20:$AS20)+SUMIF($CS$178:$CV$178,CN$178,$CS283:$CV283)</f>
        <v>0</v>
      </c>
      <c r="CO283" s="230">
        <f>SUMIF(APR!$G$121:$M$121,CO$178,APR!$AM20:$AS20)+SUMIF($CS$178:$CV$178,CO$178,$CS283:$CV283)</f>
        <v>0</v>
      </c>
      <c r="CP283" s="230">
        <f>SUMIF(APR!$G$121:$M$121,CP$178,APR!$AM20:$AS20)+SUMIF($CS$178:$CV$178,CP$178,$CS283:$CV283)</f>
        <v>0</v>
      </c>
      <c r="CQ283" s="231">
        <f>SUMIF(APR!$G$121:$M$121,CQ$178,APR!$AM20:$AS20)+SUMIF($CS$178:$CV$178,CQ$178,$CS283:$CV283)</f>
        <v>0</v>
      </c>
      <c r="CR283" s="521">
        <f>APR!AU20</f>
        <v>0</v>
      </c>
      <c r="CS283" s="228">
        <f>APR!AV20</f>
        <v>0</v>
      </c>
      <c r="CT283" s="229">
        <f>APR!AW20</f>
        <v>0</v>
      </c>
      <c r="CU283" s="230">
        <f>APR!AX20</f>
        <v>0</v>
      </c>
      <c r="CV283" s="231">
        <f>APR!AY20</f>
        <v>0</v>
      </c>
      <c r="CW283" s="521">
        <f>SUM(APR!AU20:AY20)</f>
        <v>0</v>
      </c>
      <c r="CX283" s="521">
        <f>APR!AK20</f>
        <v>0</v>
      </c>
      <c r="CY283" s="2"/>
    </row>
    <row r="284" spans="1:103" ht="14.25" hidden="1" customHeight="1" x14ac:dyDescent="0.2">
      <c r="A284" s="2"/>
      <c r="B284" s="105">
        <f t="shared" si="56"/>
        <v>45396</v>
      </c>
      <c r="C284" s="146">
        <f>IF(AND(E284&gt;(E$560-1),E284&lt;(I$560+1)),W$551,IF(ISERROR(HLOOKUP(E284,$E$553:$L$553,1,FALSE)),HLOOKUP(WEEKDAY(E284,2),IMPOSTAZIONI!$C$52:$P$57,6,FALSE),$W$550))</f>
        <v>0</v>
      </c>
      <c r="D284" s="71" t="str">
        <f t="shared" si="57"/>
        <v/>
      </c>
      <c r="E284" s="2258">
        <f t="shared" si="62"/>
        <v>45396</v>
      </c>
      <c r="F284" s="2259"/>
      <c r="G284" s="2228" t="str">
        <f>APR!E21</f>
        <v xml:space="preserve">disattivato  </v>
      </c>
      <c r="H284" s="2229"/>
      <c r="I284" s="2230"/>
      <c r="J284" s="262" t="str">
        <f t="shared" si="47"/>
        <v/>
      </c>
      <c r="K284" s="263"/>
      <c r="L284" s="2220">
        <f t="shared" si="63"/>
        <v>15</v>
      </c>
      <c r="M284" s="2221"/>
      <c r="N284" s="261"/>
      <c r="O284" s="261"/>
      <c r="P284" s="261"/>
      <c r="Q284" s="2219">
        <f t="shared" si="58"/>
        <v>45396</v>
      </c>
      <c r="R284" s="2219"/>
      <c r="S284" s="261"/>
      <c r="T284" s="1173">
        <f t="shared" si="48"/>
        <v>1</v>
      </c>
      <c r="U284" s="261"/>
      <c r="V284" s="261"/>
      <c r="W284" s="261"/>
      <c r="X284" s="261"/>
      <c r="Y284" s="261"/>
      <c r="Z284" s="261"/>
      <c r="AA284" s="261"/>
      <c r="AB284" s="261"/>
      <c r="AC284" s="261"/>
      <c r="AD284" s="261"/>
      <c r="AE284" s="261"/>
      <c r="AF284" s="261"/>
      <c r="AG284" s="1173">
        <f t="shared" si="59"/>
        <v>0</v>
      </c>
      <c r="AH284" s="61" t="str">
        <f t="shared" si="60"/>
        <v/>
      </c>
      <c r="AI284" s="89" t="e">
        <f t="shared" si="61"/>
        <v>#N/A</v>
      </c>
      <c r="AJ284" s="2"/>
      <c r="AK284" s="61">
        <f>IF(G284=G$547,0,IF(OR(G284&lt;&gt;0,CH284&lt;&gt;0,C284="L"),COUNTIF(AK$180:AK283,"&gt;0")+1,0))</f>
        <v>0</v>
      </c>
      <c r="AL284" s="61" t="str">
        <f t="shared" si="49"/>
        <v/>
      </c>
      <c r="AM284" s="61" t="e">
        <f t="shared" si="50"/>
        <v>#N/A</v>
      </c>
      <c r="AN284" s="89" t="e">
        <f t="shared" si="51"/>
        <v>#N/A</v>
      </c>
      <c r="AO284" s="230">
        <f>SUM(APR!X21:AD21)-BD284+AY284</f>
        <v>0</v>
      </c>
      <c r="AP284" s="228">
        <f>SUMIF(APR!$G$121:$M$121,AP$178,APR!$P21:$V21)+SUMIF($AZ$178:$BC$178,AP$178,$AZ284:$BC284)</f>
        <v>0</v>
      </c>
      <c r="AQ284" s="229">
        <f>SUMIF(APR!$G$121:$M$121,AQ$178,APR!$P21:$V21)+SUMIF($AZ$178:$BC$178,AQ$178,$AZ284:$BC284)</f>
        <v>0</v>
      </c>
      <c r="AR284" s="230">
        <f>SUMIF(APR!$G$121:$M$121,AR$178,APR!$P21:$V21)+SUMIF($AZ$178:$BC$178,AR$178,$AZ284:$BC284)</f>
        <v>0</v>
      </c>
      <c r="AS284" s="230">
        <f>SUMIF(APR!$G$121:$M$121,AS$178,APR!$P21:$V21)+SUMIF($AZ$178:$BC$178,AS$178,$AZ284:$BC284)</f>
        <v>0</v>
      </c>
      <c r="AT284" s="230">
        <f>SUMIF(APR!$G$121:$M$121,AT$178,APR!$P21:$V21)+SUMIF($AZ$178:$BC$178,AT$178,$AZ284:$BC284)</f>
        <v>0</v>
      </c>
      <c r="AU284" s="230">
        <f>SUMIF(APR!$G$121:$M$121,AU$178,APR!$P21:$V21)+SUMIF($AZ$178:$BC$178,AU$178,$AZ284:$BC284)</f>
        <v>0</v>
      </c>
      <c r="AV284" s="230">
        <f>SUMIF(APR!$G$121:$M$121,AV$178,APR!$P21:$V21)+SUMIF($AZ$178:$BC$178,AV$178,$AZ284:$BC284)</f>
        <v>0</v>
      </c>
      <c r="AW284" s="230">
        <f>SUMIF(APR!$G$121:$M$121,AW$178,APR!$P21:$V21)+SUMIF($AZ$178:$BC$178,AW$178,$AZ284:$BC284)</f>
        <v>0</v>
      </c>
      <c r="AX284" s="231">
        <f>SUMIF(APR!$G$121:$M$121,AX$178,APR!$P21:$V21)+SUMIF($AZ$178:$BC$178,AX$178,$AZ284:$BC284)</f>
        <v>0</v>
      </c>
      <c r="AY284" s="232">
        <f>APR!AF21</f>
        <v>0</v>
      </c>
      <c r="AZ284" s="228">
        <f>APR!AG21</f>
        <v>0</v>
      </c>
      <c r="BA284" s="229">
        <f>APR!AH21</f>
        <v>0</v>
      </c>
      <c r="BB284" s="230">
        <f>APR!AI21</f>
        <v>0</v>
      </c>
      <c r="BC284" s="231">
        <f>APR!AJ21</f>
        <v>0</v>
      </c>
      <c r="BD284" s="228">
        <f>SUMIF(APR!$G$120:$M$120,"&gt;0",APR!$X21:$AD21)</f>
        <v>0</v>
      </c>
      <c r="BE284" s="696"/>
      <c r="BF284" s="228">
        <f>SUMIF(APR!$BA$6:$BG$6,BF$177,APR!$BA21:$BG21)</f>
        <v>0</v>
      </c>
      <c r="BG284" s="229">
        <f>SUMIF(APR!$BA$6:$BG$6,BG$177,APR!$BA21:$BG21)</f>
        <v>0</v>
      </c>
      <c r="BH284" s="229">
        <f>SUMIF(APR!$BA$6:$BG$6,BH$177,APR!$BA21:$BG21)</f>
        <v>0</v>
      </c>
      <c r="BI284" s="229">
        <f>SUMIF(APR!$BA$6:$BG$6,BI$177,APR!$BA21:$BG21)</f>
        <v>0</v>
      </c>
      <c r="BJ284" s="229">
        <f>SUMIF(APR!$BA$6:$BG$6,BJ$177,APR!$BA21:$BG21)</f>
        <v>0</v>
      </c>
      <c r="BK284" s="229">
        <f>SUMIF(APR!$BA$6:$BG$6,BK$177,APR!$BA21:$BG21)</f>
        <v>0</v>
      </c>
      <c r="BL284" s="229">
        <f>SUMIF(APR!$BA$6:$BG$6,BL$177,APR!$BA21:$BG21)</f>
        <v>0</v>
      </c>
      <c r="BM284" s="229">
        <f>SUMIF(APR!$BA$6:$BG$6,BM$177,APR!$BA21:$BG21)</f>
        <v>0</v>
      </c>
      <c r="BN284" s="229">
        <f>SUMIF(APR!$BA$6:$BG$6,BN$177,APR!$BA21:$BG21)</f>
        <v>0</v>
      </c>
      <c r="BO284" s="231">
        <f>SUMIF(APR!$BA$6:$BG$6,BO$177,APR!$BA21:$BG21)</f>
        <v>0</v>
      </c>
      <c r="BP284" s="231">
        <f>SUMIF(APR!$BA$6:$BG$6,BP$177,APR!$BA21:$BG21)</f>
        <v>0</v>
      </c>
      <c r="BQ284" s="252"/>
      <c r="BR284" s="228">
        <f>SUMIF(APR!$BA$5:$BG$5,BR$177,APR!$BA21:$BG21)</f>
        <v>0</v>
      </c>
      <c r="BS284" s="229">
        <f>SUMIF(APR!$BA$5:$BG$5,BS$177,APR!$BA21:$BG21)</f>
        <v>0</v>
      </c>
      <c r="BT284" s="229">
        <f>SUMIF(APR!$BA$5:$BG$5,BT$177,APR!$BA21:$BG21)</f>
        <v>0</v>
      </c>
      <c r="BU284" s="229">
        <f>SUMIF(APR!$BA$5:$BG$5,BU$177,APR!$BA21:$BG21)</f>
        <v>0</v>
      </c>
      <c r="BV284" s="229">
        <f>SUMIF(APR!$BA$5:$BG$5,BV$177,APR!$BA21:$BG21)</f>
        <v>0</v>
      </c>
      <c r="BW284" s="229">
        <f>SUMIF(APR!$BA$5:$BG$5,BW$177,APR!$BA21:$BG21)</f>
        <v>0</v>
      </c>
      <c r="BX284" s="230">
        <f>SUMIF(APR!$BA$5:$BG$5,BX$177,APR!$BA21:$BG21)</f>
        <v>0</v>
      </c>
      <c r="BY284" s="998">
        <f>SUMIF(APR!$BA$5:$BG$5,BY$177,APR!$BA21:$BG21)</f>
        <v>0</v>
      </c>
      <c r="CB284" s="252"/>
      <c r="CC284" s="61" t="e">
        <f t="shared" si="52"/>
        <v>#N/A</v>
      </c>
      <c r="CD284" s="61">
        <f t="shared" si="53"/>
        <v>0</v>
      </c>
      <c r="CE284" s="105" t="str">
        <f t="shared" si="46"/>
        <v/>
      </c>
      <c r="CF284" s="61" t="e">
        <f t="shared" si="54"/>
        <v>#N/A</v>
      </c>
      <c r="CG284" s="61" t="e">
        <f t="shared" si="55"/>
        <v>#N/A</v>
      </c>
      <c r="CH284" s="521">
        <f>APR!AL21-CW284+CR284</f>
        <v>0</v>
      </c>
      <c r="CI284" s="228">
        <f>SUMIF(APR!$G$121:$M$121,CI$178,APR!$AM21:$AS21)+SUMIF($CS$178:$CV$178,CI$178,$CS284:$CV284)</f>
        <v>0</v>
      </c>
      <c r="CJ284" s="229">
        <f>SUMIF(APR!$G$121:$M$121,CJ$178,APR!$AM21:$AS21)+SUMIF($CS$178:$CV$178,CJ$178,$CS284:$CV284)</f>
        <v>0</v>
      </c>
      <c r="CK284" s="230">
        <f>SUMIF(APR!$G$121:$M$121,CK$178,APR!$AM21:$AS21)+SUMIF($CS$178:$CV$178,CK$178,$CS284:$CV284)</f>
        <v>0</v>
      </c>
      <c r="CL284" s="230">
        <f>SUMIF(APR!$G$121:$M$121,CL$178,APR!$AM21:$AS21)+SUMIF($CS$178:$CV$178,CL$178,$CS284:$CV284)</f>
        <v>0</v>
      </c>
      <c r="CM284" s="230">
        <f>SUMIF(APR!$G$121:$M$121,CM$178,APR!$AM21:$AS21)+SUMIF($CS$178:$CV$178,CM$178,$CS284:$CV284)</f>
        <v>0</v>
      </c>
      <c r="CN284" s="230">
        <f>SUMIF(APR!$G$121:$M$121,CN$178,APR!$AM21:$AS21)+SUMIF($CS$178:$CV$178,CN$178,$CS284:$CV284)</f>
        <v>0</v>
      </c>
      <c r="CO284" s="230">
        <f>SUMIF(APR!$G$121:$M$121,CO$178,APR!$AM21:$AS21)+SUMIF($CS$178:$CV$178,CO$178,$CS284:$CV284)</f>
        <v>0</v>
      </c>
      <c r="CP284" s="230">
        <f>SUMIF(APR!$G$121:$M$121,CP$178,APR!$AM21:$AS21)+SUMIF($CS$178:$CV$178,CP$178,$CS284:$CV284)</f>
        <v>0</v>
      </c>
      <c r="CQ284" s="231">
        <f>SUMIF(APR!$G$121:$M$121,CQ$178,APR!$AM21:$AS21)+SUMIF($CS$178:$CV$178,CQ$178,$CS284:$CV284)</f>
        <v>0</v>
      </c>
      <c r="CR284" s="521">
        <f>APR!AU21</f>
        <v>0</v>
      </c>
      <c r="CS284" s="228">
        <f>APR!AV21</f>
        <v>0</v>
      </c>
      <c r="CT284" s="229">
        <f>APR!AW21</f>
        <v>0</v>
      </c>
      <c r="CU284" s="230">
        <f>APR!AX21</f>
        <v>0</v>
      </c>
      <c r="CV284" s="231">
        <f>APR!AY21</f>
        <v>0</v>
      </c>
      <c r="CW284" s="521">
        <f>SUM(APR!AU21:AY21)</f>
        <v>0</v>
      </c>
      <c r="CX284" s="521">
        <f>APR!AK21</f>
        <v>0</v>
      </c>
      <c r="CY284" s="2"/>
    </row>
    <row r="285" spans="1:103" ht="14.25" hidden="1" customHeight="1" x14ac:dyDescent="0.2">
      <c r="A285" s="2"/>
      <c r="B285" s="105">
        <f t="shared" si="56"/>
        <v>45397</v>
      </c>
      <c r="C285" s="146">
        <f>IF(AND(E285&gt;(E$560-1),E285&lt;(I$560+1)),W$551,IF(ISERROR(HLOOKUP(E285,$E$553:$L$553,1,FALSE)),HLOOKUP(WEEKDAY(E285,2),IMPOSTAZIONI!$C$52:$P$57,6,FALSE),$W$550))</f>
        <v>0</v>
      </c>
      <c r="D285" s="71" t="str">
        <f t="shared" si="57"/>
        <v/>
      </c>
      <c r="E285" s="2258">
        <f t="shared" si="62"/>
        <v>45397</v>
      </c>
      <c r="F285" s="2259"/>
      <c r="G285" s="2228" t="str">
        <f>APR!E22</f>
        <v xml:space="preserve">disattivato  </v>
      </c>
      <c r="H285" s="2229"/>
      <c r="I285" s="2230"/>
      <c r="J285" s="262" t="str">
        <f t="shared" si="47"/>
        <v/>
      </c>
      <c r="K285" s="263"/>
      <c r="L285" s="2222">
        <f t="shared" si="63"/>
        <v>16</v>
      </c>
      <c r="M285" s="2223"/>
      <c r="N285" s="261"/>
      <c r="O285" s="261"/>
      <c r="P285" s="261"/>
      <c r="Q285" s="2219">
        <f t="shared" si="58"/>
        <v>45397</v>
      </c>
      <c r="R285" s="2219"/>
      <c r="S285" s="261"/>
      <c r="T285" s="1173">
        <f t="shared" si="48"/>
        <v>1</v>
      </c>
      <c r="U285" s="261"/>
      <c r="V285" s="261"/>
      <c r="W285" s="261"/>
      <c r="X285" s="261"/>
      <c r="Y285" s="261"/>
      <c r="Z285" s="261"/>
      <c r="AA285" s="261"/>
      <c r="AB285" s="261"/>
      <c r="AC285" s="261"/>
      <c r="AD285" s="261"/>
      <c r="AE285" s="261"/>
      <c r="AF285" s="261"/>
      <c r="AG285" s="1173">
        <f t="shared" si="59"/>
        <v>0</v>
      </c>
      <c r="AH285" s="61" t="str">
        <f t="shared" si="60"/>
        <v/>
      </c>
      <c r="AI285" s="89" t="e">
        <f t="shared" si="61"/>
        <v>#N/A</v>
      </c>
      <c r="AJ285" s="2"/>
      <c r="AK285" s="61">
        <f>IF(G285=G$547,0,IF(OR(G285&lt;&gt;0,CH285&lt;&gt;0,C285="L"),COUNTIF(AK$180:AK284,"&gt;0")+1,0))</f>
        <v>0</v>
      </c>
      <c r="AL285" s="61" t="str">
        <f t="shared" si="49"/>
        <v/>
      </c>
      <c r="AM285" s="61" t="e">
        <f t="shared" si="50"/>
        <v>#N/A</v>
      </c>
      <c r="AN285" s="89" t="e">
        <f t="shared" si="51"/>
        <v>#N/A</v>
      </c>
      <c r="AO285" s="230">
        <f>SUM(APR!X22:AD22)-BD285+AY285</f>
        <v>0</v>
      </c>
      <c r="AP285" s="228">
        <f>SUMIF(APR!$G$121:$M$121,AP$178,APR!$P22:$V22)+SUMIF($AZ$178:$BC$178,AP$178,$AZ285:$BC285)</f>
        <v>0</v>
      </c>
      <c r="AQ285" s="229">
        <f>SUMIF(APR!$G$121:$M$121,AQ$178,APR!$P22:$V22)+SUMIF($AZ$178:$BC$178,AQ$178,$AZ285:$BC285)</f>
        <v>0</v>
      </c>
      <c r="AR285" s="230">
        <f>SUMIF(APR!$G$121:$M$121,AR$178,APR!$P22:$V22)+SUMIF($AZ$178:$BC$178,AR$178,$AZ285:$BC285)</f>
        <v>0</v>
      </c>
      <c r="AS285" s="230">
        <f>SUMIF(APR!$G$121:$M$121,AS$178,APR!$P22:$V22)+SUMIF($AZ$178:$BC$178,AS$178,$AZ285:$BC285)</f>
        <v>0</v>
      </c>
      <c r="AT285" s="230">
        <f>SUMIF(APR!$G$121:$M$121,AT$178,APR!$P22:$V22)+SUMIF($AZ$178:$BC$178,AT$178,$AZ285:$BC285)</f>
        <v>0</v>
      </c>
      <c r="AU285" s="230">
        <f>SUMIF(APR!$G$121:$M$121,AU$178,APR!$P22:$V22)+SUMIF($AZ$178:$BC$178,AU$178,$AZ285:$BC285)</f>
        <v>0</v>
      </c>
      <c r="AV285" s="230">
        <f>SUMIF(APR!$G$121:$M$121,AV$178,APR!$P22:$V22)+SUMIF($AZ$178:$BC$178,AV$178,$AZ285:$BC285)</f>
        <v>0</v>
      </c>
      <c r="AW285" s="230">
        <f>SUMIF(APR!$G$121:$M$121,AW$178,APR!$P22:$V22)+SUMIF($AZ$178:$BC$178,AW$178,$AZ285:$BC285)</f>
        <v>0</v>
      </c>
      <c r="AX285" s="231">
        <f>SUMIF(APR!$G$121:$M$121,AX$178,APR!$P22:$V22)+SUMIF($AZ$178:$BC$178,AX$178,$AZ285:$BC285)</f>
        <v>0</v>
      </c>
      <c r="AY285" s="232">
        <f>APR!AF22</f>
        <v>0</v>
      </c>
      <c r="AZ285" s="228">
        <f>APR!AG22</f>
        <v>0</v>
      </c>
      <c r="BA285" s="229">
        <f>APR!AH22</f>
        <v>0</v>
      </c>
      <c r="BB285" s="230">
        <f>APR!AI22</f>
        <v>0</v>
      </c>
      <c r="BC285" s="231">
        <f>APR!AJ22</f>
        <v>0</v>
      </c>
      <c r="BD285" s="228">
        <f>SUMIF(APR!$G$120:$M$120,"&gt;0",APR!$X22:$AD22)</f>
        <v>0</v>
      </c>
      <c r="BE285" s="696"/>
      <c r="BF285" s="228">
        <f>SUMIF(APR!$BA$6:$BG$6,BF$177,APR!$BA22:$BG22)</f>
        <v>0</v>
      </c>
      <c r="BG285" s="229">
        <f>SUMIF(APR!$BA$6:$BG$6,BG$177,APR!$BA22:$BG22)</f>
        <v>0</v>
      </c>
      <c r="BH285" s="229">
        <f>SUMIF(APR!$BA$6:$BG$6,BH$177,APR!$BA22:$BG22)</f>
        <v>0</v>
      </c>
      <c r="BI285" s="229">
        <f>SUMIF(APR!$BA$6:$BG$6,BI$177,APR!$BA22:$BG22)</f>
        <v>0</v>
      </c>
      <c r="BJ285" s="229">
        <f>SUMIF(APR!$BA$6:$BG$6,BJ$177,APR!$BA22:$BG22)</f>
        <v>0</v>
      </c>
      <c r="BK285" s="229">
        <f>SUMIF(APR!$BA$6:$BG$6,BK$177,APR!$BA22:$BG22)</f>
        <v>0</v>
      </c>
      <c r="BL285" s="229">
        <f>SUMIF(APR!$BA$6:$BG$6,BL$177,APR!$BA22:$BG22)</f>
        <v>0</v>
      </c>
      <c r="BM285" s="229">
        <f>SUMIF(APR!$BA$6:$BG$6,BM$177,APR!$BA22:$BG22)</f>
        <v>0</v>
      </c>
      <c r="BN285" s="229">
        <f>SUMIF(APR!$BA$6:$BG$6,BN$177,APR!$BA22:$BG22)</f>
        <v>0</v>
      </c>
      <c r="BO285" s="231">
        <f>SUMIF(APR!$BA$6:$BG$6,BO$177,APR!$BA22:$BG22)</f>
        <v>0</v>
      </c>
      <c r="BP285" s="231">
        <f>SUMIF(APR!$BA$6:$BG$6,BP$177,APR!$BA22:$BG22)</f>
        <v>0</v>
      </c>
      <c r="BQ285" s="252"/>
      <c r="BR285" s="228">
        <f>SUMIF(APR!$BA$5:$BG$5,BR$177,APR!$BA22:$BG22)</f>
        <v>0</v>
      </c>
      <c r="BS285" s="229">
        <f>SUMIF(APR!$BA$5:$BG$5,BS$177,APR!$BA22:$BG22)</f>
        <v>0</v>
      </c>
      <c r="BT285" s="229">
        <f>SUMIF(APR!$BA$5:$BG$5,BT$177,APR!$BA22:$BG22)</f>
        <v>0</v>
      </c>
      <c r="BU285" s="229">
        <f>SUMIF(APR!$BA$5:$BG$5,BU$177,APR!$BA22:$BG22)</f>
        <v>0</v>
      </c>
      <c r="BV285" s="229">
        <f>SUMIF(APR!$BA$5:$BG$5,BV$177,APR!$BA22:$BG22)</f>
        <v>0</v>
      </c>
      <c r="BW285" s="229">
        <f>SUMIF(APR!$BA$5:$BG$5,BW$177,APR!$BA22:$BG22)</f>
        <v>0</v>
      </c>
      <c r="BX285" s="230">
        <f>SUMIF(APR!$BA$5:$BG$5,BX$177,APR!$BA22:$BG22)</f>
        <v>0</v>
      </c>
      <c r="BY285" s="998">
        <f>SUMIF(APR!$BA$5:$BG$5,BY$177,APR!$BA22:$BG22)</f>
        <v>0</v>
      </c>
      <c r="CB285" s="252"/>
      <c r="CC285" s="61" t="e">
        <f t="shared" si="52"/>
        <v>#N/A</v>
      </c>
      <c r="CD285" s="61">
        <f t="shared" si="53"/>
        <v>0</v>
      </c>
      <c r="CE285" s="105" t="str">
        <f t="shared" si="46"/>
        <v/>
      </c>
      <c r="CF285" s="61" t="e">
        <f t="shared" si="54"/>
        <v>#N/A</v>
      </c>
      <c r="CG285" s="61" t="e">
        <f t="shared" si="55"/>
        <v>#N/A</v>
      </c>
      <c r="CH285" s="521">
        <f>APR!AL22-CW285+CR285</f>
        <v>0</v>
      </c>
      <c r="CI285" s="228">
        <f>SUMIF(APR!$G$121:$M$121,CI$178,APR!$AM22:$AS22)+SUMIF($CS$178:$CV$178,CI$178,$CS285:$CV285)</f>
        <v>0</v>
      </c>
      <c r="CJ285" s="229">
        <f>SUMIF(APR!$G$121:$M$121,CJ$178,APR!$AM22:$AS22)+SUMIF($CS$178:$CV$178,CJ$178,$CS285:$CV285)</f>
        <v>0</v>
      </c>
      <c r="CK285" s="230">
        <f>SUMIF(APR!$G$121:$M$121,CK$178,APR!$AM22:$AS22)+SUMIF($CS$178:$CV$178,CK$178,$CS285:$CV285)</f>
        <v>0</v>
      </c>
      <c r="CL285" s="230">
        <f>SUMIF(APR!$G$121:$M$121,CL$178,APR!$AM22:$AS22)+SUMIF($CS$178:$CV$178,CL$178,$CS285:$CV285)</f>
        <v>0</v>
      </c>
      <c r="CM285" s="230">
        <f>SUMIF(APR!$G$121:$M$121,CM$178,APR!$AM22:$AS22)+SUMIF($CS$178:$CV$178,CM$178,$CS285:$CV285)</f>
        <v>0</v>
      </c>
      <c r="CN285" s="230">
        <f>SUMIF(APR!$G$121:$M$121,CN$178,APR!$AM22:$AS22)+SUMIF($CS$178:$CV$178,CN$178,$CS285:$CV285)</f>
        <v>0</v>
      </c>
      <c r="CO285" s="230">
        <f>SUMIF(APR!$G$121:$M$121,CO$178,APR!$AM22:$AS22)+SUMIF($CS$178:$CV$178,CO$178,$CS285:$CV285)</f>
        <v>0</v>
      </c>
      <c r="CP285" s="230">
        <f>SUMIF(APR!$G$121:$M$121,CP$178,APR!$AM22:$AS22)+SUMIF($CS$178:$CV$178,CP$178,$CS285:$CV285)</f>
        <v>0</v>
      </c>
      <c r="CQ285" s="231">
        <f>SUMIF(APR!$G$121:$M$121,CQ$178,APR!$AM22:$AS22)+SUMIF($CS$178:$CV$178,CQ$178,$CS285:$CV285)</f>
        <v>0</v>
      </c>
      <c r="CR285" s="521">
        <f>APR!AU22</f>
        <v>0</v>
      </c>
      <c r="CS285" s="228">
        <f>APR!AV22</f>
        <v>0</v>
      </c>
      <c r="CT285" s="229">
        <f>APR!AW22</f>
        <v>0</v>
      </c>
      <c r="CU285" s="230">
        <f>APR!AX22</f>
        <v>0</v>
      </c>
      <c r="CV285" s="231">
        <f>APR!AY22</f>
        <v>0</v>
      </c>
      <c r="CW285" s="521">
        <f>SUM(APR!AU22:AY22)</f>
        <v>0</v>
      </c>
      <c r="CX285" s="521">
        <f>APR!AK22</f>
        <v>0</v>
      </c>
      <c r="CY285" s="2"/>
    </row>
    <row r="286" spans="1:103" ht="14.25" hidden="1" customHeight="1" x14ac:dyDescent="0.2">
      <c r="A286" s="2"/>
      <c r="B286" s="105">
        <f t="shared" si="56"/>
        <v>45398</v>
      </c>
      <c r="C286" s="146">
        <f>IF(AND(E286&gt;(E$560-1),E286&lt;(I$560+1)),W$551,IF(ISERROR(HLOOKUP(E286,$E$553:$L$553,1,FALSE)),HLOOKUP(WEEKDAY(E286,2),IMPOSTAZIONI!$C$52:$P$57,6,FALSE),$W$550))</f>
        <v>0</v>
      </c>
      <c r="D286" s="71" t="str">
        <f t="shared" si="57"/>
        <v/>
      </c>
      <c r="E286" s="2258">
        <f t="shared" si="62"/>
        <v>45398</v>
      </c>
      <c r="F286" s="2259"/>
      <c r="G286" s="2228" t="str">
        <f>APR!E23</f>
        <v xml:space="preserve">disattivato  </v>
      </c>
      <c r="H286" s="2229"/>
      <c r="I286" s="2230"/>
      <c r="J286" s="262" t="str">
        <f t="shared" si="47"/>
        <v/>
      </c>
      <c r="K286" s="263"/>
      <c r="L286" s="2217">
        <f t="shared" si="63"/>
        <v>16</v>
      </c>
      <c r="M286" s="2218"/>
      <c r="N286" s="261"/>
      <c r="O286" s="261"/>
      <c r="P286" s="261"/>
      <c r="Q286" s="2219">
        <f t="shared" si="58"/>
        <v>45398</v>
      </c>
      <c r="R286" s="2219"/>
      <c r="S286" s="261"/>
      <c r="T286" s="1173">
        <f t="shared" si="48"/>
        <v>1</v>
      </c>
      <c r="U286" s="261"/>
      <c r="V286" s="261"/>
      <c r="W286" s="261"/>
      <c r="X286" s="261"/>
      <c r="Y286" s="261"/>
      <c r="Z286" s="261"/>
      <c r="AA286" s="261"/>
      <c r="AB286" s="261"/>
      <c r="AC286" s="261"/>
      <c r="AD286" s="261"/>
      <c r="AE286" s="261"/>
      <c r="AF286" s="261"/>
      <c r="AG286" s="1173">
        <f t="shared" si="59"/>
        <v>0</v>
      </c>
      <c r="AH286" s="61" t="str">
        <f t="shared" si="60"/>
        <v/>
      </c>
      <c r="AI286" s="89" t="e">
        <f t="shared" si="61"/>
        <v>#N/A</v>
      </c>
      <c r="AJ286" s="2"/>
      <c r="AK286" s="61">
        <f>IF(G286=G$547,0,IF(OR(G286&lt;&gt;0,CH286&lt;&gt;0,C286="L"),COUNTIF(AK$180:AK285,"&gt;0")+1,0))</f>
        <v>0</v>
      </c>
      <c r="AL286" s="61" t="str">
        <f t="shared" si="49"/>
        <v/>
      </c>
      <c r="AM286" s="61" t="e">
        <f t="shared" si="50"/>
        <v>#N/A</v>
      </c>
      <c r="AN286" s="89" t="e">
        <f t="shared" si="51"/>
        <v>#N/A</v>
      </c>
      <c r="AO286" s="230">
        <f>SUM(APR!X23:AD23)-BD286+AY286</f>
        <v>0</v>
      </c>
      <c r="AP286" s="228">
        <f>SUMIF(APR!$G$121:$M$121,AP$178,APR!$P23:$V23)+SUMIF($AZ$178:$BC$178,AP$178,$AZ286:$BC286)</f>
        <v>0</v>
      </c>
      <c r="AQ286" s="229">
        <f>SUMIF(APR!$G$121:$M$121,AQ$178,APR!$P23:$V23)+SUMIF($AZ$178:$BC$178,AQ$178,$AZ286:$BC286)</f>
        <v>0</v>
      </c>
      <c r="AR286" s="230">
        <f>SUMIF(APR!$G$121:$M$121,AR$178,APR!$P23:$V23)+SUMIF($AZ$178:$BC$178,AR$178,$AZ286:$BC286)</f>
        <v>0</v>
      </c>
      <c r="AS286" s="230">
        <f>SUMIF(APR!$G$121:$M$121,AS$178,APR!$P23:$V23)+SUMIF($AZ$178:$BC$178,AS$178,$AZ286:$BC286)</f>
        <v>0</v>
      </c>
      <c r="AT286" s="230">
        <f>SUMIF(APR!$G$121:$M$121,AT$178,APR!$P23:$V23)+SUMIF($AZ$178:$BC$178,AT$178,$AZ286:$BC286)</f>
        <v>0</v>
      </c>
      <c r="AU286" s="230">
        <f>SUMIF(APR!$G$121:$M$121,AU$178,APR!$P23:$V23)+SUMIF($AZ$178:$BC$178,AU$178,$AZ286:$BC286)</f>
        <v>0</v>
      </c>
      <c r="AV286" s="230">
        <f>SUMIF(APR!$G$121:$M$121,AV$178,APR!$P23:$V23)+SUMIF($AZ$178:$BC$178,AV$178,$AZ286:$BC286)</f>
        <v>0</v>
      </c>
      <c r="AW286" s="230">
        <f>SUMIF(APR!$G$121:$M$121,AW$178,APR!$P23:$V23)+SUMIF($AZ$178:$BC$178,AW$178,$AZ286:$BC286)</f>
        <v>0</v>
      </c>
      <c r="AX286" s="231">
        <f>SUMIF(APR!$G$121:$M$121,AX$178,APR!$P23:$V23)+SUMIF($AZ$178:$BC$178,AX$178,$AZ286:$BC286)</f>
        <v>0</v>
      </c>
      <c r="AY286" s="232">
        <f>APR!AF23</f>
        <v>0</v>
      </c>
      <c r="AZ286" s="228">
        <f>APR!AG23</f>
        <v>0</v>
      </c>
      <c r="BA286" s="229">
        <f>APR!AH23</f>
        <v>0</v>
      </c>
      <c r="BB286" s="230">
        <f>APR!AI23</f>
        <v>0</v>
      </c>
      <c r="BC286" s="231">
        <f>APR!AJ23</f>
        <v>0</v>
      </c>
      <c r="BD286" s="228">
        <f>SUMIF(APR!$G$120:$M$120,"&gt;0",APR!$X23:$AD23)</f>
        <v>0</v>
      </c>
      <c r="BE286" s="696"/>
      <c r="BF286" s="228">
        <f>SUMIF(APR!$BA$6:$BG$6,BF$177,APR!$BA23:$BG23)</f>
        <v>0</v>
      </c>
      <c r="BG286" s="229">
        <f>SUMIF(APR!$BA$6:$BG$6,BG$177,APR!$BA23:$BG23)</f>
        <v>0</v>
      </c>
      <c r="BH286" s="229">
        <f>SUMIF(APR!$BA$6:$BG$6,BH$177,APR!$BA23:$BG23)</f>
        <v>0</v>
      </c>
      <c r="BI286" s="229">
        <f>SUMIF(APR!$BA$6:$BG$6,BI$177,APR!$BA23:$BG23)</f>
        <v>0</v>
      </c>
      <c r="BJ286" s="229">
        <f>SUMIF(APR!$BA$6:$BG$6,BJ$177,APR!$BA23:$BG23)</f>
        <v>0</v>
      </c>
      <c r="BK286" s="229">
        <f>SUMIF(APR!$BA$6:$BG$6,BK$177,APR!$BA23:$BG23)</f>
        <v>0</v>
      </c>
      <c r="BL286" s="229">
        <f>SUMIF(APR!$BA$6:$BG$6,BL$177,APR!$BA23:$BG23)</f>
        <v>0</v>
      </c>
      <c r="BM286" s="229">
        <f>SUMIF(APR!$BA$6:$BG$6,BM$177,APR!$BA23:$BG23)</f>
        <v>0</v>
      </c>
      <c r="BN286" s="229">
        <f>SUMIF(APR!$BA$6:$BG$6,BN$177,APR!$BA23:$BG23)</f>
        <v>0</v>
      </c>
      <c r="BO286" s="231">
        <f>SUMIF(APR!$BA$6:$BG$6,BO$177,APR!$BA23:$BG23)</f>
        <v>0</v>
      </c>
      <c r="BP286" s="231">
        <f>SUMIF(APR!$BA$6:$BG$6,BP$177,APR!$BA23:$BG23)</f>
        <v>0</v>
      </c>
      <c r="BQ286" s="252"/>
      <c r="BR286" s="228">
        <f>SUMIF(APR!$BA$5:$BG$5,BR$177,APR!$BA23:$BG23)</f>
        <v>0</v>
      </c>
      <c r="BS286" s="229">
        <f>SUMIF(APR!$BA$5:$BG$5,BS$177,APR!$BA23:$BG23)</f>
        <v>0</v>
      </c>
      <c r="BT286" s="229">
        <f>SUMIF(APR!$BA$5:$BG$5,BT$177,APR!$BA23:$BG23)</f>
        <v>0</v>
      </c>
      <c r="BU286" s="229">
        <f>SUMIF(APR!$BA$5:$BG$5,BU$177,APR!$BA23:$BG23)</f>
        <v>0</v>
      </c>
      <c r="BV286" s="229">
        <f>SUMIF(APR!$BA$5:$BG$5,BV$177,APR!$BA23:$BG23)</f>
        <v>0</v>
      </c>
      <c r="BW286" s="229">
        <f>SUMIF(APR!$BA$5:$BG$5,BW$177,APR!$BA23:$BG23)</f>
        <v>0</v>
      </c>
      <c r="BX286" s="230">
        <f>SUMIF(APR!$BA$5:$BG$5,BX$177,APR!$BA23:$BG23)</f>
        <v>0</v>
      </c>
      <c r="BY286" s="998">
        <f>SUMIF(APR!$BA$5:$BG$5,BY$177,APR!$BA23:$BG23)</f>
        <v>0</v>
      </c>
      <c r="CB286" s="252"/>
      <c r="CC286" s="61" t="e">
        <f t="shared" si="52"/>
        <v>#N/A</v>
      </c>
      <c r="CD286" s="61">
        <f t="shared" si="53"/>
        <v>0</v>
      </c>
      <c r="CE286" s="105" t="str">
        <f t="shared" si="46"/>
        <v/>
      </c>
      <c r="CF286" s="61" t="e">
        <f t="shared" si="54"/>
        <v>#N/A</v>
      </c>
      <c r="CG286" s="61" t="e">
        <f t="shared" si="55"/>
        <v>#N/A</v>
      </c>
      <c r="CH286" s="521">
        <f>APR!AL23-CW286+CR286</f>
        <v>0</v>
      </c>
      <c r="CI286" s="228">
        <f>SUMIF(APR!$G$121:$M$121,CI$178,APR!$AM23:$AS23)+SUMIF($CS$178:$CV$178,CI$178,$CS286:$CV286)</f>
        <v>0</v>
      </c>
      <c r="CJ286" s="229">
        <f>SUMIF(APR!$G$121:$M$121,CJ$178,APR!$AM23:$AS23)+SUMIF($CS$178:$CV$178,CJ$178,$CS286:$CV286)</f>
        <v>0</v>
      </c>
      <c r="CK286" s="230">
        <f>SUMIF(APR!$G$121:$M$121,CK$178,APR!$AM23:$AS23)+SUMIF($CS$178:$CV$178,CK$178,$CS286:$CV286)</f>
        <v>0</v>
      </c>
      <c r="CL286" s="230">
        <f>SUMIF(APR!$G$121:$M$121,CL$178,APR!$AM23:$AS23)+SUMIF($CS$178:$CV$178,CL$178,$CS286:$CV286)</f>
        <v>0</v>
      </c>
      <c r="CM286" s="230">
        <f>SUMIF(APR!$G$121:$M$121,CM$178,APR!$AM23:$AS23)+SUMIF($CS$178:$CV$178,CM$178,$CS286:$CV286)</f>
        <v>0</v>
      </c>
      <c r="CN286" s="230">
        <f>SUMIF(APR!$G$121:$M$121,CN$178,APR!$AM23:$AS23)+SUMIF($CS$178:$CV$178,CN$178,$CS286:$CV286)</f>
        <v>0</v>
      </c>
      <c r="CO286" s="230">
        <f>SUMIF(APR!$G$121:$M$121,CO$178,APR!$AM23:$AS23)+SUMIF($CS$178:$CV$178,CO$178,$CS286:$CV286)</f>
        <v>0</v>
      </c>
      <c r="CP286" s="230">
        <f>SUMIF(APR!$G$121:$M$121,CP$178,APR!$AM23:$AS23)+SUMIF($CS$178:$CV$178,CP$178,$CS286:$CV286)</f>
        <v>0</v>
      </c>
      <c r="CQ286" s="231">
        <f>SUMIF(APR!$G$121:$M$121,CQ$178,APR!$AM23:$AS23)+SUMIF($CS$178:$CV$178,CQ$178,$CS286:$CV286)</f>
        <v>0</v>
      </c>
      <c r="CR286" s="521">
        <f>APR!AU23</f>
        <v>0</v>
      </c>
      <c r="CS286" s="228">
        <f>APR!AV23</f>
        <v>0</v>
      </c>
      <c r="CT286" s="229">
        <f>APR!AW23</f>
        <v>0</v>
      </c>
      <c r="CU286" s="230">
        <f>APR!AX23</f>
        <v>0</v>
      </c>
      <c r="CV286" s="231">
        <f>APR!AY23</f>
        <v>0</v>
      </c>
      <c r="CW286" s="521">
        <f>SUM(APR!AU23:AY23)</f>
        <v>0</v>
      </c>
      <c r="CX286" s="521">
        <f>APR!AK23</f>
        <v>0</v>
      </c>
      <c r="CY286" s="2"/>
    </row>
    <row r="287" spans="1:103" ht="14.25" hidden="1" customHeight="1" x14ac:dyDescent="0.2">
      <c r="A287" s="2"/>
      <c r="B287" s="105">
        <f t="shared" si="56"/>
        <v>45399</v>
      </c>
      <c r="C287" s="146">
        <f>IF(AND(E287&gt;(E$560-1),E287&lt;(I$560+1)),W$551,IF(ISERROR(HLOOKUP(E287,$E$553:$L$553,1,FALSE)),HLOOKUP(WEEKDAY(E287,2),IMPOSTAZIONI!$C$52:$P$57,6,FALSE),$W$550))</f>
        <v>0</v>
      </c>
      <c r="D287" s="71" t="str">
        <f t="shared" si="57"/>
        <v/>
      </c>
      <c r="E287" s="2258">
        <f t="shared" si="62"/>
        <v>45399</v>
      </c>
      <c r="F287" s="2259"/>
      <c r="G287" s="2228" t="str">
        <f>APR!E24</f>
        <v xml:space="preserve">disattivato  </v>
      </c>
      <c r="H287" s="2229"/>
      <c r="I287" s="2230"/>
      <c r="J287" s="262" t="str">
        <f t="shared" si="47"/>
        <v/>
      </c>
      <c r="K287" s="263"/>
      <c r="L287" s="2217">
        <f t="shared" si="63"/>
        <v>16</v>
      </c>
      <c r="M287" s="2218"/>
      <c r="N287" s="261"/>
      <c r="O287" s="261"/>
      <c r="P287" s="261"/>
      <c r="Q287" s="2219">
        <f t="shared" si="58"/>
        <v>45399</v>
      </c>
      <c r="R287" s="2219"/>
      <c r="S287" s="261"/>
      <c r="T287" s="1173">
        <f t="shared" si="48"/>
        <v>1</v>
      </c>
      <c r="U287" s="261"/>
      <c r="V287" s="261"/>
      <c r="W287" s="261"/>
      <c r="X287" s="261"/>
      <c r="Y287" s="261"/>
      <c r="Z287" s="261"/>
      <c r="AA287" s="261"/>
      <c r="AB287" s="261"/>
      <c r="AC287" s="261"/>
      <c r="AD287" s="261"/>
      <c r="AE287" s="261"/>
      <c r="AF287" s="261"/>
      <c r="AG287" s="1173">
        <f t="shared" si="59"/>
        <v>0</v>
      </c>
      <c r="AH287" s="61" t="str">
        <f t="shared" si="60"/>
        <v/>
      </c>
      <c r="AI287" s="89" t="e">
        <f t="shared" si="61"/>
        <v>#N/A</v>
      </c>
      <c r="AJ287" s="2"/>
      <c r="AK287" s="61">
        <f>IF(G287=G$547,0,IF(OR(G287&lt;&gt;0,CH287&lt;&gt;0,C287="L"),COUNTIF(AK$180:AK286,"&gt;0")+1,0))</f>
        <v>0</v>
      </c>
      <c r="AL287" s="61" t="str">
        <f t="shared" si="49"/>
        <v/>
      </c>
      <c r="AM287" s="61" t="e">
        <f t="shared" si="50"/>
        <v>#N/A</v>
      </c>
      <c r="AN287" s="89" t="e">
        <f t="shared" si="51"/>
        <v>#N/A</v>
      </c>
      <c r="AO287" s="230">
        <f>SUM(APR!X24:AD24)-BD287+AY287</f>
        <v>0</v>
      </c>
      <c r="AP287" s="228">
        <f>SUMIF(APR!$G$121:$M$121,AP$178,APR!$P24:$V24)+SUMIF($AZ$178:$BC$178,AP$178,$AZ287:$BC287)</f>
        <v>0</v>
      </c>
      <c r="AQ287" s="229">
        <f>SUMIF(APR!$G$121:$M$121,AQ$178,APR!$P24:$V24)+SUMIF($AZ$178:$BC$178,AQ$178,$AZ287:$BC287)</f>
        <v>0</v>
      </c>
      <c r="AR287" s="230">
        <f>SUMIF(APR!$G$121:$M$121,AR$178,APR!$P24:$V24)+SUMIF($AZ$178:$BC$178,AR$178,$AZ287:$BC287)</f>
        <v>0</v>
      </c>
      <c r="AS287" s="230">
        <f>SUMIF(APR!$G$121:$M$121,AS$178,APR!$P24:$V24)+SUMIF($AZ$178:$BC$178,AS$178,$AZ287:$BC287)</f>
        <v>0</v>
      </c>
      <c r="AT287" s="230">
        <f>SUMIF(APR!$G$121:$M$121,AT$178,APR!$P24:$V24)+SUMIF($AZ$178:$BC$178,AT$178,$AZ287:$BC287)</f>
        <v>0</v>
      </c>
      <c r="AU287" s="230">
        <f>SUMIF(APR!$G$121:$M$121,AU$178,APR!$P24:$V24)+SUMIF($AZ$178:$BC$178,AU$178,$AZ287:$BC287)</f>
        <v>0</v>
      </c>
      <c r="AV287" s="230">
        <f>SUMIF(APR!$G$121:$M$121,AV$178,APR!$P24:$V24)+SUMIF($AZ$178:$BC$178,AV$178,$AZ287:$BC287)</f>
        <v>0</v>
      </c>
      <c r="AW287" s="230">
        <f>SUMIF(APR!$G$121:$M$121,AW$178,APR!$P24:$V24)+SUMIF($AZ$178:$BC$178,AW$178,$AZ287:$BC287)</f>
        <v>0</v>
      </c>
      <c r="AX287" s="231">
        <f>SUMIF(APR!$G$121:$M$121,AX$178,APR!$P24:$V24)+SUMIF($AZ$178:$BC$178,AX$178,$AZ287:$BC287)</f>
        <v>0</v>
      </c>
      <c r="AY287" s="232">
        <f>APR!AF24</f>
        <v>0</v>
      </c>
      <c r="AZ287" s="228">
        <f>APR!AG24</f>
        <v>0</v>
      </c>
      <c r="BA287" s="229">
        <f>APR!AH24</f>
        <v>0</v>
      </c>
      <c r="BB287" s="230">
        <f>APR!AI24</f>
        <v>0</v>
      </c>
      <c r="BC287" s="231">
        <f>APR!AJ24</f>
        <v>0</v>
      </c>
      <c r="BD287" s="228">
        <f>SUMIF(APR!$G$120:$M$120,"&gt;0",APR!$X24:$AD24)</f>
        <v>0</v>
      </c>
      <c r="BE287" s="696"/>
      <c r="BF287" s="228">
        <f>SUMIF(APR!$BA$6:$BG$6,BF$177,APR!$BA24:$BG24)</f>
        <v>0</v>
      </c>
      <c r="BG287" s="229">
        <f>SUMIF(APR!$BA$6:$BG$6,BG$177,APR!$BA24:$BG24)</f>
        <v>0</v>
      </c>
      <c r="BH287" s="229">
        <f>SUMIF(APR!$BA$6:$BG$6,BH$177,APR!$BA24:$BG24)</f>
        <v>0</v>
      </c>
      <c r="BI287" s="229">
        <f>SUMIF(APR!$BA$6:$BG$6,BI$177,APR!$BA24:$BG24)</f>
        <v>0</v>
      </c>
      <c r="BJ287" s="229">
        <f>SUMIF(APR!$BA$6:$BG$6,BJ$177,APR!$BA24:$BG24)</f>
        <v>0</v>
      </c>
      <c r="BK287" s="229">
        <f>SUMIF(APR!$BA$6:$BG$6,BK$177,APR!$BA24:$BG24)</f>
        <v>0</v>
      </c>
      <c r="BL287" s="229">
        <f>SUMIF(APR!$BA$6:$BG$6,BL$177,APR!$BA24:$BG24)</f>
        <v>0</v>
      </c>
      <c r="BM287" s="229">
        <f>SUMIF(APR!$BA$6:$BG$6,BM$177,APR!$BA24:$BG24)</f>
        <v>0</v>
      </c>
      <c r="BN287" s="229">
        <f>SUMIF(APR!$BA$6:$BG$6,BN$177,APR!$BA24:$BG24)</f>
        <v>0</v>
      </c>
      <c r="BO287" s="231">
        <f>SUMIF(APR!$BA$6:$BG$6,BO$177,APR!$BA24:$BG24)</f>
        <v>0</v>
      </c>
      <c r="BP287" s="231">
        <f>SUMIF(APR!$BA$6:$BG$6,BP$177,APR!$BA24:$BG24)</f>
        <v>0</v>
      </c>
      <c r="BQ287" s="252"/>
      <c r="BR287" s="228">
        <f>SUMIF(APR!$BA$5:$BG$5,BR$177,APR!$BA24:$BG24)</f>
        <v>0</v>
      </c>
      <c r="BS287" s="229">
        <f>SUMIF(APR!$BA$5:$BG$5,BS$177,APR!$BA24:$BG24)</f>
        <v>0</v>
      </c>
      <c r="BT287" s="229">
        <f>SUMIF(APR!$BA$5:$BG$5,BT$177,APR!$BA24:$BG24)</f>
        <v>0</v>
      </c>
      <c r="BU287" s="229">
        <f>SUMIF(APR!$BA$5:$BG$5,BU$177,APR!$BA24:$BG24)</f>
        <v>0</v>
      </c>
      <c r="BV287" s="229">
        <f>SUMIF(APR!$BA$5:$BG$5,BV$177,APR!$BA24:$BG24)</f>
        <v>0</v>
      </c>
      <c r="BW287" s="229">
        <f>SUMIF(APR!$BA$5:$BG$5,BW$177,APR!$BA24:$BG24)</f>
        <v>0</v>
      </c>
      <c r="BX287" s="230">
        <f>SUMIF(APR!$BA$5:$BG$5,BX$177,APR!$BA24:$BG24)</f>
        <v>0</v>
      </c>
      <c r="BY287" s="998">
        <f>SUMIF(APR!$BA$5:$BG$5,BY$177,APR!$BA24:$BG24)</f>
        <v>0</v>
      </c>
      <c r="CB287" s="252"/>
      <c r="CC287" s="61" t="e">
        <f t="shared" si="52"/>
        <v>#N/A</v>
      </c>
      <c r="CD287" s="61">
        <f t="shared" si="53"/>
        <v>0</v>
      </c>
      <c r="CE287" s="105" t="str">
        <f t="shared" si="46"/>
        <v/>
      </c>
      <c r="CF287" s="61" t="e">
        <f t="shared" si="54"/>
        <v>#N/A</v>
      </c>
      <c r="CG287" s="61" t="e">
        <f t="shared" si="55"/>
        <v>#N/A</v>
      </c>
      <c r="CH287" s="521">
        <f>APR!AL24-CW287+CR287</f>
        <v>0</v>
      </c>
      <c r="CI287" s="228">
        <f>SUMIF(APR!$G$121:$M$121,CI$178,APR!$AM24:$AS24)+SUMIF($CS$178:$CV$178,CI$178,$CS287:$CV287)</f>
        <v>0</v>
      </c>
      <c r="CJ287" s="229">
        <f>SUMIF(APR!$G$121:$M$121,CJ$178,APR!$AM24:$AS24)+SUMIF($CS$178:$CV$178,CJ$178,$CS287:$CV287)</f>
        <v>0</v>
      </c>
      <c r="CK287" s="230">
        <f>SUMIF(APR!$G$121:$M$121,CK$178,APR!$AM24:$AS24)+SUMIF($CS$178:$CV$178,CK$178,$CS287:$CV287)</f>
        <v>0</v>
      </c>
      <c r="CL287" s="230">
        <f>SUMIF(APR!$G$121:$M$121,CL$178,APR!$AM24:$AS24)+SUMIF($CS$178:$CV$178,CL$178,$CS287:$CV287)</f>
        <v>0</v>
      </c>
      <c r="CM287" s="230">
        <f>SUMIF(APR!$G$121:$M$121,CM$178,APR!$AM24:$AS24)+SUMIF($CS$178:$CV$178,CM$178,$CS287:$CV287)</f>
        <v>0</v>
      </c>
      <c r="CN287" s="230">
        <f>SUMIF(APR!$G$121:$M$121,CN$178,APR!$AM24:$AS24)+SUMIF($CS$178:$CV$178,CN$178,$CS287:$CV287)</f>
        <v>0</v>
      </c>
      <c r="CO287" s="230">
        <f>SUMIF(APR!$G$121:$M$121,CO$178,APR!$AM24:$AS24)+SUMIF($CS$178:$CV$178,CO$178,$CS287:$CV287)</f>
        <v>0</v>
      </c>
      <c r="CP287" s="230">
        <f>SUMIF(APR!$G$121:$M$121,CP$178,APR!$AM24:$AS24)+SUMIF($CS$178:$CV$178,CP$178,$CS287:$CV287)</f>
        <v>0</v>
      </c>
      <c r="CQ287" s="231">
        <f>SUMIF(APR!$G$121:$M$121,CQ$178,APR!$AM24:$AS24)+SUMIF($CS$178:$CV$178,CQ$178,$CS287:$CV287)</f>
        <v>0</v>
      </c>
      <c r="CR287" s="521">
        <f>APR!AU24</f>
        <v>0</v>
      </c>
      <c r="CS287" s="228">
        <f>APR!AV24</f>
        <v>0</v>
      </c>
      <c r="CT287" s="229">
        <f>APR!AW24</f>
        <v>0</v>
      </c>
      <c r="CU287" s="230">
        <f>APR!AX24</f>
        <v>0</v>
      </c>
      <c r="CV287" s="231">
        <f>APR!AY24</f>
        <v>0</v>
      </c>
      <c r="CW287" s="521">
        <f>SUM(APR!AU24:AY24)</f>
        <v>0</v>
      </c>
      <c r="CX287" s="521">
        <f>APR!AK24</f>
        <v>0</v>
      </c>
      <c r="CY287" s="2"/>
    </row>
    <row r="288" spans="1:103" ht="14.25" hidden="1" customHeight="1" x14ac:dyDescent="0.2">
      <c r="A288" s="2"/>
      <c r="B288" s="105">
        <f t="shared" si="56"/>
        <v>45400</v>
      </c>
      <c r="C288" s="146">
        <f>IF(AND(E288&gt;(E$560-1),E288&lt;(I$560+1)),W$551,IF(ISERROR(HLOOKUP(E288,$E$553:$L$553,1,FALSE)),HLOOKUP(WEEKDAY(E288,2),IMPOSTAZIONI!$C$52:$P$57,6,FALSE),$W$550))</f>
        <v>0</v>
      </c>
      <c r="D288" s="71" t="str">
        <f t="shared" si="57"/>
        <v/>
      </c>
      <c r="E288" s="2258">
        <f t="shared" si="62"/>
        <v>45400</v>
      </c>
      <c r="F288" s="2259"/>
      <c r="G288" s="2228" t="str">
        <f>APR!E25</f>
        <v xml:space="preserve">disattivato  </v>
      </c>
      <c r="H288" s="2229"/>
      <c r="I288" s="2230"/>
      <c r="J288" s="262" t="str">
        <f t="shared" si="47"/>
        <v/>
      </c>
      <c r="K288" s="263"/>
      <c r="L288" s="2217">
        <f t="shared" si="63"/>
        <v>16</v>
      </c>
      <c r="M288" s="2218"/>
      <c r="N288" s="261"/>
      <c r="O288" s="261"/>
      <c r="P288" s="261"/>
      <c r="Q288" s="2219">
        <f t="shared" si="58"/>
        <v>45400</v>
      </c>
      <c r="R288" s="2219"/>
      <c r="S288" s="261"/>
      <c r="T288" s="1173">
        <f t="shared" si="48"/>
        <v>1</v>
      </c>
      <c r="U288" s="261"/>
      <c r="V288" s="261"/>
      <c r="W288" s="261"/>
      <c r="X288" s="261"/>
      <c r="Y288" s="261"/>
      <c r="Z288" s="261"/>
      <c r="AA288" s="261"/>
      <c r="AB288" s="261"/>
      <c r="AC288" s="261"/>
      <c r="AD288" s="261"/>
      <c r="AE288" s="261"/>
      <c r="AF288" s="261"/>
      <c r="AG288" s="1173">
        <f t="shared" si="59"/>
        <v>0</v>
      </c>
      <c r="AH288" s="61" t="str">
        <f t="shared" si="60"/>
        <v/>
      </c>
      <c r="AI288" s="89" t="e">
        <f t="shared" si="61"/>
        <v>#N/A</v>
      </c>
      <c r="AJ288" s="2"/>
      <c r="AK288" s="61">
        <f>IF(G288=G$547,0,IF(OR(G288&lt;&gt;0,CH288&lt;&gt;0,C288="L"),COUNTIF(AK$180:AK287,"&gt;0")+1,0))</f>
        <v>0</v>
      </c>
      <c r="AL288" s="61" t="str">
        <f t="shared" si="49"/>
        <v/>
      </c>
      <c r="AM288" s="61" t="e">
        <f t="shared" si="50"/>
        <v>#N/A</v>
      </c>
      <c r="AN288" s="89" t="e">
        <f t="shared" si="51"/>
        <v>#N/A</v>
      </c>
      <c r="AO288" s="230">
        <f>SUM(APR!X25:AD25)-BD288+AY288</f>
        <v>0</v>
      </c>
      <c r="AP288" s="228">
        <f>SUMIF(APR!$G$121:$M$121,AP$178,APR!$P25:$V25)+SUMIF($AZ$178:$BC$178,AP$178,$AZ288:$BC288)</f>
        <v>0</v>
      </c>
      <c r="AQ288" s="229">
        <f>SUMIF(APR!$G$121:$M$121,AQ$178,APR!$P25:$V25)+SUMIF($AZ$178:$BC$178,AQ$178,$AZ288:$BC288)</f>
        <v>0</v>
      </c>
      <c r="AR288" s="230">
        <f>SUMIF(APR!$G$121:$M$121,AR$178,APR!$P25:$V25)+SUMIF($AZ$178:$BC$178,AR$178,$AZ288:$BC288)</f>
        <v>0</v>
      </c>
      <c r="AS288" s="230">
        <f>SUMIF(APR!$G$121:$M$121,AS$178,APR!$P25:$V25)+SUMIF($AZ$178:$BC$178,AS$178,$AZ288:$BC288)</f>
        <v>0</v>
      </c>
      <c r="AT288" s="230">
        <f>SUMIF(APR!$G$121:$M$121,AT$178,APR!$P25:$V25)+SUMIF($AZ$178:$BC$178,AT$178,$AZ288:$BC288)</f>
        <v>0</v>
      </c>
      <c r="AU288" s="230">
        <f>SUMIF(APR!$G$121:$M$121,AU$178,APR!$P25:$V25)+SUMIF($AZ$178:$BC$178,AU$178,$AZ288:$BC288)</f>
        <v>0</v>
      </c>
      <c r="AV288" s="230">
        <f>SUMIF(APR!$G$121:$M$121,AV$178,APR!$P25:$V25)+SUMIF($AZ$178:$BC$178,AV$178,$AZ288:$BC288)</f>
        <v>0</v>
      </c>
      <c r="AW288" s="230">
        <f>SUMIF(APR!$G$121:$M$121,AW$178,APR!$P25:$V25)+SUMIF($AZ$178:$BC$178,AW$178,$AZ288:$BC288)</f>
        <v>0</v>
      </c>
      <c r="AX288" s="231">
        <f>SUMIF(APR!$G$121:$M$121,AX$178,APR!$P25:$V25)+SUMIF($AZ$178:$BC$178,AX$178,$AZ288:$BC288)</f>
        <v>0</v>
      </c>
      <c r="AY288" s="232">
        <f>APR!AF25</f>
        <v>0</v>
      </c>
      <c r="AZ288" s="228">
        <f>APR!AG25</f>
        <v>0</v>
      </c>
      <c r="BA288" s="229">
        <f>APR!AH25</f>
        <v>0</v>
      </c>
      <c r="BB288" s="230">
        <f>APR!AI25</f>
        <v>0</v>
      </c>
      <c r="BC288" s="231">
        <f>APR!AJ25</f>
        <v>0</v>
      </c>
      <c r="BD288" s="228">
        <f>SUMIF(APR!$G$120:$M$120,"&gt;0",APR!$X25:$AD25)</f>
        <v>0</v>
      </c>
      <c r="BE288" s="696"/>
      <c r="BF288" s="228">
        <f>SUMIF(APR!$BA$6:$BG$6,BF$177,APR!$BA25:$BG25)</f>
        <v>0</v>
      </c>
      <c r="BG288" s="229">
        <f>SUMIF(APR!$BA$6:$BG$6,BG$177,APR!$BA25:$BG25)</f>
        <v>0</v>
      </c>
      <c r="BH288" s="229">
        <f>SUMIF(APR!$BA$6:$BG$6,BH$177,APR!$BA25:$BG25)</f>
        <v>0</v>
      </c>
      <c r="BI288" s="229">
        <f>SUMIF(APR!$BA$6:$BG$6,BI$177,APR!$BA25:$BG25)</f>
        <v>0</v>
      </c>
      <c r="BJ288" s="229">
        <f>SUMIF(APR!$BA$6:$BG$6,BJ$177,APR!$BA25:$BG25)</f>
        <v>0</v>
      </c>
      <c r="BK288" s="229">
        <f>SUMIF(APR!$BA$6:$BG$6,BK$177,APR!$BA25:$BG25)</f>
        <v>0</v>
      </c>
      <c r="BL288" s="229">
        <f>SUMIF(APR!$BA$6:$BG$6,BL$177,APR!$BA25:$BG25)</f>
        <v>0</v>
      </c>
      <c r="BM288" s="229">
        <f>SUMIF(APR!$BA$6:$BG$6,BM$177,APR!$BA25:$BG25)</f>
        <v>0</v>
      </c>
      <c r="BN288" s="229">
        <f>SUMIF(APR!$BA$6:$BG$6,BN$177,APR!$BA25:$BG25)</f>
        <v>0</v>
      </c>
      <c r="BO288" s="231">
        <f>SUMIF(APR!$BA$6:$BG$6,BO$177,APR!$BA25:$BG25)</f>
        <v>0</v>
      </c>
      <c r="BP288" s="231">
        <f>SUMIF(APR!$BA$6:$BG$6,BP$177,APR!$BA25:$BG25)</f>
        <v>0</v>
      </c>
      <c r="BQ288" s="252"/>
      <c r="BR288" s="228">
        <f>SUMIF(APR!$BA$5:$BG$5,BR$177,APR!$BA25:$BG25)</f>
        <v>0</v>
      </c>
      <c r="BS288" s="229">
        <f>SUMIF(APR!$BA$5:$BG$5,BS$177,APR!$BA25:$BG25)</f>
        <v>0</v>
      </c>
      <c r="BT288" s="229">
        <f>SUMIF(APR!$BA$5:$BG$5,BT$177,APR!$BA25:$BG25)</f>
        <v>0</v>
      </c>
      <c r="BU288" s="229">
        <f>SUMIF(APR!$BA$5:$BG$5,BU$177,APR!$BA25:$BG25)</f>
        <v>0</v>
      </c>
      <c r="BV288" s="229">
        <f>SUMIF(APR!$BA$5:$BG$5,BV$177,APR!$BA25:$BG25)</f>
        <v>0</v>
      </c>
      <c r="BW288" s="229">
        <f>SUMIF(APR!$BA$5:$BG$5,BW$177,APR!$BA25:$BG25)</f>
        <v>0</v>
      </c>
      <c r="BX288" s="230">
        <f>SUMIF(APR!$BA$5:$BG$5,BX$177,APR!$BA25:$BG25)</f>
        <v>0</v>
      </c>
      <c r="BY288" s="998">
        <f>SUMIF(APR!$BA$5:$BG$5,BY$177,APR!$BA25:$BG25)</f>
        <v>0</v>
      </c>
      <c r="CB288" s="252"/>
      <c r="CC288" s="61" t="e">
        <f t="shared" si="52"/>
        <v>#N/A</v>
      </c>
      <c r="CD288" s="61">
        <f t="shared" si="53"/>
        <v>0</v>
      </c>
      <c r="CE288" s="105" t="str">
        <f t="shared" si="46"/>
        <v/>
      </c>
      <c r="CF288" s="61" t="e">
        <f t="shared" si="54"/>
        <v>#N/A</v>
      </c>
      <c r="CG288" s="61" t="e">
        <f t="shared" si="55"/>
        <v>#N/A</v>
      </c>
      <c r="CH288" s="521">
        <f>APR!AL25-CW288+CR288</f>
        <v>0</v>
      </c>
      <c r="CI288" s="228">
        <f>SUMIF(APR!$G$121:$M$121,CI$178,APR!$AM25:$AS25)+SUMIF($CS$178:$CV$178,CI$178,$CS288:$CV288)</f>
        <v>0</v>
      </c>
      <c r="CJ288" s="229">
        <f>SUMIF(APR!$G$121:$M$121,CJ$178,APR!$AM25:$AS25)+SUMIF($CS$178:$CV$178,CJ$178,$CS288:$CV288)</f>
        <v>0</v>
      </c>
      <c r="CK288" s="230">
        <f>SUMIF(APR!$G$121:$M$121,CK$178,APR!$AM25:$AS25)+SUMIF($CS$178:$CV$178,CK$178,$CS288:$CV288)</f>
        <v>0</v>
      </c>
      <c r="CL288" s="230">
        <f>SUMIF(APR!$G$121:$M$121,CL$178,APR!$AM25:$AS25)+SUMIF($CS$178:$CV$178,CL$178,$CS288:$CV288)</f>
        <v>0</v>
      </c>
      <c r="CM288" s="230">
        <f>SUMIF(APR!$G$121:$M$121,CM$178,APR!$AM25:$AS25)+SUMIF($CS$178:$CV$178,CM$178,$CS288:$CV288)</f>
        <v>0</v>
      </c>
      <c r="CN288" s="230">
        <f>SUMIF(APR!$G$121:$M$121,CN$178,APR!$AM25:$AS25)+SUMIF($CS$178:$CV$178,CN$178,$CS288:$CV288)</f>
        <v>0</v>
      </c>
      <c r="CO288" s="230">
        <f>SUMIF(APR!$G$121:$M$121,CO$178,APR!$AM25:$AS25)+SUMIF($CS$178:$CV$178,CO$178,$CS288:$CV288)</f>
        <v>0</v>
      </c>
      <c r="CP288" s="230">
        <f>SUMIF(APR!$G$121:$M$121,CP$178,APR!$AM25:$AS25)+SUMIF($CS$178:$CV$178,CP$178,$CS288:$CV288)</f>
        <v>0</v>
      </c>
      <c r="CQ288" s="231">
        <f>SUMIF(APR!$G$121:$M$121,CQ$178,APR!$AM25:$AS25)+SUMIF($CS$178:$CV$178,CQ$178,$CS288:$CV288)</f>
        <v>0</v>
      </c>
      <c r="CR288" s="521">
        <f>APR!AU25</f>
        <v>0</v>
      </c>
      <c r="CS288" s="228">
        <f>APR!AV25</f>
        <v>0</v>
      </c>
      <c r="CT288" s="229">
        <f>APR!AW25</f>
        <v>0</v>
      </c>
      <c r="CU288" s="230">
        <f>APR!AX25</f>
        <v>0</v>
      </c>
      <c r="CV288" s="231">
        <f>APR!AY25</f>
        <v>0</v>
      </c>
      <c r="CW288" s="521">
        <f>SUM(APR!AU25:AY25)</f>
        <v>0</v>
      </c>
      <c r="CX288" s="521">
        <f>APR!AK25</f>
        <v>0</v>
      </c>
      <c r="CY288" s="2"/>
    </row>
    <row r="289" spans="1:103" ht="14.25" hidden="1" customHeight="1" x14ac:dyDescent="0.2">
      <c r="A289" s="2"/>
      <c r="B289" s="105">
        <f t="shared" si="56"/>
        <v>45401</v>
      </c>
      <c r="C289" s="146">
        <f>IF(AND(E289&gt;(E$560-1),E289&lt;(I$560+1)),W$551,IF(ISERROR(HLOOKUP(E289,$E$553:$L$553,1,FALSE)),HLOOKUP(WEEKDAY(E289,2),IMPOSTAZIONI!$C$52:$P$57,6,FALSE),$W$550))</f>
        <v>0</v>
      </c>
      <c r="D289" s="71" t="str">
        <f t="shared" si="57"/>
        <v/>
      </c>
      <c r="E289" s="2258">
        <f t="shared" si="62"/>
        <v>45401</v>
      </c>
      <c r="F289" s="2259"/>
      <c r="G289" s="2228" t="str">
        <f>APR!E26</f>
        <v xml:space="preserve">disattivato  </v>
      </c>
      <c r="H289" s="2229"/>
      <c r="I289" s="2230"/>
      <c r="J289" s="262" t="str">
        <f t="shared" si="47"/>
        <v/>
      </c>
      <c r="K289" s="263"/>
      <c r="L289" s="2217">
        <f t="shared" si="63"/>
        <v>16</v>
      </c>
      <c r="M289" s="2218"/>
      <c r="N289" s="261"/>
      <c r="O289" s="261"/>
      <c r="P289" s="261"/>
      <c r="Q289" s="2219">
        <f t="shared" si="58"/>
        <v>45401</v>
      </c>
      <c r="R289" s="2219"/>
      <c r="S289" s="261"/>
      <c r="T289" s="1173">
        <f t="shared" si="48"/>
        <v>1</v>
      </c>
      <c r="U289" s="261"/>
      <c r="V289" s="261"/>
      <c r="W289" s="261"/>
      <c r="X289" s="261"/>
      <c r="Y289" s="261"/>
      <c r="Z289" s="261"/>
      <c r="AA289" s="261"/>
      <c r="AB289" s="261"/>
      <c r="AC289" s="261"/>
      <c r="AD289" s="261"/>
      <c r="AE289" s="261"/>
      <c r="AF289" s="261"/>
      <c r="AG289" s="1173">
        <f t="shared" si="59"/>
        <v>0</v>
      </c>
      <c r="AH289" s="61" t="str">
        <f t="shared" si="60"/>
        <v/>
      </c>
      <c r="AI289" s="89" t="e">
        <f t="shared" si="61"/>
        <v>#N/A</v>
      </c>
      <c r="AJ289" s="2"/>
      <c r="AK289" s="61">
        <f>IF(G289=G$547,0,IF(OR(G289&lt;&gt;0,CH289&lt;&gt;0,C289="L"),COUNTIF(AK$180:AK288,"&gt;0")+1,0))</f>
        <v>0</v>
      </c>
      <c r="AL289" s="61" t="str">
        <f t="shared" si="49"/>
        <v/>
      </c>
      <c r="AM289" s="61" t="e">
        <f t="shared" si="50"/>
        <v>#N/A</v>
      </c>
      <c r="AN289" s="89" t="e">
        <f t="shared" si="51"/>
        <v>#N/A</v>
      </c>
      <c r="AO289" s="230">
        <f>SUM(APR!X26:AD26)-BD289+AY289</f>
        <v>0</v>
      </c>
      <c r="AP289" s="228">
        <f>SUMIF(APR!$G$121:$M$121,AP$178,APR!$P26:$V26)+SUMIF($AZ$178:$BC$178,AP$178,$AZ289:$BC289)</f>
        <v>0</v>
      </c>
      <c r="AQ289" s="229">
        <f>SUMIF(APR!$G$121:$M$121,AQ$178,APR!$P26:$V26)+SUMIF($AZ$178:$BC$178,AQ$178,$AZ289:$BC289)</f>
        <v>0</v>
      </c>
      <c r="AR289" s="230">
        <f>SUMIF(APR!$G$121:$M$121,AR$178,APR!$P26:$V26)+SUMIF($AZ$178:$BC$178,AR$178,$AZ289:$BC289)</f>
        <v>0</v>
      </c>
      <c r="AS289" s="230">
        <f>SUMIF(APR!$G$121:$M$121,AS$178,APR!$P26:$V26)+SUMIF($AZ$178:$BC$178,AS$178,$AZ289:$BC289)</f>
        <v>0</v>
      </c>
      <c r="AT289" s="230">
        <f>SUMIF(APR!$G$121:$M$121,AT$178,APR!$P26:$V26)+SUMIF($AZ$178:$BC$178,AT$178,$AZ289:$BC289)</f>
        <v>0</v>
      </c>
      <c r="AU289" s="230">
        <f>SUMIF(APR!$G$121:$M$121,AU$178,APR!$P26:$V26)+SUMIF($AZ$178:$BC$178,AU$178,$AZ289:$BC289)</f>
        <v>0</v>
      </c>
      <c r="AV289" s="230">
        <f>SUMIF(APR!$G$121:$M$121,AV$178,APR!$P26:$V26)+SUMIF($AZ$178:$BC$178,AV$178,$AZ289:$BC289)</f>
        <v>0</v>
      </c>
      <c r="AW289" s="230">
        <f>SUMIF(APR!$G$121:$M$121,AW$178,APR!$P26:$V26)+SUMIF($AZ$178:$BC$178,AW$178,$AZ289:$BC289)</f>
        <v>0</v>
      </c>
      <c r="AX289" s="231">
        <f>SUMIF(APR!$G$121:$M$121,AX$178,APR!$P26:$V26)+SUMIF($AZ$178:$BC$178,AX$178,$AZ289:$BC289)</f>
        <v>0</v>
      </c>
      <c r="AY289" s="232">
        <f>APR!AF26</f>
        <v>0</v>
      </c>
      <c r="AZ289" s="228">
        <f>APR!AG26</f>
        <v>0</v>
      </c>
      <c r="BA289" s="229">
        <f>APR!AH26</f>
        <v>0</v>
      </c>
      <c r="BB289" s="230">
        <f>APR!AI26</f>
        <v>0</v>
      </c>
      <c r="BC289" s="231">
        <f>APR!AJ26</f>
        <v>0</v>
      </c>
      <c r="BD289" s="228">
        <f>SUMIF(APR!$G$120:$M$120,"&gt;0",APR!$X26:$AD26)</f>
        <v>0</v>
      </c>
      <c r="BE289" s="696"/>
      <c r="BF289" s="228">
        <f>SUMIF(APR!$BA$6:$BG$6,BF$177,APR!$BA26:$BG26)</f>
        <v>0</v>
      </c>
      <c r="BG289" s="229">
        <f>SUMIF(APR!$BA$6:$BG$6,BG$177,APR!$BA26:$BG26)</f>
        <v>0</v>
      </c>
      <c r="BH289" s="229">
        <f>SUMIF(APR!$BA$6:$BG$6,BH$177,APR!$BA26:$BG26)</f>
        <v>0</v>
      </c>
      <c r="BI289" s="229">
        <f>SUMIF(APR!$BA$6:$BG$6,BI$177,APR!$BA26:$BG26)</f>
        <v>0</v>
      </c>
      <c r="BJ289" s="229">
        <f>SUMIF(APR!$BA$6:$BG$6,BJ$177,APR!$BA26:$BG26)</f>
        <v>0</v>
      </c>
      <c r="BK289" s="229">
        <f>SUMIF(APR!$BA$6:$BG$6,BK$177,APR!$BA26:$BG26)</f>
        <v>0</v>
      </c>
      <c r="BL289" s="229">
        <f>SUMIF(APR!$BA$6:$BG$6,BL$177,APR!$BA26:$BG26)</f>
        <v>0</v>
      </c>
      <c r="BM289" s="229">
        <f>SUMIF(APR!$BA$6:$BG$6,BM$177,APR!$BA26:$BG26)</f>
        <v>0</v>
      </c>
      <c r="BN289" s="229">
        <f>SUMIF(APR!$BA$6:$BG$6,BN$177,APR!$BA26:$BG26)</f>
        <v>0</v>
      </c>
      <c r="BO289" s="231">
        <f>SUMIF(APR!$BA$6:$BG$6,BO$177,APR!$BA26:$BG26)</f>
        <v>0</v>
      </c>
      <c r="BP289" s="231">
        <f>SUMIF(APR!$BA$6:$BG$6,BP$177,APR!$BA26:$BG26)</f>
        <v>0</v>
      </c>
      <c r="BQ289" s="252"/>
      <c r="BR289" s="228">
        <f>SUMIF(APR!$BA$5:$BG$5,BR$177,APR!$BA26:$BG26)</f>
        <v>0</v>
      </c>
      <c r="BS289" s="229">
        <f>SUMIF(APR!$BA$5:$BG$5,BS$177,APR!$BA26:$BG26)</f>
        <v>0</v>
      </c>
      <c r="BT289" s="229">
        <f>SUMIF(APR!$BA$5:$BG$5,BT$177,APR!$BA26:$BG26)</f>
        <v>0</v>
      </c>
      <c r="BU289" s="229">
        <f>SUMIF(APR!$BA$5:$BG$5,BU$177,APR!$BA26:$BG26)</f>
        <v>0</v>
      </c>
      <c r="BV289" s="229">
        <f>SUMIF(APR!$BA$5:$BG$5,BV$177,APR!$BA26:$BG26)</f>
        <v>0</v>
      </c>
      <c r="BW289" s="229">
        <f>SUMIF(APR!$BA$5:$BG$5,BW$177,APR!$BA26:$BG26)</f>
        <v>0</v>
      </c>
      <c r="BX289" s="230">
        <f>SUMIF(APR!$BA$5:$BG$5,BX$177,APR!$BA26:$BG26)</f>
        <v>0</v>
      </c>
      <c r="BY289" s="998">
        <f>SUMIF(APR!$BA$5:$BG$5,BY$177,APR!$BA26:$BG26)</f>
        <v>0</v>
      </c>
      <c r="CB289" s="252"/>
      <c r="CC289" s="61" t="e">
        <f t="shared" si="52"/>
        <v>#N/A</v>
      </c>
      <c r="CD289" s="61">
        <f t="shared" si="53"/>
        <v>0</v>
      </c>
      <c r="CE289" s="105" t="str">
        <f t="shared" si="46"/>
        <v/>
      </c>
      <c r="CF289" s="61" t="e">
        <f t="shared" si="54"/>
        <v>#N/A</v>
      </c>
      <c r="CG289" s="61" t="e">
        <f t="shared" si="55"/>
        <v>#N/A</v>
      </c>
      <c r="CH289" s="521">
        <f>APR!AL26-CW289+CR289</f>
        <v>0</v>
      </c>
      <c r="CI289" s="228">
        <f>SUMIF(APR!$G$121:$M$121,CI$178,APR!$AM26:$AS26)+SUMIF($CS$178:$CV$178,CI$178,$CS289:$CV289)</f>
        <v>0</v>
      </c>
      <c r="CJ289" s="229">
        <f>SUMIF(APR!$G$121:$M$121,CJ$178,APR!$AM26:$AS26)+SUMIF($CS$178:$CV$178,CJ$178,$CS289:$CV289)</f>
        <v>0</v>
      </c>
      <c r="CK289" s="230">
        <f>SUMIF(APR!$G$121:$M$121,CK$178,APR!$AM26:$AS26)+SUMIF($CS$178:$CV$178,CK$178,$CS289:$CV289)</f>
        <v>0</v>
      </c>
      <c r="CL289" s="230">
        <f>SUMIF(APR!$G$121:$M$121,CL$178,APR!$AM26:$AS26)+SUMIF($CS$178:$CV$178,CL$178,$CS289:$CV289)</f>
        <v>0</v>
      </c>
      <c r="CM289" s="230">
        <f>SUMIF(APR!$G$121:$M$121,CM$178,APR!$AM26:$AS26)+SUMIF($CS$178:$CV$178,CM$178,$CS289:$CV289)</f>
        <v>0</v>
      </c>
      <c r="CN289" s="230">
        <f>SUMIF(APR!$G$121:$M$121,CN$178,APR!$AM26:$AS26)+SUMIF($CS$178:$CV$178,CN$178,$CS289:$CV289)</f>
        <v>0</v>
      </c>
      <c r="CO289" s="230">
        <f>SUMIF(APR!$G$121:$M$121,CO$178,APR!$AM26:$AS26)+SUMIF($CS$178:$CV$178,CO$178,$CS289:$CV289)</f>
        <v>0</v>
      </c>
      <c r="CP289" s="230">
        <f>SUMIF(APR!$G$121:$M$121,CP$178,APR!$AM26:$AS26)+SUMIF($CS$178:$CV$178,CP$178,$CS289:$CV289)</f>
        <v>0</v>
      </c>
      <c r="CQ289" s="231">
        <f>SUMIF(APR!$G$121:$M$121,CQ$178,APR!$AM26:$AS26)+SUMIF($CS$178:$CV$178,CQ$178,$CS289:$CV289)</f>
        <v>0</v>
      </c>
      <c r="CR289" s="521">
        <f>APR!AU26</f>
        <v>0</v>
      </c>
      <c r="CS289" s="228">
        <f>APR!AV26</f>
        <v>0</v>
      </c>
      <c r="CT289" s="229">
        <f>APR!AW26</f>
        <v>0</v>
      </c>
      <c r="CU289" s="230">
        <f>APR!AX26</f>
        <v>0</v>
      </c>
      <c r="CV289" s="231">
        <f>APR!AY26</f>
        <v>0</v>
      </c>
      <c r="CW289" s="521">
        <f>SUM(APR!AU26:AY26)</f>
        <v>0</v>
      </c>
      <c r="CX289" s="521">
        <f>APR!AK26</f>
        <v>0</v>
      </c>
      <c r="CY289" s="2"/>
    </row>
    <row r="290" spans="1:103" ht="14.25" hidden="1" customHeight="1" x14ac:dyDescent="0.2">
      <c r="A290" s="2"/>
      <c r="B290" s="105">
        <f t="shared" si="56"/>
        <v>45402</v>
      </c>
      <c r="C290" s="146">
        <f>IF(AND(E290&gt;(E$560-1),E290&lt;(I$560+1)),W$551,IF(ISERROR(HLOOKUP(E290,$E$553:$L$553,1,FALSE)),HLOOKUP(WEEKDAY(E290,2),IMPOSTAZIONI!$C$52:$P$57,6,FALSE),$W$550))</f>
        <v>0</v>
      </c>
      <c r="D290" s="71" t="str">
        <f t="shared" si="57"/>
        <v/>
      </c>
      <c r="E290" s="2258">
        <f t="shared" si="62"/>
        <v>45402</v>
      </c>
      <c r="F290" s="2259"/>
      <c r="G290" s="2228" t="str">
        <f>APR!E27</f>
        <v xml:space="preserve">disattivato  </v>
      </c>
      <c r="H290" s="2229"/>
      <c r="I290" s="2230"/>
      <c r="J290" s="262" t="str">
        <f t="shared" si="47"/>
        <v/>
      </c>
      <c r="K290" s="263"/>
      <c r="L290" s="2217">
        <f t="shared" si="63"/>
        <v>16</v>
      </c>
      <c r="M290" s="2218"/>
      <c r="N290" s="261"/>
      <c r="O290" s="261"/>
      <c r="P290" s="261"/>
      <c r="Q290" s="2219">
        <f t="shared" si="58"/>
        <v>45402</v>
      </c>
      <c r="R290" s="2219"/>
      <c r="S290" s="261"/>
      <c r="T290" s="1173">
        <f t="shared" si="48"/>
        <v>1</v>
      </c>
      <c r="U290" s="261"/>
      <c r="V290" s="261"/>
      <c r="W290" s="261"/>
      <c r="X290" s="261"/>
      <c r="Y290" s="261"/>
      <c r="Z290" s="261"/>
      <c r="AA290" s="261"/>
      <c r="AB290" s="261"/>
      <c r="AC290" s="261"/>
      <c r="AD290" s="261"/>
      <c r="AE290" s="261"/>
      <c r="AF290" s="261"/>
      <c r="AG290" s="1173">
        <f t="shared" si="59"/>
        <v>0</v>
      </c>
      <c r="AH290" s="61" t="str">
        <f t="shared" si="60"/>
        <v/>
      </c>
      <c r="AI290" s="89" t="e">
        <f t="shared" si="61"/>
        <v>#N/A</v>
      </c>
      <c r="AJ290" s="2"/>
      <c r="AK290" s="61">
        <f>IF(G290=G$547,0,IF(OR(G290&lt;&gt;0,CH290&lt;&gt;0,C290="L"),COUNTIF(AK$180:AK289,"&gt;0")+1,0))</f>
        <v>0</v>
      </c>
      <c r="AL290" s="61" t="str">
        <f t="shared" si="49"/>
        <v/>
      </c>
      <c r="AM290" s="61" t="e">
        <f t="shared" si="50"/>
        <v>#N/A</v>
      </c>
      <c r="AN290" s="89" t="e">
        <f t="shared" si="51"/>
        <v>#N/A</v>
      </c>
      <c r="AO290" s="230">
        <f>SUM(APR!X27:AD27)-BD290+AY290</f>
        <v>0</v>
      </c>
      <c r="AP290" s="228">
        <f>SUMIF(APR!$G$121:$M$121,AP$178,APR!$P27:$V27)+SUMIF($AZ$178:$BC$178,AP$178,$AZ290:$BC290)</f>
        <v>0</v>
      </c>
      <c r="AQ290" s="229">
        <f>SUMIF(APR!$G$121:$M$121,AQ$178,APR!$P27:$V27)+SUMIF($AZ$178:$BC$178,AQ$178,$AZ290:$BC290)</f>
        <v>0</v>
      </c>
      <c r="AR290" s="230">
        <f>SUMIF(APR!$G$121:$M$121,AR$178,APR!$P27:$V27)+SUMIF($AZ$178:$BC$178,AR$178,$AZ290:$BC290)</f>
        <v>0</v>
      </c>
      <c r="AS290" s="230">
        <f>SUMIF(APR!$G$121:$M$121,AS$178,APR!$P27:$V27)+SUMIF($AZ$178:$BC$178,AS$178,$AZ290:$BC290)</f>
        <v>0</v>
      </c>
      <c r="AT290" s="230">
        <f>SUMIF(APR!$G$121:$M$121,AT$178,APR!$P27:$V27)+SUMIF($AZ$178:$BC$178,AT$178,$AZ290:$BC290)</f>
        <v>0</v>
      </c>
      <c r="AU290" s="230">
        <f>SUMIF(APR!$G$121:$M$121,AU$178,APR!$P27:$V27)+SUMIF($AZ$178:$BC$178,AU$178,$AZ290:$BC290)</f>
        <v>0</v>
      </c>
      <c r="AV290" s="230">
        <f>SUMIF(APR!$G$121:$M$121,AV$178,APR!$P27:$V27)+SUMIF($AZ$178:$BC$178,AV$178,$AZ290:$BC290)</f>
        <v>0</v>
      </c>
      <c r="AW290" s="230">
        <f>SUMIF(APR!$G$121:$M$121,AW$178,APR!$P27:$V27)+SUMIF($AZ$178:$BC$178,AW$178,$AZ290:$BC290)</f>
        <v>0</v>
      </c>
      <c r="AX290" s="231">
        <f>SUMIF(APR!$G$121:$M$121,AX$178,APR!$P27:$V27)+SUMIF($AZ$178:$BC$178,AX$178,$AZ290:$BC290)</f>
        <v>0</v>
      </c>
      <c r="AY290" s="232">
        <f>APR!AF27</f>
        <v>0</v>
      </c>
      <c r="AZ290" s="228">
        <f>APR!AG27</f>
        <v>0</v>
      </c>
      <c r="BA290" s="229">
        <f>APR!AH27</f>
        <v>0</v>
      </c>
      <c r="BB290" s="230">
        <f>APR!AI27</f>
        <v>0</v>
      </c>
      <c r="BC290" s="231">
        <f>APR!AJ27</f>
        <v>0</v>
      </c>
      <c r="BD290" s="228">
        <f>SUMIF(APR!$G$120:$M$120,"&gt;0",APR!$X27:$AD27)</f>
        <v>0</v>
      </c>
      <c r="BE290" s="696"/>
      <c r="BF290" s="228">
        <f>SUMIF(APR!$BA$6:$BG$6,BF$177,APR!$BA27:$BG27)</f>
        <v>0</v>
      </c>
      <c r="BG290" s="229">
        <f>SUMIF(APR!$BA$6:$BG$6,BG$177,APR!$BA27:$BG27)</f>
        <v>0</v>
      </c>
      <c r="BH290" s="229">
        <f>SUMIF(APR!$BA$6:$BG$6,BH$177,APR!$BA27:$BG27)</f>
        <v>0</v>
      </c>
      <c r="BI290" s="229">
        <f>SUMIF(APR!$BA$6:$BG$6,BI$177,APR!$BA27:$BG27)</f>
        <v>0</v>
      </c>
      <c r="BJ290" s="229">
        <f>SUMIF(APR!$BA$6:$BG$6,BJ$177,APR!$BA27:$BG27)</f>
        <v>0</v>
      </c>
      <c r="BK290" s="229">
        <f>SUMIF(APR!$BA$6:$BG$6,BK$177,APR!$BA27:$BG27)</f>
        <v>0</v>
      </c>
      <c r="BL290" s="229">
        <f>SUMIF(APR!$BA$6:$BG$6,BL$177,APR!$BA27:$BG27)</f>
        <v>0</v>
      </c>
      <c r="BM290" s="229">
        <f>SUMIF(APR!$BA$6:$BG$6,BM$177,APR!$BA27:$BG27)</f>
        <v>0</v>
      </c>
      <c r="BN290" s="229">
        <f>SUMIF(APR!$BA$6:$BG$6,BN$177,APR!$BA27:$BG27)</f>
        <v>0</v>
      </c>
      <c r="BO290" s="231">
        <f>SUMIF(APR!$BA$6:$BG$6,BO$177,APR!$BA27:$BG27)</f>
        <v>0</v>
      </c>
      <c r="BP290" s="231">
        <f>SUMIF(APR!$BA$6:$BG$6,BP$177,APR!$BA27:$BG27)</f>
        <v>0</v>
      </c>
      <c r="BQ290" s="252"/>
      <c r="BR290" s="228">
        <f>SUMIF(APR!$BA$5:$BG$5,BR$177,APR!$BA27:$BG27)</f>
        <v>0</v>
      </c>
      <c r="BS290" s="229">
        <f>SUMIF(APR!$BA$5:$BG$5,BS$177,APR!$BA27:$BG27)</f>
        <v>0</v>
      </c>
      <c r="BT290" s="229">
        <f>SUMIF(APR!$BA$5:$BG$5,BT$177,APR!$BA27:$BG27)</f>
        <v>0</v>
      </c>
      <c r="BU290" s="229">
        <f>SUMIF(APR!$BA$5:$BG$5,BU$177,APR!$BA27:$BG27)</f>
        <v>0</v>
      </c>
      <c r="BV290" s="229">
        <f>SUMIF(APR!$BA$5:$BG$5,BV$177,APR!$BA27:$BG27)</f>
        <v>0</v>
      </c>
      <c r="BW290" s="229">
        <f>SUMIF(APR!$BA$5:$BG$5,BW$177,APR!$BA27:$BG27)</f>
        <v>0</v>
      </c>
      <c r="BX290" s="230">
        <f>SUMIF(APR!$BA$5:$BG$5,BX$177,APR!$BA27:$BG27)</f>
        <v>0</v>
      </c>
      <c r="BY290" s="998">
        <f>SUMIF(APR!$BA$5:$BG$5,BY$177,APR!$BA27:$BG27)</f>
        <v>0</v>
      </c>
      <c r="CB290" s="252"/>
      <c r="CC290" s="61" t="e">
        <f t="shared" si="52"/>
        <v>#N/A</v>
      </c>
      <c r="CD290" s="61">
        <f t="shared" si="53"/>
        <v>0</v>
      </c>
      <c r="CE290" s="105" t="str">
        <f t="shared" si="46"/>
        <v/>
      </c>
      <c r="CF290" s="61" t="e">
        <f t="shared" si="54"/>
        <v>#N/A</v>
      </c>
      <c r="CG290" s="61" t="e">
        <f t="shared" si="55"/>
        <v>#N/A</v>
      </c>
      <c r="CH290" s="521">
        <f>APR!AL27-CW290+CR290</f>
        <v>0</v>
      </c>
      <c r="CI290" s="228">
        <f>SUMIF(APR!$G$121:$M$121,CI$178,APR!$AM27:$AS27)+SUMIF($CS$178:$CV$178,CI$178,$CS290:$CV290)</f>
        <v>0</v>
      </c>
      <c r="CJ290" s="229">
        <f>SUMIF(APR!$G$121:$M$121,CJ$178,APR!$AM27:$AS27)+SUMIF($CS$178:$CV$178,CJ$178,$CS290:$CV290)</f>
        <v>0</v>
      </c>
      <c r="CK290" s="230">
        <f>SUMIF(APR!$G$121:$M$121,CK$178,APR!$AM27:$AS27)+SUMIF($CS$178:$CV$178,CK$178,$CS290:$CV290)</f>
        <v>0</v>
      </c>
      <c r="CL290" s="230">
        <f>SUMIF(APR!$G$121:$M$121,CL$178,APR!$AM27:$AS27)+SUMIF($CS$178:$CV$178,CL$178,$CS290:$CV290)</f>
        <v>0</v>
      </c>
      <c r="CM290" s="230">
        <f>SUMIF(APR!$G$121:$M$121,CM$178,APR!$AM27:$AS27)+SUMIF($CS$178:$CV$178,CM$178,$CS290:$CV290)</f>
        <v>0</v>
      </c>
      <c r="CN290" s="230">
        <f>SUMIF(APR!$G$121:$M$121,CN$178,APR!$AM27:$AS27)+SUMIF($CS$178:$CV$178,CN$178,$CS290:$CV290)</f>
        <v>0</v>
      </c>
      <c r="CO290" s="230">
        <f>SUMIF(APR!$G$121:$M$121,CO$178,APR!$AM27:$AS27)+SUMIF($CS$178:$CV$178,CO$178,$CS290:$CV290)</f>
        <v>0</v>
      </c>
      <c r="CP290" s="230">
        <f>SUMIF(APR!$G$121:$M$121,CP$178,APR!$AM27:$AS27)+SUMIF($CS$178:$CV$178,CP$178,$CS290:$CV290)</f>
        <v>0</v>
      </c>
      <c r="CQ290" s="231">
        <f>SUMIF(APR!$G$121:$M$121,CQ$178,APR!$AM27:$AS27)+SUMIF($CS$178:$CV$178,CQ$178,$CS290:$CV290)</f>
        <v>0</v>
      </c>
      <c r="CR290" s="521">
        <f>APR!AU27</f>
        <v>0</v>
      </c>
      <c r="CS290" s="228">
        <f>APR!AV27</f>
        <v>0</v>
      </c>
      <c r="CT290" s="229">
        <f>APR!AW27</f>
        <v>0</v>
      </c>
      <c r="CU290" s="230">
        <f>APR!AX27</f>
        <v>0</v>
      </c>
      <c r="CV290" s="231">
        <f>APR!AY27</f>
        <v>0</v>
      </c>
      <c r="CW290" s="521">
        <f>SUM(APR!AU27:AY27)</f>
        <v>0</v>
      </c>
      <c r="CX290" s="521">
        <f>APR!AK27</f>
        <v>0</v>
      </c>
      <c r="CY290" s="2"/>
    </row>
    <row r="291" spans="1:103" ht="14.25" hidden="1" customHeight="1" x14ac:dyDescent="0.2">
      <c r="A291" s="2"/>
      <c r="B291" s="105">
        <f t="shared" si="56"/>
        <v>45403</v>
      </c>
      <c r="C291" s="146">
        <f>IF(AND(E291&gt;(E$560-1),E291&lt;(I$560+1)),W$551,IF(ISERROR(HLOOKUP(E291,$E$553:$L$553,1,FALSE)),HLOOKUP(WEEKDAY(E291,2),IMPOSTAZIONI!$C$52:$P$57,6,FALSE),$W$550))</f>
        <v>0</v>
      </c>
      <c r="D291" s="71" t="str">
        <f t="shared" si="57"/>
        <v/>
      </c>
      <c r="E291" s="2258">
        <f t="shared" si="62"/>
        <v>45403</v>
      </c>
      <c r="F291" s="2259"/>
      <c r="G291" s="2228" t="str">
        <f>APR!E28</f>
        <v xml:space="preserve">disattivato  </v>
      </c>
      <c r="H291" s="2229"/>
      <c r="I291" s="2230"/>
      <c r="J291" s="262" t="str">
        <f t="shared" si="47"/>
        <v/>
      </c>
      <c r="K291" s="263"/>
      <c r="L291" s="2220">
        <f t="shared" si="63"/>
        <v>16</v>
      </c>
      <c r="M291" s="2221"/>
      <c r="N291" s="261"/>
      <c r="O291" s="261"/>
      <c r="P291" s="261"/>
      <c r="Q291" s="2219">
        <f t="shared" si="58"/>
        <v>45403</v>
      </c>
      <c r="R291" s="2219"/>
      <c r="S291" s="261"/>
      <c r="T291" s="1173">
        <f t="shared" si="48"/>
        <v>1</v>
      </c>
      <c r="U291" s="261"/>
      <c r="V291" s="261"/>
      <c r="W291" s="261"/>
      <c r="X291" s="261"/>
      <c r="Y291" s="261"/>
      <c r="Z291" s="261"/>
      <c r="AA291" s="261"/>
      <c r="AB291" s="261"/>
      <c r="AC291" s="261"/>
      <c r="AD291" s="261"/>
      <c r="AE291" s="261"/>
      <c r="AF291" s="261"/>
      <c r="AG291" s="1173">
        <f t="shared" si="59"/>
        <v>0</v>
      </c>
      <c r="AH291" s="61" t="str">
        <f t="shared" si="60"/>
        <v/>
      </c>
      <c r="AI291" s="89" t="e">
        <f t="shared" si="61"/>
        <v>#N/A</v>
      </c>
      <c r="AJ291" s="2"/>
      <c r="AK291" s="61">
        <f>IF(G291=G$547,0,IF(OR(G291&lt;&gt;0,CH291&lt;&gt;0,C291="L"),COUNTIF(AK$180:AK290,"&gt;0")+1,0))</f>
        <v>0</v>
      </c>
      <c r="AL291" s="61" t="str">
        <f t="shared" si="49"/>
        <v/>
      </c>
      <c r="AM291" s="61" t="e">
        <f t="shared" si="50"/>
        <v>#N/A</v>
      </c>
      <c r="AN291" s="89" t="e">
        <f t="shared" si="51"/>
        <v>#N/A</v>
      </c>
      <c r="AO291" s="230">
        <f>SUM(APR!X28:AD28)-BD291+AY291</f>
        <v>0</v>
      </c>
      <c r="AP291" s="228">
        <f>SUMIF(APR!$G$121:$M$121,AP$178,APR!$P28:$V28)+SUMIF($AZ$178:$BC$178,AP$178,$AZ291:$BC291)</f>
        <v>0</v>
      </c>
      <c r="AQ291" s="229">
        <f>SUMIF(APR!$G$121:$M$121,AQ$178,APR!$P28:$V28)+SUMIF($AZ$178:$BC$178,AQ$178,$AZ291:$BC291)</f>
        <v>0</v>
      </c>
      <c r="AR291" s="230">
        <f>SUMIF(APR!$G$121:$M$121,AR$178,APR!$P28:$V28)+SUMIF($AZ$178:$BC$178,AR$178,$AZ291:$BC291)</f>
        <v>0</v>
      </c>
      <c r="AS291" s="230">
        <f>SUMIF(APR!$G$121:$M$121,AS$178,APR!$P28:$V28)+SUMIF($AZ$178:$BC$178,AS$178,$AZ291:$BC291)</f>
        <v>0</v>
      </c>
      <c r="AT291" s="230">
        <f>SUMIF(APR!$G$121:$M$121,AT$178,APR!$P28:$V28)+SUMIF($AZ$178:$BC$178,AT$178,$AZ291:$BC291)</f>
        <v>0</v>
      </c>
      <c r="AU291" s="230">
        <f>SUMIF(APR!$G$121:$M$121,AU$178,APR!$P28:$V28)+SUMIF($AZ$178:$BC$178,AU$178,$AZ291:$BC291)</f>
        <v>0</v>
      </c>
      <c r="AV291" s="230">
        <f>SUMIF(APR!$G$121:$M$121,AV$178,APR!$P28:$V28)+SUMIF($AZ$178:$BC$178,AV$178,$AZ291:$BC291)</f>
        <v>0</v>
      </c>
      <c r="AW291" s="230">
        <f>SUMIF(APR!$G$121:$M$121,AW$178,APR!$P28:$V28)+SUMIF($AZ$178:$BC$178,AW$178,$AZ291:$BC291)</f>
        <v>0</v>
      </c>
      <c r="AX291" s="231">
        <f>SUMIF(APR!$G$121:$M$121,AX$178,APR!$P28:$V28)+SUMIF($AZ$178:$BC$178,AX$178,$AZ291:$BC291)</f>
        <v>0</v>
      </c>
      <c r="AY291" s="232">
        <f>APR!AF28</f>
        <v>0</v>
      </c>
      <c r="AZ291" s="228">
        <f>APR!AG28</f>
        <v>0</v>
      </c>
      <c r="BA291" s="229">
        <f>APR!AH28</f>
        <v>0</v>
      </c>
      <c r="BB291" s="230">
        <f>APR!AI28</f>
        <v>0</v>
      </c>
      <c r="BC291" s="231">
        <f>APR!AJ28</f>
        <v>0</v>
      </c>
      <c r="BD291" s="228">
        <f>SUMIF(APR!$G$120:$M$120,"&gt;0",APR!$X28:$AD28)</f>
        <v>0</v>
      </c>
      <c r="BE291" s="696"/>
      <c r="BF291" s="228">
        <f>SUMIF(APR!$BA$6:$BG$6,BF$177,APR!$BA28:$BG28)</f>
        <v>0</v>
      </c>
      <c r="BG291" s="229">
        <f>SUMIF(APR!$BA$6:$BG$6,BG$177,APR!$BA28:$BG28)</f>
        <v>0</v>
      </c>
      <c r="BH291" s="229">
        <f>SUMIF(APR!$BA$6:$BG$6,BH$177,APR!$BA28:$BG28)</f>
        <v>0</v>
      </c>
      <c r="BI291" s="229">
        <f>SUMIF(APR!$BA$6:$BG$6,BI$177,APR!$BA28:$BG28)</f>
        <v>0</v>
      </c>
      <c r="BJ291" s="229">
        <f>SUMIF(APR!$BA$6:$BG$6,BJ$177,APR!$BA28:$BG28)</f>
        <v>0</v>
      </c>
      <c r="BK291" s="229">
        <f>SUMIF(APR!$BA$6:$BG$6,BK$177,APR!$BA28:$BG28)</f>
        <v>0</v>
      </c>
      <c r="BL291" s="229">
        <f>SUMIF(APR!$BA$6:$BG$6,BL$177,APR!$BA28:$BG28)</f>
        <v>0</v>
      </c>
      <c r="BM291" s="229">
        <f>SUMIF(APR!$BA$6:$BG$6,BM$177,APR!$BA28:$BG28)</f>
        <v>0</v>
      </c>
      <c r="BN291" s="229">
        <f>SUMIF(APR!$BA$6:$BG$6,BN$177,APR!$BA28:$BG28)</f>
        <v>0</v>
      </c>
      <c r="BO291" s="231">
        <f>SUMIF(APR!$BA$6:$BG$6,BO$177,APR!$BA28:$BG28)</f>
        <v>0</v>
      </c>
      <c r="BP291" s="231">
        <f>SUMIF(APR!$BA$6:$BG$6,BP$177,APR!$BA28:$BG28)</f>
        <v>0</v>
      </c>
      <c r="BQ291" s="252"/>
      <c r="BR291" s="228">
        <f>SUMIF(APR!$BA$5:$BG$5,BR$177,APR!$BA28:$BG28)</f>
        <v>0</v>
      </c>
      <c r="BS291" s="229">
        <f>SUMIF(APR!$BA$5:$BG$5,BS$177,APR!$BA28:$BG28)</f>
        <v>0</v>
      </c>
      <c r="BT291" s="229">
        <f>SUMIF(APR!$BA$5:$BG$5,BT$177,APR!$BA28:$BG28)</f>
        <v>0</v>
      </c>
      <c r="BU291" s="229">
        <f>SUMIF(APR!$BA$5:$BG$5,BU$177,APR!$BA28:$BG28)</f>
        <v>0</v>
      </c>
      <c r="BV291" s="229">
        <f>SUMIF(APR!$BA$5:$BG$5,BV$177,APR!$BA28:$BG28)</f>
        <v>0</v>
      </c>
      <c r="BW291" s="229">
        <f>SUMIF(APR!$BA$5:$BG$5,BW$177,APR!$BA28:$BG28)</f>
        <v>0</v>
      </c>
      <c r="BX291" s="230">
        <f>SUMIF(APR!$BA$5:$BG$5,BX$177,APR!$BA28:$BG28)</f>
        <v>0</v>
      </c>
      <c r="BY291" s="998">
        <f>SUMIF(APR!$BA$5:$BG$5,BY$177,APR!$BA28:$BG28)</f>
        <v>0</v>
      </c>
      <c r="CB291" s="252"/>
      <c r="CC291" s="61" t="e">
        <f t="shared" si="52"/>
        <v>#N/A</v>
      </c>
      <c r="CD291" s="61">
        <f t="shared" si="53"/>
        <v>0</v>
      </c>
      <c r="CE291" s="105" t="str">
        <f t="shared" si="46"/>
        <v/>
      </c>
      <c r="CF291" s="61" t="e">
        <f t="shared" si="54"/>
        <v>#N/A</v>
      </c>
      <c r="CG291" s="61" t="e">
        <f t="shared" si="55"/>
        <v>#N/A</v>
      </c>
      <c r="CH291" s="521">
        <f>APR!AL28-CW291+CR291</f>
        <v>0</v>
      </c>
      <c r="CI291" s="228">
        <f>SUMIF(APR!$G$121:$M$121,CI$178,APR!$AM28:$AS28)+SUMIF($CS$178:$CV$178,CI$178,$CS291:$CV291)</f>
        <v>0</v>
      </c>
      <c r="CJ291" s="229">
        <f>SUMIF(APR!$G$121:$M$121,CJ$178,APR!$AM28:$AS28)+SUMIF($CS$178:$CV$178,CJ$178,$CS291:$CV291)</f>
        <v>0</v>
      </c>
      <c r="CK291" s="230">
        <f>SUMIF(APR!$G$121:$M$121,CK$178,APR!$AM28:$AS28)+SUMIF($CS$178:$CV$178,CK$178,$CS291:$CV291)</f>
        <v>0</v>
      </c>
      <c r="CL291" s="230">
        <f>SUMIF(APR!$G$121:$M$121,CL$178,APR!$AM28:$AS28)+SUMIF($CS$178:$CV$178,CL$178,$CS291:$CV291)</f>
        <v>0</v>
      </c>
      <c r="CM291" s="230">
        <f>SUMIF(APR!$G$121:$M$121,CM$178,APR!$AM28:$AS28)+SUMIF($CS$178:$CV$178,CM$178,$CS291:$CV291)</f>
        <v>0</v>
      </c>
      <c r="CN291" s="230">
        <f>SUMIF(APR!$G$121:$M$121,CN$178,APR!$AM28:$AS28)+SUMIF($CS$178:$CV$178,CN$178,$CS291:$CV291)</f>
        <v>0</v>
      </c>
      <c r="CO291" s="230">
        <f>SUMIF(APR!$G$121:$M$121,CO$178,APR!$AM28:$AS28)+SUMIF($CS$178:$CV$178,CO$178,$CS291:$CV291)</f>
        <v>0</v>
      </c>
      <c r="CP291" s="230">
        <f>SUMIF(APR!$G$121:$M$121,CP$178,APR!$AM28:$AS28)+SUMIF($CS$178:$CV$178,CP$178,$CS291:$CV291)</f>
        <v>0</v>
      </c>
      <c r="CQ291" s="231">
        <f>SUMIF(APR!$G$121:$M$121,CQ$178,APR!$AM28:$AS28)+SUMIF($CS$178:$CV$178,CQ$178,$CS291:$CV291)</f>
        <v>0</v>
      </c>
      <c r="CR291" s="521">
        <f>APR!AU28</f>
        <v>0</v>
      </c>
      <c r="CS291" s="228">
        <f>APR!AV28</f>
        <v>0</v>
      </c>
      <c r="CT291" s="229">
        <f>APR!AW28</f>
        <v>0</v>
      </c>
      <c r="CU291" s="230">
        <f>APR!AX28</f>
        <v>0</v>
      </c>
      <c r="CV291" s="231">
        <f>APR!AY28</f>
        <v>0</v>
      </c>
      <c r="CW291" s="521">
        <f>SUM(APR!AU28:AY28)</f>
        <v>0</v>
      </c>
      <c r="CX291" s="521">
        <f>APR!AK28</f>
        <v>0</v>
      </c>
      <c r="CY291" s="2"/>
    </row>
    <row r="292" spans="1:103" ht="14.25" hidden="1" customHeight="1" x14ac:dyDescent="0.2">
      <c r="A292" s="2"/>
      <c r="B292" s="105">
        <f t="shared" si="56"/>
        <v>45404</v>
      </c>
      <c r="C292" s="146">
        <f>IF(AND(E292&gt;(E$560-1),E292&lt;(I$560+1)),W$551,IF(ISERROR(HLOOKUP(E292,$E$553:$L$553,1,FALSE)),HLOOKUP(WEEKDAY(E292,2),IMPOSTAZIONI!$C$52:$P$57,6,FALSE),$W$550))</f>
        <v>0</v>
      </c>
      <c r="D292" s="71" t="str">
        <f t="shared" si="57"/>
        <v/>
      </c>
      <c r="E292" s="2258">
        <f t="shared" si="62"/>
        <v>45404</v>
      </c>
      <c r="F292" s="2259"/>
      <c r="G292" s="2228" t="str">
        <f>APR!E29</f>
        <v xml:space="preserve">disattivato  </v>
      </c>
      <c r="H292" s="2229"/>
      <c r="I292" s="2230"/>
      <c r="J292" s="262" t="str">
        <f t="shared" si="47"/>
        <v/>
      </c>
      <c r="K292" s="263"/>
      <c r="L292" s="2222">
        <f t="shared" si="63"/>
        <v>17</v>
      </c>
      <c r="M292" s="2223"/>
      <c r="N292" s="261"/>
      <c r="O292" s="261"/>
      <c r="P292" s="261"/>
      <c r="Q292" s="2219">
        <f t="shared" si="58"/>
        <v>45404</v>
      </c>
      <c r="R292" s="2219"/>
      <c r="S292" s="261"/>
      <c r="T292" s="1173">
        <f t="shared" si="48"/>
        <v>1</v>
      </c>
      <c r="U292" s="261"/>
      <c r="V292" s="261"/>
      <c r="W292" s="261"/>
      <c r="X292" s="261"/>
      <c r="Y292" s="261"/>
      <c r="Z292" s="261"/>
      <c r="AA292" s="261"/>
      <c r="AB292" s="261"/>
      <c r="AC292" s="261"/>
      <c r="AD292" s="261"/>
      <c r="AE292" s="261"/>
      <c r="AF292" s="261"/>
      <c r="AG292" s="1173">
        <f t="shared" si="59"/>
        <v>0</v>
      </c>
      <c r="AH292" s="61" t="str">
        <f t="shared" si="60"/>
        <v/>
      </c>
      <c r="AI292" s="89" t="e">
        <f t="shared" si="61"/>
        <v>#N/A</v>
      </c>
      <c r="AJ292" s="2"/>
      <c r="AK292" s="61">
        <f>IF(G292=G$547,0,IF(OR(G292&lt;&gt;0,CH292&lt;&gt;0,C292="L"),COUNTIF(AK$180:AK291,"&gt;0")+1,0))</f>
        <v>0</v>
      </c>
      <c r="AL292" s="61" t="str">
        <f t="shared" si="49"/>
        <v/>
      </c>
      <c r="AM292" s="61" t="e">
        <f t="shared" si="50"/>
        <v>#N/A</v>
      </c>
      <c r="AN292" s="89" t="e">
        <f t="shared" si="51"/>
        <v>#N/A</v>
      </c>
      <c r="AO292" s="230">
        <f>SUM(APR!X29:AD29)-BD292+AY292</f>
        <v>0</v>
      </c>
      <c r="AP292" s="228">
        <f>SUMIF(APR!$G$121:$M$121,AP$178,APR!$P29:$V29)+SUMIF($AZ$178:$BC$178,AP$178,$AZ292:$BC292)</f>
        <v>0</v>
      </c>
      <c r="AQ292" s="229">
        <f>SUMIF(APR!$G$121:$M$121,AQ$178,APR!$P29:$V29)+SUMIF($AZ$178:$BC$178,AQ$178,$AZ292:$BC292)</f>
        <v>0</v>
      </c>
      <c r="AR292" s="230">
        <f>SUMIF(APR!$G$121:$M$121,AR$178,APR!$P29:$V29)+SUMIF($AZ$178:$BC$178,AR$178,$AZ292:$BC292)</f>
        <v>0</v>
      </c>
      <c r="AS292" s="230">
        <f>SUMIF(APR!$G$121:$M$121,AS$178,APR!$P29:$V29)+SUMIF($AZ$178:$BC$178,AS$178,$AZ292:$BC292)</f>
        <v>0</v>
      </c>
      <c r="AT292" s="230">
        <f>SUMIF(APR!$G$121:$M$121,AT$178,APR!$P29:$V29)+SUMIF($AZ$178:$BC$178,AT$178,$AZ292:$BC292)</f>
        <v>0</v>
      </c>
      <c r="AU292" s="230">
        <f>SUMIF(APR!$G$121:$M$121,AU$178,APR!$P29:$V29)+SUMIF($AZ$178:$BC$178,AU$178,$AZ292:$BC292)</f>
        <v>0</v>
      </c>
      <c r="AV292" s="230">
        <f>SUMIF(APR!$G$121:$M$121,AV$178,APR!$P29:$V29)+SUMIF($AZ$178:$BC$178,AV$178,$AZ292:$BC292)</f>
        <v>0</v>
      </c>
      <c r="AW292" s="230">
        <f>SUMIF(APR!$G$121:$M$121,AW$178,APR!$P29:$V29)+SUMIF($AZ$178:$BC$178,AW$178,$AZ292:$BC292)</f>
        <v>0</v>
      </c>
      <c r="AX292" s="231">
        <f>SUMIF(APR!$G$121:$M$121,AX$178,APR!$P29:$V29)+SUMIF($AZ$178:$BC$178,AX$178,$AZ292:$BC292)</f>
        <v>0</v>
      </c>
      <c r="AY292" s="232">
        <f>APR!AF29</f>
        <v>0</v>
      </c>
      <c r="AZ292" s="228">
        <f>APR!AG29</f>
        <v>0</v>
      </c>
      <c r="BA292" s="229">
        <f>APR!AH29</f>
        <v>0</v>
      </c>
      <c r="BB292" s="230">
        <f>APR!AI29</f>
        <v>0</v>
      </c>
      <c r="BC292" s="231">
        <f>APR!AJ29</f>
        <v>0</v>
      </c>
      <c r="BD292" s="228">
        <f>SUMIF(APR!$G$120:$M$120,"&gt;0",APR!$X29:$AD29)</f>
        <v>0</v>
      </c>
      <c r="BE292" s="696"/>
      <c r="BF292" s="228">
        <f>SUMIF(APR!$BA$6:$BG$6,BF$177,APR!$BA29:$BG29)</f>
        <v>0</v>
      </c>
      <c r="BG292" s="229">
        <f>SUMIF(APR!$BA$6:$BG$6,BG$177,APR!$BA29:$BG29)</f>
        <v>0</v>
      </c>
      <c r="BH292" s="229">
        <f>SUMIF(APR!$BA$6:$BG$6,BH$177,APR!$BA29:$BG29)</f>
        <v>0</v>
      </c>
      <c r="BI292" s="229">
        <f>SUMIF(APR!$BA$6:$BG$6,BI$177,APR!$BA29:$BG29)</f>
        <v>0</v>
      </c>
      <c r="BJ292" s="229">
        <f>SUMIF(APR!$BA$6:$BG$6,BJ$177,APR!$BA29:$BG29)</f>
        <v>0</v>
      </c>
      <c r="BK292" s="229">
        <f>SUMIF(APR!$BA$6:$BG$6,BK$177,APR!$BA29:$BG29)</f>
        <v>0</v>
      </c>
      <c r="BL292" s="229">
        <f>SUMIF(APR!$BA$6:$BG$6,BL$177,APR!$BA29:$BG29)</f>
        <v>0</v>
      </c>
      <c r="BM292" s="229">
        <f>SUMIF(APR!$BA$6:$BG$6,BM$177,APR!$BA29:$BG29)</f>
        <v>0</v>
      </c>
      <c r="BN292" s="229">
        <f>SUMIF(APR!$BA$6:$BG$6,BN$177,APR!$BA29:$BG29)</f>
        <v>0</v>
      </c>
      <c r="BO292" s="231">
        <f>SUMIF(APR!$BA$6:$BG$6,BO$177,APR!$BA29:$BG29)</f>
        <v>0</v>
      </c>
      <c r="BP292" s="231">
        <f>SUMIF(APR!$BA$6:$BG$6,BP$177,APR!$BA29:$BG29)</f>
        <v>0</v>
      </c>
      <c r="BQ292" s="252"/>
      <c r="BR292" s="228">
        <f>SUMIF(APR!$BA$5:$BG$5,BR$177,APR!$BA29:$BG29)</f>
        <v>0</v>
      </c>
      <c r="BS292" s="229">
        <f>SUMIF(APR!$BA$5:$BG$5,BS$177,APR!$BA29:$BG29)</f>
        <v>0</v>
      </c>
      <c r="BT292" s="229">
        <f>SUMIF(APR!$BA$5:$BG$5,BT$177,APR!$BA29:$BG29)</f>
        <v>0</v>
      </c>
      <c r="BU292" s="229">
        <f>SUMIF(APR!$BA$5:$BG$5,BU$177,APR!$BA29:$BG29)</f>
        <v>0</v>
      </c>
      <c r="BV292" s="229">
        <f>SUMIF(APR!$BA$5:$BG$5,BV$177,APR!$BA29:$BG29)</f>
        <v>0</v>
      </c>
      <c r="BW292" s="229">
        <f>SUMIF(APR!$BA$5:$BG$5,BW$177,APR!$BA29:$BG29)</f>
        <v>0</v>
      </c>
      <c r="BX292" s="230">
        <f>SUMIF(APR!$BA$5:$BG$5,BX$177,APR!$BA29:$BG29)</f>
        <v>0</v>
      </c>
      <c r="BY292" s="998">
        <f>SUMIF(APR!$BA$5:$BG$5,BY$177,APR!$BA29:$BG29)</f>
        <v>0</v>
      </c>
      <c r="CB292" s="252"/>
      <c r="CC292" s="61" t="e">
        <f t="shared" si="52"/>
        <v>#N/A</v>
      </c>
      <c r="CD292" s="61">
        <f t="shared" si="53"/>
        <v>0</v>
      </c>
      <c r="CE292" s="105" t="str">
        <f t="shared" si="46"/>
        <v/>
      </c>
      <c r="CF292" s="61" t="e">
        <f t="shared" si="54"/>
        <v>#N/A</v>
      </c>
      <c r="CG292" s="61" t="e">
        <f t="shared" si="55"/>
        <v>#N/A</v>
      </c>
      <c r="CH292" s="521">
        <f>APR!AL29-CW292+CR292</f>
        <v>0</v>
      </c>
      <c r="CI292" s="228">
        <f>SUMIF(APR!$G$121:$M$121,CI$178,APR!$AM29:$AS29)+SUMIF($CS$178:$CV$178,CI$178,$CS292:$CV292)</f>
        <v>0</v>
      </c>
      <c r="CJ292" s="229">
        <f>SUMIF(APR!$G$121:$M$121,CJ$178,APR!$AM29:$AS29)+SUMIF($CS$178:$CV$178,CJ$178,$CS292:$CV292)</f>
        <v>0</v>
      </c>
      <c r="CK292" s="230">
        <f>SUMIF(APR!$G$121:$M$121,CK$178,APR!$AM29:$AS29)+SUMIF($CS$178:$CV$178,CK$178,$CS292:$CV292)</f>
        <v>0</v>
      </c>
      <c r="CL292" s="230">
        <f>SUMIF(APR!$G$121:$M$121,CL$178,APR!$AM29:$AS29)+SUMIF($CS$178:$CV$178,CL$178,$CS292:$CV292)</f>
        <v>0</v>
      </c>
      <c r="CM292" s="230">
        <f>SUMIF(APR!$G$121:$M$121,CM$178,APR!$AM29:$AS29)+SUMIF($CS$178:$CV$178,CM$178,$CS292:$CV292)</f>
        <v>0</v>
      </c>
      <c r="CN292" s="230">
        <f>SUMIF(APR!$G$121:$M$121,CN$178,APR!$AM29:$AS29)+SUMIF($CS$178:$CV$178,CN$178,$CS292:$CV292)</f>
        <v>0</v>
      </c>
      <c r="CO292" s="230">
        <f>SUMIF(APR!$G$121:$M$121,CO$178,APR!$AM29:$AS29)+SUMIF($CS$178:$CV$178,CO$178,$CS292:$CV292)</f>
        <v>0</v>
      </c>
      <c r="CP292" s="230">
        <f>SUMIF(APR!$G$121:$M$121,CP$178,APR!$AM29:$AS29)+SUMIF($CS$178:$CV$178,CP$178,$CS292:$CV292)</f>
        <v>0</v>
      </c>
      <c r="CQ292" s="231">
        <f>SUMIF(APR!$G$121:$M$121,CQ$178,APR!$AM29:$AS29)+SUMIF($CS$178:$CV$178,CQ$178,$CS292:$CV292)</f>
        <v>0</v>
      </c>
      <c r="CR292" s="521">
        <f>APR!AU29</f>
        <v>0</v>
      </c>
      <c r="CS292" s="228">
        <f>APR!AV29</f>
        <v>0</v>
      </c>
      <c r="CT292" s="229">
        <f>APR!AW29</f>
        <v>0</v>
      </c>
      <c r="CU292" s="230">
        <f>APR!AX29</f>
        <v>0</v>
      </c>
      <c r="CV292" s="231">
        <f>APR!AY29</f>
        <v>0</v>
      </c>
      <c r="CW292" s="521">
        <f>SUM(APR!AU29:AY29)</f>
        <v>0</v>
      </c>
      <c r="CX292" s="521">
        <f>APR!AK29</f>
        <v>0</v>
      </c>
      <c r="CY292" s="2"/>
    </row>
    <row r="293" spans="1:103" ht="14.25" hidden="1" customHeight="1" x14ac:dyDescent="0.2">
      <c r="A293" s="2"/>
      <c r="B293" s="105">
        <f t="shared" si="56"/>
        <v>45405</v>
      </c>
      <c r="C293" s="146">
        <f>IF(AND(E293&gt;(E$560-1),E293&lt;(I$560+1)),W$551,IF(ISERROR(HLOOKUP(E293,$E$553:$L$553,1,FALSE)),HLOOKUP(WEEKDAY(E293,2),IMPOSTAZIONI!$C$52:$P$57,6,FALSE),$W$550))</f>
        <v>0</v>
      </c>
      <c r="D293" s="71" t="str">
        <f t="shared" si="57"/>
        <v/>
      </c>
      <c r="E293" s="2258">
        <f t="shared" si="62"/>
        <v>45405</v>
      </c>
      <c r="F293" s="2259"/>
      <c r="G293" s="2228" t="str">
        <f>APR!E30</f>
        <v xml:space="preserve">disattivato  </v>
      </c>
      <c r="H293" s="2229"/>
      <c r="I293" s="2230"/>
      <c r="J293" s="262" t="str">
        <f t="shared" si="47"/>
        <v/>
      </c>
      <c r="K293" s="263"/>
      <c r="L293" s="2217">
        <f t="shared" si="63"/>
        <v>17</v>
      </c>
      <c r="M293" s="2218"/>
      <c r="N293" s="261"/>
      <c r="O293" s="261"/>
      <c r="P293" s="261"/>
      <c r="Q293" s="2219">
        <f t="shared" si="58"/>
        <v>45405</v>
      </c>
      <c r="R293" s="2219"/>
      <c r="S293" s="261"/>
      <c r="T293" s="1173">
        <f t="shared" si="48"/>
        <v>1</v>
      </c>
      <c r="U293" s="261"/>
      <c r="V293" s="261"/>
      <c r="W293" s="261"/>
      <c r="X293" s="261"/>
      <c r="Y293" s="261"/>
      <c r="Z293" s="261"/>
      <c r="AA293" s="261"/>
      <c r="AB293" s="261"/>
      <c r="AC293" s="261"/>
      <c r="AD293" s="261"/>
      <c r="AE293" s="261"/>
      <c r="AF293" s="261"/>
      <c r="AG293" s="1173">
        <f t="shared" si="59"/>
        <v>0</v>
      </c>
      <c r="AH293" s="61" t="str">
        <f t="shared" si="60"/>
        <v/>
      </c>
      <c r="AI293" s="89" t="e">
        <f t="shared" si="61"/>
        <v>#N/A</v>
      </c>
      <c r="AJ293" s="2"/>
      <c r="AK293" s="61">
        <f>IF(G293=G$547,0,IF(OR(G293&lt;&gt;0,CH293&lt;&gt;0,C293="L"),COUNTIF(AK$180:AK292,"&gt;0")+1,0))</f>
        <v>0</v>
      </c>
      <c r="AL293" s="61" t="str">
        <f t="shared" si="49"/>
        <v/>
      </c>
      <c r="AM293" s="61" t="e">
        <f t="shared" si="50"/>
        <v>#N/A</v>
      </c>
      <c r="AN293" s="89" t="e">
        <f t="shared" si="51"/>
        <v>#N/A</v>
      </c>
      <c r="AO293" s="230">
        <f>SUM(APR!X30:AD30)-BD293+AY293</f>
        <v>0</v>
      </c>
      <c r="AP293" s="228">
        <f>SUMIF(APR!$G$121:$M$121,AP$178,APR!$P30:$V30)+SUMIF($AZ$178:$BC$178,AP$178,$AZ293:$BC293)</f>
        <v>0</v>
      </c>
      <c r="AQ293" s="229">
        <f>SUMIF(APR!$G$121:$M$121,AQ$178,APR!$P30:$V30)+SUMIF($AZ$178:$BC$178,AQ$178,$AZ293:$BC293)</f>
        <v>0</v>
      </c>
      <c r="AR293" s="230">
        <f>SUMIF(APR!$G$121:$M$121,AR$178,APR!$P30:$V30)+SUMIF($AZ$178:$BC$178,AR$178,$AZ293:$BC293)</f>
        <v>0</v>
      </c>
      <c r="AS293" s="230">
        <f>SUMIF(APR!$G$121:$M$121,AS$178,APR!$P30:$V30)+SUMIF($AZ$178:$BC$178,AS$178,$AZ293:$BC293)</f>
        <v>0</v>
      </c>
      <c r="AT293" s="230">
        <f>SUMIF(APR!$G$121:$M$121,AT$178,APR!$P30:$V30)+SUMIF($AZ$178:$BC$178,AT$178,$AZ293:$BC293)</f>
        <v>0</v>
      </c>
      <c r="AU293" s="230">
        <f>SUMIF(APR!$G$121:$M$121,AU$178,APR!$P30:$V30)+SUMIF($AZ$178:$BC$178,AU$178,$AZ293:$BC293)</f>
        <v>0</v>
      </c>
      <c r="AV293" s="230">
        <f>SUMIF(APR!$G$121:$M$121,AV$178,APR!$P30:$V30)+SUMIF($AZ$178:$BC$178,AV$178,$AZ293:$BC293)</f>
        <v>0</v>
      </c>
      <c r="AW293" s="230">
        <f>SUMIF(APR!$G$121:$M$121,AW$178,APR!$P30:$V30)+SUMIF($AZ$178:$BC$178,AW$178,$AZ293:$BC293)</f>
        <v>0</v>
      </c>
      <c r="AX293" s="231">
        <f>SUMIF(APR!$G$121:$M$121,AX$178,APR!$P30:$V30)+SUMIF($AZ$178:$BC$178,AX$178,$AZ293:$BC293)</f>
        <v>0</v>
      </c>
      <c r="AY293" s="232">
        <f>APR!AF30</f>
        <v>0</v>
      </c>
      <c r="AZ293" s="228">
        <f>APR!AG30</f>
        <v>0</v>
      </c>
      <c r="BA293" s="229">
        <f>APR!AH30</f>
        <v>0</v>
      </c>
      <c r="BB293" s="230">
        <f>APR!AI30</f>
        <v>0</v>
      </c>
      <c r="BC293" s="231">
        <f>APR!AJ30</f>
        <v>0</v>
      </c>
      <c r="BD293" s="228">
        <f>SUMIF(APR!$G$120:$M$120,"&gt;0",APR!$X30:$AD30)</f>
        <v>0</v>
      </c>
      <c r="BE293" s="696"/>
      <c r="BF293" s="228">
        <f>SUMIF(APR!$BA$6:$BG$6,BF$177,APR!$BA30:$BG30)</f>
        <v>0</v>
      </c>
      <c r="BG293" s="229">
        <f>SUMIF(APR!$BA$6:$BG$6,BG$177,APR!$BA30:$BG30)</f>
        <v>0</v>
      </c>
      <c r="BH293" s="229">
        <f>SUMIF(APR!$BA$6:$BG$6,BH$177,APR!$BA30:$BG30)</f>
        <v>0</v>
      </c>
      <c r="BI293" s="229">
        <f>SUMIF(APR!$BA$6:$BG$6,BI$177,APR!$BA30:$BG30)</f>
        <v>0</v>
      </c>
      <c r="BJ293" s="229">
        <f>SUMIF(APR!$BA$6:$BG$6,BJ$177,APR!$BA30:$BG30)</f>
        <v>0</v>
      </c>
      <c r="BK293" s="229">
        <f>SUMIF(APR!$BA$6:$BG$6,BK$177,APR!$BA30:$BG30)</f>
        <v>0</v>
      </c>
      <c r="BL293" s="229">
        <f>SUMIF(APR!$BA$6:$BG$6,BL$177,APR!$BA30:$BG30)</f>
        <v>0</v>
      </c>
      <c r="BM293" s="229">
        <f>SUMIF(APR!$BA$6:$BG$6,BM$177,APR!$BA30:$BG30)</f>
        <v>0</v>
      </c>
      <c r="BN293" s="229">
        <f>SUMIF(APR!$BA$6:$BG$6,BN$177,APR!$BA30:$BG30)</f>
        <v>0</v>
      </c>
      <c r="BO293" s="231">
        <f>SUMIF(APR!$BA$6:$BG$6,BO$177,APR!$BA30:$BG30)</f>
        <v>0</v>
      </c>
      <c r="BP293" s="231">
        <f>SUMIF(APR!$BA$6:$BG$6,BP$177,APR!$BA30:$BG30)</f>
        <v>0</v>
      </c>
      <c r="BQ293" s="252"/>
      <c r="BR293" s="228">
        <f>SUMIF(APR!$BA$5:$BG$5,BR$177,APR!$BA30:$BG30)</f>
        <v>0</v>
      </c>
      <c r="BS293" s="229">
        <f>SUMIF(APR!$BA$5:$BG$5,BS$177,APR!$BA30:$BG30)</f>
        <v>0</v>
      </c>
      <c r="BT293" s="229">
        <f>SUMIF(APR!$BA$5:$BG$5,BT$177,APR!$BA30:$BG30)</f>
        <v>0</v>
      </c>
      <c r="BU293" s="229">
        <f>SUMIF(APR!$BA$5:$BG$5,BU$177,APR!$BA30:$BG30)</f>
        <v>0</v>
      </c>
      <c r="BV293" s="229">
        <f>SUMIF(APR!$BA$5:$BG$5,BV$177,APR!$BA30:$BG30)</f>
        <v>0</v>
      </c>
      <c r="BW293" s="229">
        <f>SUMIF(APR!$BA$5:$BG$5,BW$177,APR!$BA30:$BG30)</f>
        <v>0</v>
      </c>
      <c r="BX293" s="230">
        <f>SUMIF(APR!$BA$5:$BG$5,BX$177,APR!$BA30:$BG30)</f>
        <v>0</v>
      </c>
      <c r="BY293" s="998">
        <f>SUMIF(APR!$BA$5:$BG$5,BY$177,APR!$BA30:$BG30)</f>
        <v>0</v>
      </c>
      <c r="CB293" s="252"/>
      <c r="CC293" s="61" t="e">
        <f t="shared" si="52"/>
        <v>#N/A</v>
      </c>
      <c r="CD293" s="61">
        <f t="shared" si="53"/>
        <v>0</v>
      </c>
      <c r="CE293" s="105" t="str">
        <f t="shared" si="46"/>
        <v/>
      </c>
      <c r="CF293" s="61" t="e">
        <f t="shared" si="54"/>
        <v>#N/A</v>
      </c>
      <c r="CG293" s="61" t="e">
        <f t="shared" si="55"/>
        <v>#N/A</v>
      </c>
      <c r="CH293" s="521">
        <f>APR!AL30-CW293+CR293</f>
        <v>0</v>
      </c>
      <c r="CI293" s="228">
        <f>SUMIF(APR!$G$121:$M$121,CI$178,APR!$AM30:$AS30)+SUMIF($CS$178:$CV$178,CI$178,$CS293:$CV293)</f>
        <v>0</v>
      </c>
      <c r="CJ293" s="229">
        <f>SUMIF(APR!$G$121:$M$121,CJ$178,APR!$AM30:$AS30)+SUMIF($CS$178:$CV$178,CJ$178,$CS293:$CV293)</f>
        <v>0</v>
      </c>
      <c r="CK293" s="230">
        <f>SUMIF(APR!$G$121:$M$121,CK$178,APR!$AM30:$AS30)+SUMIF($CS$178:$CV$178,CK$178,$CS293:$CV293)</f>
        <v>0</v>
      </c>
      <c r="CL293" s="230">
        <f>SUMIF(APR!$G$121:$M$121,CL$178,APR!$AM30:$AS30)+SUMIF($CS$178:$CV$178,CL$178,$CS293:$CV293)</f>
        <v>0</v>
      </c>
      <c r="CM293" s="230">
        <f>SUMIF(APR!$G$121:$M$121,CM$178,APR!$AM30:$AS30)+SUMIF($CS$178:$CV$178,CM$178,$CS293:$CV293)</f>
        <v>0</v>
      </c>
      <c r="CN293" s="230">
        <f>SUMIF(APR!$G$121:$M$121,CN$178,APR!$AM30:$AS30)+SUMIF($CS$178:$CV$178,CN$178,$CS293:$CV293)</f>
        <v>0</v>
      </c>
      <c r="CO293" s="230">
        <f>SUMIF(APR!$G$121:$M$121,CO$178,APR!$AM30:$AS30)+SUMIF($CS$178:$CV$178,CO$178,$CS293:$CV293)</f>
        <v>0</v>
      </c>
      <c r="CP293" s="230">
        <f>SUMIF(APR!$G$121:$M$121,CP$178,APR!$AM30:$AS30)+SUMIF($CS$178:$CV$178,CP$178,$CS293:$CV293)</f>
        <v>0</v>
      </c>
      <c r="CQ293" s="231">
        <f>SUMIF(APR!$G$121:$M$121,CQ$178,APR!$AM30:$AS30)+SUMIF($CS$178:$CV$178,CQ$178,$CS293:$CV293)</f>
        <v>0</v>
      </c>
      <c r="CR293" s="521">
        <f>APR!AU30</f>
        <v>0</v>
      </c>
      <c r="CS293" s="228">
        <f>APR!AV30</f>
        <v>0</v>
      </c>
      <c r="CT293" s="229">
        <f>APR!AW30</f>
        <v>0</v>
      </c>
      <c r="CU293" s="230">
        <f>APR!AX30</f>
        <v>0</v>
      </c>
      <c r="CV293" s="231">
        <f>APR!AY30</f>
        <v>0</v>
      </c>
      <c r="CW293" s="521">
        <f>SUM(APR!AU30:AY30)</f>
        <v>0</v>
      </c>
      <c r="CX293" s="521">
        <f>APR!AK30</f>
        <v>0</v>
      </c>
      <c r="CY293" s="2"/>
    </row>
    <row r="294" spans="1:103" ht="14.25" hidden="1" customHeight="1" x14ac:dyDescent="0.2">
      <c r="A294" s="2"/>
      <c r="B294" s="105">
        <f t="shared" si="56"/>
        <v>45406</v>
      </c>
      <c r="C294" s="146">
        <f>IF(AND(E294&gt;(E$560-1),E294&lt;(I$560+1)),W$551,IF(ISERROR(HLOOKUP(E294,$E$553:$L$553,1,FALSE)),HLOOKUP(WEEKDAY(E294,2),IMPOSTAZIONI!$C$52:$P$57,6,FALSE),$W$550))</f>
        <v>0</v>
      </c>
      <c r="D294" s="71" t="str">
        <f t="shared" si="57"/>
        <v/>
      </c>
      <c r="E294" s="2258">
        <f t="shared" si="62"/>
        <v>45406</v>
      </c>
      <c r="F294" s="2259"/>
      <c r="G294" s="2228" t="str">
        <f>APR!E31</f>
        <v xml:space="preserve">disattivato  </v>
      </c>
      <c r="H294" s="2229"/>
      <c r="I294" s="2230"/>
      <c r="J294" s="262" t="str">
        <f t="shared" si="47"/>
        <v/>
      </c>
      <c r="K294" s="263"/>
      <c r="L294" s="2217">
        <f t="shared" si="63"/>
        <v>17</v>
      </c>
      <c r="M294" s="2218"/>
      <c r="N294" s="261"/>
      <c r="O294" s="261"/>
      <c r="P294" s="261"/>
      <c r="Q294" s="2219">
        <f t="shared" si="58"/>
        <v>45406</v>
      </c>
      <c r="R294" s="2219"/>
      <c r="S294" s="261"/>
      <c r="T294" s="1173">
        <f t="shared" si="48"/>
        <v>1</v>
      </c>
      <c r="U294" s="261"/>
      <c r="V294" s="261"/>
      <c r="W294" s="261"/>
      <c r="X294" s="261"/>
      <c r="Y294" s="261"/>
      <c r="Z294" s="261"/>
      <c r="AA294" s="261"/>
      <c r="AB294" s="261"/>
      <c r="AC294" s="261"/>
      <c r="AD294" s="261"/>
      <c r="AE294" s="261"/>
      <c r="AF294" s="261"/>
      <c r="AG294" s="1173">
        <f t="shared" si="59"/>
        <v>0</v>
      </c>
      <c r="AH294" s="61" t="str">
        <f t="shared" si="60"/>
        <v/>
      </c>
      <c r="AI294" s="89" t="e">
        <f t="shared" si="61"/>
        <v>#N/A</v>
      </c>
      <c r="AJ294" s="2"/>
      <c r="AK294" s="61">
        <f>IF(G294=G$547,0,IF(OR(G294&lt;&gt;0,CH294&lt;&gt;0,C294="L"),COUNTIF(AK$180:AK293,"&gt;0")+1,0))</f>
        <v>0</v>
      </c>
      <c r="AL294" s="61" t="str">
        <f t="shared" si="49"/>
        <v/>
      </c>
      <c r="AM294" s="61" t="e">
        <f t="shared" si="50"/>
        <v>#N/A</v>
      </c>
      <c r="AN294" s="89" t="e">
        <f t="shared" si="51"/>
        <v>#N/A</v>
      </c>
      <c r="AO294" s="230">
        <f>SUM(APR!X31:AD31)-BD294+AY294</f>
        <v>0</v>
      </c>
      <c r="AP294" s="228">
        <f>SUMIF(APR!$G$121:$M$121,AP$178,APR!$P31:$V31)+SUMIF($AZ$178:$BC$178,AP$178,$AZ294:$BC294)</f>
        <v>0</v>
      </c>
      <c r="AQ294" s="229">
        <f>SUMIF(APR!$G$121:$M$121,AQ$178,APR!$P31:$V31)+SUMIF($AZ$178:$BC$178,AQ$178,$AZ294:$BC294)</f>
        <v>0</v>
      </c>
      <c r="AR294" s="230">
        <f>SUMIF(APR!$G$121:$M$121,AR$178,APR!$P31:$V31)+SUMIF($AZ$178:$BC$178,AR$178,$AZ294:$BC294)</f>
        <v>0</v>
      </c>
      <c r="AS294" s="230">
        <f>SUMIF(APR!$G$121:$M$121,AS$178,APR!$P31:$V31)+SUMIF($AZ$178:$BC$178,AS$178,$AZ294:$BC294)</f>
        <v>0</v>
      </c>
      <c r="AT294" s="230">
        <f>SUMIF(APR!$G$121:$M$121,AT$178,APR!$P31:$V31)+SUMIF($AZ$178:$BC$178,AT$178,$AZ294:$BC294)</f>
        <v>0</v>
      </c>
      <c r="AU294" s="230">
        <f>SUMIF(APR!$G$121:$M$121,AU$178,APR!$P31:$V31)+SUMIF($AZ$178:$BC$178,AU$178,$AZ294:$BC294)</f>
        <v>0</v>
      </c>
      <c r="AV294" s="230">
        <f>SUMIF(APR!$G$121:$M$121,AV$178,APR!$P31:$V31)+SUMIF($AZ$178:$BC$178,AV$178,$AZ294:$BC294)</f>
        <v>0</v>
      </c>
      <c r="AW294" s="230">
        <f>SUMIF(APR!$G$121:$M$121,AW$178,APR!$P31:$V31)+SUMIF($AZ$178:$BC$178,AW$178,$AZ294:$BC294)</f>
        <v>0</v>
      </c>
      <c r="AX294" s="231">
        <f>SUMIF(APR!$G$121:$M$121,AX$178,APR!$P31:$V31)+SUMIF($AZ$178:$BC$178,AX$178,$AZ294:$BC294)</f>
        <v>0</v>
      </c>
      <c r="AY294" s="232">
        <f>APR!AF31</f>
        <v>0</v>
      </c>
      <c r="AZ294" s="228">
        <f>APR!AG31</f>
        <v>0</v>
      </c>
      <c r="BA294" s="229">
        <f>APR!AH31</f>
        <v>0</v>
      </c>
      <c r="BB294" s="230">
        <f>APR!AI31</f>
        <v>0</v>
      </c>
      <c r="BC294" s="231">
        <f>APR!AJ31</f>
        <v>0</v>
      </c>
      <c r="BD294" s="228">
        <f>SUMIF(APR!$G$120:$M$120,"&gt;0",APR!$X31:$AD31)</f>
        <v>0</v>
      </c>
      <c r="BE294" s="696"/>
      <c r="BF294" s="228">
        <f>SUMIF(APR!$BA$6:$BG$6,BF$177,APR!$BA31:$BG31)</f>
        <v>0</v>
      </c>
      <c r="BG294" s="229">
        <f>SUMIF(APR!$BA$6:$BG$6,BG$177,APR!$BA31:$BG31)</f>
        <v>0</v>
      </c>
      <c r="BH294" s="229">
        <f>SUMIF(APR!$BA$6:$BG$6,BH$177,APR!$BA31:$BG31)</f>
        <v>0</v>
      </c>
      <c r="BI294" s="229">
        <f>SUMIF(APR!$BA$6:$BG$6,BI$177,APR!$BA31:$BG31)</f>
        <v>0</v>
      </c>
      <c r="BJ294" s="229">
        <f>SUMIF(APR!$BA$6:$BG$6,BJ$177,APR!$BA31:$BG31)</f>
        <v>0</v>
      </c>
      <c r="BK294" s="229">
        <f>SUMIF(APR!$BA$6:$BG$6,BK$177,APR!$BA31:$BG31)</f>
        <v>0</v>
      </c>
      <c r="BL294" s="229">
        <f>SUMIF(APR!$BA$6:$BG$6,BL$177,APR!$BA31:$BG31)</f>
        <v>0</v>
      </c>
      <c r="BM294" s="229">
        <f>SUMIF(APR!$BA$6:$BG$6,BM$177,APR!$BA31:$BG31)</f>
        <v>0</v>
      </c>
      <c r="BN294" s="229">
        <f>SUMIF(APR!$BA$6:$BG$6,BN$177,APR!$BA31:$BG31)</f>
        <v>0</v>
      </c>
      <c r="BO294" s="231">
        <f>SUMIF(APR!$BA$6:$BG$6,BO$177,APR!$BA31:$BG31)</f>
        <v>0</v>
      </c>
      <c r="BP294" s="231">
        <f>SUMIF(APR!$BA$6:$BG$6,BP$177,APR!$BA31:$BG31)</f>
        <v>0</v>
      </c>
      <c r="BQ294" s="252"/>
      <c r="BR294" s="228">
        <f>SUMIF(APR!$BA$5:$BG$5,BR$177,APR!$BA31:$BG31)</f>
        <v>0</v>
      </c>
      <c r="BS294" s="229">
        <f>SUMIF(APR!$BA$5:$BG$5,BS$177,APR!$BA31:$BG31)</f>
        <v>0</v>
      </c>
      <c r="BT294" s="229">
        <f>SUMIF(APR!$BA$5:$BG$5,BT$177,APR!$BA31:$BG31)</f>
        <v>0</v>
      </c>
      <c r="BU294" s="229">
        <f>SUMIF(APR!$BA$5:$BG$5,BU$177,APR!$BA31:$BG31)</f>
        <v>0</v>
      </c>
      <c r="BV294" s="229">
        <f>SUMIF(APR!$BA$5:$BG$5,BV$177,APR!$BA31:$BG31)</f>
        <v>0</v>
      </c>
      <c r="BW294" s="229">
        <f>SUMIF(APR!$BA$5:$BG$5,BW$177,APR!$BA31:$BG31)</f>
        <v>0</v>
      </c>
      <c r="BX294" s="230">
        <f>SUMIF(APR!$BA$5:$BG$5,BX$177,APR!$BA31:$BG31)</f>
        <v>0</v>
      </c>
      <c r="BY294" s="998">
        <f>SUMIF(APR!$BA$5:$BG$5,BY$177,APR!$BA31:$BG31)</f>
        <v>0</v>
      </c>
      <c r="CB294" s="252"/>
      <c r="CC294" s="61" t="e">
        <f t="shared" si="52"/>
        <v>#N/A</v>
      </c>
      <c r="CD294" s="61">
        <f t="shared" si="53"/>
        <v>0</v>
      </c>
      <c r="CE294" s="105" t="str">
        <f t="shared" si="46"/>
        <v/>
      </c>
      <c r="CF294" s="61" t="e">
        <f t="shared" si="54"/>
        <v>#N/A</v>
      </c>
      <c r="CG294" s="61" t="e">
        <f t="shared" si="55"/>
        <v>#N/A</v>
      </c>
      <c r="CH294" s="521">
        <f>APR!AL31-CW294+CR294</f>
        <v>0</v>
      </c>
      <c r="CI294" s="228">
        <f>SUMIF(APR!$G$121:$M$121,CI$178,APR!$AM31:$AS31)+SUMIF($CS$178:$CV$178,CI$178,$CS294:$CV294)</f>
        <v>0</v>
      </c>
      <c r="CJ294" s="229">
        <f>SUMIF(APR!$G$121:$M$121,CJ$178,APR!$AM31:$AS31)+SUMIF($CS$178:$CV$178,CJ$178,$CS294:$CV294)</f>
        <v>0</v>
      </c>
      <c r="CK294" s="230">
        <f>SUMIF(APR!$G$121:$M$121,CK$178,APR!$AM31:$AS31)+SUMIF($CS$178:$CV$178,CK$178,$CS294:$CV294)</f>
        <v>0</v>
      </c>
      <c r="CL294" s="230">
        <f>SUMIF(APR!$G$121:$M$121,CL$178,APR!$AM31:$AS31)+SUMIF($CS$178:$CV$178,CL$178,$CS294:$CV294)</f>
        <v>0</v>
      </c>
      <c r="CM294" s="230">
        <f>SUMIF(APR!$G$121:$M$121,CM$178,APR!$AM31:$AS31)+SUMIF($CS$178:$CV$178,CM$178,$CS294:$CV294)</f>
        <v>0</v>
      </c>
      <c r="CN294" s="230">
        <f>SUMIF(APR!$G$121:$M$121,CN$178,APR!$AM31:$AS31)+SUMIF($CS$178:$CV$178,CN$178,$CS294:$CV294)</f>
        <v>0</v>
      </c>
      <c r="CO294" s="230">
        <f>SUMIF(APR!$G$121:$M$121,CO$178,APR!$AM31:$AS31)+SUMIF($CS$178:$CV$178,CO$178,$CS294:$CV294)</f>
        <v>0</v>
      </c>
      <c r="CP294" s="230">
        <f>SUMIF(APR!$G$121:$M$121,CP$178,APR!$AM31:$AS31)+SUMIF($CS$178:$CV$178,CP$178,$CS294:$CV294)</f>
        <v>0</v>
      </c>
      <c r="CQ294" s="231">
        <f>SUMIF(APR!$G$121:$M$121,CQ$178,APR!$AM31:$AS31)+SUMIF($CS$178:$CV$178,CQ$178,$CS294:$CV294)</f>
        <v>0</v>
      </c>
      <c r="CR294" s="521">
        <f>APR!AU31</f>
        <v>0</v>
      </c>
      <c r="CS294" s="228">
        <f>APR!AV31</f>
        <v>0</v>
      </c>
      <c r="CT294" s="229">
        <f>APR!AW31</f>
        <v>0</v>
      </c>
      <c r="CU294" s="230">
        <f>APR!AX31</f>
        <v>0</v>
      </c>
      <c r="CV294" s="231">
        <f>APR!AY31</f>
        <v>0</v>
      </c>
      <c r="CW294" s="521">
        <f>SUM(APR!AU31:AY31)</f>
        <v>0</v>
      </c>
      <c r="CX294" s="521">
        <f>APR!AK31</f>
        <v>0</v>
      </c>
      <c r="CY294" s="2"/>
    </row>
    <row r="295" spans="1:103" ht="14.25" hidden="1" customHeight="1" x14ac:dyDescent="0.2">
      <c r="A295" s="2"/>
      <c r="B295" s="105">
        <f t="shared" si="56"/>
        <v>45407</v>
      </c>
      <c r="C295" s="146">
        <f>IF(AND(E295&gt;(E$560-1),E295&lt;(I$560+1)),W$551,IF(ISERROR(HLOOKUP(E295,$E$553:$L$553,1,FALSE)),HLOOKUP(WEEKDAY(E295,2),IMPOSTAZIONI!$C$52:$P$57,6,FALSE),$W$550))</f>
        <v>0</v>
      </c>
      <c r="D295" s="71" t="str">
        <f t="shared" si="57"/>
        <v/>
      </c>
      <c r="E295" s="2258">
        <f t="shared" si="62"/>
        <v>45407</v>
      </c>
      <c r="F295" s="2259"/>
      <c r="G295" s="2228" t="str">
        <f>APR!E32</f>
        <v xml:space="preserve">disattivato  </v>
      </c>
      <c r="H295" s="2229"/>
      <c r="I295" s="2230"/>
      <c r="J295" s="262" t="str">
        <f t="shared" si="47"/>
        <v/>
      </c>
      <c r="K295" s="263"/>
      <c r="L295" s="2217">
        <f t="shared" si="63"/>
        <v>17</v>
      </c>
      <c r="M295" s="2218"/>
      <c r="N295" s="261"/>
      <c r="O295" s="261"/>
      <c r="P295" s="261"/>
      <c r="Q295" s="2219">
        <f t="shared" si="58"/>
        <v>45407</v>
      </c>
      <c r="R295" s="2219"/>
      <c r="S295" s="261"/>
      <c r="T295" s="1173">
        <f t="shared" si="48"/>
        <v>1</v>
      </c>
      <c r="U295" s="261"/>
      <c r="V295" s="261"/>
      <c r="W295" s="261"/>
      <c r="X295" s="261"/>
      <c r="Y295" s="261"/>
      <c r="Z295" s="261"/>
      <c r="AA295" s="261"/>
      <c r="AB295" s="261"/>
      <c r="AC295" s="261"/>
      <c r="AD295" s="261"/>
      <c r="AE295" s="261"/>
      <c r="AF295" s="261"/>
      <c r="AG295" s="1173">
        <f t="shared" si="59"/>
        <v>0</v>
      </c>
      <c r="AH295" s="61" t="str">
        <f t="shared" si="60"/>
        <v/>
      </c>
      <c r="AI295" s="89" t="e">
        <f t="shared" si="61"/>
        <v>#N/A</v>
      </c>
      <c r="AJ295" s="2"/>
      <c r="AK295" s="61">
        <f>IF(G295=G$547,0,IF(OR(G295&lt;&gt;0,CH295&lt;&gt;0,C295="L"),COUNTIF(AK$180:AK294,"&gt;0")+1,0))</f>
        <v>0</v>
      </c>
      <c r="AL295" s="61" t="str">
        <f t="shared" si="49"/>
        <v/>
      </c>
      <c r="AM295" s="61" t="e">
        <f t="shared" si="50"/>
        <v>#N/A</v>
      </c>
      <c r="AN295" s="89" t="e">
        <f t="shared" si="51"/>
        <v>#N/A</v>
      </c>
      <c r="AO295" s="230">
        <f>SUM(APR!X32:AD32)-BD295+AY295</f>
        <v>0</v>
      </c>
      <c r="AP295" s="228">
        <f>SUMIF(APR!$G$121:$M$121,AP$178,APR!$P32:$V32)+SUMIF($AZ$178:$BC$178,AP$178,$AZ295:$BC295)</f>
        <v>0</v>
      </c>
      <c r="AQ295" s="229">
        <f>SUMIF(APR!$G$121:$M$121,AQ$178,APR!$P32:$V32)+SUMIF($AZ$178:$BC$178,AQ$178,$AZ295:$BC295)</f>
        <v>0</v>
      </c>
      <c r="AR295" s="230">
        <f>SUMIF(APR!$G$121:$M$121,AR$178,APR!$P32:$V32)+SUMIF($AZ$178:$BC$178,AR$178,$AZ295:$BC295)</f>
        <v>0</v>
      </c>
      <c r="AS295" s="230">
        <f>SUMIF(APR!$G$121:$M$121,AS$178,APR!$P32:$V32)+SUMIF($AZ$178:$BC$178,AS$178,$AZ295:$BC295)</f>
        <v>0</v>
      </c>
      <c r="AT295" s="230">
        <f>SUMIF(APR!$G$121:$M$121,AT$178,APR!$P32:$V32)+SUMIF($AZ$178:$BC$178,AT$178,$AZ295:$BC295)</f>
        <v>0</v>
      </c>
      <c r="AU295" s="230">
        <f>SUMIF(APR!$G$121:$M$121,AU$178,APR!$P32:$V32)+SUMIF($AZ$178:$BC$178,AU$178,$AZ295:$BC295)</f>
        <v>0</v>
      </c>
      <c r="AV295" s="230">
        <f>SUMIF(APR!$G$121:$M$121,AV$178,APR!$P32:$V32)+SUMIF($AZ$178:$BC$178,AV$178,$AZ295:$BC295)</f>
        <v>0</v>
      </c>
      <c r="AW295" s="230">
        <f>SUMIF(APR!$G$121:$M$121,AW$178,APR!$P32:$V32)+SUMIF($AZ$178:$BC$178,AW$178,$AZ295:$BC295)</f>
        <v>0</v>
      </c>
      <c r="AX295" s="231">
        <f>SUMIF(APR!$G$121:$M$121,AX$178,APR!$P32:$V32)+SUMIF($AZ$178:$BC$178,AX$178,$AZ295:$BC295)</f>
        <v>0</v>
      </c>
      <c r="AY295" s="232">
        <f>APR!AF32</f>
        <v>0</v>
      </c>
      <c r="AZ295" s="228">
        <f>APR!AG32</f>
        <v>0</v>
      </c>
      <c r="BA295" s="229">
        <f>APR!AH32</f>
        <v>0</v>
      </c>
      <c r="BB295" s="230">
        <f>APR!AI32</f>
        <v>0</v>
      </c>
      <c r="BC295" s="231">
        <f>APR!AJ32</f>
        <v>0</v>
      </c>
      <c r="BD295" s="228">
        <f>SUMIF(APR!$G$120:$M$120,"&gt;0",APR!$X32:$AD32)</f>
        <v>0</v>
      </c>
      <c r="BE295" s="696"/>
      <c r="BF295" s="228">
        <f>SUMIF(APR!$BA$6:$BG$6,BF$177,APR!$BA32:$BG32)</f>
        <v>0</v>
      </c>
      <c r="BG295" s="229">
        <f>SUMIF(APR!$BA$6:$BG$6,BG$177,APR!$BA32:$BG32)</f>
        <v>0</v>
      </c>
      <c r="BH295" s="229">
        <f>SUMIF(APR!$BA$6:$BG$6,BH$177,APR!$BA32:$BG32)</f>
        <v>0</v>
      </c>
      <c r="BI295" s="229">
        <f>SUMIF(APR!$BA$6:$BG$6,BI$177,APR!$BA32:$BG32)</f>
        <v>0</v>
      </c>
      <c r="BJ295" s="229">
        <f>SUMIF(APR!$BA$6:$BG$6,BJ$177,APR!$BA32:$BG32)</f>
        <v>0</v>
      </c>
      <c r="BK295" s="229">
        <f>SUMIF(APR!$BA$6:$BG$6,BK$177,APR!$BA32:$BG32)</f>
        <v>0</v>
      </c>
      <c r="BL295" s="229">
        <f>SUMIF(APR!$BA$6:$BG$6,BL$177,APR!$BA32:$BG32)</f>
        <v>0</v>
      </c>
      <c r="BM295" s="229">
        <f>SUMIF(APR!$BA$6:$BG$6,BM$177,APR!$BA32:$BG32)</f>
        <v>0</v>
      </c>
      <c r="BN295" s="229">
        <f>SUMIF(APR!$BA$6:$BG$6,BN$177,APR!$BA32:$BG32)</f>
        <v>0</v>
      </c>
      <c r="BO295" s="231">
        <f>SUMIF(APR!$BA$6:$BG$6,BO$177,APR!$BA32:$BG32)</f>
        <v>0</v>
      </c>
      <c r="BP295" s="231">
        <f>SUMIF(APR!$BA$6:$BG$6,BP$177,APR!$BA32:$BG32)</f>
        <v>0</v>
      </c>
      <c r="BQ295" s="252"/>
      <c r="BR295" s="228">
        <f>SUMIF(APR!$BA$5:$BG$5,BR$177,APR!$BA32:$BG32)</f>
        <v>0</v>
      </c>
      <c r="BS295" s="229">
        <f>SUMIF(APR!$BA$5:$BG$5,BS$177,APR!$BA32:$BG32)</f>
        <v>0</v>
      </c>
      <c r="BT295" s="229">
        <f>SUMIF(APR!$BA$5:$BG$5,BT$177,APR!$BA32:$BG32)</f>
        <v>0</v>
      </c>
      <c r="BU295" s="229">
        <f>SUMIF(APR!$BA$5:$BG$5,BU$177,APR!$BA32:$BG32)</f>
        <v>0</v>
      </c>
      <c r="BV295" s="229">
        <f>SUMIF(APR!$BA$5:$BG$5,BV$177,APR!$BA32:$BG32)</f>
        <v>0</v>
      </c>
      <c r="BW295" s="229">
        <f>SUMIF(APR!$BA$5:$BG$5,BW$177,APR!$BA32:$BG32)</f>
        <v>0</v>
      </c>
      <c r="BX295" s="230">
        <f>SUMIF(APR!$BA$5:$BG$5,BX$177,APR!$BA32:$BG32)</f>
        <v>0</v>
      </c>
      <c r="BY295" s="998">
        <f>SUMIF(APR!$BA$5:$BG$5,BY$177,APR!$BA32:$BG32)</f>
        <v>0</v>
      </c>
      <c r="CB295" s="252"/>
      <c r="CC295" s="61" t="e">
        <f t="shared" si="52"/>
        <v>#N/A</v>
      </c>
      <c r="CD295" s="61">
        <f t="shared" si="53"/>
        <v>0</v>
      </c>
      <c r="CE295" s="105" t="str">
        <f t="shared" si="46"/>
        <v/>
      </c>
      <c r="CF295" s="61" t="e">
        <f t="shared" si="54"/>
        <v>#N/A</v>
      </c>
      <c r="CG295" s="61" t="e">
        <f t="shared" si="55"/>
        <v>#N/A</v>
      </c>
      <c r="CH295" s="521">
        <f>APR!AL32-CW295+CR295</f>
        <v>0</v>
      </c>
      <c r="CI295" s="228">
        <f>SUMIF(APR!$G$121:$M$121,CI$178,APR!$AM32:$AS32)+SUMIF($CS$178:$CV$178,CI$178,$CS295:$CV295)</f>
        <v>0</v>
      </c>
      <c r="CJ295" s="229">
        <f>SUMIF(APR!$G$121:$M$121,CJ$178,APR!$AM32:$AS32)+SUMIF($CS$178:$CV$178,CJ$178,$CS295:$CV295)</f>
        <v>0</v>
      </c>
      <c r="CK295" s="230">
        <f>SUMIF(APR!$G$121:$M$121,CK$178,APR!$AM32:$AS32)+SUMIF($CS$178:$CV$178,CK$178,$CS295:$CV295)</f>
        <v>0</v>
      </c>
      <c r="CL295" s="230">
        <f>SUMIF(APR!$G$121:$M$121,CL$178,APR!$AM32:$AS32)+SUMIF($CS$178:$CV$178,CL$178,$CS295:$CV295)</f>
        <v>0</v>
      </c>
      <c r="CM295" s="230">
        <f>SUMIF(APR!$G$121:$M$121,CM$178,APR!$AM32:$AS32)+SUMIF($CS$178:$CV$178,CM$178,$CS295:$CV295)</f>
        <v>0</v>
      </c>
      <c r="CN295" s="230">
        <f>SUMIF(APR!$G$121:$M$121,CN$178,APR!$AM32:$AS32)+SUMIF($CS$178:$CV$178,CN$178,$CS295:$CV295)</f>
        <v>0</v>
      </c>
      <c r="CO295" s="230">
        <f>SUMIF(APR!$G$121:$M$121,CO$178,APR!$AM32:$AS32)+SUMIF($CS$178:$CV$178,CO$178,$CS295:$CV295)</f>
        <v>0</v>
      </c>
      <c r="CP295" s="230">
        <f>SUMIF(APR!$G$121:$M$121,CP$178,APR!$AM32:$AS32)+SUMIF($CS$178:$CV$178,CP$178,$CS295:$CV295)</f>
        <v>0</v>
      </c>
      <c r="CQ295" s="231">
        <f>SUMIF(APR!$G$121:$M$121,CQ$178,APR!$AM32:$AS32)+SUMIF($CS$178:$CV$178,CQ$178,$CS295:$CV295)</f>
        <v>0</v>
      </c>
      <c r="CR295" s="521">
        <f>APR!AU32</f>
        <v>0</v>
      </c>
      <c r="CS295" s="228">
        <f>APR!AV32</f>
        <v>0</v>
      </c>
      <c r="CT295" s="229">
        <f>APR!AW32</f>
        <v>0</v>
      </c>
      <c r="CU295" s="230">
        <f>APR!AX32</f>
        <v>0</v>
      </c>
      <c r="CV295" s="231">
        <f>APR!AY32</f>
        <v>0</v>
      </c>
      <c r="CW295" s="521">
        <f>SUM(APR!AU32:AY32)</f>
        <v>0</v>
      </c>
      <c r="CX295" s="521">
        <f>APR!AK32</f>
        <v>0</v>
      </c>
      <c r="CY295" s="2"/>
    </row>
    <row r="296" spans="1:103" ht="14.25" hidden="1" customHeight="1" x14ac:dyDescent="0.2">
      <c r="A296" s="2"/>
      <c r="B296" s="105">
        <f t="shared" si="56"/>
        <v>45408</v>
      </c>
      <c r="C296" s="146">
        <f>IF(AND(E296&gt;(E$560-1),E296&lt;(I$560+1)),W$551,IF(ISERROR(HLOOKUP(E296,$E$553:$L$553,1,FALSE)),HLOOKUP(WEEKDAY(E296,2),IMPOSTAZIONI!$C$52:$P$57,6,FALSE),$W$550))</f>
        <v>0</v>
      </c>
      <c r="D296" s="71" t="str">
        <f t="shared" si="57"/>
        <v/>
      </c>
      <c r="E296" s="2258">
        <f t="shared" si="62"/>
        <v>45408</v>
      </c>
      <c r="F296" s="2259"/>
      <c r="G296" s="2228" t="str">
        <f>APR!E33</f>
        <v xml:space="preserve">disattivato  </v>
      </c>
      <c r="H296" s="2229"/>
      <c r="I296" s="2230"/>
      <c r="J296" s="262" t="str">
        <f t="shared" si="47"/>
        <v/>
      </c>
      <c r="K296" s="263"/>
      <c r="L296" s="2217">
        <f t="shared" si="63"/>
        <v>17</v>
      </c>
      <c r="M296" s="2218"/>
      <c r="N296" s="261"/>
      <c r="O296" s="261"/>
      <c r="P296" s="261"/>
      <c r="Q296" s="2219">
        <f t="shared" si="58"/>
        <v>45408</v>
      </c>
      <c r="R296" s="2219"/>
      <c r="S296" s="261"/>
      <c r="T296" s="1173">
        <f t="shared" si="48"/>
        <v>1</v>
      </c>
      <c r="U296" s="261"/>
      <c r="V296" s="261"/>
      <c r="W296" s="261"/>
      <c r="X296" s="261"/>
      <c r="Y296" s="261"/>
      <c r="Z296" s="261"/>
      <c r="AA296" s="261"/>
      <c r="AB296" s="261"/>
      <c r="AC296" s="261"/>
      <c r="AD296" s="261"/>
      <c r="AE296" s="261"/>
      <c r="AF296" s="261"/>
      <c r="AG296" s="1173">
        <f t="shared" si="59"/>
        <v>0</v>
      </c>
      <c r="AH296" s="61" t="str">
        <f t="shared" si="60"/>
        <v/>
      </c>
      <c r="AI296" s="89" t="e">
        <f t="shared" si="61"/>
        <v>#N/A</v>
      </c>
      <c r="AJ296" s="2"/>
      <c r="AK296" s="61">
        <f>IF(G296=G$547,0,IF(OR(G296&lt;&gt;0,CH296&lt;&gt;0,C296="L"),COUNTIF(AK$180:AK295,"&gt;0")+1,0))</f>
        <v>0</v>
      </c>
      <c r="AL296" s="61" t="str">
        <f t="shared" si="49"/>
        <v/>
      </c>
      <c r="AM296" s="61" t="e">
        <f t="shared" si="50"/>
        <v>#N/A</v>
      </c>
      <c r="AN296" s="89" t="e">
        <f t="shared" si="51"/>
        <v>#N/A</v>
      </c>
      <c r="AO296" s="230">
        <f>SUM(APR!X33:AD33)-BD296+AY296</f>
        <v>0</v>
      </c>
      <c r="AP296" s="228">
        <f>SUMIF(APR!$G$121:$M$121,AP$178,APR!$P33:$V33)+SUMIF($AZ$178:$BC$178,AP$178,$AZ296:$BC296)</f>
        <v>0</v>
      </c>
      <c r="AQ296" s="229">
        <f>SUMIF(APR!$G$121:$M$121,AQ$178,APR!$P33:$V33)+SUMIF($AZ$178:$BC$178,AQ$178,$AZ296:$BC296)</f>
        <v>0</v>
      </c>
      <c r="AR296" s="230">
        <f>SUMIF(APR!$G$121:$M$121,AR$178,APR!$P33:$V33)+SUMIF($AZ$178:$BC$178,AR$178,$AZ296:$BC296)</f>
        <v>0</v>
      </c>
      <c r="AS296" s="230">
        <f>SUMIF(APR!$G$121:$M$121,AS$178,APR!$P33:$V33)+SUMIF($AZ$178:$BC$178,AS$178,$AZ296:$BC296)</f>
        <v>0</v>
      </c>
      <c r="AT296" s="230">
        <f>SUMIF(APR!$G$121:$M$121,AT$178,APR!$P33:$V33)+SUMIF($AZ$178:$BC$178,AT$178,$AZ296:$BC296)</f>
        <v>0</v>
      </c>
      <c r="AU296" s="230">
        <f>SUMIF(APR!$G$121:$M$121,AU$178,APR!$P33:$V33)+SUMIF($AZ$178:$BC$178,AU$178,$AZ296:$BC296)</f>
        <v>0</v>
      </c>
      <c r="AV296" s="230">
        <f>SUMIF(APR!$G$121:$M$121,AV$178,APR!$P33:$V33)+SUMIF($AZ$178:$BC$178,AV$178,$AZ296:$BC296)</f>
        <v>0</v>
      </c>
      <c r="AW296" s="230">
        <f>SUMIF(APR!$G$121:$M$121,AW$178,APR!$P33:$V33)+SUMIF($AZ$178:$BC$178,AW$178,$AZ296:$BC296)</f>
        <v>0</v>
      </c>
      <c r="AX296" s="231">
        <f>SUMIF(APR!$G$121:$M$121,AX$178,APR!$P33:$V33)+SUMIF($AZ$178:$BC$178,AX$178,$AZ296:$BC296)</f>
        <v>0</v>
      </c>
      <c r="AY296" s="232">
        <f>APR!AF33</f>
        <v>0</v>
      </c>
      <c r="AZ296" s="228">
        <f>APR!AG33</f>
        <v>0</v>
      </c>
      <c r="BA296" s="229">
        <f>APR!AH33</f>
        <v>0</v>
      </c>
      <c r="BB296" s="230">
        <f>APR!AI33</f>
        <v>0</v>
      </c>
      <c r="BC296" s="231">
        <f>APR!AJ33</f>
        <v>0</v>
      </c>
      <c r="BD296" s="228">
        <f>SUMIF(APR!$G$120:$M$120,"&gt;0",APR!$X33:$AD33)</f>
        <v>0</v>
      </c>
      <c r="BE296" s="696"/>
      <c r="BF296" s="228">
        <f>SUMIF(APR!$BA$6:$BG$6,BF$177,APR!$BA33:$BG33)</f>
        <v>0</v>
      </c>
      <c r="BG296" s="229">
        <f>SUMIF(APR!$BA$6:$BG$6,BG$177,APR!$BA33:$BG33)</f>
        <v>0</v>
      </c>
      <c r="BH296" s="229">
        <f>SUMIF(APR!$BA$6:$BG$6,BH$177,APR!$BA33:$BG33)</f>
        <v>0</v>
      </c>
      <c r="BI296" s="229">
        <f>SUMIF(APR!$BA$6:$BG$6,BI$177,APR!$BA33:$BG33)</f>
        <v>0</v>
      </c>
      <c r="BJ296" s="229">
        <f>SUMIF(APR!$BA$6:$BG$6,BJ$177,APR!$BA33:$BG33)</f>
        <v>0</v>
      </c>
      <c r="BK296" s="229">
        <f>SUMIF(APR!$BA$6:$BG$6,BK$177,APR!$BA33:$BG33)</f>
        <v>0</v>
      </c>
      <c r="BL296" s="229">
        <f>SUMIF(APR!$BA$6:$BG$6,BL$177,APR!$BA33:$BG33)</f>
        <v>0</v>
      </c>
      <c r="BM296" s="229">
        <f>SUMIF(APR!$BA$6:$BG$6,BM$177,APR!$BA33:$BG33)</f>
        <v>0</v>
      </c>
      <c r="BN296" s="229">
        <f>SUMIF(APR!$BA$6:$BG$6,BN$177,APR!$BA33:$BG33)</f>
        <v>0</v>
      </c>
      <c r="BO296" s="231">
        <f>SUMIF(APR!$BA$6:$BG$6,BO$177,APR!$BA33:$BG33)</f>
        <v>0</v>
      </c>
      <c r="BP296" s="231">
        <f>SUMIF(APR!$BA$6:$BG$6,BP$177,APR!$BA33:$BG33)</f>
        <v>0</v>
      </c>
      <c r="BQ296" s="252"/>
      <c r="BR296" s="228">
        <f>SUMIF(APR!$BA$5:$BG$5,BR$177,APR!$BA33:$BG33)</f>
        <v>0</v>
      </c>
      <c r="BS296" s="229">
        <f>SUMIF(APR!$BA$5:$BG$5,BS$177,APR!$BA33:$BG33)</f>
        <v>0</v>
      </c>
      <c r="BT296" s="229">
        <f>SUMIF(APR!$BA$5:$BG$5,BT$177,APR!$BA33:$BG33)</f>
        <v>0</v>
      </c>
      <c r="BU296" s="229">
        <f>SUMIF(APR!$BA$5:$BG$5,BU$177,APR!$BA33:$BG33)</f>
        <v>0</v>
      </c>
      <c r="BV296" s="229">
        <f>SUMIF(APR!$BA$5:$BG$5,BV$177,APR!$BA33:$BG33)</f>
        <v>0</v>
      </c>
      <c r="BW296" s="229">
        <f>SUMIF(APR!$BA$5:$BG$5,BW$177,APR!$BA33:$BG33)</f>
        <v>0</v>
      </c>
      <c r="BX296" s="230">
        <f>SUMIF(APR!$BA$5:$BG$5,BX$177,APR!$BA33:$BG33)</f>
        <v>0</v>
      </c>
      <c r="BY296" s="998">
        <f>SUMIF(APR!$BA$5:$BG$5,BY$177,APR!$BA33:$BG33)</f>
        <v>0</v>
      </c>
      <c r="CB296" s="252"/>
      <c r="CC296" s="61" t="e">
        <f t="shared" si="52"/>
        <v>#N/A</v>
      </c>
      <c r="CD296" s="61">
        <f t="shared" si="53"/>
        <v>0</v>
      </c>
      <c r="CE296" s="105" t="str">
        <f t="shared" si="46"/>
        <v/>
      </c>
      <c r="CF296" s="61" t="e">
        <f t="shared" si="54"/>
        <v>#N/A</v>
      </c>
      <c r="CG296" s="61" t="e">
        <f t="shared" si="55"/>
        <v>#N/A</v>
      </c>
      <c r="CH296" s="521">
        <f>APR!AL33-CW296+CR296</f>
        <v>0</v>
      </c>
      <c r="CI296" s="228">
        <f>SUMIF(APR!$G$121:$M$121,CI$178,APR!$AM33:$AS33)+SUMIF($CS$178:$CV$178,CI$178,$CS296:$CV296)</f>
        <v>0</v>
      </c>
      <c r="CJ296" s="229">
        <f>SUMIF(APR!$G$121:$M$121,CJ$178,APR!$AM33:$AS33)+SUMIF($CS$178:$CV$178,CJ$178,$CS296:$CV296)</f>
        <v>0</v>
      </c>
      <c r="CK296" s="230">
        <f>SUMIF(APR!$G$121:$M$121,CK$178,APR!$AM33:$AS33)+SUMIF($CS$178:$CV$178,CK$178,$CS296:$CV296)</f>
        <v>0</v>
      </c>
      <c r="CL296" s="230">
        <f>SUMIF(APR!$G$121:$M$121,CL$178,APR!$AM33:$AS33)+SUMIF($CS$178:$CV$178,CL$178,$CS296:$CV296)</f>
        <v>0</v>
      </c>
      <c r="CM296" s="230">
        <f>SUMIF(APR!$G$121:$M$121,CM$178,APR!$AM33:$AS33)+SUMIF($CS$178:$CV$178,CM$178,$CS296:$CV296)</f>
        <v>0</v>
      </c>
      <c r="CN296" s="230">
        <f>SUMIF(APR!$G$121:$M$121,CN$178,APR!$AM33:$AS33)+SUMIF($CS$178:$CV$178,CN$178,$CS296:$CV296)</f>
        <v>0</v>
      </c>
      <c r="CO296" s="230">
        <f>SUMIF(APR!$G$121:$M$121,CO$178,APR!$AM33:$AS33)+SUMIF($CS$178:$CV$178,CO$178,$CS296:$CV296)</f>
        <v>0</v>
      </c>
      <c r="CP296" s="230">
        <f>SUMIF(APR!$G$121:$M$121,CP$178,APR!$AM33:$AS33)+SUMIF($CS$178:$CV$178,CP$178,$CS296:$CV296)</f>
        <v>0</v>
      </c>
      <c r="CQ296" s="231">
        <f>SUMIF(APR!$G$121:$M$121,CQ$178,APR!$AM33:$AS33)+SUMIF($CS$178:$CV$178,CQ$178,$CS296:$CV296)</f>
        <v>0</v>
      </c>
      <c r="CR296" s="521">
        <f>APR!AU33</f>
        <v>0</v>
      </c>
      <c r="CS296" s="228">
        <f>APR!AV33</f>
        <v>0</v>
      </c>
      <c r="CT296" s="229">
        <f>APR!AW33</f>
        <v>0</v>
      </c>
      <c r="CU296" s="230">
        <f>APR!AX33</f>
        <v>0</v>
      </c>
      <c r="CV296" s="231">
        <f>APR!AY33</f>
        <v>0</v>
      </c>
      <c r="CW296" s="521">
        <f>SUM(APR!AU33:AY33)</f>
        <v>0</v>
      </c>
      <c r="CX296" s="521">
        <f>APR!AK33</f>
        <v>0</v>
      </c>
      <c r="CY296" s="2"/>
    </row>
    <row r="297" spans="1:103" ht="14.25" hidden="1" customHeight="1" x14ac:dyDescent="0.2">
      <c r="A297" s="2"/>
      <c r="B297" s="105">
        <f t="shared" si="56"/>
        <v>45409</v>
      </c>
      <c r="C297" s="146">
        <f>IF(AND(E297&gt;(E$560-1),E297&lt;(I$560+1)),W$551,IF(ISERROR(HLOOKUP(E297,$E$553:$L$553,1,FALSE)),HLOOKUP(WEEKDAY(E297,2),IMPOSTAZIONI!$C$52:$P$57,6,FALSE),$W$550))</f>
        <v>0</v>
      </c>
      <c r="D297" s="71" t="str">
        <f t="shared" si="57"/>
        <v/>
      </c>
      <c r="E297" s="2258">
        <f t="shared" si="62"/>
        <v>45409</v>
      </c>
      <c r="F297" s="2259"/>
      <c r="G297" s="2228" t="str">
        <f>APR!E34</f>
        <v xml:space="preserve">disattivato  </v>
      </c>
      <c r="H297" s="2229"/>
      <c r="I297" s="2230"/>
      <c r="J297" s="262" t="str">
        <f t="shared" si="47"/>
        <v/>
      </c>
      <c r="K297" s="263"/>
      <c r="L297" s="2217">
        <f t="shared" si="63"/>
        <v>17</v>
      </c>
      <c r="M297" s="2218"/>
      <c r="N297" s="261"/>
      <c r="O297" s="261"/>
      <c r="P297" s="261"/>
      <c r="Q297" s="2219">
        <f t="shared" si="58"/>
        <v>45409</v>
      </c>
      <c r="R297" s="2219"/>
      <c r="S297" s="261"/>
      <c r="T297" s="1173">
        <f t="shared" si="48"/>
        <v>1</v>
      </c>
      <c r="U297" s="261"/>
      <c r="V297" s="261"/>
      <c r="W297" s="261"/>
      <c r="X297" s="261"/>
      <c r="Y297" s="261"/>
      <c r="Z297" s="261"/>
      <c r="AA297" s="261"/>
      <c r="AB297" s="261"/>
      <c r="AC297" s="261"/>
      <c r="AD297" s="261"/>
      <c r="AE297" s="261"/>
      <c r="AF297" s="261"/>
      <c r="AG297" s="1173">
        <f t="shared" si="59"/>
        <v>0</v>
      </c>
      <c r="AH297" s="61" t="str">
        <f t="shared" si="60"/>
        <v/>
      </c>
      <c r="AI297" s="89" t="e">
        <f t="shared" si="61"/>
        <v>#N/A</v>
      </c>
      <c r="AJ297" s="2"/>
      <c r="AK297" s="61">
        <f>IF(G297=G$547,0,IF(OR(G297&lt;&gt;0,CH297&lt;&gt;0,C297="L"),COUNTIF(AK$180:AK296,"&gt;0")+1,0))</f>
        <v>0</v>
      </c>
      <c r="AL297" s="61" t="str">
        <f t="shared" si="49"/>
        <v/>
      </c>
      <c r="AM297" s="61" t="e">
        <f t="shared" si="50"/>
        <v>#N/A</v>
      </c>
      <c r="AN297" s="89" t="e">
        <f t="shared" si="51"/>
        <v>#N/A</v>
      </c>
      <c r="AO297" s="230">
        <f>SUM(APR!X34:AD34)-BD297+AY297</f>
        <v>0</v>
      </c>
      <c r="AP297" s="228">
        <f>SUMIF(APR!$G$121:$M$121,AP$178,APR!$P34:$V34)+SUMIF($AZ$178:$BC$178,AP$178,$AZ297:$BC297)</f>
        <v>0</v>
      </c>
      <c r="AQ297" s="229">
        <f>SUMIF(APR!$G$121:$M$121,AQ$178,APR!$P34:$V34)+SUMIF($AZ$178:$BC$178,AQ$178,$AZ297:$BC297)</f>
        <v>0</v>
      </c>
      <c r="AR297" s="230">
        <f>SUMIF(APR!$G$121:$M$121,AR$178,APR!$P34:$V34)+SUMIF($AZ$178:$BC$178,AR$178,$AZ297:$BC297)</f>
        <v>0</v>
      </c>
      <c r="AS297" s="230">
        <f>SUMIF(APR!$G$121:$M$121,AS$178,APR!$P34:$V34)+SUMIF($AZ$178:$BC$178,AS$178,$AZ297:$BC297)</f>
        <v>0</v>
      </c>
      <c r="AT297" s="230">
        <f>SUMIF(APR!$G$121:$M$121,AT$178,APR!$P34:$V34)+SUMIF($AZ$178:$BC$178,AT$178,$AZ297:$BC297)</f>
        <v>0</v>
      </c>
      <c r="AU297" s="230">
        <f>SUMIF(APR!$G$121:$M$121,AU$178,APR!$P34:$V34)+SUMIF($AZ$178:$BC$178,AU$178,$AZ297:$BC297)</f>
        <v>0</v>
      </c>
      <c r="AV297" s="230">
        <f>SUMIF(APR!$G$121:$M$121,AV$178,APR!$P34:$V34)+SUMIF($AZ$178:$BC$178,AV$178,$AZ297:$BC297)</f>
        <v>0</v>
      </c>
      <c r="AW297" s="230">
        <f>SUMIF(APR!$G$121:$M$121,AW$178,APR!$P34:$V34)+SUMIF($AZ$178:$BC$178,AW$178,$AZ297:$BC297)</f>
        <v>0</v>
      </c>
      <c r="AX297" s="231">
        <f>SUMIF(APR!$G$121:$M$121,AX$178,APR!$P34:$V34)+SUMIF($AZ$178:$BC$178,AX$178,$AZ297:$BC297)</f>
        <v>0</v>
      </c>
      <c r="AY297" s="232">
        <f>APR!AF34</f>
        <v>0</v>
      </c>
      <c r="AZ297" s="228">
        <f>APR!AG34</f>
        <v>0</v>
      </c>
      <c r="BA297" s="229">
        <f>APR!AH34</f>
        <v>0</v>
      </c>
      <c r="BB297" s="230">
        <f>APR!AI34</f>
        <v>0</v>
      </c>
      <c r="BC297" s="231">
        <f>APR!AJ34</f>
        <v>0</v>
      </c>
      <c r="BD297" s="228">
        <f>SUMIF(APR!$G$120:$M$120,"&gt;0",APR!$X34:$AD34)</f>
        <v>0</v>
      </c>
      <c r="BE297" s="696"/>
      <c r="BF297" s="228">
        <f>SUMIF(APR!$BA$6:$BG$6,BF$177,APR!$BA34:$BG34)</f>
        <v>0</v>
      </c>
      <c r="BG297" s="229">
        <f>SUMIF(APR!$BA$6:$BG$6,BG$177,APR!$BA34:$BG34)</f>
        <v>0</v>
      </c>
      <c r="BH297" s="229">
        <f>SUMIF(APR!$BA$6:$BG$6,BH$177,APR!$BA34:$BG34)</f>
        <v>0</v>
      </c>
      <c r="BI297" s="229">
        <f>SUMIF(APR!$BA$6:$BG$6,BI$177,APR!$BA34:$BG34)</f>
        <v>0</v>
      </c>
      <c r="BJ297" s="229">
        <f>SUMIF(APR!$BA$6:$BG$6,BJ$177,APR!$BA34:$BG34)</f>
        <v>0</v>
      </c>
      <c r="BK297" s="229">
        <f>SUMIF(APR!$BA$6:$BG$6,BK$177,APR!$BA34:$BG34)</f>
        <v>0</v>
      </c>
      <c r="BL297" s="229">
        <f>SUMIF(APR!$BA$6:$BG$6,BL$177,APR!$BA34:$BG34)</f>
        <v>0</v>
      </c>
      <c r="BM297" s="229">
        <f>SUMIF(APR!$BA$6:$BG$6,BM$177,APR!$BA34:$BG34)</f>
        <v>0</v>
      </c>
      <c r="BN297" s="229">
        <f>SUMIF(APR!$BA$6:$BG$6,BN$177,APR!$BA34:$BG34)</f>
        <v>0</v>
      </c>
      <c r="BO297" s="231">
        <f>SUMIF(APR!$BA$6:$BG$6,BO$177,APR!$BA34:$BG34)</f>
        <v>0</v>
      </c>
      <c r="BP297" s="231">
        <f>SUMIF(APR!$BA$6:$BG$6,BP$177,APR!$BA34:$BG34)</f>
        <v>0</v>
      </c>
      <c r="BQ297" s="252"/>
      <c r="BR297" s="228">
        <f>SUMIF(APR!$BA$5:$BG$5,BR$177,APR!$BA34:$BG34)</f>
        <v>0</v>
      </c>
      <c r="BS297" s="229">
        <f>SUMIF(APR!$BA$5:$BG$5,BS$177,APR!$BA34:$BG34)</f>
        <v>0</v>
      </c>
      <c r="BT297" s="229">
        <f>SUMIF(APR!$BA$5:$BG$5,BT$177,APR!$BA34:$BG34)</f>
        <v>0</v>
      </c>
      <c r="BU297" s="229">
        <f>SUMIF(APR!$BA$5:$BG$5,BU$177,APR!$BA34:$BG34)</f>
        <v>0</v>
      </c>
      <c r="BV297" s="229">
        <f>SUMIF(APR!$BA$5:$BG$5,BV$177,APR!$BA34:$BG34)</f>
        <v>0</v>
      </c>
      <c r="BW297" s="229">
        <f>SUMIF(APR!$BA$5:$BG$5,BW$177,APR!$BA34:$BG34)</f>
        <v>0</v>
      </c>
      <c r="BX297" s="230">
        <f>SUMIF(APR!$BA$5:$BG$5,BX$177,APR!$BA34:$BG34)</f>
        <v>0</v>
      </c>
      <c r="BY297" s="998">
        <f>SUMIF(APR!$BA$5:$BG$5,BY$177,APR!$BA34:$BG34)</f>
        <v>0</v>
      </c>
      <c r="CB297" s="252"/>
      <c r="CC297" s="61" t="e">
        <f t="shared" si="52"/>
        <v>#N/A</v>
      </c>
      <c r="CD297" s="61">
        <f t="shared" si="53"/>
        <v>0</v>
      </c>
      <c r="CE297" s="105" t="str">
        <f t="shared" si="46"/>
        <v/>
      </c>
      <c r="CF297" s="61" t="e">
        <f t="shared" si="54"/>
        <v>#N/A</v>
      </c>
      <c r="CG297" s="61" t="e">
        <f t="shared" si="55"/>
        <v>#N/A</v>
      </c>
      <c r="CH297" s="521">
        <f>APR!AL34-CW297+CR297</f>
        <v>0</v>
      </c>
      <c r="CI297" s="228">
        <f>SUMIF(APR!$G$121:$M$121,CI$178,APR!$AM34:$AS34)+SUMIF($CS$178:$CV$178,CI$178,$CS297:$CV297)</f>
        <v>0</v>
      </c>
      <c r="CJ297" s="229">
        <f>SUMIF(APR!$G$121:$M$121,CJ$178,APR!$AM34:$AS34)+SUMIF($CS$178:$CV$178,CJ$178,$CS297:$CV297)</f>
        <v>0</v>
      </c>
      <c r="CK297" s="230">
        <f>SUMIF(APR!$G$121:$M$121,CK$178,APR!$AM34:$AS34)+SUMIF($CS$178:$CV$178,CK$178,$CS297:$CV297)</f>
        <v>0</v>
      </c>
      <c r="CL297" s="230">
        <f>SUMIF(APR!$G$121:$M$121,CL$178,APR!$AM34:$AS34)+SUMIF($CS$178:$CV$178,CL$178,$CS297:$CV297)</f>
        <v>0</v>
      </c>
      <c r="CM297" s="230">
        <f>SUMIF(APR!$G$121:$M$121,CM$178,APR!$AM34:$AS34)+SUMIF($CS$178:$CV$178,CM$178,$CS297:$CV297)</f>
        <v>0</v>
      </c>
      <c r="CN297" s="230">
        <f>SUMIF(APR!$G$121:$M$121,CN$178,APR!$AM34:$AS34)+SUMIF($CS$178:$CV$178,CN$178,$CS297:$CV297)</f>
        <v>0</v>
      </c>
      <c r="CO297" s="230">
        <f>SUMIF(APR!$G$121:$M$121,CO$178,APR!$AM34:$AS34)+SUMIF($CS$178:$CV$178,CO$178,$CS297:$CV297)</f>
        <v>0</v>
      </c>
      <c r="CP297" s="230">
        <f>SUMIF(APR!$G$121:$M$121,CP$178,APR!$AM34:$AS34)+SUMIF($CS$178:$CV$178,CP$178,$CS297:$CV297)</f>
        <v>0</v>
      </c>
      <c r="CQ297" s="231">
        <f>SUMIF(APR!$G$121:$M$121,CQ$178,APR!$AM34:$AS34)+SUMIF($CS$178:$CV$178,CQ$178,$CS297:$CV297)</f>
        <v>0</v>
      </c>
      <c r="CR297" s="521">
        <f>APR!AU34</f>
        <v>0</v>
      </c>
      <c r="CS297" s="228">
        <f>APR!AV34</f>
        <v>0</v>
      </c>
      <c r="CT297" s="229">
        <f>APR!AW34</f>
        <v>0</v>
      </c>
      <c r="CU297" s="230">
        <f>APR!AX34</f>
        <v>0</v>
      </c>
      <c r="CV297" s="231">
        <f>APR!AY34</f>
        <v>0</v>
      </c>
      <c r="CW297" s="521">
        <f>SUM(APR!AU34:AY34)</f>
        <v>0</v>
      </c>
      <c r="CX297" s="521">
        <f>APR!AK34</f>
        <v>0</v>
      </c>
      <c r="CY297" s="2"/>
    </row>
    <row r="298" spans="1:103" ht="14.25" hidden="1" customHeight="1" x14ac:dyDescent="0.2">
      <c r="A298" s="2"/>
      <c r="B298" s="105">
        <f t="shared" si="56"/>
        <v>45410</v>
      </c>
      <c r="C298" s="146">
        <f>IF(AND(E298&gt;(E$560-1),E298&lt;(I$560+1)),W$551,IF(ISERROR(HLOOKUP(E298,$E$553:$L$553,1,FALSE)),HLOOKUP(WEEKDAY(E298,2),IMPOSTAZIONI!$C$52:$P$57,6,FALSE),$W$550))</f>
        <v>0</v>
      </c>
      <c r="D298" s="71" t="str">
        <f t="shared" si="57"/>
        <v/>
      </c>
      <c r="E298" s="2258">
        <f t="shared" si="62"/>
        <v>45410</v>
      </c>
      <c r="F298" s="2259"/>
      <c r="G298" s="2228" t="str">
        <f>APR!E35</f>
        <v xml:space="preserve">disattivato  </v>
      </c>
      <c r="H298" s="2229"/>
      <c r="I298" s="2230"/>
      <c r="J298" s="262" t="str">
        <f t="shared" si="47"/>
        <v/>
      </c>
      <c r="K298" s="263"/>
      <c r="L298" s="2220">
        <f t="shared" si="63"/>
        <v>17</v>
      </c>
      <c r="M298" s="2221"/>
      <c r="N298" s="261"/>
      <c r="O298" s="261"/>
      <c r="P298" s="261"/>
      <c r="Q298" s="2219">
        <f t="shared" si="58"/>
        <v>45410</v>
      </c>
      <c r="R298" s="2219"/>
      <c r="S298" s="261"/>
      <c r="T298" s="1173">
        <f t="shared" si="48"/>
        <v>1</v>
      </c>
      <c r="U298" s="261"/>
      <c r="V298" s="261"/>
      <c r="W298" s="261"/>
      <c r="X298" s="261"/>
      <c r="Y298" s="261"/>
      <c r="Z298" s="261"/>
      <c r="AA298" s="261"/>
      <c r="AB298" s="261"/>
      <c r="AC298" s="261"/>
      <c r="AD298" s="261"/>
      <c r="AE298" s="261"/>
      <c r="AF298" s="261"/>
      <c r="AG298" s="1173">
        <f t="shared" si="59"/>
        <v>0</v>
      </c>
      <c r="AH298" s="61" t="str">
        <f t="shared" si="60"/>
        <v/>
      </c>
      <c r="AI298" s="89" t="e">
        <f t="shared" si="61"/>
        <v>#N/A</v>
      </c>
      <c r="AJ298" s="2"/>
      <c r="AK298" s="61">
        <f>IF(G298=G$547,0,IF(OR(G298&lt;&gt;0,CH298&lt;&gt;0,C298="L"),COUNTIF(AK$180:AK297,"&gt;0")+1,0))</f>
        <v>0</v>
      </c>
      <c r="AL298" s="61" t="str">
        <f t="shared" si="49"/>
        <v/>
      </c>
      <c r="AM298" s="61" t="e">
        <f t="shared" si="50"/>
        <v>#N/A</v>
      </c>
      <c r="AN298" s="89" t="e">
        <f t="shared" si="51"/>
        <v>#N/A</v>
      </c>
      <c r="AO298" s="230">
        <f>SUM(APR!X35:AD35)-BD298+AY298</f>
        <v>0</v>
      </c>
      <c r="AP298" s="228">
        <f>SUMIF(APR!$G$121:$M$121,AP$178,APR!$P35:$V35)+SUMIF($AZ$178:$BC$178,AP$178,$AZ298:$BC298)</f>
        <v>0</v>
      </c>
      <c r="AQ298" s="229">
        <f>SUMIF(APR!$G$121:$M$121,AQ$178,APR!$P35:$V35)+SUMIF($AZ$178:$BC$178,AQ$178,$AZ298:$BC298)</f>
        <v>0</v>
      </c>
      <c r="AR298" s="230">
        <f>SUMIF(APR!$G$121:$M$121,AR$178,APR!$P35:$V35)+SUMIF($AZ$178:$BC$178,AR$178,$AZ298:$BC298)</f>
        <v>0</v>
      </c>
      <c r="AS298" s="230">
        <f>SUMIF(APR!$G$121:$M$121,AS$178,APR!$P35:$V35)+SUMIF($AZ$178:$BC$178,AS$178,$AZ298:$BC298)</f>
        <v>0</v>
      </c>
      <c r="AT298" s="230">
        <f>SUMIF(APR!$G$121:$M$121,AT$178,APR!$P35:$V35)+SUMIF($AZ$178:$BC$178,AT$178,$AZ298:$BC298)</f>
        <v>0</v>
      </c>
      <c r="AU298" s="230">
        <f>SUMIF(APR!$G$121:$M$121,AU$178,APR!$P35:$V35)+SUMIF($AZ$178:$BC$178,AU$178,$AZ298:$BC298)</f>
        <v>0</v>
      </c>
      <c r="AV298" s="230">
        <f>SUMIF(APR!$G$121:$M$121,AV$178,APR!$P35:$V35)+SUMIF($AZ$178:$BC$178,AV$178,$AZ298:$BC298)</f>
        <v>0</v>
      </c>
      <c r="AW298" s="230">
        <f>SUMIF(APR!$G$121:$M$121,AW$178,APR!$P35:$V35)+SUMIF($AZ$178:$BC$178,AW$178,$AZ298:$BC298)</f>
        <v>0</v>
      </c>
      <c r="AX298" s="231">
        <f>SUMIF(APR!$G$121:$M$121,AX$178,APR!$P35:$V35)+SUMIF($AZ$178:$BC$178,AX$178,$AZ298:$BC298)</f>
        <v>0</v>
      </c>
      <c r="AY298" s="232">
        <f>APR!AF35</f>
        <v>0</v>
      </c>
      <c r="AZ298" s="228">
        <f>APR!AG35</f>
        <v>0</v>
      </c>
      <c r="BA298" s="229">
        <f>APR!AH35</f>
        <v>0</v>
      </c>
      <c r="BB298" s="230">
        <f>APR!AI35</f>
        <v>0</v>
      </c>
      <c r="BC298" s="231">
        <f>APR!AJ35</f>
        <v>0</v>
      </c>
      <c r="BD298" s="228">
        <f>SUMIF(APR!$G$120:$M$120,"&gt;0",APR!$X35:$AD35)</f>
        <v>0</v>
      </c>
      <c r="BE298" s="696"/>
      <c r="BF298" s="228">
        <f>SUMIF(APR!$BA$6:$BG$6,BF$177,APR!$BA35:$BG35)</f>
        <v>0</v>
      </c>
      <c r="BG298" s="229">
        <f>SUMIF(APR!$BA$6:$BG$6,BG$177,APR!$BA35:$BG35)</f>
        <v>0</v>
      </c>
      <c r="BH298" s="229">
        <f>SUMIF(APR!$BA$6:$BG$6,BH$177,APR!$BA35:$BG35)</f>
        <v>0</v>
      </c>
      <c r="BI298" s="229">
        <f>SUMIF(APR!$BA$6:$BG$6,BI$177,APR!$BA35:$BG35)</f>
        <v>0</v>
      </c>
      <c r="BJ298" s="229">
        <f>SUMIF(APR!$BA$6:$BG$6,BJ$177,APR!$BA35:$BG35)</f>
        <v>0</v>
      </c>
      <c r="BK298" s="229">
        <f>SUMIF(APR!$BA$6:$BG$6,BK$177,APR!$BA35:$BG35)</f>
        <v>0</v>
      </c>
      <c r="BL298" s="229">
        <f>SUMIF(APR!$BA$6:$BG$6,BL$177,APR!$BA35:$BG35)</f>
        <v>0</v>
      </c>
      <c r="BM298" s="229">
        <f>SUMIF(APR!$BA$6:$BG$6,BM$177,APR!$BA35:$BG35)</f>
        <v>0</v>
      </c>
      <c r="BN298" s="229">
        <f>SUMIF(APR!$BA$6:$BG$6,BN$177,APR!$BA35:$BG35)</f>
        <v>0</v>
      </c>
      <c r="BO298" s="231">
        <f>SUMIF(APR!$BA$6:$BG$6,BO$177,APR!$BA35:$BG35)</f>
        <v>0</v>
      </c>
      <c r="BP298" s="231">
        <f>SUMIF(APR!$BA$6:$BG$6,BP$177,APR!$BA35:$BG35)</f>
        <v>0</v>
      </c>
      <c r="BQ298" s="252"/>
      <c r="BR298" s="228">
        <f>SUMIF(APR!$BA$5:$BG$5,BR$177,APR!$BA35:$BG35)</f>
        <v>0</v>
      </c>
      <c r="BS298" s="229">
        <f>SUMIF(APR!$BA$5:$BG$5,BS$177,APR!$BA35:$BG35)</f>
        <v>0</v>
      </c>
      <c r="BT298" s="229">
        <f>SUMIF(APR!$BA$5:$BG$5,BT$177,APR!$BA35:$BG35)</f>
        <v>0</v>
      </c>
      <c r="BU298" s="229">
        <f>SUMIF(APR!$BA$5:$BG$5,BU$177,APR!$BA35:$BG35)</f>
        <v>0</v>
      </c>
      <c r="BV298" s="229">
        <f>SUMIF(APR!$BA$5:$BG$5,BV$177,APR!$BA35:$BG35)</f>
        <v>0</v>
      </c>
      <c r="BW298" s="229">
        <f>SUMIF(APR!$BA$5:$BG$5,BW$177,APR!$BA35:$BG35)</f>
        <v>0</v>
      </c>
      <c r="BX298" s="230">
        <f>SUMIF(APR!$BA$5:$BG$5,BX$177,APR!$BA35:$BG35)</f>
        <v>0</v>
      </c>
      <c r="BY298" s="998">
        <f>SUMIF(APR!$BA$5:$BG$5,BY$177,APR!$BA35:$BG35)</f>
        <v>0</v>
      </c>
      <c r="CB298" s="252"/>
      <c r="CC298" s="61" t="e">
        <f t="shared" si="52"/>
        <v>#N/A</v>
      </c>
      <c r="CD298" s="61">
        <f t="shared" si="53"/>
        <v>0</v>
      </c>
      <c r="CE298" s="105" t="str">
        <f t="shared" si="46"/>
        <v/>
      </c>
      <c r="CF298" s="61" t="e">
        <f t="shared" si="54"/>
        <v>#N/A</v>
      </c>
      <c r="CG298" s="61" t="e">
        <f t="shared" si="55"/>
        <v>#N/A</v>
      </c>
      <c r="CH298" s="521">
        <f>APR!AL35-CW298+CR298</f>
        <v>0</v>
      </c>
      <c r="CI298" s="228">
        <f>SUMIF(APR!$G$121:$M$121,CI$178,APR!$AM35:$AS35)+SUMIF($CS$178:$CV$178,CI$178,$CS298:$CV298)</f>
        <v>0</v>
      </c>
      <c r="CJ298" s="229">
        <f>SUMIF(APR!$G$121:$M$121,CJ$178,APR!$AM35:$AS35)+SUMIF($CS$178:$CV$178,CJ$178,$CS298:$CV298)</f>
        <v>0</v>
      </c>
      <c r="CK298" s="230">
        <f>SUMIF(APR!$G$121:$M$121,CK$178,APR!$AM35:$AS35)+SUMIF($CS$178:$CV$178,CK$178,$CS298:$CV298)</f>
        <v>0</v>
      </c>
      <c r="CL298" s="230">
        <f>SUMIF(APR!$G$121:$M$121,CL$178,APR!$AM35:$AS35)+SUMIF($CS$178:$CV$178,CL$178,$CS298:$CV298)</f>
        <v>0</v>
      </c>
      <c r="CM298" s="230">
        <f>SUMIF(APR!$G$121:$M$121,CM$178,APR!$AM35:$AS35)+SUMIF($CS$178:$CV$178,CM$178,$CS298:$CV298)</f>
        <v>0</v>
      </c>
      <c r="CN298" s="230">
        <f>SUMIF(APR!$G$121:$M$121,CN$178,APR!$AM35:$AS35)+SUMIF($CS$178:$CV$178,CN$178,$CS298:$CV298)</f>
        <v>0</v>
      </c>
      <c r="CO298" s="230">
        <f>SUMIF(APR!$G$121:$M$121,CO$178,APR!$AM35:$AS35)+SUMIF($CS$178:$CV$178,CO$178,$CS298:$CV298)</f>
        <v>0</v>
      </c>
      <c r="CP298" s="230">
        <f>SUMIF(APR!$G$121:$M$121,CP$178,APR!$AM35:$AS35)+SUMIF($CS$178:$CV$178,CP$178,$CS298:$CV298)</f>
        <v>0</v>
      </c>
      <c r="CQ298" s="231">
        <f>SUMIF(APR!$G$121:$M$121,CQ$178,APR!$AM35:$AS35)+SUMIF($CS$178:$CV$178,CQ$178,$CS298:$CV298)</f>
        <v>0</v>
      </c>
      <c r="CR298" s="521">
        <f>APR!AU35</f>
        <v>0</v>
      </c>
      <c r="CS298" s="228">
        <f>APR!AV35</f>
        <v>0</v>
      </c>
      <c r="CT298" s="229">
        <f>APR!AW35</f>
        <v>0</v>
      </c>
      <c r="CU298" s="230">
        <f>APR!AX35</f>
        <v>0</v>
      </c>
      <c r="CV298" s="231">
        <f>APR!AY35</f>
        <v>0</v>
      </c>
      <c r="CW298" s="521">
        <f>SUM(APR!AU35:AY35)</f>
        <v>0</v>
      </c>
      <c r="CX298" s="521">
        <f>APR!AK35</f>
        <v>0</v>
      </c>
      <c r="CY298" s="2"/>
    </row>
    <row r="299" spans="1:103" ht="14.25" hidden="1" customHeight="1" x14ac:dyDescent="0.2">
      <c r="A299" s="2"/>
      <c r="B299" s="105">
        <f t="shared" si="56"/>
        <v>45411</v>
      </c>
      <c r="C299" s="146">
        <f>IF(AND(E299&gt;(E$560-1),E299&lt;(I$560+1)),W$551,IF(ISERROR(HLOOKUP(E299,$E$553:$L$553,1,FALSE)),HLOOKUP(WEEKDAY(E299,2),IMPOSTAZIONI!$C$52:$P$57,6,FALSE),$W$550))</f>
        <v>0</v>
      </c>
      <c r="D299" s="71" t="str">
        <f t="shared" si="57"/>
        <v/>
      </c>
      <c r="E299" s="2258">
        <f t="shared" si="62"/>
        <v>45411</v>
      </c>
      <c r="F299" s="2259"/>
      <c r="G299" s="2228" t="str">
        <f>APR!E36</f>
        <v xml:space="preserve">disattivato  </v>
      </c>
      <c r="H299" s="2229"/>
      <c r="I299" s="2230"/>
      <c r="J299" s="262" t="str">
        <f t="shared" si="47"/>
        <v/>
      </c>
      <c r="K299" s="263"/>
      <c r="L299" s="2222">
        <f t="shared" si="63"/>
        <v>18</v>
      </c>
      <c r="M299" s="2223"/>
      <c r="N299" s="261"/>
      <c r="O299" s="261"/>
      <c r="P299" s="261"/>
      <c r="Q299" s="2219">
        <f t="shared" si="58"/>
        <v>45411</v>
      </c>
      <c r="R299" s="2219"/>
      <c r="S299" s="261"/>
      <c r="T299" s="1173">
        <f t="shared" si="48"/>
        <v>1</v>
      </c>
      <c r="U299" s="261"/>
      <c r="V299" s="261"/>
      <c r="W299" s="261"/>
      <c r="X299" s="261"/>
      <c r="Y299" s="261"/>
      <c r="Z299" s="261"/>
      <c r="AA299" s="261"/>
      <c r="AB299" s="261"/>
      <c r="AC299" s="261"/>
      <c r="AD299" s="261"/>
      <c r="AE299" s="261"/>
      <c r="AF299" s="261"/>
      <c r="AG299" s="1173">
        <f t="shared" si="59"/>
        <v>0</v>
      </c>
      <c r="AH299" s="61" t="str">
        <f t="shared" si="60"/>
        <v/>
      </c>
      <c r="AI299" s="89" t="e">
        <f t="shared" si="61"/>
        <v>#N/A</v>
      </c>
      <c r="AJ299" s="2"/>
      <c r="AK299" s="61">
        <f>IF(G299=G$547,0,IF(OR(G299&lt;&gt;0,CH299&lt;&gt;0,C299="L"),COUNTIF(AK$180:AK298,"&gt;0")+1,0))</f>
        <v>0</v>
      </c>
      <c r="AL299" s="61" t="str">
        <f t="shared" si="49"/>
        <v/>
      </c>
      <c r="AM299" s="61" t="e">
        <f t="shared" si="50"/>
        <v>#N/A</v>
      </c>
      <c r="AN299" s="89" t="e">
        <f t="shared" si="51"/>
        <v>#N/A</v>
      </c>
      <c r="AO299" s="230">
        <f>SUM(APR!X36:AD36)-BD299+AY299</f>
        <v>0</v>
      </c>
      <c r="AP299" s="228">
        <f>SUMIF(APR!$G$121:$M$121,AP$178,APR!$P36:$V36)+SUMIF($AZ$178:$BC$178,AP$178,$AZ299:$BC299)</f>
        <v>0</v>
      </c>
      <c r="AQ299" s="229">
        <f>SUMIF(APR!$G$121:$M$121,AQ$178,APR!$P36:$V36)+SUMIF($AZ$178:$BC$178,AQ$178,$AZ299:$BC299)</f>
        <v>0</v>
      </c>
      <c r="AR299" s="230">
        <f>SUMIF(APR!$G$121:$M$121,AR$178,APR!$P36:$V36)+SUMIF($AZ$178:$BC$178,AR$178,$AZ299:$BC299)</f>
        <v>0</v>
      </c>
      <c r="AS299" s="230">
        <f>SUMIF(APR!$G$121:$M$121,AS$178,APR!$P36:$V36)+SUMIF($AZ$178:$BC$178,AS$178,$AZ299:$BC299)</f>
        <v>0</v>
      </c>
      <c r="AT299" s="230">
        <f>SUMIF(APR!$G$121:$M$121,AT$178,APR!$P36:$V36)+SUMIF($AZ$178:$BC$178,AT$178,$AZ299:$BC299)</f>
        <v>0</v>
      </c>
      <c r="AU299" s="230">
        <f>SUMIF(APR!$G$121:$M$121,AU$178,APR!$P36:$V36)+SUMIF($AZ$178:$BC$178,AU$178,$AZ299:$BC299)</f>
        <v>0</v>
      </c>
      <c r="AV299" s="230">
        <f>SUMIF(APR!$G$121:$M$121,AV$178,APR!$P36:$V36)+SUMIF($AZ$178:$BC$178,AV$178,$AZ299:$BC299)</f>
        <v>0</v>
      </c>
      <c r="AW299" s="230">
        <f>SUMIF(APR!$G$121:$M$121,AW$178,APR!$P36:$V36)+SUMIF($AZ$178:$BC$178,AW$178,$AZ299:$BC299)</f>
        <v>0</v>
      </c>
      <c r="AX299" s="231">
        <f>SUMIF(APR!$G$121:$M$121,AX$178,APR!$P36:$V36)+SUMIF($AZ$178:$BC$178,AX$178,$AZ299:$BC299)</f>
        <v>0</v>
      </c>
      <c r="AY299" s="232">
        <f>APR!AF36</f>
        <v>0</v>
      </c>
      <c r="AZ299" s="228">
        <f>APR!AG36</f>
        <v>0</v>
      </c>
      <c r="BA299" s="229">
        <f>APR!AH36</f>
        <v>0</v>
      </c>
      <c r="BB299" s="230">
        <f>APR!AI36</f>
        <v>0</v>
      </c>
      <c r="BC299" s="231">
        <f>APR!AJ36</f>
        <v>0</v>
      </c>
      <c r="BD299" s="228">
        <f>SUMIF(APR!$G$120:$M$120,"&gt;0",APR!$X36:$AD36)</f>
        <v>0</v>
      </c>
      <c r="BE299" s="696"/>
      <c r="BF299" s="228">
        <f>SUMIF(APR!$BA$6:$BG$6,BF$177,APR!$BA36:$BG36)</f>
        <v>0</v>
      </c>
      <c r="BG299" s="229">
        <f>SUMIF(APR!$BA$6:$BG$6,BG$177,APR!$BA36:$BG36)</f>
        <v>0</v>
      </c>
      <c r="BH299" s="229">
        <f>SUMIF(APR!$BA$6:$BG$6,BH$177,APR!$BA36:$BG36)</f>
        <v>0</v>
      </c>
      <c r="BI299" s="229">
        <f>SUMIF(APR!$BA$6:$BG$6,BI$177,APR!$BA36:$BG36)</f>
        <v>0</v>
      </c>
      <c r="BJ299" s="229">
        <f>SUMIF(APR!$BA$6:$BG$6,BJ$177,APR!$BA36:$BG36)</f>
        <v>0</v>
      </c>
      <c r="BK299" s="229">
        <f>SUMIF(APR!$BA$6:$BG$6,BK$177,APR!$BA36:$BG36)</f>
        <v>0</v>
      </c>
      <c r="BL299" s="229">
        <f>SUMIF(APR!$BA$6:$BG$6,BL$177,APR!$BA36:$BG36)</f>
        <v>0</v>
      </c>
      <c r="BM299" s="229">
        <f>SUMIF(APR!$BA$6:$BG$6,BM$177,APR!$BA36:$BG36)</f>
        <v>0</v>
      </c>
      <c r="BN299" s="229">
        <f>SUMIF(APR!$BA$6:$BG$6,BN$177,APR!$BA36:$BG36)</f>
        <v>0</v>
      </c>
      <c r="BO299" s="231">
        <f>SUMIF(APR!$BA$6:$BG$6,BO$177,APR!$BA36:$BG36)</f>
        <v>0</v>
      </c>
      <c r="BP299" s="231">
        <f>SUMIF(APR!$BA$6:$BG$6,BP$177,APR!$BA36:$BG36)</f>
        <v>0</v>
      </c>
      <c r="BQ299" s="252"/>
      <c r="BR299" s="228">
        <f>SUMIF(APR!$BA$5:$BG$5,BR$177,APR!$BA36:$BG36)</f>
        <v>0</v>
      </c>
      <c r="BS299" s="229">
        <f>SUMIF(APR!$BA$5:$BG$5,BS$177,APR!$BA36:$BG36)</f>
        <v>0</v>
      </c>
      <c r="BT299" s="229">
        <f>SUMIF(APR!$BA$5:$BG$5,BT$177,APR!$BA36:$BG36)</f>
        <v>0</v>
      </c>
      <c r="BU299" s="229">
        <f>SUMIF(APR!$BA$5:$BG$5,BU$177,APR!$BA36:$BG36)</f>
        <v>0</v>
      </c>
      <c r="BV299" s="229">
        <f>SUMIF(APR!$BA$5:$BG$5,BV$177,APR!$BA36:$BG36)</f>
        <v>0</v>
      </c>
      <c r="BW299" s="229">
        <f>SUMIF(APR!$BA$5:$BG$5,BW$177,APR!$BA36:$BG36)</f>
        <v>0</v>
      </c>
      <c r="BX299" s="230">
        <f>SUMIF(APR!$BA$5:$BG$5,BX$177,APR!$BA36:$BG36)</f>
        <v>0</v>
      </c>
      <c r="BY299" s="998">
        <f>SUMIF(APR!$BA$5:$BG$5,BY$177,APR!$BA36:$BG36)</f>
        <v>0</v>
      </c>
      <c r="CB299" s="252"/>
      <c r="CC299" s="61" t="e">
        <f t="shared" si="52"/>
        <v>#N/A</v>
      </c>
      <c r="CD299" s="61">
        <f t="shared" si="53"/>
        <v>0</v>
      </c>
      <c r="CE299" s="105" t="str">
        <f t="shared" si="46"/>
        <v/>
      </c>
      <c r="CF299" s="61" t="e">
        <f t="shared" si="54"/>
        <v>#N/A</v>
      </c>
      <c r="CG299" s="61" t="e">
        <f t="shared" si="55"/>
        <v>#N/A</v>
      </c>
      <c r="CH299" s="521">
        <f>APR!AL36-CW299+CR299</f>
        <v>0</v>
      </c>
      <c r="CI299" s="228">
        <f>SUMIF(APR!$G$121:$M$121,CI$178,APR!$AM36:$AS36)+SUMIF($CS$178:$CV$178,CI$178,$CS299:$CV299)</f>
        <v>0</v>
      </c>
      <c r="CJ299" s="229">
        <f>SUMIF(APR!$G$121:$M$121,CJ$178,APR!$AM36:$AS36)+SUMIF($CS$178:$CV$178,CJ$178,$CS299:$CV299)</f>
        <v>0</v>
      </c>
      <c r="CK299" s="230">
        <f>SUMIF(APR!$G$121:$M$121,CK$178,APR!$AM36:$AS36)+SUMIF($CS$178:$CV$178,CK$178,$CS299:$CV299)</f>
        <v>0</v>
      </c>
      <c r="CL299" s="230">
        <f>SUMIF(APR!$G$121:$M$121,CL$178,APR!$AM36:$AS36)+SUMIF($CS$178:$CV$178,CL$178,$CS299:$CV299)</f>
        <v>0</v>
      </c>
      <c r="CM299" s="230">
        <f>SUMIF(APR!$G$121:$M$121,CM$178,APR!$AM36:$AS36)+SUMIF($CS$178:$CV$178,CM$178,$CS299:$CV299)</f>
        <v>0</v>
      </c>
      <c r="CN299" s="230">
        <f>SUMIF(APR!$G$121:$M$121,CN$178,APR!$AM36:$AS36)+SUMIF($CS$178:$CV$178,CN$178,$CS299:$CV299)</f>
        <v>0</v>
      </c>
      <c r="CO299" s="230">
        <f>SUMIF(APR!$G$121:$M$121,CO$178,APR!$AM36:$AS36)+SUMIF($CS$178:$CV$178,CO$178,$CS299:$CV299)</f>
        <v>0</v>
      </c>
      <c r="CP299" s="230">
        <f>SUMIF(APR!$G$121:$M$121,CP$178,APR!$AM36:$AS36)+SUMIF($CS$178:$CV$178,CP$178,$CS299:$CV299)</f>
        <v>0</v>
      </c>
      <c r="CQ299" s="231">
        <f>SUMIF(APR!$G$121:$M$121,CQ$178,APR!$AM36:$AS36)+SUMIF($CS$178:$CV$178,CQ$178,$CS299:$CV299)</f>
        <v>0</v>
      </c>
      <c r="CR299" s="521">
        <f>APR!AU36</f>
        <v>0</v>
      </c>
      <c r="CS299" s="228">
        <f>APR!AV36</f>
        <v>0</v>
      </c>
      <c r="CT299" s="229">
        <f>APR!AW36</f>
        <v>0</v>
      </c>
      <c r="CU299" s="230">
        <f>APR!AX36</f>
        <v>0</v>
      </c>
      <c r="CV299" s="231">
        <f>APR!AY36</f>
        <v>0</v>
      </c>
      <c r="CW299" s="521">
        <f>SUM(APR!AU36:AY36)</f>
        <v>0</v>
      </c>
      <c r="CX299" s="521">
        <f>APR!AK36</f>
        <v>0</v>
      </c>
      <c r="CY299" s="2"/>
    </row>
    <row r="300" spans="1:103" ht="14.25" hidden="1" customHeight="1" x14ac:dyDescent="0.2">
      <c r="A300" s="2"/>
      <c r="B300" s="105">
        <f t="shared" si="56"/>
        <v>45412</v>
      </c>
      <c r="C300" s="146">
        <f>IF(AND(E300&gt;(E$560-1),E300&lt;(I$560+1)),W$551,IF(ISERROR(HLOOKUP(E300,$E$553:$L$553,1,FALSE)),HLOOKUP(WEEKDAY(E300,2),IMPOSTAZIONI!$C$52:$P$57,6,FALSE),$W$550))</f>
        <v>0</v>
      </c>
      <c r="D300" s="71" t="str">
        <f t="shared" si="57"/>
        <v/>
      </c>
      <c r="E300" s="2262">
        <f t="shared" si="62"/>
        <v>45412</v>
      </c>
      <c r="F300" s="2263"/>
      <c r="G300" s="2266" t="str">
        <f>APR!E37</f>
        <v xml:space="preserve">disattivato  </v>
      </c>
      <c r="H300" s="2267"/>
      <c r="I300" s="2268"/>
      <c r="J300" s="262" t="str">
        <f t="shared" si="47"/>
        <v/>
      </c>
      <c r="K300" s="263"/>
      <c r="L300" s="2217">
        <f t="shared" si="63"/>
        <v>18</v>
      </c>
      <c r="M300" s="2218"/>
      <c r="N300" s="261"/>
      <c r="O300" s="261"/>
      <c r="P300" s="261"/>
      <c r="Q300" s="2219">
        <f t="shared" si="58"/>
        <v>45412</v>
      </c>
      <c r="R300" s="2219"/>
      <c r="S300" s="261"/>
      <c r="T300" s="1173">
        <f t="shared" si="48"/>
        <v>1</v>
      </c>
      <c r="U300" s="261"/>
      <c r="V300" s="261"/>
      <c r="W300" s="261"/>
      <c r="X300" s="261"/>
      <c r="Y300" s="261"/>
      <c r="Z300" s="261"/>
      <c r="AA300" s="261"/>
      <c r="AB300" s="261"/>
      <c r="AC300" s="261"/>
      <c r="AD300" s="261"/>
      <c r="AE300" s="261"/>
      <c r="AF300" s="261"/>
      <c r="AG300" s="1173">
        <f t="shared" si="59"/>
        <v>0</v>
      </c>
      <c r="AH300" s="61" t="str">
        <f t="shared" si="60"/>
        <v/>
      </c>
      <c r="AI300" s="89" t="e">
        <f t="shared" si="61"/>
        <v>#N/A</v>
      </c>
      <c r="AJ300" s="2"/>
      <c r="AK300" s="61">
        <f>IF(G300=G$547,0,IF(OR(G300&lt;&gt;0,CH300&lt;&gt;0,C300="L"),COUNTIF(AK$180:AK299,"&gt;0")+1,0))</f>
        <v>0</v>
      </c>
      <c r="AL300" s="61" t="str">
        <f t="shared" si="49"/>
        <v/>
      </c>
      <c r="AM300" s="61" t="e">
        <f t="shared" si="50"/>
        <v>#N/A</v>
      </c>
      <c r="AN300" s="89" t="e">
        <f t="shared" si="51"/>
        <v>#N/A</v>
      </c>
      <c r="AO300" s="235">
        <f>SUM(APR!X37:AD37)-BD300+AY300</f>
        <v>0</v>
      </c>
      <c r="AP300" s="233">
        <f>SUMIF(APR!$G$121:$M$121,AP$178,APR!$P37:$V37)+SUMIF($AZ$178:$BC$178,AP$178,$AZ300:$BC300)</f>
        <v>0</v>
      </c>
      <c r="AQ300" s="234">
        <f>SUMIF(APR!$G$121:$M$121,AQ$178,APR!$P37:$V37)+SUMIF($AZ$178:$BC$178,AQ$178,$AZ300:$BC300)</f>
        <v>0</v>
      </c>
      <c r="AR300" s="235">
        <f>SUMIF(APR!$G$121:$M$121,AR$178,APR!$P37:$V37)+SUMIF($AZ$178:$BC$178,AR$178,$AZ300:$BC300)</f>
        <v>0</v>
      </c>
      <c r="AS300" s="235">
        <f>SUMIF(APR!$G$121:$M$121,AS$178,APR!$P37:$V37)+SUMIF($AZ$178:$BC$178,AS$178,$AZ300:$BC300)</f>
        <v>0</v>
      </c>
      <c r="AT300" s="235">
        <f>SUMIF(APR!$G$121:$M$121,AT$178,APR!$P37:$V37)+SUMIF($AZ$178:$BC$178,AT$178,$AZ300:$BC300)</f>
        <v>0</v>
      </c>
      <c r="AU300" s="235">
        <f>SUMIF(APR!$G$121:$M$121,AU$178,APR!$P37:$V37)+SUMIF($AZ$178:$BC$178,AU$178,$AZ300:$BC300)</f>
        <v>0</v>
      </c>
      <c r="AV300" s="235">
        <f>SUMIF(APR!$G$121:$M$121,AV$178,APR!$P37:$V37)+SUMIF($AZ$178:$BC$178,AV$178,$AZ300:$BC300)</f>
        <v>0</v>
      </c>
      <c r="AW300" s="235">
        <f>SUMIF(APR!$G$121:$M$121,AW$178,APR!$P37:$V37)+SUMIF($AZ$178:$BC$178,AW$178,$AZ300:$BC300)</f>
        <v>0</v>
      </c>
      <c r="AX300" s="236">
        <f>SUMIF(APR!$G$121:$M$121,AX$178,APR!$P37:$V37)+SUMIF($AZ$178:$BC$178,AX$178,$AZ300:$BC300)</f>
        <v>0</v>
      </c>
      <c r="AY300" s="237">
        <f>APR!AF37</f>
        <v>0</v>
      </c>
      <c r="AZ300" s="233">
        <f>APR!AG37</f>
        <v>0</v>
      </c>
      <c r="BA300" s="234">
        <f>APR!AH37</f>
        <v>0</v>
      </c>
      <c r="BB300" s="235">
        <f>APR!AI37</f>
        <v>0</v>
      </c>
      <c r="BC300" s="236">
        <f>APR!AJ37</f>
        <v>0</v>
      </c>
      <c r="BD300" s="233">
        <f>SUMIF(APR!$G$120:$M$120,"&gt;0",APR!$X37:$AD37)</f>
        <v>0</v>
      </c>
      <c r="BE300" s="696"/>
      <c r="BF300" s="233">
        <f>SUMIF(APR!$BA$6:$BG$6,BF$177,APR!$BA37:$BG37)</f>
        <v>0</v>
      </c>
      <c r="BG300" s="234">
        <f>SUMIF(APR!$BA$6:$BG$6,BG$177,APR!$BA37:$BG37)</f>
        <v>0</v>
      </c>
      <c r="BH300" s="234">
        <f>SUMIF(APR!$BA$6:$BG$6,BH$177,APR!$BA37:$BG37)</f>
        <v>0</v>
      </c>
      <c r="BI300" s="234">
        <f>SUMIF(APR!$BA$6:$BG$6,BI$177,APR!$BA37:$BG37)</f>
        <v>0</v>
      </c>
      <c r="BJ300" s="234">
        <f>SUMIF(APR!$BA$6:$BG$6,BJ$177,APR!$BA37:$BG37)</f>
        <v>0</v>
      </c>
      <c r="BK300" s="234">
        <f>SUMIF(APR!$BA$6:$BG$6,BK$177,APR!$BA37:$BG37)</f>
        <v>0</v>
      </c>
      <c r="BL300" s="234">
        <f>SUMIF(APR!$BA$6:$BG$6,BL$177,APR!$BA37:$BG37)</f>
        <v>0</v>
      </c>
      <c r="BM300" s="234">
        <f>SUMIF(APR!$BA$6:$BG$6,BM$177,APR!$BA37:$BG37)</f>
        <v>0</v>
      </c>
      <c r="BN300" s="234">
        <f>SUMIF(APR!$BA$6:$BG$6,BN$177,APR!$BA37:$BG37)</f>
        <v>0</v>
      </c>
      <c r="BO300" s="236">
        <f>SUMIF(APR!$BA$6:$BG$6,BO$177,APR!$BA37:$BG37)</f>
        <v>0</v>
      </c>
      <c r="BP300" s="236">
        <f>SUMIF(APR!$BA$6:$BG$6,BP$177,APR!$BA37:$BG37)</f>
        <v>0</v>
      </c>
      <c r="BQ300" s="252"/>
      <c r="BR300" s="233">
        <f>SUMIF(APR!$BA$5:$BG$5,BR$177,APR!$BA37:$BG37)</f>
        <v>0</v>
      </c>
      <c r="BS300" s="234">
        <f>SUMIF(APR!$BA$5:$BG$5,BS$177,APR!$BA37:$BG37)</f>
        <v>0</v>
      </c>
      <c r="BT300" s="234">
        <f>SUMIF(APR!$BA$5:$BG$5,BT$177,APR!$BA37:$BG37)</f>
        <v>0</v>
      </c>
      <c r="BU300" s="234">
        <f>SUMIF(APR!$BA$5:$BG$5,BU$177,APR!$BA37:$BG37)</f>
        <v>0</v>
      </c>
      <c r="BV300" s="234">
        <f>SUMIF(APR!$BA$5:$BG$5,BV$177,APR!$BA37:$BG37)</f>
        <v>0</v>
      </c>
      <c r="BW300" s="234">
        <f>SUMIF(APR!$BA$5:$BG$5,BW$177,APR!$BA37:$BG37)</f>
        <v>0</v>
      </c>
      <c r="BX300" s="235">
        <f>SUMIF(APR!$BA$5:$BG$5,BX$177,APR!$BA37:$BG37)</f>
        <v>0</v>
      </c>
      <c r="BY300" s="999">
        <f>SUMIF(APR!$BA$5:$BG$5,BY$177,APR!$BA37:$BG37)</f>
        <v>0</v>
      </c>
      <c r="CB300" s="252"/>
      <c r="CC300" s="61" t="e">
        <f t="shared" si="52"/>
        <v>#N/A</v>
      </c>
      <c r="CD300" s="61">
        <f t="shared" si="53"/>
        <v>0</v>
      </c>
      <c r="CE300" s="105" t="str">
        <f t="shared" si="46"/>
        <v/>
      </c>
      <c r="CF300" s="61" t="e">
        <f t="shared" si="54"/>
        <v>#N/A</v>
      </c>
      <c r="CG300" s="61" t="e">
        <f t="shared" si="55"/>
        <v>#N/A</v>
      </c>
      <c r="CH300" s="522">
        <f>APR!AL37-CW300+CR300</f>
        <v>0</v>
      </c>
      <c r="CI300" s="233">
        <f>SUMIF(APR!$G$121:$M$121,CI$178,APR!$AM37:$AS37)+SUMIF($CS$178:$CV$178,CI$178,$CS300:$CV300)</f>
        <v>0</v>
      </c>
      <c r="CJ300" s="234">
        <f>SUMIF(APR!$G$121:$M$121,CJ$178,APR!$AM37:$AS37)+SUMIF($CS$178:$CV$178,CJ$178,$CS300:$CV300)</f>
        <v>0</v>
      </c>
      <c r="CK300" s="235">
        <f>SUMIF(APR!$G$121:$M$121,CK$178,APR!$AM37:$AS37)+SUMIF($CS$178:$CV$178,CK$178,$CS300:$CV300)</f>
        <v>0</v>
      </c>
      <c r="CL300" s="235">
        <f>SUMIF(APR!$G$121:$M$121,CL$178,APR!$AM37:$AS37)+SUMIF($CS$178:$CV$178,CL$178,$CS300:$CV300)</f>
        <v>0</v>
      </c>
      <c r="CM300" s="235">
        <f>SUMIF(APR!$G$121:$M$121,CM$178,APR!$AM37:$AS37)+SUMIF($CS$178:$CV$178,CM$178,$CS300:$CV300)</f>
        <v>0</v>
      </c>
      <c r="CN300" s="235">
        <f>SUMIF(APR!$G$121:$M$121,CN$178,APR!$AM37:$AS37)+SUMIF($CS$178:$CV$178,CN$178,$CS300:$CV300)</f>
        <v>0</v>
      </c>
      <c r="CO300" s="235">
        <f>SUMIF(APR!$G$121:$M$121,CO$178,APR!$AM37:$AS37)+SUMIF($CS$178:$CV$178,CO$178,$CS300:$CV300)</f>
        <v>0</v>
      </c>
      <c r="CP300" s="235">
        <f>SUMIF(APR!$G$121:$M$121,CP$178,APR!$AM37:$AS37)+SUMIF($CS$178:$CV$178,CP$178,$CS300:$CV300)</f>
        <v>0</v>
      </c>
      <c r="CQ300" s="236">
        <f>SUMIF(APR!$G$121:$M$121,CQ$178,APR!$AM37:$AS37)+SUMIF($CS$178:$CV$178,CQ$178,$CS300:$CV300)</f>
        <v>0</v>
      </c>
      <c r="CR300" s="522">
        <f>APR!AU37</f>
        <v>0</v>
      </c>
      <c r="CS300" s="233">
        <f>APR!AV37</f>
        <v>0</v>
      </c>
      <c r="CT300" s="234">
        <f>APR!AW37</f>
        <v>0</v>
      </c>
      <c r="CU300" s="235">
        <f>APR!AX37</f>
        <v>0</v>
      </c>
      <c r="CV300" s="236">
        <f>APR!AY37</f>
        <v>0</v>
      </c>
      <c r="CW300" s="522">
        <f>SUM(APR!AU37:AY37)</f>
        <v>0</v>
      </c>
      <c r="CX300" s="522">
        <f>APR!AK37</f>
        <v>0</v>
      </c>
      <c r="CY300" s="2"/>
    </row>
    <row r="301" spans="1:103" ht="14.25" hidden="1" customHeight="1" x14ac:dyDescent="0.2">
      <c r="A301" s="2"/>
      <c r="B301" s="105">
        <f t="shared" si="56"/>
        <v>45413</v>
      </c>
      <c r="C301" s="146">
        <f>IF(AND(E301&gt;(E$561-1),E301&lt;(I$561+1)),W$551,IF(ISERROR(HLOOKUP(E301,$E$554:$L$554,1,FALSE)),HLOOKUP(WEEKDAY(E301,2),IMPOSTAZIONI!$C$52:$P$57,6,FALSE),$W$550))</f>
        <v>0</v>
      </c>
      <c r="D301" s="71" t="str">
        <f t="shared" si="57"/>
        <v/>
      </c>
      <c r="E301" s="2260">
        <f t="shared" si="62"/>
        <v>45413</v>
      </c>
      <c r="F301" s="2261"/>
      <c r="G301" s="2249" t="str">
        <f>MAG!E8</f>
        <v xml:space="preserve">disattivato  </v>
      </c>
      <c r="H301" s="2250"/>
      <c r="I301" s="2251"/>
      <c r="J301" s="262" t="str">
        <f t="shared" si="47"/>
        <v/>
      </c>
      <c r="K301" s="263"/>
      <c r="L301" s="2217">
        <f t="shared" si="63"/>
        <v>18</v>
      </c>
      <c r="M301" s="2218"/>
      <c r="N301" s="261"/>
      <c r="O301" s="261"/>
      <c r="P301" s="261"/>
      <c r="Q301" s="2219">
        <f t="shared" si="58"/>
        <v>45413</v>
      </c>
      <c r="R301" s="2219"/>
      <c r="S301" s="261"/>
      <c r="T301" s="1173">
        <f t="shared" si="48"/>
        <v>1</v>
      </c>
      <c r="U301" s="261"/>
      <c r="V301" s="261"/>
      <c r="W301" s="261"/>
      <c r="X301" s="261"/>
      <c r="Y301" s="261"/>
      <c r="Z301" s="261"/>
      <c r="AA301" s="261"/>
      <c r="AB301" s="261"/>
      <c r="AC301" s="261"/>
      <c r="AD301" s="261"/>
      <c r="AE301" s="261"/>
      <c r="AF301" s="261"/>
      <c r="AG301" s="1173">
        <f t="shared" si="59"/>
        <v>0</v>
      </c>
      <c r="AH301" s="61" t="str">
        <f t="shared" si="60"/>
        <v/>
      </c>
      <c r="AI301" s="89" t="e">
        <f t="shared" si="61"/>
        <v>#N/A</v>
      </c>
      <c r="AJ301" s="89">
        <f>IF(G301=G547,0,COUNTIF(T301:T331,"&gt;0"))</f>
        <v>0</v>
      </c>
      <c r="AK301" s="61">
        <f>IF(G301=G$547,0,IF(OR(G301&lt;&gt;0,CH301&lt;&gt;0,C301="L"),COUNTIF(AK$180:AK300,"&gt;0")+1,0))</f>
        <v>0</v>
      </c>
      <c r="AL301" s="61" t="str">
        <f t="shared" si="49"/>
        <v/>
      </c>
      <c r="AM301" s="61" t="e">
        <f t="shared" si="50"/>
        <v>#N/A</v>
      </c>
      <c r="AN301" s="89" t="e">
        <f t="shared" si="51"/>
        <v>#N/A</v>
      </c>
      <c r="AO301" s="230">
        <f>SUM(MAG!X8:AD8)-BD301+AY301</f>
        <v>0</v>
      </c>
      <c r="AP301" s="228">
        <f>SUMIF(MAG!$G$121:$M$121,AP$178,MAG!$P8:$V8)+SUMIF($AZ$178:$BC$178,AP$178,$AZ301:$BC301)</f>
        <v>0</v>
      </c>
      <c r="AQ301" s="229">
        <f>SUMIF(MAG!$G$121:$M$121,AQ$178,MAG!$P8:$V8)+SUMIF($AZ$178:$BC$178,AQ$178,$AZ301:$BC301)</f>
        <v>0</v>
      </c>
      <c r="AR301" s="230">
        <f>SUMIF(MAG!$G$121:$M$121,AR$178,MAG!$P8:$V8)+SUMIF($AZ$178:$BC$178,AR$178,$AZ301:$BC301)</f>
        <v>0</v>
      </c>
      <c r="AS301" s="230">
        <f>SUMIF(MAG!$G$121:$M$121,AS$178,MAG!$P8:$V8)+SUMIF($AZ$178:$BC$178,AS$178,$AZ301:$BC301)</f>
        <v>0</v>
      </c>
      <c r="AT301" s="230">
        <f>SUMIF(MAG!$G$121:$M$121,AT$178,MAG!$P8:$V8)+SUMIF($AZ$178:$BC$178,AT$178,$AZ301:$BC301)</f>
        <v>0</v>
      </c>
      <c r="AU301" s="230">
        <f>SUMIF(MAG!$G$121:$M$121,AU$178,MAG!$P8:$V8)+SUMIF($AZ$178:$BC$178,AU$178,$AZ301:$BC301)</f>
        <v>0</v>
      </c>
      <c r="AV301" s="230">
        <f>SUMIF(MAG!$G$121:$M$121,AV$178,MAG!$P8:$V8)+SUMIF($AZ$178:$BC$178,AV$178,$AZ301:$BC301)</f>
        <v>0</v>
      </c>
      <c r="AW301" s="230">
        <f>SUMIF(MAG!$G$121:$M$121,AW$178,MAG!$P8:$V8)+SUMIF($AZ$178:$BC$178,AW$178,$AZ301:$BC301)</f>
        <v>0</v>
      </c>
      <c r="AX301" s="231">
        <f>SUMIF(MAG!$G$121:$M$121,AX$178,MAG!$P8:$V8)+SUMIF($AZ$178:$BC$178,AX$178,$AZ301:$BC301)</f>
        <v>0</v>
      </c>
      <c r="AY301" s="232">
        <f>MAG!AF8</f>
        <v>0</v>
      </c>
      <c r="AZ301" s="228">
        <f>MAG!AG8</f>
        <v>0</v>
      </c>
      <c r="BA301" s="229">
        <f>MAG!AH8</f>
        <v>0</v>
      </c>
      <c r="BB301" s="230">
        <f>MAG!AI8</f>
        <v>0</v>
      </c>
      <c r="BC301" s="231">
        <f>MAG!AJ8</f>
        <v>0</v>
      </c>
      <c r="BD301" s="228">
        <f>SUMIF(MAG!$G$120:$M$120,"&gt;0",MAG!$X8:$AD8)</f>
        <v>0</v>
      </c>
      <c r="BE301" s="696"/>
      <c r="BF301" s="254">
        <f>SUMIF(MAG!$BA$6:$BG$6,BF$177,MAG!$BA8:$BG8)</f>
        <v>0</v>
      </c>
      <c r="BG301" s="255">
        <f>SUMIF(MAG!$BA$6:$BG$6,BG$177,MAG!$BA8:$BG8)</f>
        <v>0</v>
      </c>
      <c r="BH301" s="255">
        <f>SUMIF(MAG!$BA$6:$BG$6,BH$177,MAG!$BA8:$BG8)</f>
        <v>0</v>
      </c>
      <c r="BI301" s="255">
        <f>SUMIF(MAG!$BA$6:$BG$6,BI$177,MAG!$BA8:$BG8)</f>
        <v>0</v>
      </c>
      <c r="BJ301" s="255">
        <f>SUMIF(MAG!$BA$6:$BG$6,BJ$177,MAG!$BA8:$BG8)</f>
        <v>0</v>
      </c>
      <c r="BK301" s="255">
        <f>SUMIF(MAG!$BA$6:$BG$6,BK$177,MAG!$BA8:$BG8)</f>
        <v>0</v>
      </c>
      <c r="BL301" s="255">
        <f>SUMIF(MAG!$BA$6:$BG$6,BL$177,MAG!$BA8:$BG8)</f>
        <v>0</v>
      </c>
      <c r="BM301" s="255">
        <f>SUMIF(MAG!$BA$6:$BG$6,BM$177,MAG!$BA8:$BG8)</f>
        <v>0</v>
      </c>
      <c r="BN301" s="255">
        <f>SUMIF(MAG!$BA$6:$BG$6,BN$177,MAG!$BA8:$BG8)</f>
        <v>0</v>
      </c>
      <c r="BO301" s="256">
        <f>SUMIF(MAG!$BA$6:$BG$6,BO$177,MAG!$BA8:$BG8)</f>
        <v>0</v>
      </c>
      <c r="BP301" s="256">
        <f>SUMIF(MAG!$BA$6:$BG$6,BP$177,MAG!$BA8:$BG8)</f>
        <v>0</v>
      </c>
      <c r="BQ301" s="252"/>
      <c r="BR301" s="254">
        <f>SUMIF(MAG!$BA$5:$BG$5,BR$177,MAG!$BA8:$BG8)</f>
        <v>0</v>
      </c>
      <c r="BS301" s="255">
        <f>SUMIF(MAG!$BA$5:$BG$5,BS$177,MAG!$BA8:$BG8)</f>
        <v>0</v>
      </c>
      <c r="BT301" s="255">
        <f>SUMIF(MAG!$BA$5:$BG$5,BT$177,MAG!$BA8:$BG8)</f>
        <v>0</v>
      </c>
      <c r="BU301" s="255">
        <f>SUMIF(MAG!$BA$5:$BG$5,BU$177,MAG!$BA8:$BG8)</f>
        <v>0</v>
      </c>
      <c r="BV301" s="255">
        <f>SUMIF(MAG!$BA$5:$BG$5,BV$177,MAG!$BA8:$BG8)</f>
        <v>0</v>
      </c>
      <c r="BW301" s="255">
        <f>SUMIF(MAG!$BA$5:$BG$5,BW$177,MAG!$BA8:$BG8)</f>
        <v>0</v>
      </c>
      <c r="BX301" s="996">
        <f>SUMIF(MAG!$BA$5:$BG$5,BX$177,MAG!$BA8:$BG8)</f>
        <v>0</v>
      </c>
      <c r="BY301" s="997">
        <f>SUMIF(MAG!$BA$5:$BG$5,BY$177,MAG!$BA8:$BG8)</f>
        <v>0</v>
      </c>
      <c r="CB301" s="252"/>
      <c r="CC301" s="61" t="e">
        <f t="shared" si="52"/>
        <v>#N/A</v>
      </c>
      <c r="CD301" s="61">
        <f t="shared" si="53"/>
        <v>0</v>
      </c>
      <c r="CE301" s="105" t="str">
        <f t="shared" si="46"/>
        <v/>
      </c>
      <c r="CF301" s="61" t="e">
        <f t="shared" si="54"/>
        <v>#N/A</v>
      </c>
      <c r="CG301" s="61" t="e">
        <f t="shared" si="55"/>
        <v>#N/A</v>
      </c>
      <c r="CH301" s="523">
        <f>MAG!AL8-CW301+CR301</f>
        <v>0</v>
      </c>
      <c r="CI301" s="228">
        <f>SUMIF(MAG!$G$121:$M$121,CI$178,MAG!$AM8:$AS8)+SUMIF($CS$178:$CV$178,CI$178,$CS301:$CV301)</f>
        <v>0</v>
      </c>
      <c r="CJ301" s="229">
        <f>SUMIF(MAG!$G$121:$M$121,CJ$178,MAG!$AM8:$AS8)+SUMIF($CS$178:$CV$178,CJ$178,$CS301:$CV301)</f>
        <v>0</v>
      </c>
      <c r="CK301" s="230">
        <f>SUMIF(MAG!$G$121:$M$121,CK$178,MAG!$AM8:$AS8)+SUMIF($CS$178:$CV$178,CK$178,$CS301:$CV301)</f>
        <v>0</v>
      </c>
      <c r="CL301" s="230">
        <f>SUMIF(MAG!$G$121:$M$121,CL$178,MAG!$AM8:$AS8)+SUMIF($CS$178:$CV$178,CL$178,$CS301:$CV301)</f>
        <v>0</v>
      </c>
      <c r="CM301" s="230">
        <f>SUMIF(MAG!$G$121:$M$121,CM$178,MAG!$AM8:$AS8)+SUMIF($CS$178:$CV$178,CM$178,$CS301:$CV301)</f>
        <v>0</v>
      </c>
      <c r="CN301" s="230">
        <f>SUMIF(MAG!$G$121:$M$121,CN$178,MAG!$AM8:$AS8)+SUMIF($CS$178:$CV$178,CN$178,$CS301:$CV301)</f>
        <v>0</v>
      </c>
      <c r="CO301" s="230">
        <f>SUMIF(MAG!$G$121:$M$121,CO$178,MAG!$AM8:$AS8)+SUMIF($CS$178:$CV$178,CO$178,$CS301:$CV301)</f>
        <v>0</v>
      </c>
      <c r="CP301" s="230">
        <f>SUMIF(MAG!$G$121:$M$121,CP$178,MAG!$AM8:$AS8)+SUMIF($CS$178:$CV$178,CP$178,$CS301:$CV301)</f>
        <v>0</v>
      </c>
      <c r="CQ301" s="231">
        <f>SUMIF(MAG!$G$121:$M$121,CQ$178,MAG!$AM8:$AS8)+SUMIF($CS$178:$CV$178,CQ$178,$CS301:$CV301)</f>
        <v>0</v>
      </c>
      <c r="CR301" s="523">
        <f>MAG!AU8</f>
        <v>0</v>
      </c>
      <c r="CS301" s="228">
        <f>MAG!AV8</f>
        <v>0</v>
      </c>
      <c r="CT301" s="229">
        <f>MAG!AW8</f>
        <v>0</v>
      </c>
      <c r="CU301" s="230">
        <f>MAG!AX8</f>
        <v>0</v>
      </c>
      <c r="CV301" s="231">
        <f>MAG!AY8</f>
        <v>0</v>
      </c>
      <c r="CW301" s="523">
        <f>SUM(MAG!AU8:AY8)</f>
        <v>0</v>
      </c>
      <c r="CX301" s="523">
        <f>MAG!AK8</f>
        <v>0</v>
      </c>
      <c r="CY301" s="2"/>
    </row>
    <row r="302" spans="1:103" ht="14.25" hidden="1" customHeight="1" x14ac:dyDescent="0.2">
      <c r="A302" s="2"/>
      <c r="B302" s="105">
        <f t="shared" si="56"/>
        <v>45414</v>
      </c>
      <c r="C302" s="146">
        <f>IF(AND(E302&gt;(E$561-1),E302&lt;(I$561+1)),W$551,IF(ISERROR(HLOOKUP(E302,$E$554:$L$554,1,FALSE)),HLOOKUP(WEEKDAY(E302,2),IMPOSTAZIONI!$C$52:$P$57,6,FALSE),$W$550))</f>
        <v>0</v>
      </c>
      <c r="D302" s="71" t="str">
        <f t="shared" si="57"/>
        <v/>
      </c>
      <c r="E302" s="2258">
        <f t="shared" si="62"/>
        <v>45414</v>
      </c>
      <c r="F302" s="2259"/>
      <c r="G302" s="2228" t="str">
        <f>MAG!E9</f>
        <v xml:space="preserve">disattivato  </v>
      </c>
      <c r="H302" s="2229"/>
      <c r="I302" s="2230"/>
      <c r="J302" s="262" t="str">
        <f t="shared" si="47"/>
        <v/>
      </c>
      <c r="K302" s="263"/>
      <c r="L302" s="2217">
        <f t="shared" si="63"/>
        <v>18</v>
      </c>
      <c r="M302" s="2218"/>
      <c r="N302" s="261"/>
      <c r="O302" s="261"/>
      <c r="P302" s="261"/>
      <c r="Q302" s="2219">
        <f t="shared" si="58"/>
        <v>45414</v>
      </c>
      <c r="R302" s="2219"/>
      <c r="S302" s="261"/>
      <c r="T302" s="1173">
        <f t="shared" si="48"/>
        <v>1</v>
      </c>
      <c r="U302" s="261"/>
      <c r="V302" s="261"/>
      <c r="W302" s="261"/>
      <c r="X302" s="261"/>
      <c r="Y302" s="261"/>
      <c r="Z302" s="261"/>
      <c r="AA302" s="261"/>
      <c r="AB302" s="261"/>
      <c r="AC302" s="261"/>
      <c r="AD302" s="261"/>
      <c r="AE302" s="261"/>
      <c r="AF302" s="261"/>
      <c r="AG302" s="1173">
        <f t="shared" si="59"/>
        <v>0</v>
      </c>
      <c r="AH302" s="61" t="str">
        <f t="shared" si="60"/>
        <v/>
      </c>
      <c r="AI302" s="89" t="e">
        <f t="shared" si="61"/>
        <v>#N/A</v>
      </c>
      <c r="AJ302" s="2"/>
      <c r="AK302" s="61">
        <f>IF(G302=G$547,0,IF(OR(G302&lt;&gt;0,CH302&lt;&gt;0,C302="L"),COUNTIF(AK$180:AK301,"&gt;0")+1,0))</f>
        <v>0</v>
      </c>
      <c r="AL302" s="61" t="str">
        <f t="shared" si="49"/>
        <v/>
      </c>
      <c r="AM302" s="61" t="e">
        <f t="shared" si="50"/>
        <v>#N/A</v>
      </c>
      <c r="AN302" s="89" t="e">
        <f t="shared" si="51"/>
        <v>#N/A</v>
      </c>
      <c r="AO302" s="230">
        <f>SUM(MAG!X9:AD9)-BD302+AY302</f>
        <v>0</v>
      </c>
      <c r="AP302" s="228">
        <f>SUMIF(MAG!$G$121:$M$121,AP$178,MAG!$P9:$V9)+SUMIF($AZ$178:$BC$178,AP$178,$AZ302:$BC302)</f>
        <v>0</v>
      </c>
      <c r="AQ302" s="229">
        <f>SUMIF(MAG!$G$121:$M$121,AQ$178,MAG!$P9:$V9)+SUMIF($AZ$178:$BC$178,AQ$178,$AZ302:$BC302)</f>
        <v>0</v>
      </c>
      <c r="AR302" s="230">
        <f>SUMIF(MAG!$G$121:$M$121,AR$178,MAG!$P9:$V9)+SUMIF($AZ$178:$BC$178,AR$178,$AZ302:$BC302)</f>
        <v>0</v>
      </c>
      <c r="AS302" s="230">
        <f>SUMIF(MAG!$G$121:$M$121,AS$178,MAG!$P9:$V9)+SUMIF($AZ$178:$BC$178,AS$178,$AZ302:$BC302)</f>
        <v>0</v>
      </c>
      <c r="AT302" s="230">
        <f>SUMIF(MAG!$G$121:$M$121,AT$178,MAG!$P9:$V9)+SUMIF($AZ$178:$BC$178,AT$178,$AZ302:$BC302)</f>
        <v>0</v>
      </c>
      <c r="AU302" s="230">
        <f>SUMIF(MAG!$G$121:$M$121,AU$178,MAG!$P9:$V9)+SUMIF($AZ$178:$BC$178,AU$178,$AZ302:$BC302)</f>
        <v>0</v>
      </c>
      <c r="AV302" s="230">
        <f>SUMIF(MAG!$G$121:$M$121,AV$178,MAG!$P9:$V9)+SUMIF($AZ$178:$BC$178,AV$178,$AZ302:$BC302)</f>
        <v>0</v>
      </c>
      <c r="AW302" s="230">
        <f>SUMIF(MAG!$G$121:$M$121,AW$178,MAG!$P9:$V9)+SUMIF($AZ$178:$BC$178,AW$178,$AZ302:$BC302)</f>
        <v>0</v>
      </c>
      <c r="AX302" s="231">
        <f>SUMIF(MAG!$G$121:$M$121,AX$178,MAG!$P9:$V9)+SUMIF($AZ$178:$BC$178,AX$178,$AZ302:$BC302)</f>
        <v>0</v>
      </c>
      <c r="AY302" s="232">
        <f>MAG!AF9</f>
        <v>0</v>
      </c>
      <c r="AZ302" s="228">
        <f>MAG!AG9</f>
        <v>0</v>
      </c>
      <c r="BA302" s="229">
        <f>MAG!AH9</f>
        <v>0</v>
      </c>
      <c r="BB302" s="230">
        <f>MAG!AI9</f>
        <v>0</v>
      </c>
      <c r="BC302" s="231">
        <f>MAG!AJ9</f>
        <v>0</v>
      </c>
      <c r="BD302" s="228">
        <f>SUMIF(MAG!$G$120:$M$120,"&gt;0",MAG!$X9:$AD9)</f>
        <v>0</v>
      </c>
      <c r="BE302" s="696"/>
      <c r="BF302" s="228">
        <f>SUMIF(MAG!$BA$6:$BG$6,BF$177,MAG!$BA9:$BG9)</f>
        <v>0</v>
      </c>
      <c r="BG302" s="229">
        <f>SUMIF(MAG!$BA$6:$BG$6,BG$177,MAG!$BA9:$BG9)</f>
        <v>0</v>
      </c>
      <c r="BH302" s="229">
        <f>SUMIF(MAG!$BA$6:$BG$6,BH$177,MAG!$BA9:$BG9)</f>
        <v>0</v>
      </c>
      <c r="BI302" s="229">
        <f>SUMIF(MAG!$BA$6:$BG$6,BI$177,MAG!$BA9:$BG9)</f>
        <v>0</v>
      </c>
      <c r="BJ302" s="229">
        <f>SUMIF(MAG!$BA$6:$BG$6,BJ$177,MAG!$BA9:$BG9)</f>
        <v>0</v>
      </c>
      <c r="BK302" s="229">
        <f>SUMIF(MAG!$BA$6:$BG$6,BK$177,MAG!$BA9:$BG9)</f>
        <v>0</v>
      </c>
      <c r="BL302" s="229">
        <f>SUMIF(MAG!$BA$6:$BG$6,BL$177,MAG!$BA9:$BG9)</f>
        <v>0</v>
      </c>
      <c r="BM302" s="229">
        <f>SUMIF(MAG!$BA$6:$BG$6,BM$177,MAG!$BA9:$BG9)</f>
        <v>0</v>
      </c>
      <c r="BN302" s="229">
        <f>SUMIF(MAG!$BA$6:$BG$6,BN$177,MAG!$BA9:$BG9)</f>
        <v>0</v>
      </c>
      <c r="BO302" s="231">
        <f>SUMIF(MAG!$BA$6:$BG$6,BO$177,MAG!$BA9:$BG9)</f>
        <v>0</v>
      </c>
      <c r="BP302" s="231">
        <f>SUMIF(MAG!$BA$6:$BG$6,BP$177,MAG!$BA9:$BG9)</f>
        <v>0</v>
      </c>
      <c r="BQ302" s="252"/>
      <c r="BR302" s="228">
        <f>SUMIF(MAG!$BA$5:$BG$5,BR$177,MAG!$BA9:$BG9)</f>
        <v>0</v>
      </c>
      <c r="BS302" s="229">
        <f>SUMIF(MAG!$BA$5:$BG$5,BS$177,MAG!$BA9:$BG9)</f>
        <v>0</v>
      </c>
      <c r="BT302" s="229">
        <f>SUMIF(MAG!$BA$5:$BG$5,BT$177,MAG!$BA9:$BG9)</f>
        <v>0</v>
      </c>
      <c r="BU302" s="229">
        <f>SUMIF(MAG!$BA$5:$BG$5,BU$177,MAG!$BA9:$BG9)</f>
        <v>0</v>
      </c>
      <c r="BV302" s="229">
        <f>SUMIF(MAG!$BA$5:$BG$5,BV$177,MAG!$BA9:$BG9)</f>
        <v>0</v>
      </c>
      <c r="BW302" s="229">
        <f>SUMIF(MAG!$BA$5:$BG$5,BW$177,MAG!$BA9:$BG9)</f>
        <v>0</v>
      </c>
      <c r="BX302" s="230">
        <f>SUMIF(MAG!$BA$5:$BG$5,BX$177,MAG!$BA9:$BG9)</f>
        <v>0</v>
      </c>
      <c r="BY302" s="998">
        <f>SUMIF(MAG!$BA$5:$BG$5,BY$177,MAG!$BA9:$BG9)</f>
        <v>0</v>
      </c>
      <c r="CB302" s="252"/>
      <c r="CC302" s="61" t="e">
        <f t="shared" si="52"/>
        <v>#N/A</v>
      </c>
      <c r="CD302" s="61">
        <f t="shared" si="53"/>
        <v>0</v>
      </c>
      <c r="CE302" s="105" t="str">
        <f t="shared" si="46"/>
        <v/>
      </c>
      <c r="CF302" s="61" t="e">
        <f t="shared" si="54"/>
        <v>#N/A</v>
      </c>
      <c r="CG302" s="61" t="e">
        <f t="shared" si="55"/>
        <v>#N/A</v>
      </c>
      <c r="CH302" s="521">
        <f>MAG!AL9-CW302+CR302</f>
        <v>0</v>
      </c>
      <c r="CI302" s="228">
        <f>SUMIF(MAG!$G$121:$M$121,CI$178,MAG!$AM9:$AS9)+SUMIF($CS$178:$CV$178,CI$178,$CS302:$CV302)</f>
        <v>0</v>
      </c>
      <c r="CJ302" s="229">
        <f>SUMIF(MAG!$G$121:$M$121,CJ$178,MAG!$AM9:$AS9)+SUMIF($CS$178:$CV$178,CJ$178,$CS302:$CV302)</f>
        <v>0</v>
      </c>
      <c r="CK302" s="230">
        <f>SUMIF(MAG!$G$121:$M$121,CK$178,MAG!$AM9:$AS9)+SUMIF($CS$178:$CV$178,CK$178,$CS302:$CV302)</f>
        <v>0</v>
      </c>
      <c r="CL302" s="230">
        <f>SUMIF(MAG!$G$121:$M$121,CL$178,MAG!$AM9:$AS9)+SUMIF($CS$178:$CV$178,CL$178,$CS302:$CV302)</f>
        <v>0</v>
      </c>
      <c r="CM302" s="230">
        <f>SUMIF(MAG!$G$121:$M$121,CM$178,MAG!$AM9:$AS9)+SUMIF($CS$178:$CV$178,CM$178,$CS302:$CV302)</f>
        <v>0</v>
      </c>
      <c r="CN302" s="230">
        <f>SUMIF(MAG!$G$121:$M$121,CN$178,MAG!$AM9:$AS9)+SUMIF($CS$178:$CV$178,CN$178,$CS302:$CV302)</f>
        <v>0</v>
      </c>
      <c r="CO302" s="230">
        <f>SUMIF(MAG!$G$121:$M$121,CO$178,MAG!$AM9:$AS9)+SUMIF($CS$178:$CV$178,CO$178,$CS302:$CV302)</f>
        <v>0</v>
      </c>
      <c r="CP302" s="230">
        <f>SUMIF(MAG!$G$121:$M$121,CP$178,MAG!$AM9:$AS9)+SUMIF($CS$178:$CV$178,CP$178,$CS302:$CV302)</f>
        <v>0</v>
      </c>
      <c r="CQ302" s="231">
        <f>SUMIF(MAG!$G$121:$M$121,CQ$178,MAG!$AM9:$AS9)+SUMIF($CS$178:$CV$178,CQ$178,$CS302:$CV302)</f>
        <v>0</v>
      </c>
      <c r="CR302" s="521">
        <f>MAG!AU9</f>
        <v>0</v>
      </c>
      <c r="CS302" s="228">
        <f>MAG!AV9</f>
        <v>0</v>
      </c>
      <c r="CT302" s="229">
        <f>MAG!AW9</f>
        <v>0</v>
      </c>
      <c r="CU302" s="230">
        <f>MAG!AX9</f>
        <v>0</v>
      </c>
      <c r="CV302" s="231">
        <f>MAG!AY9</f>
        <v>0</v>
      </c>
      <c r="CW302" s="521">
        <f>SUM(MAG!AU9:AY9)</f>
        <v>0</v>
      </c>
      <c r="CX302" s="521">
        <f>MAG!AK9</f>
        <v>0</v>
      </c>
      <c r="CY302" s="2"/>
    </row>
    <row r="303" spans="1:103" ht="14.25" hidden="1" customHeight="1" x14ac:dyDescent="0.2">
      <c r="A303" s="2"/>
      <c r="B303" s="105">
        <f t="shared" si="56"/>
        <v>45415</v>
      </c>
      <c r="C303" s="146">
        <f>IF(AND(E303&gt;(E$561-1),E303&lt;(I$561+1)),W$551,IF(ISERROR(HLOOKUP(E303,$E$554:$L$554,1,FALSE)),HLOOKUP(WEEKDAY(E303,2),IMPOSTAZIONI!$C$52:$P$57,6,FALSE),$W$550))</f>
        <v>0</v>
      </c>
      <c r="D303" s="71" t="str">
        <f t="shared" si="57"/>
        <v/>
      </c>
      <c r="E303" s="2258">
        <f t="shared" si="62"/>
        <v>45415</v>
      </c>
      <c r="F303" s="2259"/>
      <c r="G303" s="2228" t="str">
        <f>MAG!E10</f>
        <v xml:space="preserve">disattivato  </v>
      </c>
      <c r="H303" s="2229"/>
      <c r="I303" s="2230"/>
      <c r="J303" s="262" t="str">
        <f t="shared" si="47"/>
        <v/>
      </c>
      <c r="K303" s="263"/>
      <c r="L303" s="2217">
        <f t="shared" si="63"/>
        <v>18</v>
      </c>
      <c r="M303" s="2218"/>
      <c r="N303" s="261"/>
      <c r="O303" s="261"/>
      <c r="P303" s="261"/>
      <c r="Q303" s="2219">
        <f t="shared" si="58"/>
        <v>45415</v>
      </c>
      <c r="R303" s="2219"/>
      <c r="S303" s="261"/>
      <c r="T303" s="1173">
        <f t="shared" si="48"/>
        <v>1</v>
      </c>
      <c r="U303" s="261"/>
      <c r="V303" s="261"/>
      <c r="W303" s="261"/>
      <c r="X303" s="261"/>
      <c r="Y303" s="261"/>
      <c r="Z303" s="261"/>
      <c r="AA303" s="261"/>
      <c r="AB303" s="261"/>
      <c r="AC303" s="261"/>
      <c r="AD303" s="261"/>
      <c r="AE303" s="261"/>
      <c r="AF303" s="261"/>
      <c r="AG303" s="1173">
        <f t="shared" si="59"/>
        <v>0</v>
      </c>
      <c r="AH303" s="61" t="str">
        <f t="shared" si="60"/>
        <v/>
      </c>
      <c r="AI303" s="89" t="e">
        <f t="shared" si="61"/>
        <v>#N/A</v>
      </c>
      <c r="AJ303" s="2"/>
      <c r="AK303" s="61">
        <f>IF(G303=G$547,0,IF(OR(G303&lt;&gt;0,CH303&lt;&gt;0,C303="L"),COUNTIF(AK$180:AK302,"&gt;0")+1,0))</f>
        <v>0</v>
      </c>
      <c r="AL303" s="61" t="str">
        <f t="shared" si="49"/>
        <v/>
      </c>
      <c r="AM303" s="61" t="e">
        <f t="shared" si="50"/>
        <v>#N/A</v>
      </c>
      <c r="AN303" s="89" t="e">
        <f t="shared" si="51"/>
        <v>#N/A</v>
      </c>
      <c r="AO303" s="230">
        <f>SUM(MAG!X10:AD10)-BD303+AY303</f>
        <v>0</v>
      </c>
      <c r="AP303" s="228">
        <f>SUMIF(MAG!$G$121:$M$121,AP$178,MAG!$P10:$V10)+SUMIF($AZ$178:$BC$178,AP$178,$AZ303:$BC303)</f>
        <v>0</v>
      </c>
      <c r="AQ303" s="229">
        <f>SUMIF(MAG!$G$121:$M$121,AQ$178,MAG!$P10:$V10)+SUMIF($AZ$178:$BC$178,AQ$178,$AZ303:$BC303)</f>
        <v>0</v>
      </c>
      <c r="AR303" s="230">
        <f>SUMIF(MAG!$G$121:$M$121,AR$178,MAG!$P10:$V10)+SUMIF($AZ$178:$BC$178,AR$178,$AZ303:$BC303)</f>
        <v>0</v>
      </c>
      <c r="AS303" s="230">
        <f>SUMIF(MAG!$G$121:$M$121,AS$178,MAG!$P10:$V10)+SUMIF($AZ$178:$BC$178,AS$178,$AZ303:$BC303)</f>
        <v>0</v>
      </c>
      <c r="AT303" s="230">
        <f>SUMIF(MAG!$G$121:$M$121,AT$178,MAG!$P10:$V10)+SUMIF($AZ$178:$BC$178,AT$178,$AZ303:$BC303)</f>
        <v>0</v>
      </c>
      <c r="AU303" s="230">
        <f>SUMIF(MAG!$G$121:$M$121,AU$178,MAG!$P10:$V10)+SUMIF($AZ$178:$BC$178,AU$178,$AZ303:$BC303)</f>
        <v>0</v>
      </c>
      <c r="AV303" s="230">
        <f>SUMIF(MAG!$G$121:$M$121,AV$178,MAG!$P10:$V10)+SUMIF($AZ$178:$BC$178,AV$178,$AZ303:$BC303)</f>
        <v>0</v>
      </c>
      <c r="AW303" s="230">
        <f>SUMIF(MAG!$G$121:$M$121,AW$178,MAG!$P10:$V10)+SUMIF($AZ$178:$BC$178,AW$178,$AZ303:$BC303)</f>
        <v>0</v>
      </c>
      <c r="AX303" s="231">
        <f>SUMIF(MAG!$G$121:$M$121,AX$178,MAG!$P10:$V10)+SUMIF($AZ$178:$BC$178,AX$178,$AZ303:$BC303)</f>
        <v>0</v>
      </c>
      <c r="AY303" s="232">
        <f>MAG!AF10</f>
        <v>0</v>
      </c>
      <c r="AZ303" s="228">
        <f>MAG!AG10</f>
        <v>0</v>
      </c>
      <c r="BA303" s="229">
        <f>MAG!AH10</f>
        <v>0</v>
      </c>
      <c r="BB303" s="230">
        <f>MAG!AI10</f>
        <v>0</v>
      </c>
      <c r="BC303" s="231">
        <f>MAG!AJ10</f>
        <v>0</v>
      </c>
      <c r="BD303" s="228">
        <f>SUMIF(MAG!$G$120:$M$120,"&gt;0",MAG!$X10:$AD10)</f>
        <v>0</v>
      </c>
      <c r="BE303" s="696"/>
      <c r="BF303" s="228">
        <f>SUMIF(MAG!$BA$6:$BG$6,BF$177,MAG!$BA10:$BG10)</f>
        <v>0</v>
      </c>
      <c r="BG303" s="229">
        <f>SUMIF(MAG!$BA$6:$BG$6,BG$177,MAG!$BA10:$BG10)</f>
        <v>0</v>
      </c>
      <c r="BH303" s="229">
        <f>SUMIF(MAG!$BA$6:$BG$6,BH$177,MAG!$BA10:$BG10)</f>
        <v>0</v>
      </c>
      <c r="BI303" s="229">
        <f>SUMIF(MAG!$BA$6:$BG$6,BI$177,MAG!$BA10:$BG10)</f>
        <v>0</v>
      </c>
      <c r="BJ303" s="229">
        <f>SUMIF(MAG!$BA$6:$BG$6,BJ$177,MAG!$BA10:$BG10)</f>
        <v>0</v>
      </c>
      <c r="BK303" s="229">
        <f>SUMIF(MAG!$BA$6:$BG$6,BK$177,MAG!$BA10:$BG10)</f>
        <v>0</v>
      </c>
      <c r="BL303" s="229">
        <f>SUMIF(MAG!$BA$6:$BG$6,BL$177,MAG!$BA10:$BG10)</f>
        <v>0</v>
      </c>
      <c r="BM303" s="229">
        <f>SUMIF(MAG!$BA$6:$BG$6,BM$177,MAG!$BA10:$BG10)</f>
        <v>0</v>
      </c>
      <c r="BN303" s="229">
        <f>SUMIF(MAG!$BA$6:$BG$6,BN$177,MAG!$BA10:$BG10)</f>
        <v>0</v>
      </c>
      <c r="BO303" s="231">
        <f>SUMIF(MAG!$BA$6:$BG$6,BO$177,MAG!$BA10:$BG10)</f>
        <v>0</v>
      </c>
      <c r="BP303" s="231">
        <f>SUMIF(MAG!$BA$6:$BG$6,BP$177,MAG!$BA10:$BG10)</f>
        <v>0</v>
      </c>
      <c r="BQ303" s="252"/>
      <c r="BR303" s="228">
        <f>SUMIF(MAG!$BA$5:$BG$5,BR$177,MAG!$BA10:$BG10)</f>
        <v>0</v>
      </c>
      <c r="BS303" s="229">
        <f>SUMIF(MAG!$BA$5:$BG$5,BS$177,MAG!$BA10:$BG10)</f>
        <v>0</v>
      </c>
      <c r="BT303" s="229">
        <f>SUMIF(MAG!$BA$5:$BG$5,BT$177,MAG!$BA10:$BG10)</f>
        <v>0</v>
      </c>
      <c r="BU303" s="229">
        <f>SUMIF(MAG!$BA$5:$BG$5,BU$177,MAG!$BA10:$BG10)</f>
        <v>0</v>
      </c>
      <c r="BV303" s="229">
        <f>SUMIF(MAG!$BA$5:$BG$5,BV$177,MAG!$BA10:$BG10)</f>
        <v>0</v>
      </c>
      <c r="BW303" s="229">
        <f>SUMIF(MAG!$BA$5:$BG$5,BW$177,MAG!$BA10:$BG10)</f>
        <v>0</v>
      </c>
      <c r="BX303" s="230">
        <f>SUMIF(MAG!$BA$5:$BG$5,BX$177,MAG!$BA10:$BG10)</f>
        <v>0</v>
      </c>
      <c r="BY303" s="998">
        <f>SUMIF(MAG!$BA$5:$BG$5,BY$177,MAG!$BA10:$BG10)</f>
        <v>0</v>
      </c>
      <c r="CB303" s="252"/>
      <c r="CC303" s="61" t="e">
        <f t="shared" si="52"/>
        <v>#N/A</v>
      </c>
      <c r="CD303" s="61">
        <f t="shared" si="53"/>
        <v>0</v>
      </c>
      <c r="CE303" s="105" t="str">
        <f t="shared" si="46"/>
        <v/>
      </c>
      <c r="CF303" s="61" t="e">
        <f t="shared" si="54"/>
        <v>#N/A</v>
      </c>
      <c r="CG303" s="61" t="e">
        <f t="shared" si="55"/>
        <v>#N/A</v>
      </c>
      <c r="CH303" s="521">
        <f>MAG!AL10-CW303+CR303</f>
        <v>0</v>
      </c>
      <c r="CI303" s="228">
        <f>SUMIF(MAG!$G$121:$M$121,CI$178,MAG!$AM10:$AS10)+SUMIF($CS$178:$CV$178,CI$178,$CS303:$CV303)</f>
        <v>0</v>
      </c>
      <c r="CJ303" s="229">
        <f>SUMIF(MAG!$G$121:$M$121,CJ$178,MAG!$AM10:$AS10)+SUMIF($CS$178:$CV$178,CJ$178,$CS303:$CV303)</f>
        <v>0</v>
      </c>
      <c r="CK303" s="230">
        <f>SUMIF(MAG!$G$121:$M$121,CK$178,MAG!$AM10:$AS10)+SUMIF($CS$178:$CV$178,CK$178,$CS303:$CV303)</f>
        <v>0</v>
      </c>
      <c r="CL303" s="230">
        <f>SUMIF(MAG!$G$121:$M$121,CL$178,MAG!$AM10:$AS10)+SUMIF($CS$178:$CV$178,CL$178,$CS303:$CV303)</f>
        <v>0</v>
      </c>
      <c r="CM303" s="230">
        <f>SUMIF(MAG!$G$121:$M$121,CM$178,MAG!$AM10:$AS10)+SUMIF($CS$178:$CV$178,CM$178,$CS303:$CV303)</f>
        <v>0</v>
      </c>
      <c r="CN303" s="230">
        <f>SUMIF(MAG!$G$121:$M$121,CN$178,MAG!$AM10:$AS10)+SUMIF($CS$178:$CV$178,CN$178,$CS303:$CV303)</f>
        <v>0</v>
      </c>
      <c r="CO303" s="230">
        <f>SUMIF(MAG!$G$121:$M$121,CO$178,MAG!$AM10:$AS10)+SUMIF($CS$178:$CV$178,CO$178,$CS303:$CV303)</f>
        <v>0</v>
      </c>
      <c r="CP303" s="230">
        <f>SUMIF(MAG!$G$121:$M$121,CP$178,MAG!$AM10:$AS10)+SUMIF($CS$178:$CV$178,CP$178,$CS303:$CV303)</f>
        <v>0</v>
      </c>
      <c r="CQ303" s="231">
        <f>SUMIF(MAG!$G$121:$M$121,CQ$178,MAG!$AM10:$AS10)+SUMIF($CS$178:$CV$178,CQ$178,$CS303:$CV303)</f>
        <v>0</v>
      </c>
      <c r="CR303" s="521">
        <f>MAG!AU10</f>
        <v>0</v>
      </c>
      <c r="CS303" s="228">
        <f>MAG!AV10</f>
        <v>0</v>
      </c>
      <c r="CT303" s="229">
        <f>MAG!AW10</f>
        <v>0</v>
      </c>
      <c r="CU303" s="230">
        <f>MAG!AX10</f>
        <v>0</v>
      </c>
      <c r="CV303" s="231">
        <f>MAG!AY10</f>
        <v>0</v>
      </c>
      <c r="CW303" s="521">
        <f>SUM(MAG!AU10:AY10)</f>
        <v>0</v>
      </c>
      <c r="CX303" s="521">
        <f>MAG!AK10</f>
        <v>0</v>
      </c>
      <c r="CY303" s="2"/>
    </row>
    <row r="304" spans="1:103" ht="14.25" hidden="1" customHeight="1" x14ac:dyDescent="0.2">
      <c r="A304" s="2"/>
      <c r="B304" s="105">
        <f t="shared" si="56"/>
        <v>45416</v>
      </c>
      <c r="C304" s="146">
        <f>IF(AND(E304&gt;(E$561-1),E304&lt;(I$561+1)),W$551,IF(ISERROR(HLOOKUP(E304,$E$554:$L$554,1,FALSE)),HLOOKUP(WEEKDAY(E304,2),IMPOSTAZIONI!$C$52:$P$57,6,FALSE),$W$550))</f>
        <v>0</v>
      </c>
      <c r="D304" s="71" t="str">
        <f t="shared" si="57"/>
        <v/>
      </c>
      <c r="E304" s="2258">
        <f t="shared" si="62"/>
        <v>45416</v>
      </c>
      <c r="F304" s="2259"/>
      <c r="G304" s="2228" t="str">
        <f>MAG!E11</f>
        <v xml:space="preserve">disattivato  </v>
      </c>
      <c r="H304" s="2229"/>
      <c r="I304" s="2230"/>
      <c r="J304" s="262" t="str">
        <f t="shared" si="47"/>
        <v/>
      </c>
      <c r="K304" s="263"/>
      <c r="L304" s="2217">
        <f t="shared" si="63"/>
        <v>18</v>
      </c>
      <c r="M304" s="2218"/>
      <c r="N304" s="261"/>
      <c r="O304" s="261"/>
      <c r="P304" s="261"/>
      <c r="Q304" s="2219">
        <f t="shared" si="58"/>
        <v>45416</v>
      </c>
      <c r="R304" s="2219"/>
      <c r="S304" s="261"/>
      <c r="T304" s="1173">
        <f t="shared" si="48"/>
        <v>1</v>
      </c>
      <c r="U304" s="261"/>
      <c r="V304" s="261"/>
      <c r="W304" s="261"/>
      <c r="X304" s="261"/>
      <c r="Y304" s="261"/>
      <c r="Z304" s="261"/>
      <c r="AA304" s="261"/>
      <c r="AB304" s="261"/>
      <c r="AC304" s="261"/>
      <c r="AD304" s="261"/>
      <c r="AE304" s="261"/>
      <c r="AF304" s="261"/>
      <c r="AG304" s="1173">
        <f t="shared" si="59"/>
        <v>0</v>
      </c>
      <c r="AH304" s="61" t="str">
        <f t="shared" si="60"/>
        <v/>
      </c>
      <c r="AI304" s="89" t="e">
        <f t="shared" si="61"/>
        <v>#N/A</v>
      </c>
      <c r="AJ304" s="2"/>
      <c r="AK304" s="61">
        <f>IF(G304=G$547,0,IF(OR(G304&lt;&gt;0,CH304&lt;&gt;0,C304="L"),COUNTIF(AK$180:AK303,"&gt;0")+1,0))</f>
        <v>0</v>
      </c>
      <c r="AL304" s="61" t="str">
        <f t="shared" si="49"/>
        <v/>
      </c>
      <c r="AM304" s="61" t="e">
        <f t="shared" si="50"/>
        <v>#N/A</v>
      </c>
      <c r="AN304" s="89" t="e">
        <f t="shared" si="51"/>
        <v>#N/A</v>
      </c>
      <c r="AO304" s="230">
        <f>SUM(MAG!X11:AD11)-BD304+AY304</f>
        <v>0</v>
      </c>
      <c r="AP304" s="228">
        <f>SUMIF(MAG!$G$121:$M$121,AP$178,MAG!$P11:$V11)+SUMIF($AZ$178:$BC$178,AP$178,$AZ304:$BC304)</f>
        <v>0</v>
      </c>
      <c r="AQ304" s="229">
        <f>SUMIF(MAG!$G$121:$M$121,AQ$178,MAG!$P11:$V11)+SUMIF($AZ$178:$BC$178,AQ$178,$AZ304:$BC304)</f>
        <v>0</v>
      </c>
      <c r="AR304" s="230">
        <f>SUMIF(MAG!$G$121:$M$121,AR$178,MAG!$P11:$V11)+SUMIF($AZ$178:$BC$178,AR$178,$AZ304:$BC304)</f>
        <v>0</v>
      </c>
      <c r="AS304" s="230">
        <f>SUMIF(MAG!$G$121:$M$121,AS$178,MAG!$P11:$V11)+SUMIF($AZ$178:$BC$178,AS$178,$AZ304:$BC304)</f>
        <v>0</v>
      </c>
      <c r="AT304" s="230">
        <f>SUMIF(MAG!$G$121:$M$121,AT$178,MAG!$P11:$V11)+SUMIF($AZ$178:$BC$178,AT$178,$AZ304:$BC304)</f>
        <v>0</v>
      </c>
      <c r="AU304" s="230">
        <f>SUMIF(MAG!$G$121:$M$121,AU$178,MAG!$P11:$V11)+SUMIF($AZ$178:$BC$178,AU$178,$AZ304:$BC304)</f>
        <v>0</v>
      </c>
      <c r="AV304" s="230">
        <f>SUMIF(MAG!$G$121:$M$121,AV$178,MAG!$P11:$V11)+SUMIF($AZ$178:$BC$178,AV$178,$AZ304:$BC304)</f>
        <v>0</v>
      </c>
      <c r="AW304" s="230">
        <f>SUMIF(MAG!$G$121:$M$121,AW$178,MAG!$P11:$V11)+SUMIF($AZ$178:$BC$178,AW$178,$AZ304:$BC304)</f>
        <v>0</v>
      </c>
      <c r="AX304" s="231">
        <f>SUMIF(MAG!$G$121:$M$121,AX$178,MAG!$P11:$V11)+SUMIF($AZ$178:$BC$178,AX$178,$AZ304:$BC304)</f>
        <v>0</v>
      </c>
      <c r="AY304" s="232">
        <f>MAG!AF11</f>
        <v>0</v>
      </c>
      <c r="AZ304" s="228">
        <f>MAG!AG11</f>
        <v>0</v>
      </c>
      <c r="BA304" s="229">
        <f>MAG!AH11</f>
        <v>0</v>
      </c>
      <c r="BB304" s="230">
        <f>MAG!AI11</f>
        <v>0</v>
      </c>
      <c r="BC304" s="231">
        <f>MAG!AJ11</f>
        <v>0</v>
      </c>
      <c r="BD304" s="228">
        <f>SUMIF(MAG!$G$120:$M$120,"&gt;0",MAG!$X11:$AD11)</f>
        <v>0</v>
      </c>
      <c r="BE304" s="696"/>
      <c r="BF304" s="228">
        <f>SUMIF(MAG!$BA$6:$BG$6,BF$177,MAG!$BA11:$BG11)</f>
        <v>0</v>
      </c>
      <c r="BG304" s="229">
        <f>SUMIF(MAG!$BA$6:$BG$6,BG$177,MAG!$BA11:$BG11)</f>
        <v>0</v>
      </c>
      <c r="BH304" s="229">
        <f>SUMIF(MAG!$BA$6:$BG$6,BH$177,MAG!$BA11:$BG11)</f>
        <v>0</v>
      </c>
      <c r="BI304" s="229">
        <f>SUMIF(MAG!$BA$6:$BG$6,BI$177,MAG!$BA11:$BG11)</f>
        <v>0</v>
      </c>
      <c r="BJ304" s="229">
        <f>SUMIF(MAG!$BA$6:$BG$6,BJ$177,MAG!$BA11:$BG11)</f>
        <v>0</v>
      </c>
      <c r="BK304" s="229">
        <f>SUMIF(MAG!$BA$6:$BG$6,BK$177,MAG!$BA11:$BG11)</f>
        <v>0</v>
      </c>
      <c r="BL304" s="229">
        <f>SUMIF(MAG!$BA$6:$BG$6,BL$177,MAG!$BA11:$BG11)</f>
        <v>0</v>
      </c>
      <c r="BM304" s="229">
        <f>SUMIF(MAG!$BA$6:$BG$6,BM$177,MAG!$BA11:$BG11)</f>
        <v>0</v>
      </c>
      <c r="BN304" s="229">
        <f>SUMIF(MAG!$BA$6:$BG$6,BN$177,MAG!$BA11:$BG11)</f>
        <v>0</v>
      </c>
      <c r="BO304" s="231">
        <f>SUMIF(MAG!$BA$6:$BG$6,BO$177,MAG!$BA11:$BG11)</f>
        <v>0</v>
      </c>
      <c r="BP304" s="231">
        <f>SUMIF(MAG!$BA$6:$BG$6,BP$177,MAG!$BA11:$BG11)</f>
        <v>0</v>
      </c>
      <c r="BQ304" s="252"/>
      <c r="BR304" s="228">
        <f>SUMIF(MAG!$BA$5:$BG$5,BR$177,MAG!$BA11:$BG11)</f>
        <v>0</v>
      </c>
      <c r="BS304" s="229">
        <f>SUMIF(MAG!$BA$5:$BG$5,BS$177,MAG!$BA11:$BG11)</f>
        <v>0</v>
      </c>
      <c r="BT304" s="229">
        <f>SUMIF(MAG!$BA$5:$BG$5,BT$177,MAG!$BA11:$BG11)</f>
        <v>0</v>
      </c>
      <c r="BU304" s="229">
        <f>SUMIF(MAG!$BA$5:$BG$5,BU$177,MAG!$BA11:$BG11)</f>
        <v>0</v>
      </c>
      <c r="BV304" s="229">
        <f>SUMIF(MAG!$BA$5:$BG$5,BV$177,MAG!$BA11:$BG11)</f>
        <v>0</v>
      </c>
      <c r="BW304" s="229">
        <f>SUMIF(MAG!$BA$5:$BG$5,BW$177,MAG!$BA11:$BG11)</f>
        <v>0</v>
      </c>
      <c r="BX304" s="230">
        <f>SUMIF(MAG!$BA$5:$BG$5,BX$177,MAG!$BA11:$BG11)</f>
        <v>0</v>
      </c>
      <c r="BY304" s="998">
        <f>SUMIF(MAG!$BA$5:$BG$5,BY$177,MAG!$BA11:$BG11)</f>
        <v>0</v>
      </c>
      <c r="CB304" s="252"/>
      <c r="CC304" s="61" t="e">
        <f t="shared" si="52"/>
        <v>#N/A</v>
      </c>
      <c r="CD304" s="61">
        <f t="shared" si="53"/>
        <v>0</v>
      </c>
      <c r="CE304" s="105" t="str">
        <f t="shared" ref="CE304:CE367" si="64">IF(AL304="Y",E304,"")</f>
        <v/>
      </c>
      <c r="CF304" s="61" t="e">
        <f t="shared" si="54"/>
        <v>#N/A</v>
      </c>
      <c r="CG304" s="61" t="e">
        <f t="shared" si="55"/>
        <v>#N/A</v>
      </c>
      <c r="CH304" s="521">
        <f>MAG!AL11-CW304+CR304</f>
        <v>0</v>
      </c>
      <c r="CI304" s="228">
        <f>SUMIF(MAG!$G$121:$M$121,CI$178,MAG!$AM11:$AS11)+SUMIF($CS$178:$CV$178,CI$178,$CS304:$CV304)</f>
        <v>0</v>
      </c>
      <c r="CJ304" s="229">
        <f>SUMIF(MAG!$G$121:$M$121,CJ$178,MAG!$AM11:$AS11)+SUMIF($CS$178:$CV$178,CJ$178,$CS304:$CV304)</f>
        <v>0</v>
      </c>
      <c r="CK304" s="230">
        <f>SUMIF(MAG!$G$121:$M$121,CK$178,MAG!$AM11:$AS11)+SUMIF($CS$178:$CV$178,CK$178,$CS304:$CV304)</f>
        <v>0</v>
      </c>
      <c r="CL304" s="230">
        <f>SUMIF(MAG!$G$121:$M$121,CL$178,MAG!$AM11:$AS11)+SUMIF($CS$178:$CV$178,CL$178,$CS304:$CV304)</f>
        <v>0</v>
      </c>
      <c r="CM304" s="230">
        <f>SUMIF(MAG!$G$121:$M$121,CM$178,MAG!$AM11:$AS11)+SUMIF($CS$178:$CV$178,CM$178,$CS304:$CV304)</f>
        <v>0</v>
      </c>
      <c r="CN304" s="230">
        <f>SUMIF(MAG!$G$121:$M$121,CN$178,MAG!$AM11:$AS11)+SUMIF($CS$178:$CV$178,CN$178,$CS304:$CV304)</f>
        <v>0</v>
      </c>
      <c r="CO304" s="230">
        <f>SUMIF(MAG!$G$121:$M$121,CO$178,MAG!$AM11:$AS11)+SUMIF($CS$178:$CV$178,CO$178,$CS304:$CV304)</f>
        <v>0</v>
      </c>
      <c r="CP304" s="230">
        <f>SUMIF(MAG!$G$121:$M$121,CP$178,MAG!$AM11:$AS11)+SUMIF($CS$178:$CV$178,CP$178,$CS304:$CV304)</f>
        <v>0</v>
      </c>
      <c r="CQ304" s="231">
        <f>SUMIF(MAG!$G$121:$M$121,CQ$178,MAG!$AM11:$AS11)+SUMIF($CS$178:$CV$178,CQ$178,$CS304:$CV304)</f>
        <v>0</v>
      </c>
      <c r="CR304" s="521">
        <f>MAG!AU11</f>
        <v>0</v>
      </c>
      <c r="CS304" s="228">
        <f>MAG!AV11</f>
        <v>0</v>
      </c>
      <c r="CT304" s="229">
        <f>MAG!AW11</f>
        <v>0</v>
      </c>
      <c r="CU304" s="230">
        <f>MAG!AX11</f>
        <v>0</v>
      </c>
      <c r="CV304" s="231">
        <f>MAG!AY11</f>
        <v>0</v>
      </c>
      <c r="CW304" s="521">
        <f>SUM(MAG!AU11:AY11)</f>
        <v>0</v>
      </c>
      <c r="CX304" s="521">
        <f>MAG!AK11</f>
        <v>0</v>
      </c>
      <c r="CY304" s="2"/>
    </row>
    <row r="305" spans="1:103" ht="14.25" hidden="1" customHeight="1" x14ac:dyDescent="0.2">
      <c r="A305" s="2"/>
      <c r="B305" s="105">
        <f t="shared" si="56"/>
        <v>45417</v>
      </c>
      <c r="C305" s="146">
        <f>IF(AND(E305&gt;(E$561-1),E305&lt;(I$561+1)),W$551,IF(ISERROR(HLOOKUP(E305,$E$554:$L$554,1,FALSE)),HLOOKUP(WEEKDAY(E305,2),IMPOSTAZIONI!$C$52:$P$57,6,FALSE),$W$550))</f>
        <v>0</v>
      </c>
      <c r="D305" s="71" t="str">
        <f t="shared" si="57"/>
        <v/>
      </c>
      <c r="E305" s="2258">
        <f t="shared" si="62"/>
        <v>45417</v>
      </c>
      <c r="F305" s="2259"/>
      <c r="G305" s="2228" t="str">
        <f>MAG!E12</f>
        <v xml:space="preserve">disattivato  </v>
      </c>
      <c r="H305" s="2229"/>
      <c r="I305" s="2230"/>
      <c r="J305" s="262" t="str">
        <f t="shared" si="47"/>
        <v/>
      </c>
      <c r="K305" s="263"/>
      <c r="L305" s="2220">
        <f t="shared" si="63"/>
        <v>18</v>
      </c>
      <c r="M305" s="2221"/>
      <c r="N305" s="261"/>
      <c r="O305" s="261"/>
      <c r="P305" s="261"/>
      <c r="Q305" s="2219">
        <f t="shared" si="58"/>
        <v>45417</v>
      </c>
      <c r="R305" s="2219"/>
      <c r="S305" s="261"/>
      <c r="T305" s="1173">
        <f t="shared" si="48"/>
        <v>1</v>
      </c>
      <c r="U305" s="261"/>
      <c r="V305" s="261"/>
      <c r="W305" s="261"/>
      <c r="X305" s="261"/>
      <c r="Y305" s="261"/>
      <c r="Z305" s="261"/>
      <c r="AA305" s="261"/>
      <c r="AB305" s="261"/>
      <c r="AC305" s="261"/>
      <c r="AD305" s="261"/>
      <c r="AE305" s="261"/>
      <c r="AF305" s="261"/>
      <c r="AG305" s="1173">
        <f t="shared" si="59"/>
        <v>0</v>
      </c>
      <c r="AH305" s="61" t="str">
        <f t="shared" si="60"/>
        <v/>
      </c>
      <c r="AI305" s="89" t="e">
        <f t="shared" si="61"/>
        <v>#N/A</v>
      </c>
      <c r="AJ305" s="2"/>
      <c r="AK305" s="61">
        <f>IF(G305=G$547,0,IF(OR(G305&lt;&gt;0,CH305&lt;&gt;0,C305="L"),COUNTIF(AK$180:AK304,"&gt;0")+1,0))</f>
        <v>0</v>
      </c>
      <c r="AL305" s="61" t="str">
        <f t="shared" si="49"/>
        <v/>
      </c>
      <c r="AM305" s="61" t="e">
        <f t="shared" si="50"/>
        <v>#N/A</v>
      </c>
      <c r="AN305" s="89" t="e">
        <f t="shared" si="51"/>
        <v>#N/A</v>
      </c>
      <c r="AO305" s="230">
        <f>SUM(MAG!X12:AD12)-BD305+AY305</f>
        <v>0</v>
      </c>
      <c r="AP305" s="228">
        <f>SUMIF(MAG!$G$121:$M$121,AP$178,MAG!$P12:$V12)+SUMIF($AZ$178:$BC$178,AP$178,$AZ305:$BC305)</f>
        <v>0</v>
      </c>
      <c r="AQ305" s="229">
        <f>SUMIF(MAG!$G$121:$M$121,AQ$178,MAG!$P12:$V12)+SUMIF($AZ$178:$BC$178,AQ$178,$AZ305:$BC305)</f>
        <v>0</v>
      </c>
      <c r="AR305" s="230">
        <f>SUMIF(MAG!$G$121:$M$121,AR$178,MAG!$P12:$V12)+SUMIF($AZ$178:$BC$178,AR$178,$AZ305:$BC305)</f>
        <v>0</v>
      </c>
      <c r="AS305" s="230">
        <f>SUMIF(MAG!$G$121:$M$121,AS$178,MAG!$P12:$V12)+SUMIF($AZ$178:$BC$178,AS$178,$AZ305:$BC305)</f>
        <v>0</v>
      </c>
      <c r="AT305" s="230">
        <f>SUMIF(MAG!$G$121:$M$121,AT$178,MAG!$P12:$V12)+SUMIF($AZ$178:$BC$178,AT$178,$AZ305:$BC305)</f>
        <v>0</v>
      </c>
      <c r="AU305" s="230">
        <f>SUMIF(MAG!$G$121:$M$121,AU$178,MAG!$P12:$V12)+SUMIF($AZ$178:$BC$178,AU$178,$AZ305:$BC305)</f>
        <v>0</v>
      </c>
      <c r="AV305" s="230">
        <f>SUMIF(MAG!$G$121:$M$121,AV$178,MAG!$P12:$V12)+SUMIF($AZ$178:$BC$178,AV$178,$AZ305:$BC305)</f>
        <v>0</v>
      </c>
      <c r="AW305" s="230">
        <f>SUMIF(MAG!$G$121:$M$121,AW$178,MAG!$P12:$V12)+SUMIF($AZ$178:$BC$178,AW$178,$AZ305:$BC305)</f>
        <v>0</v>
      </c>
      <c r="AX305" s="231">
        <f>SUMIF(MAG!$G$121:$M$121,AX$178,MAG!$P12:$V12)+SUMIF($AZ$178:$BC$178,AX$178,$AZ305:$BC305)</f>
        <v>0</v>
      </c>
      <c r="AY305" s="232">
        <f>MAG!AF12</f>
        <v>0</v>
      </c>
      <c r="AZ305" s="228">
        <f>MAG!AG12</f>
        <v>0</v>
      </c>
      <c r="BA305" s="229">
        <f>MAG!AH12</f>
        <v>0</v>
      </c>
      <c r="BB305" s="230">
        <f>MAG!AI12</f>
        <v>0</v>
      </c>
      <c r="BC305" s="231">
        <f>MAG!AJ12</f>
        <v>0</v>
      </c>
      <c r="BD305" s="228">
        <f>SUMIF(MAG!$G$120:$M$120,"&gt;0",MAG!$X12:$AD12)</f>
        <v>0</v>
      </c>
      <c r="BE305" s="696"/>
      <c r="BF305" s="228">
        <f>SUMIF(MAG!$BA$6:$BG$6,BF$177,MAG!$BA12:$BG12)</f>
        <v>0</v>
      </c>
      <c r="BG305" s="229">
        <f>SUMIF(MAG!$BA$6:$BG$6,BG$177,MAG!$BA12:$BG12)</f>
        <v>0</v>
      </c>
      <c r="BH305" s="229">
        <f>SUMIF(MAG!$BA$6:$BG$6,BH$177,MAG!$BA12:$BG12)</f>
        <v>0</v>
      </c>
      <c r="BI305" s="229">
        <f>SUMIF(MAG!$BA$6:$BG$6,BI$177,MAG!$BA12:$BG12)</f>
        <v>0</v>
      </c>
      <c r="BJ305" s="229">
        <f>SUMIF(MAG!$BA$6:$BG$6,BJ$177,MAG!$BA12:$BG12)</f>
        <v>0</v>
      </c>
      <c r="BK305" s="229">
        <f>SUMIF(MAG!$BA$6:$BG$6,BK$177,MAG!$BA12:$BG12)</f>
        <v>0</v>
      </c>
      <c r="BL305" s="229">
        <f>SUMIF(MAG!$BA$6:$BG$6,BL$177,MAG!$BA12:$BG12)</f>
        <v>0</v>
      </c>
      <c r="BM305" s="229">
        <f>SUMIF(MAG!$BA$6:$BG$6,BM$177,MAG!$BA12:$BG12)</f>
        <v>0</v>
      </c>
      <c r="BN305" s="229">
        <f>SUMIF(MAG!$BA$6:$BG$6,BN$177,MAG!$BA12:$BG12)</f>
        <v>0</v>
      </c>
      <c r="BO305" s="231">
        <f>SUMIF(MAG!$BA$6:$BG$6,BO$177,MAG!$BA12:$BG12)</f>
        <v>0</v>
      </c>
      <c r="BP305" s="231">
        <f>SUMIF(MAG!$BA$6:$BG$6,BP$177,MAG!$BA12:$BG12)</f>
        <v>0</v>
      </c>
      <c r="BQ305" s="252"/>
      <c r="BR305" s="228">
        <f>SUMIF(MAG!$BA$5:$BG$5,BR$177,MAG!$BA12:$BG12)</f>
        <v>0</v>
      </c>
      <c r="BS305" s="229">
        <f>SUMIF(MAG!$BA$5:$BG$5,BS$177,MAG!$BA12:$BG12)</f>
        <v>0</v>
      </c>
      <c r="BT305" s="229">
        <f>SUMIF(MAG!$BA$5:$BG$5,BT$177,MAG!$BA12:$BG12)</f>
        <v>0</v>
      </c>
      <c r="BU305" s="229">
        <f>SUMIF(MAG!$BA$5:$BG$5,BU$177,MAG!$BA12:$BG12)</f>
        <v>0</v>
      </c>
      <c r="BV305" s="229">
        <f>SUMIF(MAG!$BA$5:$BG$5,BV$177,MAG!$BA12:$BG12)</f>
        <v>0</v>
      </c>
      <c r="BW305" s="229">
        <f>SUMIF(MAG!$BA$5:$BG$5,BW$177,MAG!$BA12:$BG12)</f>
        <v>0</v>
      </c>
      <c r="BX305" s="230">
        <f>SUMIF(MAG!$BA$5:$BG$5,BX$177,MAG!$BA12:$BG12)</f>
        <v>0</v>
      </c>
      <c r="BY305" s="998">
        <f>SUMIF(MAG!$BA$5:$BG$5,BY$177,MAG!$BA12:$BG12)</f>
        <v>0</v>
      </c>
      <c r="CB305" s="252"/>
      <c r="CC305" s="61" t="e">
        <f t="shared" si="52"/>
        <v>#N/A</v>
      </c>
      <c r="CD305" s="61">
        <f t="shared" si="53"/>
        <v>0</v>
      </c>
      <c r="CE305" s="105" t="str">
        <f t="shared" si="64"/>
        <v/>
      </c>
      <c r="CF305" s="61" t="e">
        <f t="shared" si="54"/>
        <v>#N/A</v>
      </c>
      <c r="CG305" s="61" t="e">
        <f t="shared" si="55"/>
        <v>#N/A</v>
      </c>
      <c r="CH305" s="521">
        <f>MAG!AL12-CW305+CR305</f>
        <v>0</v>
      </c>
      <c r="CI305" s="228">
        <f>SUMIF(MAG!$G$121:$M$121,CI$178,MAG!$AM12:$AS12)+SUMIF($CS$178:$CV$178,CI$178,$CS305:$CV305)</f>
        <v>0</v>
      </c>
      <c r="CJ305" s="229">
        <f>SUMIF(MAG!$G$121:$M$121,CJ$178,MAG!$AM12:$AS12)+SUMIF($CS$178:$CV$178,CJ$178,$CS305:$CV305)</f>
        <v>0</v>
      </c>
      <c r="CK305" s="230">
        <f>SUMIF(MAG!$G$121:$M$121,CK$178,MAG!$AM12:$AS12)+SUMIF($CS$178:$CV$178,CK$178,$CS305:$CV305)</f>
        <v>0</v>
      </c>
      <c r="CL305" s="230">
        <f>SUMIF(MAG!$G$121:$M$121,CL$178,MAG!$AM12:$AS12)+SUMIF($CS$178:$CV$178,CL$178,$CS305:$CV305)</f>
        <v>0</v>
      </c>
      <c r="CM305" s="230">
        <f>SUMIF(MAG!$G$121:$M$121,CM$178,MAG!$AM12:$AS12)+SUMIF($CS$178:$CV$178,CM$178,$CS305:$CV305)</f>
        <v>0</v>
      </c>
      <c r="CN305" s="230">
        <f>SUMIF(MAG!$G$121:$M$121,CN$178,MAG!$AM12:$AS12)+SUMIF($CS$178:$CV$178,CN$178,$CS305:$CV305)</f>
        <v>0</v>
      </c>
      <c r="CO305" s="230">
        <f>SUMIF(MAG!$G$121:$M$121,CO$178,MAG!$AM12:$AS12)+SUMIF($CS$178:$CV$178,CO$178,$CS305:$CV305)</f>
        <v>0</v>
      </c>
      <c r="CP305" s="230">
        <f>SUMIF(MAG!$G$121:$M$121,CP$178,MAG!$AM12:$AS12)+SUMIF($CS$178:$CV$178,CP$178,$CS305:$CV305)</f>
        <v>0</v>
      </c>
      <c r="CQ305" s="231">
        <f>SUMIF(MAG!$G$121:$M$121,CQ$178,MAG!$AM12:$AS12)+SUMIF($CS$178:$CV$178,CQ$178,$CS305:$CV305)</f>
        <v>0</v>
      </c>
      <c r="CR305" s="521">
        <f>MAG!AU12</f>
        <v>0</v>
      </c>
      <c r="CS305" s="228">
        <f>MAG!AV12</f>
        <v>0</v>
      </c>
      <c r="CT305" s="229">
        <f>MAG!AW12</f>
        <v>0</v>
      </c>
      <c r="CU305" s="230">
        <f>MAG!AX12</f>
        <v>0</v>
      </c>
      <c r="CV305" s="231">
        <f>MAG!AY12</f>
        <v>0</v>
      </c>
      <c r="CW305" s="521">
        <f>SUM(MAG!AU12:AY12)</f>
        <v>0</v>
      </c>
      <c r="CX305" s="521">
        <f>MAG!AK12</f>
        <v>0</v>
      </c>
      <c r="CY305" s="2"/>
    </row>
    <row r="306" spans="1:103" ht="14.25" hidden="1" customHeight="1" x14ac:dyDescent="0.2">
      <c r="A306" s="2"/>
      <c r="B306" s="105">
        <f t="shared" si="56"/>
        <v>45418</v>
      </c>
      <c r="C306" s="146">
        <f>IF(AND(E306&gt;(E$561-1),E306&lt;(I$561+1)),W$551,IF(ISERROR(HLOOKUP(E306,$E$554:$L$554,1,FALSE)),HLOOKUP(WEEKDAY(E306,2),IMPOSTAZIONI!$C$52:$P$57,6,FALSE),$W$550))</f>
        <v>0</v>
      </c>
      <c r="D306" s="71" t="str">
        <f t="shared" si="57"/>
        <v/>
      </c>
      <c r="E306" s="2258">
        <f t="shared" si="62"/>
        <v>45418</v>
      </c>
      <c r="F306" s="2259"/>
      <c r="G306" s="2228" t="str">
        <f>MAG!E13</f>
        <v xml:space="preserve">disattivato  </v>
      </c>
      <c r="H306" s="2229"/>
      <c r="I306" s="2230"/>
      <c r="J306" s="262" t="str">
        <f t="shared" si="47"/>
        <v/>
      </c>
      <c r="K306" s="263"/>
      <c r="L306" s="2222">
        <f t="shared" si="63"/>
        <v>19</v>
      </c>
      <c r="M306" s="2223"/>
      <c r="N306" s="261"/>
      <c r="O306" s="261"/>
      <c r="P306" s="261"/>
      <c r="Q306" s="2219">
        <f t="shared" si="58"/>
        <v>45418</v>
      </c>
      <c r="R306" s="2219"/>
      <c r="S306" s="261"/>
      <c r="T306" s="1173">
        <f t="shared" si="48"/>
        <v>1</v>
      </c>
      <c r="U306" s="261"/>
      <c r="V306" s="261"/>
      <c r="W306" s="261"/>
      <c r="X306" s="261"/>
      <c r="Y306" s="261"/>
      <c r="Z306" s="261"/>
      <c r="AA306" s="261"/>
      <c r="AB306" s="261"/>
      <c r="AC306" s="261"/>
      <c r="AD306" s="261"/>
      <c r="AE306" s="261"/>
      <c r="AF306" s="261"/>
      <c r="AG306" s="1173">
        <f t="shared" si="59"/>
        <v>0</v>
      </c>
      <c r="AH306" s="61" t="str">
        <f t="shared" si="60"/>
        <v/>
      </c>
      <c r="AI306" s="89" t="e">
        <f t="shared" si="61"/>
        <v>#N/A</v>
      </c>
      <c r="AJ306" s="2"/>
      <c r="AK306" s="61">
        <f>IF(G306=G$547,0,IF(OR(G306&lt;&gt;0,CH306&lt;&gt;0,C306="L"),COUNTIF(AK$180:AK305,"&gt;0")+1,0))</f>
        <v>0</v>
      </c>
      <c r="AL306" s="61" t="str">
        <f t="shared" si="49"/>
        <v/>
      </c>
      <c r="AM306" s="61" t="e">
        <f t="shared" si="50"/>
        <v>#N/A</v>
      </c>
      <c r="AN306" s="89" t="e">
        <f t="shared" si="51"/>
        <v>#N/A</v>
      </c>
      <c r="AO306" s="230">
        <f>SUM(MAG!X13:AD13)-BD306+AY306</f>
        <v>0</v>
      </c>
      <c r="AP306" s="228">
        <f>SUMIF(MAG!$G$121:$M$121,AP$178,MAG!$P13:$V13)+SUMIF($AZ$178:$BC$178,AP$178,$AZ306:$BC306)</f>
        <v>0</v>
      </c>
      <c r="AQ306" s="229">
        <f>SUMIF(MAG!$G$121:$M$121,AQ$178,MAG!$P13:$V13)+SUMIF($AZ$178:$BC$178,AQ$178,$AZ306:$BC306)</f>
        <v>0</v>
      </c>
      <c r="AR306" s="230">
        <f>SUMIF(MAG!$G$121:$M$121,AR$178,MAG!$P13:$V13)+SUMIF($AZ$178:$BC$178,AR$178,$AZ306:$BC306)</f>
        <v>0</v>
      </c>
      <c r="AS306" s="230">
        <f>SUMIF(MAG!$G$121:$M$121,AS$178,MAG!$P13:$V13)+SUMIF($AZ$178:$BC$178,AS$178,$AZ306:$BC306)</f>
        <v>0</v>
      </c>
      <c r="AT306" s="230">
        <f>SUMIF(MAG!$G$121:$M$121,AT$178,MAG!$P13:$V13)+SUMIF($AZ$178:$BC$178,AT$178,$AZ306:$BC306)</f>
        <v>0</v>
      </c>
      <c r="AU306" s="230">
        <f>SUMIF(MAG!$G$121:$M$121,AU$178,MAG!$P13:$V13)+SUMIF($AZ$178:$BC$178,AU$178,$AZ306:$BC306)</f>
        <v>0</v>
      </c>
      <c r="AV306" s="230">
        <f>SUMIF(MAG!$G$121:$M$121,AV$178,MAG!$P13:$V13)+SUMIF($AZ$178:$BC$178,AV$178,$AZ306:$BC306)</f>
        <v>0</v>
      </c>
      <c r="AW306" s="230">
        <f>SUMIF(MAG!$G$121:$M$121,AW$178,MAG!$P13:$V13)+SUMIF($AZ$178:$BC$178,AW$178,$AZ306:$BC306)</f>
        <v>0</v>
      </c>
      <c r="AX306" s="231">
        <f>SUMIF(MAG!$G$121:$M$121,AX$178,MAG!$P13:$V13)+SUMIF($AZ$178:$BC$178,AX$178,$AZ306:$BC306)</f>
        <v>0</v>
      </c>
      <c r="AY306" s="232">
        <f>MAG!AF13</f>
        <v>0</v>
      </c>
      <c r="AZ306" s="228">
        <f>MAG!AG13</f>
        <v>0</v>
      </c>
      <c r="BA306" s="229">
        <f>MAG!AH13</f>
        <v>0</v>
      </c>
      <c r="BB306" s="230">
        <f>MAG!AI13</f>
        <v>0</v>
      </c>
      <c r="BC306" s="231">
        <f>MAG!AJ13</f>
        <v>0</v>
      </c>
      <c r="BD306" s="228">
        <f>SUMIF(MAG!$G$120:$M$120,"&gt;0",MAG!$X13:$AD13)</f>
        <v>0</v>
      </c>
      <c r="BE306" s="696"/>
      <c r="BF306" s="228">
        <f>SUMIF(MAG!$BA$6:$BG$6,BF$177,MAG!$BA13:$BG13)</f>
        <v>0</v>
      </c>
      <c r="BG306" s="229">
        <f>SUMIF(MAG!$BA$6:$BG$6,BG$177,MAG!$BA13:$BG13)</f>
        <v>0</v>
      </c>
      <c r="BH306" s="229">
        <f>SUMIF(MAG!$BA$6:$BG$6,BH$177,MAG!$BA13:$BG13)</f>
        <v>0</v>
      </c>
      <c r="BI306" s="229">
        <f>SUMIF(MAG!$BA$6:$BG$6,BI$177,MAG!$BA13:$BG13)</f>
        <v>0</v>
      </c>
      <c r="BJ306" s="229">
        <f>SUMIF(MAG!$BA$6:$BG$6,BJ$177,MAG!$BA13:$BG13)</f>
        <v>0</v>
      </c>
      <c r="BK306" s="229">
        <f>SUMIF(MAG!$BA$6:$BG$6,BK$177,MAG!$BA13:$BG13)</f>
        <v>0</v>
      </c>
      <c r="BL306" s="229">
        <f>SUMIF(MAG!$BA$6:$BG$6,BL$177,MAG!$BA13:$BG13)</f>
        <v>0</v>
      </c>
      <c r="BM306" s="229">
        <f>SUMIF(MAG!$BA$6:$BG$6,BM$177,MAG!$BA13:$BG13)</f>
        <v>0</v>
      </c>
      <c r="BN306" s="229">
        <f>SUMIF(MAG!$BA$6:$BG$6,BN$177,MAG!$BA13:$BG13)</f>
        <v>0</v>
      </c>
      <c r="BO306" s="231">
        <f>SUMIF(MAG!$BA$6:$BG$6,BO$177,MAG!$BA13:$BG13)</f>
        <v>0</v>
      </c>
      <c r="BP306" s="231">
        <f>SUMIF(MAG!$BA$6:$BG$6,BP$177,MAG!$BA13:$BG13)</f>
        <v>0</v>
      </c>
      <c r="BQ306" s="252"/>
      <c r="BR306" s="228">
        <f>SUMIF(MAG!$BA$5:$BG$5,BR$177,MAG!$BA13:$BG13)</f>
        <v>0</v>
      </c>
      <c r="BS306" s="229">
        <f>SUMIF(MAG!$BA$5:$BG$5,BS$177,MAG!$BA13:$BG13)</f>
        <v>0</v>
      </c>
      <c r="BT306" s="229">
        <f>SUMIF(MAG!$BA$5:$BG$5,BT$177,MAG!$BA13:$BG13)</f>
        <v>0</v>
      </c>
      <c r="BU306" s="229">
        <f>SUMIF(MAG!$BA$5:$BG$5,BU$177,MAG!$BA13:$BG13)</f>
        <v>0</v>
      </c>
      <c r="BV306" s="229">
        <f>SUMIF(MAG!$BA$5:$BG$5,BV$177,MAG!$BA13:$BG13)</f>
        <v>0</v>
      </c>
      <c r="BW306" s="229">
        <f>SUMIF(MAG!$BA$5:$BG$5,BW$177,MAG!$BA13:$BG13)</f>
        <v>0</v>
      </c>
      <c r="BX306" s="230">
        <f>SUMIF(MAG!$BA$5:$BG$5,BX$177,MAG!$BA13:$BG13)</f>
        <v>0</v>
      </c>
      <c r="BY306" s="998">
        <f>SUMIF(MAG!$BA$5:$BG$5,BY$177,MAG!$BA13:$BG13)</f>
        <v>0</v>
      </c>
      <c r="CB306" s="252"/>
      <c r="CC306" s="61" t="e">
        <f t="shared" si="52"/>
        <v>#N/A</v>
      </c>
      <c r="CD306" s="61">
        <f t="shared" si="53"/>
        <v>0</v>
      </c>
      <c r="CE306" s="105" t="str">
        <f t="shared" si="64"/>
        <v/>
      </c>
      <c r="CF306" s="61" t="e">
        <f t="shared" si="54"/>
        <v>#N/A</v>
      </c>
      <c r="CG306" s="61" t="e">
        <f t="shared" si="55"/>
        <v>#N/A</v>
      </c>
      <c r="CH306" s="521">
        <f>MAG!AL13-CW306+CR306</f>
        <v>0</v>
      </c>
      <c r="CI306" s="228">
        <f>SUMIF(MAG!$G$121:$M$121,CI$178,MAG!$AM13:$AS13)+SUMIF($CS$178:$CV$178,CI$178,$CS306:$CV306)</f>
        <v>0</v>
      </c>
      <c r="CJ306" s="229">
        <f>SUMIF(MAG!$G$121:$M$121,CJ$178,MAG!$AM13:$AS13)+SUMIF($CS$178:$CV$178,CJ$178,$CS306:$CV306)</f>
        <v>0</v>
      </c>
      <c r="CK306" s="230">
        <f>SUMIF(MAG!$G$121:$M$121,CK$178,MAG!$AM13:$AS13)+SUMIF($CS$178:$CV$178,CK$178,$CS306:$CV306)</f>
        <v>0</v>
      </c>
      <c r="CL306" s="230">
        <f>SUMIF(MAG!$G$121:$M$121,CL$178,MAG!$AM13:$AS13)+SUMIF($CS$178:$CV$178,CL$178,$CS306:$CV306)</f>
        <v>0</v>
      </c>
      <c r="CM306" s="230">
        <f>SUMIF(MAG!$G$121:$M$121,CM$178,MAG!$AM13:$AS13)+SUMIF($CS$178:$CV$178,CM$178,$CS306:$CV306)</f>
        <v>0</v>
      </c>
      <c r="CN306" s="230">
        <f>SUMIF(MAG!$G$121:$M$121,CN$178,MAG!$AM13:$AS13)+SUMIF($CS$178:$CV$178,CN$178,$CS306:$CV306)</f>
        <v>0</v>
      </c>
      <c r="CO306" s="230">
        <f>SUMIF(MAG!$G$121:$M$121,CO$178,MAG!$AM13:$AS13)+SUMIF($CS$178:$CV$178,CO$178,$CS306:$CV306)</f>
        <v>0</v>
      </c>
      <c r="CP306" s="230">
        <f>SUMIF(MAG!$G$121:$M$121,CP$178,MAG!$AM13:$AS13)+SUMIF($CS$178:$CV$178,CP$178,$CS306:$CV306)</f>
        <v>0</v>
      </c>
      <c r="CQ306" s="231">
        <f>SUMIF(MAG!$G$121:$M$121,CQ$178,MAG!$AM13:$AS13)+SUMIF($CS$178:$CV$178,CQ$178,$CS306:$CV306)</f>
        <v>0</v>
      </c>
      <c r="CR306" s="521">
        <f>MAG!AU13</f>
        <v>0</v>
      </c>
      <c r="CS306" s="228">
        <f>MAG!AV13</f>
        <v>0</v>
      </c>
      <c r="CT306" s="229">
        <f>MAG!AW13</f>
        <v>0</v>
      </c>
      <c r="CU306" s="230">
        <f>MAG!AX13</f>
        <v>0</v>
      </c>
      <c r="CV306" s="231">
        <f>MAG!AY13</f>
        <v>0</v>
      </c>
      <c r="CW306" s="521">
        <f>SUM(MAG!AU13:AY13)</f>
        <v>0</v>
      </c>
      <c r="CX306" s="521">
        <f>MAG!AK13</f>
        <v>0</v>
      </c>
      <c r="CY306" s="2"/>
    </row>
    <row r="307" spans="1:103" ht="14.25" hidden="1" customHeight="1" x14ac:dyDescent="0.2">
      <c r="A307" s="2"/>
      <c r="B307" s="105">
        <f t="shared" si="56"/>
        <v>45419</v>
      </c>
      <c r="C307" s="146">
        <f>IF(AND(E307&gt;(E$561-1),E307&lt;(I$561+1)),W$551,IF(ISERROR(HLOOKUP(E307,$E$554:$L$554,1,FALSE)),HLOOKUP(WEEKDAY(E307,2),IMPOSTAZIONI!$C$52:$P$57,6,FALSE),$W$550))</f>
        <v>0</v>
      </c>
      <c r="D307" s="71" t="str">
        <f t="shared" si="57"/>
        <v/>
      </c>
      <c r="E307" s="2258">
        <f t="shared" si="62"/>
        <v>45419</v>
      </c>
      <c r="F307" s="2259"/>
      <c r="G307" s="2228" t="str">
        <f>MAG!E14</f>
        <v xml:space="preserve">disattivato  </v>
      </c>
      <c r="H307" s="2229"/>
      <c r="I307" s="2230"/>
      <c r="J307" s="262" t="str">
        <f t="shared" si="47"/>
        <v/>
      </c>
      <c r="K307" s="263"/>
      <c r="L307" s="2217">
        <f t="shared" si="63"/>
        <v>19</v>
      </c>
      <c r="M307" s="2218"/>
      <c r="N307" s="261"/>
      <c r="O307" s="261"/>
      <c r="P307" s="261"/>
      <c r="Q307" s="2219">
        <f t="shared" si="58"/>
        <v>45419</v>
      </c>
      <c r="R307" s="2219"/>
      <c r="S307" s="261"/>
      <c r="T307" s="1173">
        <f t="shared" si="48"/>
        <v>1</v>
      </c>
      <c r="U307" s="261"/>
      <c r="V307" s="261"/>
      <c r="W307" s="261"/>
      <c r="X307" s="261"/>
      <c r="Y307" s="261"/>
      <c r="Z307" s="261"/>
      <c r="AA307" s="261"/>
      <c r="AB307" s="261"/>
      <c r="AC307" s="261"/>
      <c r="AD307" s="261"/>
      <c r="AE307" s="261"/>
      <c r="AF307" s="261"/>
      <c r="AG307" s="1173">
        <f t="shared" si="59"/>
        <v>0</v>
      </c>
      <c r="AH307" s="61" t="str">
        <f t="shared" si="60"/>
        <v/>
      </c>
      <c r="AI307" s="89" t="e">
        <f t="shared" si="61"/>
        <v>#N/A</v>
      </c>
      <c r="AJ307" s="2"/>
      <c r="AK307" s="61">
        <f>IF(G307=G$547,0,IF(OR(G307&lt;&gt;0,CH307&lt;&gt;0,C307="L"),COUNTIF(AK$180:AK306,"&gt;0")+1,0))</f>
        <v>0</v>
      </c>
      <c r="AL307" s="61" t="str">
        <f t="shared" si="49"/>
        <v/>
      </c>
      <c r="AM307" s="61" t="e">
        <f t="shared" si="50"/>
        <v>#N/A</v>
      </c>
      <c r="AN307" s="89" t="e">
        <f t="shared" si="51"/>
        <v>#N/A</v>
      </c>
      <c r="AO307" s="230">
        <f>SUM(MAG!X14:AD14)-BD307+AY307</f>
        <v>0</v>
      </c>
      <c r="AP307" s="228">
        <f>SUMIF(MAG!$G$121:$M$121,AP$178,MAG!$P14:$V14)+SUMIF($AZ$178:$BC$178,AP$178,$AZ307:$BC307)</f>
        <v>0</v>
      </c>
      <c r="AQ307" s="229">
        <f>SUMIF(MAG!$G$121:$M$121,AQ$178,MAG!$P14:$V14)+SUMIF($AZ$178:$BC$178,AQ$178,$AZ307:$BC307)</f>
        <v>0</v>
      </c>
      <c r="AR307" s="230">
        <f>SUMIF(MAG!$G$121:$M$121,AR$178,MAG!$P14:$V14)+SUMIF($AZ$178:$BC$178,AR$178,$AZ307:$BC307)</f>
        <v>0</v>
      </c>
      <c r="AS307" s="230">
        <f>SUMIF(MAG!$G$121:$M$121,AS$178,MAG!$P14:$V14)+SUMIF($AZ$178:$BC$178,AS$178,$AZ307:$BC307)</f>
        <v>0</v>
      </c>
      <c r="AT307" s="230">
        <f>SUMIF(MAG!$G$121:$M$121,AT$178,MAG!$P14:$V14)+SUMIF($AZ$178:$BC$178,AT$178,$AZ307:$BC307)</f>
        <v>0</v>
      </c>
      <c r="AU307" s="230">
        <f>SUMIF(MAG!$G$121:$M$121,AU$178,MAG!$P14:$V14)+SUMIF($AZ$178:$BC$178,AU$178,$AZ307:$BC307)</f>
        <v>0</v>
      </c>
      <c r="AV307" s="230">
        <f>SUMIF(MAG!$G$121:$M$121,AV$178,MAG!$P14:$V14)+SUMIF($AZ$178:$BC$178,AV$178,$AZ307:$BC307)</f>
        <v>0</v>
      </c>
      <c r="AW307" s="230">
        <f>SUMIF(MAG!$G$121:$M$121,AW$178,MAG!$P14:$V14)+SUMIF($AZ$178:$BC$178,AW$178,$AZ307:$BC307)</f>
        <v>0</v>
      </c>
      <c r="AX307" s="231">
        <f>SUMIF(MAG!$G$121:$M$121,AX$178,MAG!$P14:$V14)+SUMIF($AZ$178:$BC$178,AX$178,$AZ307:$BC307)</f>
        <v>0</v>
      </c>
      <c r="AY307" s="232">
        <f>MAG!AF14</f>
        <v>0</v>
      </c>
      <c r="AZ307" s="228">
        <f>MAG!AG14</f>
        <v>0</v>
      </c>
      <c r="BA307" s="229">
        <f>MAG!AH14</f>
        <v>0</v>
      </c>
      <c r="BB307" s="230">
        <f>MAG!AI14</f>
        <v>0</v>
      </c>
      <c r="BC307" s="231">
        <f>MAG!AJ14</f>
        <v>0</v>
      </c>
      <c r="BD307" s="228">
        <f>SUMIF(MAG!$G$120:$M$120,"&gt;0",MAG!$X14:$AD14)</f>
        <v>0</v>
      </c>
      <c r="BE307" s="696"/>
      <c r="BF307" s="228">
        <f>SUMIF(MAG!$BA$6:$BG$6,BF$177,MAG!$BA14:$BG14)</f>
        <v>0</v>
      </c>
      <c r="BG307" s="229">
        <f>SUMIF(MAG!$BA$6:$BG$6,BG$177,MAG!$BA14:$BG14)</f>
        <v>0</v>
      </c>
      <c r="BH307" s="229">
        <f>SUMIF(MAG!$BA$6:$BG$6,BH$177,MAG!$BA14:$BG14)</f>
        <v>0</v>
      </c>
      <c r="BI307" s="229">
        <f>SUMIF(MAG!$BA$6:$BG$6,BI$177,MAG!$BA14:$BG14)</f>
        <v>0</v>
      </c>
      <c r="BJ307" s="229">
        <f>SUMIF(MAG!$BA$6:$BG$6,BJ$177,MAG!$BA14:$BG14)</f>
        <v>0</v>
      </c>
      <c r="BK307" s="229">
        <f>SUMIF(MAG!$BA$6:$BG$6,BK$177,MAG!$BA14:$BG14)</f>
        <v>0</v>
      </c>
      <c r="BL307" s="229">
        <f>SUMIF(MAG!$BA$6:$BG$6,BL$177,MAG!$BA14:$BG14)</f>
        <v>0</v>
      </c>
      <c r="BM307" s="229">
        <f>SUMIF(MAG!$BA$6:$BG$6,BM$177,MAG!$BA14:$BG14)</f>
        <v>0</v>
      </c>
      <c r="BN307" s="229">
        <f>SUMIF(MAG!$BA$6:$BG$6,BN$177,MAG!$BA14:$BG14)</f>
        <v>0</v>
      </c>
      <c r="BO307" s="231">
        <f>SUMIF(MAG!$BA$6:$BG$6,BO$177,MAG!$BA14:$BG14)</f>
        <v>0</v>
      </c>
      <c r="BP307" s="231">
        <f>SUMIF(MAG!$BA$6:$BG$6,BP$177,MAG!$BA14:$BG14)</f>
        <v>0</v>
      </c>
      <c r="BQ307" s="252"/>
      <c r="BR307" s="228">
        <f>SUMIF(MAG!$BA$5:$BG$5,BR$177,MAG!$BA14:$BG14)</f>
        <v>0</v>
      </c>
      <c r="BS307" s="229">
        <f>SUMIF(MAG!$BA$5:$BG$5,BS$177,MAG!$BA14:$BG14)</f>
        <v>0</v>
      </c>
      <c r="BT307" s="229">
        <f>SUMIF(MAG!$BA$5:$BG$5,BT$177,MAG!$BA14:$BG14)</f>
        <v>0</v>
      </c>
      <c r="BU307" s="229">
        <f>SUMIF(MAG!$BA$5:$BG$5,BU$177,MAG!$BA14:$BG14)</f>
        <v>0</v>
      </c>
      <c r="BV307" s="229">
        <f>SUMIF(MAG!$BA$5:$BG$5,BV$177,MAG!$BA14:$BG14)</f>
        <v>0</v>
      </c>
      <c r="BW307" s="229">
        <f>SUMIF(MAG!$BA$5:$BG$5,BW$177,MAG!$BA14:$BG14)</f>
        <v>0</v>
      </c>
      <c r="BX307" s="230">
        <f>SUMIF(MAG!$BA$5:$BG$5,BX$177,MAG!$BA14:$BG14)</f>
        <v>0</v>
      </c>
      <c r="BY307" s="998">
        <f>SUMIF(MAG!$BA$5:$BG$5,BY$177,MAG!$BA14:$BG14)</f>
        <v>0</v>
      </c>
      <c r="CB307" s="252"/>
      <c r="CC307" s="61" t="e">
        <f t="shared" si="52"/>
        <v>#N/A</v>
      </c>
      <c r="CD307" s="61">
        <f t="shared" si="53"/>
        <v>0</v>
      </c>
      <c r="CE307" s="105" t="str">
        <f t="shared" si="64"/>
        <v/>
      </c>
      <c r="CF307" s="61" t="e">
        <f t="shared" si="54"/>
        <v>#N/A</v>
      </c>
      <c r="CG307" s="61" t="e">
        <f t="shared" si="55"/>
        <v>#N/A</v>
      </c>
      <c r="CH307" s="521">
        <f>MAG!AL14-CW307+CR307</f>
        <v>0</v>
      </c>
      <c r="CI307" s="228">
        <f>SUMIF(MAG!$G$121:$M$121,CI$178,MAG!$AM14:$AS14)+SUMIF($CS$178:$CV$178,CI$178,$CS307:$CV307)</f>
        <v>0</v>
      </c>
      <c r="CJ307" s="229">
        <f>SUMIF(MAG!$G$121:$M$121,CJ$178,MAG!$AM14:$AS14)+SUMIF($CS$178:$CV$178,CJ$178,$CS307:$CV307)</f>
        <v>0</v>
      </c>
      <c r="CK307" s="230">
        <f>SUMIF(MAG!$G$121:$M$121,CK$178,MAG!$AM14:$AS14)+SUMIF($CS$178:$CV$178,CK$178,$CS307:$CV307)</f>
        <v>0</v>
      </c>
      <c r="CL307" s="230">
        <f>SUMIF(MAG!$G$121:$M$121,CL$178,MAG!$AM14:$AS14)+SUMIF($CS$178:$CV$178,CL$178,$CS307:$CV307)</f>
        <v>0</v>
      </c>
      <c r="CM307" s="230">
        <f>SUMIF(MAG!$G$121:$M$121,CM$178,MAG!$AM14:$AS14)+SUMIF($CS$178:$CV$178,CM$178,$CS307:$CV307)</f>
        <v>0</v>
      </c>
      <c r="CN307" s="230">
        <f>SUMIF(MAG!$G$121:$M$121,CN$178,MAG!$AM14:$AS14)+SUMIF($CS$178:$CV$178,CN$178,$CS307:$CV307)</f>
        <v>0</v>
      </c>
      <c r="CO307" s="230">
        <f>SUMIF(MAG!$G$121:$M$121,CO$178,MAG!$AM14:$AS14)+SUMIF($CS$178:$CV$178,CO$178,$CS307:$CV307)</f>
        <v>0</v>
      </c>
      <c r="CP307" s="230">
        <f>SUMIF(MAG!$G$121:$M$121,CP$178,MAG!$AM14:$AS14)+SUMIF($CS$178:$CV$178,CP$178,$CS307:$CV307)</f>
        <v>0</v>
      </c>
      <c r="CQ307" s="231">
        <f>SUMIF(MAG!$G$121:$M$121,CQ$178,MAG!$AM14:$AS14)+SUMIF($CS$178:$CV$178,CQ$178,$CS307:$CV307)</f>
        <v>0</v>
      </c>
      <c r="CR307" s="521">
        <f>MAG!AU14</f>
        <v>0</v>
      </c>
      <c r="CS307" s="228">
        <f>MAG!AV14</f>
        <v>0</v>
      </c>
      <c r="CT307" s="229">
        <f>MAG!AW14</f>
        <v>0</v>
      </c>
      <c r="CU307" s="230">
        <f>MAG!AX14</f>
        <v>0</v>
      </c>
      <c r="CV307" s="231">
        <f>MAG!AY14</f>
        <v>0</v>
      </c>
      <c r="CW307" s="521">
        <f>SUM(MAG!AU14:AY14)</f>
        <v>0</v>
      </c>
      <c r="CX307" s="521">
        <f>MAG!AK14</f>
        <v>0</v>
      </c>
      <c r="CY307" s="2"/>
    </row>
    <row r="308" spans="1:103" ht="14.25" hidden="1" customHeight="1" x14ac:dyDescent="0.2">
      <c r="A308" s="2"/>
      <c r="B308" s="105">
        <f t="shared" si="56"/>
        <v>45420</v>
      </c>
      <c r="C308" s="146">
        <f>IF(AND(E308&gt;(E$561-1),E308&lt;(I$561+1)),W$551,IF(ISERROR(HLOOKUP(E308,$E$554:$L$554,1,FALSE)),HLOOKUP(WEEKDAY(E308,2),IMPOSTAZIONI!$C$52:$P$57,6,FALSE),$W$550))</f>
        <v>0</v>
      </c>
      <c r="D308" s="71" t="str">
        <f t="shared" si="57"/>
        <v/>
      </c>
      <c r="E308" s="2258">
        <f t="shared" si="62"/>
        <v>45420</v>
      </c>
      <c r="F308" s="2259"/>
      <c r="G308" s="2228" t="str">
        <f>MAG!E15</f>
        <v xml:space="preserve">disattivato  </v>
      </c>
      <c r="H308" s="2229"/>
      <c r="I308" s="2230"/>
      <c r="J308" s="262" t="str">
        <f t="shared" ref="J308:J371" si="65">IF(E308=T$5,"&gt;","")</f>
        <v/>
      </c>
      <c r="K308" s="263"/>
      <c r="L308" s="2217">
        <f t="shared" si="63"/>
        <v>19</v>
      </c>
      <c r="M308" s="2218"/>
      <c r="N308" s="261"/>
      <c r="O308" s="261"/>
      <c r="P308" s="261"/>
      <c r="Q308" s="2219">
        <f t="shared" si="58"/>
        <v>45420</v>
      </c>
      <c r="R308" s="2219"/>
      <c r="S308" s="261"/>
      <c r="T308" s="1173">
        <f t="shared" ref="T308:T371" si="66">IF(OR(G308&lt;&gt;0,CH308&lt;&gt;0),1,0)</f>
        <v>1</v>
      </c>
      <c r="U308" s="261"/>
      <c r="V308" s="261"/>
      <c r="W308" s="261"/>
      <c r="X308" s="261"/>
      <c r="Y308" s="261"/>
      <c r="Z308" s="261"/>
      <c r="AA308" s="261"/>
      <c r="AB308" s="261"/>
      <c r="AC308" s="261"/>
      <c r="AD308" s="261"/>
      <c r="AE308" s="261"/>
      <c r="AF308" s="261"/>
      <c r="AG308" s="1173">
        <f t="shared" si="59"/>
        <v>0</v>
      </c>
      <c r="AH308" s="61" t="str">
        <f t="shared" si="60"/>
        <v/>
      </c>
      <c r="AI308" s="89" t="e">
        <f t="shared" si="61"/>
        <v>#N/A</v>
      </c>
      <c r="AJ308" s="2"/>
      <c r="AK308" s="61">
        <f>IF(G308=G$547,0,IF(OR(G308&lt;&gt;0,CH308&lt;&gt;0,C308="L"),COUNTIF(AK$180:AK307,"&gt;0")+1,0))</f>
        <v>0</v>
      </c>
      <c r="AL308" s="61" t="str">
        <f t="shared" ref="AL308:AL371" si="67">IF(AL$177=5,AH308,IF(AK308=0,"",IF(AL$177=1,IF(AND(AK308&gt;($CD$549-1),AK308&lt;($CD$550+1)),"Y",""),IF(AL$177=2,IF(AL$176=MONTH(E308),"Y",""),IF(AL$177=3,"Y",IF(AL$177=4,IF(AND(E308&gt;(AO$177-1),E308&lt;(AO$178+1)),"Y",""),IF(AL$177=5,IF(AG308=1,"Y",""),"")))))))</f>
        <v/>
      </c>
      <c r="AM308" s="61" t="e">
        <f t="shared" ref="AM308:AM371" si="68">IF(AM$175=AM$174,CG308,IF(AND(AN$177&gt;0,AN$178&gt;0),IF(AND(E308&gt;(AN$177-1),E308&lt;(AN$178+1),OR(AO308&lt;&gt;0,AN308=AM$177)),"X",""),""))</f>
        <v>#N/A</v>
      </c>
      <c r="AN308" s="89" t="e">
        <f t="shared" ref="AN308:AN371" si="69">IF(AND(E308&gt;(AN$177-1),E308&lt;(AN$178+1)),C308,0)</f>
        <v>#N/A</v>
      </c>
      <c r="AO308" s="230">
        <f>SUM(MAG!X15:AD15)-BD308+AY308</f>
        <v>0</v>
      </c>
      <c r="AP308" s="228">
        <f>SUMIF(MAG!$G$121:$M$121,AP$178,MAG!$P15:$V15)+SUMIF($AZ$178:$BC$178,AP$178,$AZ308:$BC308)</f>
        <v>0</v>
      </c>
      <c r="AQ308" s="229">
        <f>SUMIF(MAG!$G$121:$M$121,AQ$178,MAG!$P15:$V15)+SUMIF($AZ$178:$BC$178,AQ$178,$AZ308:$BC308)</f>
        <v>0</v>
      </c>
      <c r="AR308" s="230">
        <f>SUMIF(MAG!$G$121:$M$121,AR$178,MAG!$P15:$V15)+SUMIF($AZ$178:$BC$178,AR$178,$AZ308:$BC308)</f>
        <v>0</v>
      </c>
      <c r="AS308" s="230">
        <f>SUMIF(MAG!$G$121:$M$121,AS$178,MAG!$P15:$V15)+SUMIF($AZ$178:$BC$178,AS$178,$AZ308:$BC308)</f>
        <v>0</v>
      </c>
      <c r="AT308" s="230">
        <f>SUMIF(MAG!$G$121:$M$121,AT$178,MAG!$P15:$V15)+SUMIF($AZ$178:$BC$178,AT$178,$AZ308:$BC308)</f>
        <v>0</v>
      </c>
      <c r="AU308" s="230">
        <f>SUMIF(MAG!$G$121:$M$121,AU$178,MAG!$P15:$V15)+SUMIF($AZ$178:$BC$178,AU$178,$AZ308:$BC308)</f>
        <v>0</v>
      </c>
      <c r="AV308" s="230">
        <f>SUMIF(MAG!$G$121:$M$121,AV$178,MAG!$P15:$V15)+SUMIF($AZ$178:$BC$178,AV$178,$AZ308:$BC308)</f>
        <v>0</v>
      </c>
      <c r="AW308" s="230">
        <f>SUMIF(MAG!$G$121:$M$121,AW$178,MAG!$P15:$V15)+SUMIF($AZ$178:$BC$178,AW$178,$AZ308:$BC308)</f>
        <v>0</v>
      </c>
      <c r="AX308" s="231">
        <f>SUMIF(MAG!$G$121:$M$121,AX$178,MAG!$P15:$V15)+SUMIF($AZ$178:$BC$178,AX$178,$AZ308:$BC308)</f>
        <v>0</v>
      </c>
      <c r="AY308" s="232">
        <f>MAG!AF15</f>
        <v>0</v>
      </c>
      <c r="AZ308" s="228">
        <f>MAG!AG15</f>
        <v>0</v>
      </c>
      <c r="BA308" s="229">
        <f>MAG!AH15</f>
        <v>0</v>
      </c>
      <c r="BB308" s="230">
        <f>MAG!AI15</f>
        <v>0</v>
      </c>
      <c r="BC308" s="231">
        <f>MAG!AJ15</f>
        <v>0</v>
      </c>
      <c r="BD308" s="228">
        <f>SUMIF(MAG!$G$120:$M$120,"&gt;0",MAG!$X15:$AD15)</f>
        <v>0</v>
      </c>
      <c r="BE308" s="696"/>
      <c r="BF308" s="228">
        <f>SUMIF(MAG!$BA$6:$BG$6,BF$177,MAG!$BA15:$BG15)</f>
        <v>0</v>
      </c>
      <c r="BG308" s="229">
        <f>SUMIF(MAG!$BA$6:$BG$6,BG$177,MAG!$BA15:$BG15)</f>
        <v>0</v>
      </c>
      <c r="BH308" s="229">
        <f>SUMIF(MAG!$BA$6:$BG$6,BH$177,MAG!$BA15:$BG15)</f>
        <v>0</v>
      </c>
      <c r="BI308" s="229">
        <f>SUMIF(MAG!$BA$6:$BG$6,BI$177,MAG!$BA15:$BG15)</f>
        <v>0</v>
      </c>
      <c r="BJ308" s="229">
        <f>SUMIF(MAG!$BA$6:$BG$6,BJ$177,MAG!$BA15:$BG15)</f>
        <v>0</v>
      </c>
      <c r="BK308" s="229">
        <f>SUMIF(MAG!$BA$6:$BG$6,BK$177,MAG!$BA15:$BG15)</f>
        <v>0</v>
      </c>
      <c r="BL308" s="229">
        <f>SUMIF(MAG!$BA$6:$BG$6,BL$177,MAG!$BA15:$BG15)</f>
        <v>0</v>
      </c>
      <c r="BM308" s="229">
        <f>SUMIF(MAG!$BA$6:$BG$6,BM$177,MAG!$BA15:$BG15)</f>
        <v>0</v>
      </c>
      <c r="BN308" s="229">
        <f>SUMIF(MAG!$BA$6:$BG$6,BN$177,MAG!$BA15:$BG15)</f>
        <v>0</v>
      </c>
      <c r="BO308" s="231">
        <f>SUMIF(MAG!$BA$6:$BG$6,BO$177,MAG!$BA15:$BG15)</f>
        <v>0</v>
      </c>
      <c r="BP308" s="231">
        <f>SUMIF(MAG!$BA$6:$BG$6,BP$177,MAG!$BA15:$BG15)</f>
        <v>0</v>
      </c>
      <c r="BQ308" s="252"/>
      <c r="BR308" s="228">
        <f>SUMIF(MAG!$BA$5:$BG$5,BR$177,MAG!$BA15:$BG15)</f>
        <v>0</v>
      </c>
      <c r="BS308" s="229">
        <f>SUMIF(MAG!$BA$5:$BG$5,BS$177,MAG!$BA15:$BG15)</f>
        <v>0</v>
      </c>
      <c r="BT308" s="229">
        <f>SUMIF(MAG!$BA$5:$BG$5,BT$177,MAG!$BA15:$BG15)</f>
        <v>0</v>
      </c>
      <c r="BU308" s="229">
        <f>SUMIF(MAG!$BA$5:$BG$5,BU$177,MAG!$BA15:$BG15)</f>
        <v>0</v>
      </c>
      <c r="BV308" s="229">
        <f>SUMIF(MAG!$BA$5:$BG$5,BV$177,MAG!$BA15:$BG15)</f>
        <v>0</v>
      </c>
      <c r="BW308" s="229">
        <f>SUMIF(MAG!$BA$5:$BG$5,BW$177,MAG!$BA15:$BG15)</f>
        <v>0</v>
      </c>
      <c r="BX308" s="230">
        <f>SUMIF(MAG!$BA$5:$BG$5,BX$177,MAG!$BA15:$BG15)</f>
        <v>0</v>
      </c>
      <c r="BY308" s="998">
        <f>SUMIF(MAG!$BA$5:$BG$5,BY$177,MAG!$BA15:$BG15)</f>
        <v>0</v>
      </c>
      <c r="CB308" s="252"/>
      <c r="CC308" s="61" t="e">
        <f t="shared" ref="CC308:CC371" si="70">IF(AM308="X",AK308,0)</f>
        <v>#N/A</v>
      </c>
      <c r="CD308" s="61">
        <f t="shared" ref="CD308:CD371" si="71">IF(AL308="Y",AK308,0)</f>
        <v>0</v>
      </c>
      <c r="CE308" s="105" t="str">
        <f t="shared" si="64"/>
        <v/>
      </c>
      <c r="CF308" s="61" t="e">
        <f t="shared" ref="CF308:CF371" si="72">IF(CG308="X",AK308,0)</f>
        <v>#N/A</v>
      </c>
      <c r="CG308" s="61" t="e">
        <f t="shared" ref="CG308:CG371" si="73">IF(AND(L308&gt;(AI$177-1),L308&lt;(AI$178+1),OR(AO308&lt;&gt;0,AI308=CG$177)),"X","")</f>
        <v>#N/A</v>
      </c>
      <c r="CH308" s="521">
        <f>MAG!AL15-CW308+CR308</f>
        <v>0</v>
      </c>
      <c r="CI308" s="228">
        <f>SUMIF(MAG!$G$121:$M$121,CI$178,MAG!$AM15:$AS15)+SUMIF($CS$178:$CV$178,CI$178,$CS308:$CV308)</f>
        <v>0</v>
      </c>
      <c r="CJ308" s="229">
        <f>SUMIF(MAG!$G$121:$M$121,CJ$178,MAG!$AM15:$AS15)+SUMIF($CS$178:$CV$178,CJ$178,$CS308:$CV308)</f>
        <v>0</v>
      </c>
      <c r="CK308" s="230">
        <f>SUMIF(MAG!$G$121:$M$121,CK$178,MAG!$AM15:$AS15)+SUMIF($CS$178:$CV$178,CK$178,$CS308:$CV308)</f>
        <v>0</v>
      </c>
      <c r="CL308" s="230">
        <f>SUMIF(MAG!$G$121:$M$121,CL$178,MAG!$AM15:$AS15)+SUMIF($CS$178:$CV$178,CL$178,$CS308:$CV308)</f>
        <v>0</v>
      </c>
      <c r="CM308" s="230">
        <f>SUMIF(MAG!$G$121:$M$121,CM$178,MAG!$AM15:$AS15)+SUMIF($CS$178:$CV$178,CM$178,$CS308:$CV308)</f>
        <v>0</v>
      </c>
      <c r="CN308" s="230">
        <f>SUMIF(MAG!$G$121:$M$121,CN$178,MAG!$AM15:$AS15)+SUMIF($CS$178:$CV$178,CN$178,$CS308:$CV308)</f>
        <v>0</v>
      </c>
      <c r="CO308" s="230">
        <f>SUMIF(MAG!$G$121:$M$121,CO$178,MAG!$AM15:$AS15)+SUMIF($CS$178:$CV$178,CO$178,$CS308:$CV308)</f>
        <v>0</v>
      </c>
      <c r="CP308" s="230">
        <f>SUMIF(MAG!$G$121:$M$121,CP$178,MAG!$AM15:$AS15)+SUMIF($CS$178:$CV$178,CP$178,$CS308:$CV308)</f>
        <v>0</v>
      </c>
      <c r="CQ308" s="231">
        <f>SUMIF(MAG!$G$121:$M$121,CQ$178,MAG!$AM15:$AS15)+SUMIF($CS$178:$CV$178,CQ$178,$CS308:$CV308)</f>
        <v>0</v>
      </c>
      <c r="CR308" s="521">
        <f>MAG!AU15</f>
        <v>0</v>
      </c>
      <c r="CS308" s="228">
        <f>MAG!AV15</f>
        <v>0</v>
      </c>
      <c r="CT308" s="229">
        <f>MAG!AW15</f>
        <v>0</v>
      </c>
      <c r="CU308" s="230">
        <f>MAG!AX15</f>
        <v>0</v>
      </c>
      <c r="CV308" s="231">
        <f>MAG!AY15</f>
        <v>0</v>
      </c>
      <c r="CW308" s="521">
        <f>SUM(MAG!AU15:AY15)</f>
        <v>0</v>
      </c>
      <c r="CX308" s="521">
        <f>MAG!AK15</f>
        <v>0</v>
      </c>
      <c r="CY308" s="2"/>
    </row>
    <row r="309" spans="1:103" ht="14.25" hidden="1" customHeight="1" x14ac:dyDescent="0.2">
      <c r="A309" s="2"/>
      <c r="B309" s="105">
        <f t="shared" ref="B309:B372" si="74">E309</f>
        <v>45421</v>
      </c>
      <c r="C309" s="146">
        <f>IF(AND(E309&gt;(E$561-1),E309&lt;(I$561+1)),W$551,IF(ISERROR(HLOOKUP(E309,$E$554:$L$554,1,FALSE)),HLOOKUP(WEEKDAY(E309,2),IMPOSTAZIONI!$C$52:$P$57,6,FALSE),$W$550))</f>
        <v>0</v>
      </c>
      <c r="D309" s="71" t="str">
        <f t="shared" ref="D309:D372" si="75">IF(C309="L",MONTH(E309),"")</f>
        <v/>
      </c>
      <c r="E309" s="2258">
        <f t="shared" si="62"/>
        <v>45421</v>
      </c>
      <c r="F309" s="2259"/>
      <c r="G309" s="2228" t="str">
        <f>MAG!E16</f>
        <v xml:space="preserve">disattivato  </v>
      </c>
      <c r="H309" s="2229"/>
      <c r="I309" s="2230"/>
      <c r="J309" s="262" t="str">
        <f t="shared" si="65"/>
        <v/>
      </c>
      <c r="K309" s="263"/>
      <c r="L309" s="2217">
        <f t="shared" si="63"/>
        <v>19</v>
      </c>
      <c r="M309" s="2218"/>
      <c r="N309" s="261"/>
      <c r="O309" s="261"/>
      <c r="P309" s="261"/>
      <c r="Q309" s="2219">
        <f t="shared" ref="Q309:Q372" si="76">E309</f>
        <v>45421</v>
      </c>
      <c r="R309" s="2219"/>
      <c r="S309" s="261"/>
      <c r="T309" s="1173">
        <f t="shared" si="66"/>
        <v>1</v>
      </c>
      <c r="U309" s="261"/>
      <c r="V309" s="261"/>
      <c r="W309" s="261"/>
      <c r="X309" s="261"/>
      <c r="Y309" s="261"/>
      <c r="Z309" s="261"/>
      <c r="AA309" s="261"/>
      <c r="AB309" s="261"/>
      <c r="AC309" s="261"/>
      <c r="AD309" s="261"/>
      <c r="AE309" s="261"/>
      <c r="AF309" s="261"/>
      <c r="AG309" s="1173">
        <f t="shared" ref="AG309:AG372" si="77">IF(AND(L309&gt;(AG$176-1),L309&lt;(AG$177+1)),1,0)</f>
        <v>0</v>
      </c>
      <c r="AH309" s="61" t="str">
        <f t="shared" ref="AH309:AH372" si="78">IF(AK309=0,"",IF(AH$177=5,IF(AND(L309&gt;(AG$176-1),L309&lt;(AG$177+1)),"Y",""),""))</f>
        <v/>
      </c>
      <c r="AI309" s="89" t="e">
        <f t="shared" ref="AI309:AI372" si="79">IF(AND($L309&gt;(AI$177-1),$L309&lt;(AI$178+1)),$C309,0)</f>
        <v>#N/A</v>
      </c>
      <c r="AJ309" s="2"/>
      <c r="AK309" s="61">
        <f>IF(G309=G$547,0,IF(OR(G309&lt;&gt;0,CH309&lt;&gt;0,C309="L"),COUNTIF(AK$180:AK308,"&gt;0")+1,0))</f>
        <v>0</v>
      </c>
      <c r="AL309" s="61" t="str">
        <f t="shared" si="67"/>
        <v/>
      </c>
      <c r="AM309" s="61" t="e">
        <f t="shared" si="68"/>
        <v>#N/A</v>
      </c>
      <c r="AN309" s="89" t="e">
        <f t="shared" si="69"/>
        <v>#N/A</v>
      </c>
      <c r="AO309" s="230">
        <f>SUM(MAG!X16:AD16)-BD309+AY309</f>
        <v>0</v>
      </c>
      <c r="AP309" s="228">
        <f>SUMIF(MAG!$G$121:$M$121,AP$178,MAG!$P16:$V16)+SUMIF($AZ$178:$BC$178,AP$178,$AZ309:$BC309)</f>
        <v>0</v>
      </c>
      <c r="AQ309" s="229">
        <f>SUMIF(MAG!$G$121:$M$121,AQ$178,MAG!$P16:$V16)+SUMIF($AZ$178:$BC$178,AQ$178,$AZ309:$BC309)</f>
        <v>0</v>
      </c>
      <c r="AR309" s="230">
        <f>SUMIF(MAG!$G$121:$M$121,AR$178,MAG!$P16:$V16)+SUMIF($AZ$178:$BC$178,AR$178,$AZ309:$BC309)</f>
        <v>0</v>
      </c>
      <c r="AS309" s="230">
        <f>SUMIF(MAG!$G$121:$M$121,AS$178,MAG!$P16:$V16)+SUMIF($AZ$178:$BC$178,AS$178,$AZ309:$BC309)</f>
        <v>0</v>
      </c>
      <c r="AT309" s="230">
        <f>SUMIF(MAG!$G$121:$M$121,AT$178,MAG!$P16:$V16)+SUMIF($AZ$178:$BC$178,AT$178,$AZ309:$BC309)</f>
        <v>0</v>
      </c>
      <c r="AU309" s="230">
        <f>SUMIF(MAG!$G$121:$M$121,AU$178,MAG!$P16:$V16)+SUMIF($AZ$178:$BC$178,AU$178,$AZ309:$BC309)</f>
        <v>0</v>
      </c>
      <c r="AV309" s="230">
        <f>SUMIF(MAG!$G$121:$M$121,AV$178,MAG!$P16:$V16)+SUMIF($AZ$178:$BC$178,AV$178,$AZ309:$BC309)</f>
        <v>0</v>
      </c>
      <c r="AW309" s="230">
        <f>SUMIF(MAG!$G$121:$M$121,AW$178,MAG!$P16:$V16)+SUMIF($AZ$178:$BC$178,AW$178,$AZ309:$BC309)</f>
        <v>0</v>
      </c>
      <c r="AX309" s="231">
        <f>SUMIF(MAG!$G$121:$M$121,AX$178,MAG!$P16:$V16)+SUMIF($AZ$178:$BC$178,AX$178,$AZ309:$BC309)</f>
        <v>0</v>
      </c>
      <c r="AY309" s="232">
        <f>MAG!AF16</f>
        <v>0</v>
      </c>
      <c r="AZ309" s="228">
        <f>MAG!AG16</f>
        <v>0</v>
      </c>
      <c r="BA309" s="229">
        <f>MAG!AH16</f>
        <v>0</v>
      </c>
      <c r="BB309" s="230">
        <f>MAG!AI16</f>
        <v>0</v>
      </c>
      <c r="BC309" s="231">
        <f>MAG!AJ16</f>
        <v>0</v>
      </c>
      <c r="BD309" s="228">
        <f>SUMIF(MAG!$G$120:$M$120,"&gt;0",MAG!$X16:$AD16)</f>
        <v>0</v>
      </c>
      <c r="BE309" s="696"/>
      <c r="BF309" s="228">
        <f>SUMIF(MAG!$BA$6:$BG$6,BF$177,MAG!$BA16:$BG16)</f>
        <v>0</v>
      </c>
      <c r="BG309" s="229">
        <f>SUMIF(MAG!$BA$6:$BG$6,BG$177,MAG!$BA16:$BG16)</f>
        <v>0</v>
      </c>
      <c r="BH309" s="229">
        <f>SUMIF(MAG!$BA$6:$BG$6,BH$177,MAG!$BA16:$BG16)</f>
        <v>0</v>
      </c>
      <c r="BI309" s="229">
        <f>SUMIF(MAG!$BA$6:$BG$6,BI$177,MAG!$BA16:$BG16)</f>
        <v>0</v>
      </c>
      <c r="BJ309" s="229">
        <f>SUMIF(MAG!$BA$6:$BG$6,BJ$177,MAG!$BA16:$BG16)</f>
        <v>0</v>
      </c>
      <c r="BK309" s="229">
        <f>SUMIF(MAG!$BA$6:$BG$6,BK$177,MAG!$BA16:$BG16)</f>
        <v>0</v>
      </c>
      <c r="BL309" s="229">
        <f>SUMIF(MAG!$BA$6:$BG$6,BL$177,MAG!$BA16:$BG16)</f>
        <v>0</v>
      </c>
      <c r="BM309" s="229">
        <f>SUMIF(MAG!$BA$6:$BG$6,BM$177,MAG!$BA16:$BG16)</f>
        <v>0</v>
      </c>
      <c r="BN309" s="229">
        <f>SUMIF(MAG!$BA$6:$BG$6,BN$177,MAG!$BA16:$BG16)</f>
        <v>0</v>
      </c>
      <c r="BO309" s="231">
        <f>SUMIF(MAG!$BA$6:$BG$6,BO$177,MAG!$BA16:$BG16)</f>
        <v>0</v>
      </c>
      <c r="BP309" s="231">
        <f>SUMIF(MAG!$BA$6:$BG$6,BP$177,MAG!$BA16:$BG16)</f>
        <v>0</v>
      </c>
      <c r="BQ309" s="252"/>
      <c r="BR309" s="228">
        <f>SUMIF(MAG!$BA$5:$BG$5,BR$177,MAG!$BA16:$BG16)</f>
        <v>0</v>
      </c>
      <c r="BS309" s="229">
        <f>SUMIF(MAG!$BA$5:$BG$5,BS$177,MAG!$BA16:$BG16)</f>
        <v>0</v>
      </c>
      <c r="BT309" s="229">
        <f>SUMIF(MAG!$BA$5:$BG$5,BT$177,MAG!$BA16:$BG16)</f>
        <v>0</v>
      </c>
      <c r="BU309" s="229">
        <f>SUMIF(MAG!$BA$5:$BG$5,BU$177,MAG!$BA16:$BG16)</f>
        <v>0</v>
      </c>
      <c r="BV309" s="229">
        <f>SUMIF(MAG!$BA$5:$BG$5,BV$177,MAG!$BA16:$BG16)</f>
        <v>0</v>
      </c>
      <c r="BW309" s="229">
        <f>SUMIF(MAG!$BA$5:$BG$5,BW$177,MAG!$BA16:$BG16)</f>
        <v>0</v>
      </c>
      <c r="BX309" s="230">
        <f>SUMIF(MAG!$BA$5:$BG$5,BX$177,MAG!$BA16:$BG16)</f>
        <v>0</v>
      </c>
      <c r="BY309" s="998">
        <f>SUMIF(MAG!$BA$5:$BG$5,BY$177,MAG!$BA16:$BG16)</f>
        <v>0</v>
      </c>
      <c r="CB309" s="252"/>
      <c r="CC309" s="61" t="e">
        <f t="shared" si="70"/>
        <v>#N/A</v>
      </c>
      <c r="CD309" s="61">
        <f t="shared" si="71"/>
        <v>0</v>
      </c>
      <c r="CE309" s="105" t="str">
        <f t="shared" si="64"/>
        <v/>
      </c>
      <c r="CF309" s="61" t="e">
        <f t="shared" si="72"/>
        <v>#N/A</v>
      </c>
      <c r="CG309" s="61" t="e">
        <f t="shared" si="73"/>
        <v>#N/A</v>
      </c>
      <c r="CH309" s="521">
        <f>MAG!AL16-CW309+CR309</f>
        <v>0</v>
      </c>
      <c r="CI309" s="228">
        <f>SUMIF(MAG!$G$121:$M$121,CI$178,MAG!$AM16:$AS16)+SUMIF($CS$178:$CV$178,CI$178,$CS309:$CV309)</f>
        <v>0</v>
      </c>
      <c r="CJ309" s="229">
        <f>SUMIF(MAG!$G$121:$M$121,CJ$178,MAG!$AM16:$AS16)+SUMIF($CS$178:$CV$178,CJ$178,$CS309:$CV309)</f>
        <v>0</v>
      </c>
      <c r="CK309" s="230">
        <f>SUMIF(MAG!$G$121:$M$121,CK$178,MAG!$AM16:$AS16)+SUMIF($CS$178:$CV$178,CK$178,$CS309:$CV309)</f>
        <v>0</v>
      </c>
      <c r="CL309" s="230">
        <f>SUMIF(MAG!$G$121:$M$121,CL$178,MAG!$AM16:$AS16)+SUMIF($CS$178:$CV$178,CL$178,$CS309:$CV309)</f>
        <v>0</v>
      </c>
      <c r="CM309" s="230">
        <f>SUMIF(MAG!$G$121:$M$121,CM$178,MAG!$AM16:$AS16)+SUMIF($CS$178:$CV$178,CM$178,$CS309:$CV309)</f>
        <v>0</v>
      </c>
      <c r="CN309" s="230">
        <f>SUMIF(MAG!$G$121:$M$121,CN$178,MAG!$AM16:$AS16)+SUMIF($CS$178:$CV$178,CN$178,$CS309:$CV309)</f>
        <v>0</v>
      </c>
      <c r="CO309" s="230">
        <f>SUMIF(MAG!$G$121:$M$121,CO$178,MAG!$AM16:$AS16)+SUMIF($CS$178:$CV$178,CO$178,$CS309:$CV309)</f>
        <v>0</v>
      </c>
      <c r="CP309" s="230">
        <f>SUMIF(MAG!$G$121:$M$121,CP$178,MAG!$AM16:$AS16)+SUMIF($CS$178:$CV$178,CP$178,$CS309:$CV309)</f>
        <v>0</v>
      </c>
      <c r="CQ309" s="231">
        <f>SUMIF(MAG!$G$121:$M$121,CQ$178,MAG!$AM16:$AS16)+SUMIF($CS$178:$CV$178,CQ$178,$CS309:$CV309)</f>
        <v>0</v>
      </c>
      <c r="CR309" s="521">
        <f>MAG!AU16</f>
        <v>0</v>
      </c>
      <c r="CS309" s="228">
        <f>MAG!AV16</f>
        <v>0</v>
      </c>
      <c r="CT309" s="229">
        <f>MAG!AW16</f>
        <v>0</v>
      </c>
      <c r="CU309" s="230">
        <f>MAG!AX16</f>
        <v>0</v>
      </c>
      <c r="CV309" s="231">
        <f>MAG!AY16</f>
        <v>0</v>
      </c>
      <c r="CW309" s="521">
        <f>SUM(MAG!AU16:AY16)</f>
        <v>0</v>
      </c>
      <c r="CX309" s="521">
        <f>MAG!AK16</f>
        <v>0</v>
      </c>
      <c r="CY309" s="2"/>
    </row>
    <row r="310" spans="1:103" ht="14.25" hidden="1" customHeight="1" x14ac:dyDescent="0.2">
      <c r="A310" s="2"/>
      <c r="B310" s="105">
        <f t="shared" si="74"/>
        <v>45422</v>
      </c>
      <c r="C310" s="146">
        <f>IF(AND(E310&gt;(E$561-1),E310&lt;(I$561+1)),W$551,IF(ISERROR(HLOOKUP(E310,$E$554:$L$554,1,FALSE)),HLOOKUP(WEEKDAY(E310,2),IMPOSTAZIONI!$C$52:$P$57,6,FALSE),$W$550))</f>
        <v>0</v>
      </c>
      <c r="D310" s="71" t="str">
        <f t="shared" si="75"/>
        <v/>
      </c>
      <c r="E310" s="2258">
        <f t="shared" ref="E310:E373" si="80">E309+1</f>
        <v>45422</v>
      </c>
      <c r="F310" s="2259"/>
      <c r="G310" s="2228" t="str">
        <f>MAG!E17</f>
        <v xml:space="preserve">disattivato  </v>
      </c>
      <c r="H310" s="2229"/>
      <c r="I310" s="2230"/>
      <c r="J310" s="262" t="str">
        <f t="shared" si="65"/>
        <v/>
      </c>
      <c r="K310" s="263"/>
      <c r="L310" s="2217">
        <f t="shared" si="63"/>
        <v>19</v>
      </c>
      <c r="M310" s="2218"/>
      <c r="N310" s="261"/>
      <c r="O310" s="261"/>
      <c r="P310" s="261"/>
      <c r="Q310" s="2219">
        <f t="shared" si="76"/>
        <v>45422</v>
      </c>
      <c r="R310" s="2219"/>
      <c r="S310" s="261"/>
      <c r="T310" s="1173">
        <f t="shared" si="66"/>
        <v>1</v>
      </c>
      <c r="U310" s="261"/>
      <c r="V310" s="261"/>
      <c r="W310" s="261"/>
      <c r="X310" s="261"/>
      <c r="Y310" s="261"/>
      <c r="Z310" s="261"/>
      <c r="AA310" s="261"/>
      <c r="AB310" s="261"/>
      <c r="AC310" s="261"/>
      <c r="AD310" s="261"/>
      <c r="AE310" s="261"/>
      <c r="AF310" s="261"/>
      <c r="AG310" s="1173">
        <f t="shared" si="77"/>
        <v>0</v>
      </c>
      <c r="AH310" s="61" t="str">
        <f t="shared" si="78"/>
        <v/>
      </c>
      <c r="AI310" s="89" t="e">
        <f t="shared" si="79"/>
        <v>#N/A</v>
      </c>
      <c r="AJ310" s="2"/>
      <c r="AK310" s="61">
        <f>IF(G310=G$547,0,IF(OR(G310&lt;&gt;0,CH310&lt;&gt;0,C310="L"),COUNTIF(AK$180:AK309,"&gt;0")+1,0))</f>
        <v>0</v>
      </c>
      <c r="AL310" s="61" t="str">
        <f t="shared" si="67"/>
        <v/>
      </c>
      <c r="AM310" s="61" t="e">
        <f t="shared" si="68"/>
        <v>#N/A</v>
      </c>
      <c r="AN310" s="89" t="e">
        <f t="shared" si="69"/>
        <v>#N/A</v>
      </c>
      <c r="AO310" s="230">
        <f>SUM(MAG!X17:AD17)-BD310+AY310</f>
        <v>0</v>
      </c>
      <c r="AP310" s="228">
        <f>SUMIF(MAG!$G$121:$M$121,AP$178,MAG!$P17:$V17)+SUMIF($AZ$178:$BC$178,AP$178,$AZ310:$BC310)</f>
        <v>0</v>
      </c>
      <c r="AQ310" s="229">
        <f>SUMIF(MAG!$G$121:$M$121,AQ$178,MAG!$P17:$V17)+SUMIF($AZ$178:$BC$178,AQ$178,$AZ310:$BC310)</f>
        <v>0</v>
      </c>
      <c r="AR310" s="230">
        <f>SUMIF(MAG!$G$121:$M$121,AR$178,MAG!$P17:$V17)+SUMIF($AZ$178:$BC$178,AR$178,$AZ310:$BC310)</f>
        <v>0</v>
      </c>
      <c r="AS310" s="230">
        <f>SUMIF(MAG!$G$121:$M$121,AS$178,MAG!$P17:$V17)+SUMIF($AZ$178:$BC$178,AS$178,$AZ310:$BC310)</f>
        <v>0</v>
      </c>
      <c r="AT310" s="230">
        <f>SUMIF(MAG!$G$121:$M$121,AT$178,MAG!$P17:$V17)+SUMIF($AZ$178:$BC$178,AT$178,$AZ310:$BC310)</f>
        <v>0</v>
      </c>
      <c r="AU310" s="230">
        <f>SUMIF(MAG!$G$121:$M$121,AU$178,MAG!$P17:$V17)+SUMIF($AZ$178:$BC$178,AU$178,$AZ310:$BC310)</f>
        <v>0</v>
      </c>
      <c r="AV310" s="230">
        <f>SUMIF(MAG!$G$121:$M$121,AV$178,MAG!$P17:$V17)+SUMIF($AZ$178:$BC$178,AV$178,$AZ310:$BC310)</f>
        <v>0</v>
      </c>
      <c r="AW310" s="230">
        <f>SUMIF(MAG!$G$121:$M$121,AW$178,MAG!$P17:$V17)+SUMIF($AZ$178:$BC$178,AW$178,$AZ310:$BC310)</f>
        <v>0</v>
      </c>
      <c r="AX310" s="231">
        <f>SUMIF(MAG!$G$121:$M$121,AX$178,MAG!$P17:$V17)+SUMIF($AZ$178:$BC$178,AX$178,$AZ310:$BC310)</f>
        <v>0</v>
      </c>
      <c r="AY310" s="232">
        <f>MAG!AF17</f>
        <v>0</v>
      </c>
      <c r="AZ310" s="228">
        <f>MAG!AG17</f>
        <v>0</v>
      </c>
      <c r="BA310" s="229">
        <f>MAG!AH17</f>
        <v>0</v>
      </c>
      <c r="BB310" s="230">
        <f>MAG!AI17</f>
        <v>0</v>
      </c>
      <c r="BC310" s="231">
        <f>MAG!AJ17</f>
        <v>0</v>
      </c>
      <c r="BD310" s="228">
        <f>SUMIF(MAG!$G$120:$M$120,"&gt;0",MAG!$X17:$AD17)</f>
        <v>0</v>
      </c>
      <c r="BE310" s="696"/>
      <c r="BF310" s="228">
        <f>SUMIF(MAG!$BA$6:$BG$6,BF$177,MAG!$BA17:$BG17)</f>
        <v>0</v>
      </c>
      <c r="BG310" s="229">
        <f>SUMIF(MAG!$BA$6:$BG$6,BG$177,MAG!$BA17:$BG17)</f>
        <v>0</v>
      </c>
      <c r="BH310" s="229">
        <f>SUMIF(MAG!$BA$6:$BG$6,BH$177,MAG!$BA17:$BG17)</f>
        <v>0</v>
      </c>
      <c r="BI310" s="229">
        <f>SUMIF(MAG!$BA$6:$BG$6,BI$177,MAG!$BA17:$BG17)</f>
        <v>0</v>
      </c>
      <c r="BJ310" s="229">
        <f>SUMIF(MAG!$BA$6:$BG$6,BJ$177,MAG!$BA17:$BG17)</f>
        <v>0</v>
      </c>
      <c r="BK310" s="229">
        <f>SUMIF(MAG!$BA$6:$BG$6,BK$177,MAG!$BA17:$BG17)</f>
        <v>0</v>
      </c>
      <c r="BL310" s="229">
        <f>SUMIF(MAG!$BA$6:$BG$6,BL$177,MAG!$BA17:$BG17)</f>
        <v>0</v>
      </c>
      <c r="BM310" s="229">
        <f>SUMIF(MAG!$BA$6:$BG$6,BM$177,MAG!$BA17:$BG17)</f>
        <v>0</v>
      </c>
      <c r="BN310" s="229">
        <f>SUMIF(MAG!$BA$6:$BG$6,BN$177,MAG!$BA17:$BG17)</f>
        <v>0</v>
      </c>
      <c r="BO310" s="231">
        <f>SUMIF(MAG!$BA$6:$BG$6,BO$177,MAG!$BA17:$BG17)</f>
        <v>0</v>
      </c>
      <c r="BP310" s="231">
        <f>SUMIF(MAG!$BA$6:$BG$6,BP$177,MAG!$BA17:$BG17)</f>
        <v>0</v>
      </c>
      <c r="BQ310" s="252"/>
      <c r="BR310" s="228">
        <f>SUMIF(MAG!$BA$5:$BG$5,BR$177,MAG!$BA17:$BG17)</f>
        <v>0</v>
      </c>
      <c r="BS310" s="229">
        <f>SUMIF(MAG!$BA$5:$BG$5,BS$177,MAG!$BA17:$BG17)</f>
        <v>0</v>
      </c>
      <c r="BT310" s="229">
        <f>SUMIF(MAG!$BA$5:$BG$5,BT$177,MAG!$BA17:$BG17)</f>
        <v>0</v>
      </c>
      <c r="BU310" s="229">
        <f>SUMIF(MAG!$BA$5:$BG$5,BU$177,MAG!$BA17:$BG17)</f>
        <v>0</v>
      </c>
      <c r="BV310" s="229">
        <f>SUMIF(MAG!$BA$5:$BG$5,BV$177,MAG!$BA17:$BG17)</f>
        <v>0</v>
      </c>
      <c r="BW310" s="229">
        <f>SUMIF(MAG!$BA$5:$BG$5,BW$177,MAG!$BA17:$BG17)</f>
        <v>0</v>
      </c>
      <c r="BX310" s="230">
        <f>SUMIF(MAG!$BA$5:$BG$5,BX$177,MAG!$BA17:$BG17)</f>
        <v>0</v>
      </c>
      <c r="BY310" s="998">
        <f>SUMIF(MAG!$BA$5:$BG$5,BY$177,MAG!$BA17:$BG17)</f>
        <v>0</v>
      </c>
      <c r="CB310" s="252"/>
      <c r="CC310" s="61" t="e">
        <f t="shared" si="70"/>
        <v>#N/A</v>
      </c>
      <c r="CD310" s="61">
        <f t="shared" si="71"/>
        <v>0</v>
      </c>
      <c r="CE310" s="105" t="str">
        <f t="shared" si="64"/>
        <v/>
      </c>
      <c r="CF310" s="61" t="e">
        <f t="shared" si="72"/>
        <v>#N/A</v>
      </c>
      <c r="CG310" s="61" t="e">
        <f t="shared" si="73"/>
        <v>#N/A</v>
      </c>
      <c r="CH310" s="521">
        <f>MAG!AL17-CW310+CR310</f>
        <v>0</v>
      </c>
      <c r="CI310" s="228">
        <f>SUMIF(MAG!$G$121:$M$121,CI$178,MAG!$AM17:$AS17)+SUMIF($CS$178:$CV$178,CI$178,$CS310:$CV310)</f>
        <v>0</v>
      </c>
      <c r="CJ310" s="229">
        <f>SUMIF(MAG!$G$121:$M$121,CJ$178,MAG!$AM17:$AS17)+SUMIF($CS$178:$CV$178,CJ$178,$CS310:$CV310)</f>
        <v>0</v>
      </c>
      <c r="CK310" s="230">
        <f>SUMIF(MAG!$G$121:$M$121,CK$178,MAG!$AM17:$AS17)+SUMIF($CS$178:$CV$178,CK$178,$CS310:$CV310)</f>
        <v>0</v>
      </c>
      <c r="CL310" s="230">
        <f>SUMIF(MAG!$G$121:$M$121,CL$178,MAG!$AM17:$AS17)+SUMIF($CS$178:$CV$178,CL$178,$CS310:$CV310)</f>
        <v>0</v>
      </c>
      <c r="CM310" s="230">
        <f>SUMIF(MAG!$G$121:$M$121,CM$178,MAG!$AM17:$AS17)+SUMIF($CS$178:$CV$178,CM$178,$CS310:$CV310)</f>
        <v>0</v>
      </c>
      <c r="CN310" s="230">
        <f>SUMIF(MAG!$G$121:$M$121,CN$178,MAG!$AM17:$AS17)+SUMIF($CS$178:$CV$178,CN$178,$CS310:$CV310)</f>
        <v>0</v>
      </c>
      <c r="CO310" s="230">
        <f>SUMIF(MAG!$G$121:$M$121,CO$178,MAG!$AM17:$AS17)+SUMIF($CS$178:$CV$178,CO$178,$CS310:$CV310)</f>
        <v>0</v>
      </c>
      <c r="CP310" s="230">
        <f>SUMIF(MAG!$G$121:$M$121,CP$178,MAG!$AM17:$AS17)+SUMIF($CS$178:$CV$178,CP$178,$CS310:$CV310)</f>
        <v>0</v>
      </c>
      <c r="CQ310" s="231">
        <f>SUMIF(MAG!$G$121:$M$121,CQ$178,MAG!$AM17:$AS17)+SUMIF($CS$178:$CV$178,CQ$178,$CS310:$CV310)</f>
        <v>0</v>
      </c>
      <c r="CR310" s="521">
        <f>MAG!AU17</f>
        <v>0</v>
      </c>
      <c r="CS310" s="228">
        <f>MAG!AV17</f>
        <v>0</v>
      </c>
      <c r="CT310" s="229">
        <f>MAG!AW17</f>
        <v>0</v>
      </c>
      <c r="CU310" s="230">
        <f>MAG!AX17</f>
        <v>0</v>
      </c>
      <c r="CV310" s="231">
        <f>MAG!AY17</f>
        <v>0</v>
      </c>
      <c r="CW310" s="521">
        <f>SUM(MAG!AU17:AY17)</f>
        <v>0</v>
      </c>
      <c r="CX310" s="521">
        <f>MAG!AK17</f>
        <v>0</v>
      </c>
      <c r="CY310" s="2"/>
    </row>
    <row r="311" spans="1:103" ht="14.25" hidden="1" customHeight="1" x14ac:dyDescent="0.2">
      <c r="A311" s="2"/>
      <c r="B311" s="105">
        <f t="shared" si="74"/>
        <v>45423</v>
      </c>
      <c r="C311" s="146">
        <f>IF(AND(E311&gt;(E$561-1),E311&lt;(I$561+1)),W$551,IF(ISERROR(HLOOKUP(E311,$E$554:$L$554,1,FALSE)),HLOOKUP(WEEKDAY(E311,2),IMPOSTAZIONI!$C$52:$P$57,6,FALSE),$W$550))</f>
        <v>0</v>
      </c>
      <c r="D311" s="71" t="str">
        <f t="shared" si="75"/>
        <v/>
      </c>
      <c r="E311" s="2258">
        <f t="shared" si="80"/>
        <v>45423</v>
      </c>
      <c r="F311" s="2259"/>
      <c r="G311" s="2228" t="str">
        <f>MAG!E18</f>
        <v xml:space="preserve">disattivato  </v>
      </c>
      <c r="H311" s="2229"/>
      <c r="I311" s="2230"/>
      <c r="J311" s="262" t="str">
        <f t="shared" si="65"/>
        <v/>
      </c>
      <c r="K311" s="263"/>
      <c r="L311" s="2217">
        <f t="shared" si="63"/>
        <v>19</v>
      </c>
      <c r="M311" s="2218"/>
      <c r="N311" s="261"/>
      <c r="O311" s="261"/>
      <c r="P311" s="261"/>
      <c r="Q311" s="2219">
        <f t="shared" si="76"/>
        <v>45423</v>
      </c>
      <c r="R311" s="2219"/>
      <c r="S311" s="261"/>
      <c r="T311" s="1173">
        <f t="shared" si="66"/>
        <v>1</v>
      </c>
      <c r="U311" s="261"/>
      <c r="V311" s="261"/>
      <c r="W311" s="261"/>
      <c r="X311" s="261"/>
      <c r="Y311" s="261"/>
      <c r="Z311" s="261"/>
      <c r="AA311" s="261"/>
      <c r="AB311" s="261"/>
      <c r="AC311" s="261"/>
      <c r="AD311" s="261"/>
      <c r="AE311" s="261"/>
      <c r="AF311" s="261"/>
      <c r="AG311" s="1173">
        <f t="shared" si="77"/>
        <v>0</v>
      </c>
      <c r="AH311" s="61" t="str">
        <f t="shared" si="78"/>
        <v/>
      </c>
      <c r="AI311" s="89" t="e">
        <f t="shared" si="79"/>
        <v>#N/A</v>
      </c>
      <c r="AJ311" s="2"/>
      <c r="AK311" s="61">
        <f>IF(G311=G$547,0,IF(OR(G311&lt;&gt;0,CH311&lt;&gt;0,C311="L"),COUNTIF(AK$180:AK310,"&gt;0")+1,0))</f>
        <v>0</v>
      </c>
      <c r="AL311" s="61" t="str">
        <f t="shared" si="67"/>
        <v/>
      </c>
      <c r="AM311" s="61" t="e">
        <f t="shared" si="68"/>
        <v>#N/A</v>
      </c>
      <c r="AN311" s="89" t="e">
        <f t="shared" si="69"/>
        <v>#N/A</v>
      </c>
      <c r="AO311" s="230">
        <f>SUM(MAG!X18:AD18)-BD311+AY311</f>
        <v>0</v>
      </c>
      <c r="AP311" s="228">
        <f>SUMIF(MAG!$G$121:$M$121,AP$178,MAG!$P18:$V18)+SUMIF($AZ$178:$BC$178,AP$178,$AZ311:$BC311)</f>
        <v>0</v>
      </c>
      <c r="AQ311" s="229">
        <f>SUMIF(MAG!$G$121:$M$121,AQ$178,MAG!$P18:$V18)+SUMIF($AZ$178:$BC$178,AQ$178,$AZ311:$BC311)</f>
        <v>0</v>
      </c>
      <c r="AR311" s="230">
        <f>SUMIF(MAG!$G$121:$M$121,AR$178,MAG!$P18:$V18)+SUMIF($AZ$178:$BC$178,AR$178,$AZ311:$BC311)</f>
        <v>0</v>
      </c>
      <c r="AS311" s="230">
        <f>SUMIF(MAG!$G$121:$M$121,AS$178,MAG!$P18:$V18)+SUMIF($AZ$178:$BC$178,AS$178,$AZ311:$BC311)</f>
        <v>0</v>
      </c>
      <c r="AT311" s="230">
        <f>SUMIF(MAG!$G$121:$M$121,AT$178,MAG!$P18:$V18)+SUMIF($AZ$178:$BC$178,AT$178,$AZ311:$BC311)</f>
        <v>0</v>
      </c>
      <c r="AU311" s="230">
        <f>SUMIF(MAG!$G$121:$M$121,AU$178,MAG!$P18:$V18)+SUMIF($AZ$178:$BC$178,AU$178,$AZ311:$BC311)</f>
        <v>0</v>
      </c>
      <c r="AV311" s="230">
        <f>SUMIF(MAG!$G$121:$M$121,AV$178,MAG!$P18:$V18)+SUMIF($AZ$178:$BC$178,AV$178,$AZ311:$BC311)</f>
        <v>0</v>
      </c>
      <c r="AW311" s="230">
        <f>SUMIF(MAG!$G$121:$M$121,AW$178,MAG!$P18:$V18)+SUMIF($AZ$178:$BC$178,AW$178,$AZ311:$BC311)</f>
        <v>0</v>
      </c>
      <c r="AX311" s="231">
        <f>SUMIF(MAG!$G$121:$M$121,AX$178,MAG!$P18:$V18)+SUMIF($AZ$178:$BC$178,AX$178,$AZ311:$BC311)</f>
        <v>0</v>
      </c>
      <c r="AY311" s="232">
        <f>MAG!AF18</f>
        <v>0</v>
      </c>
      <c r="AZ311" s="228">
        <f>MAG!AG18</f>
        <v>0</v>
      </c>
      <c r="BA311" s="229">
        <f>MAG!AH18</f>
        <v>0</v>
      </c>
      <c r="BB311" s="230">
        <f>MAG!AI18</f>
        <v>0</v>
      </c>
      <c r="BC311" s="231">
        <f>MAG!AJ18</f>
        <v>0</v>
      </c>
      <c r="BD311" s="228">
        <f>SUMIF(MAG!$G$120:$M$120,"&gt;0",MAG!$X18:$AD18)</f>
        <v>0</v>
      </c>
      <c r="BE311" s="696"/>
      <c r="BF311" s="228">
        <f>SUMIF(MAG!$BA$6:$BG$6,BF$177,MAG!$BA18:$BG18)</f>
        <v>0</v>
      </c>
      <c r="BG311" s="229">
        <f>SUMIF(MAG!$BA$6:$BG$6,BG$177,MAG!$BA18:$BG18)</f>
        <v>0</v>
      </c>
      <c r="BH311" s="229">
        <f>SUMIF(MAG!$BA$6:$BG$6,BH$177,MAG!$BA18:$BG18)</f>
        <v>0</v>
      </c>
      <c r="BI311" s="229">
        <f>SUMIF(MAG!$BA$6:$BG$6,BI$177,MAG!$BA18:$BG18)</f>
        <v>0</v>
      </c>
      <c r="BJ311" s="229">
        <f>SUMIF(MAG!$BA$6:$BG$6,BJ$177,MAG!$BA18:$BG18)</f>
        <v>0</v>
      </c>
      <c r="BK311" s="229">
        <f>SUMIF(MAG!$BA$6:$BG$6,BK$177,MAG!$BA18:$BG18)</f>
        <v>0</v>
      </c>
      <c r="BL311" s="229">
        <f>SUMIF(MAG!$BA$6:$BG$6,BL$177,MAG!$BA18:$BG18)</f>
        <v>0</v>
      </c>
      <c r="BM311" s="229">
        <f>SUMIF(MAG!$BA$6:$BG$6,BM$177,MAG!$BA18:$BG18)</f>
        <v>0</v>
      </c>
      <c r="BN311" s="229">
        <f>SUMIF(MAG!$BA$6:$BG$6,BN$177,MAG!$BA18:$BG18)</f>
        <v>0</v>
      </c>
      <c r="BO311" s="231">
        <f>SUMIF(MAG!$BA$6:$BG$6,BO$177,MAG!$BA18:$BG18)</f>
        <v>0</v>
      </c>
      <c r="BP311" s="231">
        <f>SUMIF(MAG!$BA$6:$BG$6,BP$177,MAG!$BA18:$BG18)</f>
        <v>0</v>
      </c>
      <c r="BQ311" s="252"/>
      <c r="BR311" s="228">
        <f>SUMIF(MAG!$BA$5:$BG$5,BR$177,MAG!$BA18:$BG18)</f>
        <v>0</v>
      </c>
      <c r="BS311" s="229">
        <f>SUMIF(MAG!$BA$5:$BG$5,BS$177,MAG!$BA18:$BG18)</f>
        <v>0</v>
      </c>
      <c r="BT311" s="229">
        <f>SUMIF(MAG!$BA$5:$BG$5,BT$177,MAG!$BA18:$BG18)</f>
        <v>0</v>
      </c>
      <c r="BU311" s="229">
        <f>SUMIF(MAG!$BA$5:$BG$5,BU$177,MAG!$BA18:$BG18)</f>
        <v>0</v>
      </c>
      <c r="BV311" s="229">
        <f>SUMIF(MAG!$BA$5:$BG$5,BV$177,MAG!$BA18:$BG18)</f>
        <v>0</v>
      </c>
      <c r="BW311" s="229">
        <f>SUMIF(MAG!$BA$5:$BG$5,BW$177,MAG!$BA18:$BG18)</f>
        <v>0</v>
      </c>
      <c r="BX311" s="230">
        <f>SUMIF(MAG!$BA$5:$BG$5,BX$177,MAG!$BA18:$BG18)</f>
        <v>0</v>
      </c>
      <c r="BY311" s="998">
        <f>SUMIF(MAG!$BA$5:$BG$5,BY$177,MAG!$BA18:$BG18)</f>
        <v>0</v>
      </c>
      <c r="CB311" s="252"/>
      <c r="CC311" s="61" t="e">
        <f t="shared" si="70"/>
        <v>#N/A</v>
      </c>
      <c r="CD311" s="61">
        <f t="shared" si="71"/>
        <v>0</v>
      </c>
      <c r="CE311" s="105" t="str">
        <f t="shared" si="64"/>
        <v/>
      </c>
      <c r="CF311" s="61" t="e">
        <f t="shared" si="72"/>
        <v>#N/A</v>
      </c>
      <c r="CG311" s="61" t="e">
        <f t="shared" si="73"/>
        <v>#N/A</v>
      </c>
      <c r="CH311" s="521">
        <f>MAG!AL18-CW311+CR311</f>
        <v>0</v>
      </c>
      <c r="CI311" s="228">
        <f>SUMIF(MAG!$G$121:$M$121,CI$178,MAG!$AM18:$AS18)+SUMIF($CS$178:$CV$178,CI$178,$CS311:$CV311)</f>
        <v>0</v>
      </c>
      <c r="CJ311" s="229">
        <f>SUMIF(MAG!$G$121:$M$121,CJ$178,MAG!$AM18:$AS18)+SUMIF($CS$178:$CV$178,CJ$178,$CS311:$CV311)</f>
        <v>0</v>
      </c>
      <c r="CK311" s="230">
        <f>SUMIF(MAG!$G$121:$M$121,CK$178,MAG!$AM18:$AS18)+SUMIF($CS$178:$CV$178,CK$178,$CS311:$CV311)</f>
        <v>0</v>
      </c>
      <c r="CL311" s="230">
        <f>SUMIF(MAG!$G$121:$M$121,CL$178,MAG!$AM18:$AS18)+SUMIF($CS$178:$CV$178,CL$178,$CS311:$CV311)</f>
        <v>0</v>
      </c>
      <c r="CM311" s="230">
        <f>SUMIF(MAG!$G$121:$M$121,CM$178,MAG!$AM18:$AS18)+SUMIF($CS$178:$CV$178,CM$178,$CS311:$CV311)</f>
        <v>0</v>
      </c>
      <c r="CN311" s="230">
        <f>SUMIF(MAG!$G$121:$M$121,CN$178,MAG!$AM18:$AS18)+SUMIF($CS$178:$CV$178,CN$178,$CS311:$CV311)</f>
        <v>0</v>
      </c>
      <c r="CO311" s="230">
        <f>SUMIF(MAG!$G$121:$M$121,CO$178,MAG!$AM18:$AS18)+SUMIF($CS$178:$CV$178,CO$178,$CS311:$CV311)</f>
        <v>0</v>
      </c>
      <c r="CP311" s="230">
        <f>SUMIF(MAG!$G$121:$M$121,CP$178,MAG!$AM18:$AS18)+SUMIF($CS$178:$CV$178,CP$178,$CS311:$CV311)</f>
        <v>0</v>
      </c>
      <c r="CQ311" s="231">
        <f>SUMIF(MAG!$G$121:$M$121,CQ$178,MAG!$AM18:$AS18)+SUMIF($CS$178:$CV$178,CQ$178,$CS311:$CV311)</f>
        <v>0</v>
      </c>
      <c r="CR311" s="521">
        <f>MAG!AU18</f>
        <v>0</v>
      </c>
      <c r="CS311" s="228">
        <f>MAG!AV18</f>
        <v>0</v>
      </c>
      <c r="CT311" s="229">
        <f>MAG!AW18</f>
        <v>0</v>
      </c>
      <c r="CU311" s="230">
        <f>MAG!AX18</f>
        <v>0</v>
      </c>
      <c r="CV311" s="231">
        <f>MAG!AY18</f>
        <v>0</v>
      </c>
      <c r="CW311" s="521">
        <f>SUM(MAG!AU18:AY18)</f>
        <v>0</v>
      </c>
      <c r="CX311" s="521">
        <f>MAG!AK18</f>
        <v>0</v>
      </c>
      <c r="CY311" s="2"/>
    </row>
    <row r="312" spans="1:103" ht="14.25" hidden="1" customHeight="1" x14ac:dyDescent="0.2">
      <c r="A312" s="2"/>
      <c r="B312" s="105">
        <f t="shared" si="74"/>
        <v>45424</v>
      </c>
      <c r="C312" s="146">
        <f>IF(AND(E312&gt;(E$561-1),E312&lt;(I$561+1)),W$551,IF(ISERROR(HLOOKUP(E312,$E$554:$L$554,1,FALSE)),HLOOKUP(WEEKDAY(E312,2),IMPOSTAZIONI!$C$52:$P$57,6,FALSE),$W$550))</f>
        <v>0</v>
      </c>
      <c r="D312" s="71" t="str">
        <f t="shared" si="75"/>
        <v/>
      </c>
      <c r="E312" s="2258">
        <f t="shared" si="80"/>
        <v>45424</v>
      </c>
      <c r="F312" s="2259"/>
      <c r="G312" s="2228" t="str">
        <f>MAG!E19</f>
        <v xml:space="preserve">disattivato  </v>
      </c>
      <c r="H312" s="2229"/>
      <c r="I312" s="2230"/>
      <c r="J312" s="262" t="str">
        <f t="shared" si="65"/>
        <v/>
      </c>
      <c r="K312" s="263"/>
      <c r="L312" s="2220">
        <f t="shared" si="63"/>
        <v>19</v>
      </c>
      <c r="M312" s="2221"/>
      <c r="N312" s="261"/>
      <c r="O312" s="261"/>
      <c r="P312" s="261"/>
      <c r="Q312" s="2219">
        <f t="shared" si="76"/>
        <v>45424</v>
      </c>
      <c r="R312" s="2219"/>
      <c r="S312" s="261"/>
      <c r="T312" s="1173">
        <f t="shared" si="66"/>
        <v>1</v>
      </c>
      <c r="U312" s="261"/>
      <c r="V312" s="261"/>
      <c r="W312" s="261"/>
      <c r="X312" s="261"/>
      <c r="Y312" s="261"/>
      <c r="Z312" s="261"/>
      <c r="AA312" s="261"/>
      <c r="AB312" s="261"/>
      <c r="AC312" s="261"/>
      <c r="AD312" s="261"/>
      <c r="AE312" s="261"/>
      <c r="AF312" s="261"/>
      <c r="AG312" s="1173">
        <f t="shared" si="77"/>
        <v>0</v>
      </c>
      <c r="AH312" s="61" t="str">
        <f t="shared" si="78"/>
        <v/>
      </c>
      <c r="AI312" s="89" t="e">
        <f t="shared" si="79"/>
        <v>#N/A</v>
      </c>
      <c r="AJ312" s="2"/>
      <c r="AK312" s="61">
        <f>IF(G312=G$547,0,IF(OR(G312&lt;&gt;0,CH312&lt;&gt;0,C312="L"),COUNTIF(AK$180:AK311,"&gt;0")+1,0))</f>
        <v>0</v>
      </c>
      <c r="AL312" s="61" t="str">
        <f t="shared" si="67"/>
        <v/>
      </c>
      <c r="AM312" s="61" t="e">
        <f t="shared" si="68"/>
        <v>#N/A</v>
      </c>
      <c r="AN312" s="89" t="e">
        <f t="shared" si="69"/>
        <v>#N/A</v>
      </c>
      <c r="AO312" s="230">
        <f>SUM(MAG!X19:AD19)-BD312+AY312</f>
        <v>0</v>
      </c>
      <c r="AP312" s="228">
        <f>SUMIF(MAG!$G$121:$M$121,AP$178,MAG!$P19:$V19)+SUMIF($AZ$178:$BC$178,AP$178,$AZ312:$BC312)</f>
        <v>0</v>
      </c>
      <c r="AQ312" s="229">
        <f>SUMIF(MAG!$G$121:$M$121,AQ$178,MAG!$P19:$V19)+SUMIF($AZ$178:$BC$178,AQ$178,$AZ312:$BC312)</f>
        <v>0</v>
      </c>
      <c r="AR312" s="230">
        <f>SUMIF(MAG!$G$121:$M$121,AR$178,MAG!$P19:$V19)+SUMIF($AZ$178:$BC$178,AR$178,$AZ312:$BC312)</f>
        <v>0</v>
      </c>
      <c r="AS312" s="230">
        <f>SUMIF(MAG!$G$121:$M$121,AS$178,MAG!$P19:$V19)+SUMIF($AZ$178:$BC$178,AS$178,$AZ312:$BC312)</f>
        <v>0</v>
      </c>
      <c r="AT312" s="230">
        <f>SUMIF(MAG!$G$121:$M$121,AT$178,MAG!$P19:$V19)+SUMIF($AZ$178:$BC$178,AT$178,$AZ312:$BC312)</f>
        <v>0</v>
      </c>
      <c r="AU312" s="230">
        <f>SUMIF(MAG!$G$121:$M$121,AU$178,MAG!$P19:$V19)+SUMIF($AZ$178:$BC$178,AU$178,$AZ312:$BC312)</f>
        <v>0</v>
      </c>
      <c r="AV312" s="230">
        <f>SUMIF(MAG!$G$121:$M$121,AV$178,MAG!$P19:$V19)+SUMIF($AZ$178:$BC$178,AV$178,$AZ312:$BC312)</f>
        <v>0</v>
      </c>
      <c r="AW312" s="230">
        <f>SUMIF(MAG!$G$121:$M$121,AW$178,MAG!$P19:$V19)+SUMIF($AZ$178:$BC$178,AW$178,$AZ312:$BC312)</f>
        <v>0</v>
      </c>
      <c r="AX312" s="231">
        <f>SUMIF(MAG!$G$121:$M$121,AX$178,MAG!$P19:$V19)+SUMIF($AZ$178:$BC$178,AX$178,$AZ312:$BC312)</f>
        <v>0</v>
      </c>
      <c r="AY312" s="232">
        <f>MAG!AF19</f>
        <v>0</v>
      </c>
      <c r="AZ312" s="228">
        <f>MAG!AG19</f>
        <v>0</v>
      </c>
      <c r="BA312" s="229">
        <f>MAG!AH19</f>
        <v>0</v>
      </c>
      <c r="BB312" s="230">
        <f>MAG!AI19</f>
        <v>0</v>
      </c>
      <c r="BC312" s="231">
        <f>MAG!AJ19</f>
        <v>0</v>
      </c>
      <c r="BD312" s="228">
        <f>SUMIF(MAG!$G$120:$M$120,"&gt;0",MAG!$X19:$AD19)</f>
        <v>0</v>
      </c>
      <c r="BE312" s="696"/>
      <c r="BF312" s="228">
        <f>SUMIF(MAG!$BA$6:$BG$6,BF$177,MAG!$BA19:$BG19)</f>
        <v>0</v>
      </c>
      <c r="BG312" s="229">
        <f>SUMIF(MAG!$BA$6:$BG$6,BG$177,MAG!$BA19:$BG19)</f>
        <v>0</v>
      </c>
      <c r="BH312" s="229">
        <f>SUMIF(MAG!$BA$6:$BG$6,BH$177,MAG!$BA19:$BG19)</f>
        <v>0</v>
      </c>
      <c r="BI312" s="229">
        <f>SUMIF(MAG!$BA$6:$BG$6,BI$177,MAG!$BA19:$BG19)</f>
        <v>0</v>
      </c>
      <c r="BJ312" s="229">
        <f>SUMIF(MAG!$BA$6:$BG$6,BJ$177,MAG!$BA19:$BG19)</f>
        <v>0</v>
      </c>
      <c r="BK312" s="229">
        <f>SUMIF(MAG!$BA$6:$BG$6,BK$177,MAG!$BA19:$BG19)</f>
        <v>0</v>
      </c>
      <c r="BL312" s="229">
        <f>SUMIF(MAG!$BA$6:$BG$6,BL$177,MAG!$BA19:$BG19)</f>
        <v>0</v>
      </c>
      <c r="BM312" s="229">
        <f>SUMIF(MAG!$BA$6:$BG$6,BM$177,MAG!$BA19:$BG19)</f>
        <v>0</v>
      </c>
      <c r="BN312" s="229">
        <f>SUMIF(MAG!$BA$6:$BG$6,BN$177,MAG!$BA19:$BG19)</f>
        <v>0</v>
      </c>
      <c r="BO312" s="231">
        <f>SUMIF(MAG!$BA$6:$BG$6,BO$177,MAG!$BA19:$BG19)</f>
        <v>0</v>
      </c>
      <c r="BP312" s="231">
        <f>SUMIF(MAG!$BA$6:$BG$6,BP$177,MAG!$BA19:$BG19)</f>
        <v>0</v>
      </c>
      <c r="BQ312" s="252"/>
      <c r="BR312" s="228">
        <f>SUMIF(MAG!$BA$5:$BG$5,BR$177,MAG!$BA19:$BG19)</f>
        <v>0</v>
      </c>
      <c r="BS312" s="229">
        <f>SUMIF(MAG!$BA$5:$BG$5,BS$177,MAG!$BA19:$BG19)</f>
        <v>0</v>
      </c>
      <c r="BT312" s="229">
        <f>SUMIF(MAG!$BA$5:$BG$5,BT$177,MAG!$BA19:$BG19)</f>
        <v>0</v>
      </c>
      <c r="BU312" s="229">
        <f>SUMIF(MAG!$BA$5:$BG$5,BU$177,MAG!$BA19:$BG19)</f>
        <v>0</v>
      </c>
      <c r="BV312" s="229">
        <f>SUMIF(MAG!$BA$5:$BG$5,BV$177,MAG!$BA19:$BG19)</f>
        <v>0</v>
      </c>
      <c r="BW312" s="229">
        <f>SUMIF(MAG!$BA$5:$BG$5,BW$177,MAG!$BA19:$BG19)</f>
        <v>0</v>
      </c>
      <c r="BX312" s="230">
        <f>SUMIF(MAG!$BA$5:$BG$5,BX$177,MAG!$BA19:$BG19)</f>
        <v>0</v>
      </c>
      <c r="BY312" s="998">
        <f>SUMIF(MAG!$BA$5:$BG$5,BY$177,MAG!$BA19:$BG19)</f>
        <v>0</v>
      </c>
      <c r="CB312" s="252"/>
      <c r="CC312" s="61" t="e">
        <f t="shared" si="70"/>
        <v>#N/A</v>
      </c>
      <c r="CD312" s="61">
        <f t="shared" si="71"/>
        <v>0</v>
      </c>
      <c r="CE312" s="105" t="str">
        <f t="shared" si="64"/>
        <v/>
      </c>
      <c r="CF312" s="61" t="e">
        <f t="shared" si="72"/>
        <v>#N/A</v>
      </c>
      <c r="CG312" s="61" t="e">
        <f t="shared" si="73"/>
        <v>#N/A</v>
      </c>
      <c r="CH312" s="521">
        <f>MAG!AL19-CW312+CR312</f>
        <v>0</v>
      </c>
      <c r="CI312" s="228">
        <f>SUMIF(MAG!$G$121:$M$121,CI$178,MAG!$AM19:$AS19)+SUMIF($CS$178:$CV$178,CI$178,$CS312:$CV312)</f>
        <v>0</v>
      </c>
      <c r="CJ312" s="229">
        <f>SUMIF(MAG!$G$121:$M$121,CJ$178,MAG!$AM19:$AS19)+SUMIF($CS$178:$CV$178,CJ$178,$CS312:$CV312)</f>
        <v>0</v>
      </c>
      <c r="CK312" s="230">
        <f>SUMIF(MAG!$G$121:$M$121,CK$178,MAG!$AM19:$AS19)+SUMIF($CS$178:$CV$178,CK$178,$CS312:$CV312)</f>
        <v>0</v>
      </c>
      <c r="CL312" s="230">
        <f>SUMIF(MAG!$G$121:$M$121,CL$178,MAG!$AM19:$AS19)+SUMIF($CS$178:$CV$178,CL$178,$CS312:$CV312)</f>
        <v>0</v>
      </c>
      <c r="CM312" s="230">
        <f>SUMIF(MAG!$G$121:$M$121,CM$178,MAG!$AM19:$AS19)+SUMIF($CS$178:$CV$178,CM$178,$CS312:$CV312)</f>
        <v>0</v>
      </c>
      <c r="CN312" s="230">
        <f>SUMIF(MAG!$G$121:$M$121,CN$178,MAG!$AM19:$AS19)+SUMIF($CS$178:$CV$178,CN$178,$CS312:$CV312)</f>
        <v>0</v>
      </c>
      <c r="CO312" s="230">
        <f>SUMIF(MAG!$G$121:$M$121,CO$178,MAG!$AM19:$AS19)+SUMIF($CS$178:$CV$178,CO$178,$CS312:$CV312)</f>
        <v>0</v>
      </c>
      <c r="CP312" s="230">
        <f>SUMIF(MAG!$G$121:$M$121,CP$178,MAG!$AM19:$AS19)+SUMIF($CS$178:$CV$178,CP$178,$CS312:$CV312)</f>
        <v>0</v>
      </c>
      <c r="CQ312" s="231">
        <f>SUMIF(MAG!$G$121:$M$121,CQ$178,MAG!$AM19:$AS19)+SUMIF($CS$178:$CV$178,CQ$178,$CS312:$CV312)</f>
        <v>0</v>
      </c>
      <c r="CR312" s="521">
        <f>MAG!AU19</f>
        <v>0</v>
      </c>
      <c r="CS312" s="228">
        <f>MAG!AV19</f>
        <v>0</v>
      </c>
      <c r="CT312" s="229">
        <f>MAG!AW19</f>
        <v>0</v>
      </c>
      <c r="CU312" s="230">
        <f>MAG!AX19</f>
        <v>0</v>
      </c>
      <c r="CV312" s="231">
        <f>MAG!AY19</f>
        <v>0</v>
      </c>
      <c r="CW312" s="521">
        <f>SUM(MAG!AU19:AY19)</f>
        <v>0</v>
      </c>
      <c r="CX312" s="521">
        <f>MAG!AK19</f>
        <v>0</v>
      </c>
      <c r="CY312" s="2"/>
    </row>
    <row r="313" spans="1:103" ht="14.25" hidden="1" customHeight="1" x14ac:dyDescent="0.2">
      <c r="A313" s="2"/>
      <c r="B313" s="105">
        <f t="shared" si="74"/>
        <v>45425</v>
      </c>
      <c r="C313" s="146">
        <f>IF(AND(E313&gt;(E$561-1),E313&lt;(I$561+1)),W$551,IF(ISERROR(HLOOKUP(E313,$E$554:$L$554,1,FALSE)),HLOOKUP(WEEKDAY(E313,2),IMPOSTAZIONI!$C$52:$P$57,6,FALSE),$W$550))</f>
        <v>0</v>
      </c>
      <c r="D313" s="71" t="str">
        <f t="shared" si="75"/>
        <v/>
      </c>
      <c r="E313" s="2258">
        <f t="shared" si="80"/>
        <v>45425</v>
      </c>
      <c r="F313" s="2259"/>
      <c r="G313" s="2228" t="str">
        <f>MAG!E20</f>
        <v xml:space="preserve">disattivato  </v>
      </c>
      <c r="H313" s="2229"/>
      <c r="I313" s="2230"/>
      <c r="J313" s="262" t="str">
        <f t="shared" si="65"/>
        <v/>
      </c>
      <c r="K313" s="263"/>
      <c r="L313" s="2222">
        <f t="shared" si="63"/>
        <v>20</v>
      </c>
      <c r="M313" s="2223"/>
      <c r="N313" s="261"/>
      <c r="O313" s="261"/>
      <c r="P313" s="261"/>
      <c r="Q313" s="2219">
        <f t="shared" si="76"/>
        <v>45425</v>
      </c>
      <c r="R313" s="2219"/>
      <c r="S313" s="261"/>
      <c r="T313" s="1173">
        <f t="shared" si="66"/>
        <v>1</v>
      </c>
      <c r="U313" s="261"/>
      <c r="V313" s="261"/>
      <c r="W313" s="261"/>
      <c r="X313" s="261"/>
      <c r="Y313" s="261"/>
      <c r="Z313" s="261"/>
      <c r="AA313" s="261"/>
      <c r="AB313" s="261"/>
      <c r="AC313" s="261"/>
      <c r="AD313" s="261"/>
      <c r="AE313" s="261"/>
      <c r="AF313" s="261"/>
      <c r="AG313" s="1173">
        <f t="shared" si="77"/>
        <v>0</v>
      </c>
      <c r="AH313" s="61" t="str">
        <f t="shared" si="78"/>
        <v/>
      </c>
      <c r="AI313" s="89" t="e">
        <f t="shared" si="79"/>
        <v>#N/A</v>
      </c>
      <c r="AJ313" s="2"/>
      <c r="AK313" s="61">
        <f>IF(G313=G$547,0,IF(OR(G313&lt;&gt;0,CH313&lt;&gt;0,C313="L"),COUNTIF(AK$180:AK312,"&gt;0")+1,0))</f>
        <v>0</v>
      </c>
      <c r="AL313" s="61" t="str">
        <f t="shared" si="67"/>
        <v/>
      </c>
      <c r="AM313" s="61" t="e">
        <f t="shared" si="68"/>
        <v>#N/A</v>
      </c>
      <c r="AN313" s="89" t="e">
        <f t="shared" si="69"/>
        <v>#N/A</v>
      </c>
      <c r="AO313" s="230">
        <f>SUM(MAG!X20:AD20)-BD313+AY313</f>
        <v>0</v>
      </c>
      <c r="AP313" s="228">
        <f>SUMIF(MAG!$G$121:$M$121,AP$178,MAG!$P20:$V20)+SUMIF($AZ$178:$BC$178,AP$178,$AZ313:$BC313)</f>
        <v>0</v>
      </c>
      <c r="AQ313" s="229">
        <f>SUMIF(MAG!$G$121:$M$121,AQ$178,MAG!$P20:$V20)+SUMIF($AZ$178:$BC$178,AQ$178,$AZ313:$BC313)</f>
        <v>0</v>
      </c>
      <c r="AR313" s="230">
        <f>SUMIF(MAG!$G$121:$M$121,AR$178,MAG!$P20:$V20)+SUMIF($AZ$178:$BC$178,AR$178,$AZ313:$BC313)</f>
        <v>0</v>
      </c>
      <c r="AS313" s="230">
        <f>SUMIF(MAG!$G$121:$M$121,AS$178,MAG!$P20:$V20)+SUMIF($AZ$178:$BC$178,AS$178,$AZ313:$BC313)</f>
        <v>0</v>
      </c>
      <c r="AT313" s="230">
        <f>SUMIF(MAG!$G$121:$M$121,AT$178,MAG!$P20:$V20)+SUMIF($AZ$178:$BC$178,AT$178,$AZ313:$BC313)</f>
        <v>0</v>
      </c>
      <c r="AU313" s="230">
        <f>SUMIF(MAG!$G$121:$M$121,AU$178,MAG!$P20:$V20)+SUMIF($AZ$178:$BC$178,AU$178,$AZ313:$BC313)</f>
        <v>0</v>
      </c>
      <c r="AV313" s="230">
        <f>SUMIF(MAG!$G$121:$M$121,AV$178,MAG!$P20:$V20)+SUMIF($AZ$178:$BC$178,AV$178,$AZ313:$BC313)</f>
        <v>0</v>
      </c>
      <c r="AW313" s="230">
        <f>SUMIF(MAG!$G$121:$M$121,AW$178,MAG!$P20:$V20)+SUMIF($AZ$178:$BC$178,AW$178,$AZ313:$BC313)</f>
        <v>0</v>
      </c>
      <c r="AX313" s="231">
        <f>SUMIF(MAG!$G$121:$M$121,AX$178,MAG!$P20:$V20)+SUMIF($AZ$178:$BC$178,AX$178,$AZ313:$BC313)</f>
        <v>0</v>
      </c>
      <c r="AY313" s="232">
        <f>MAG!AF20</f>
        <v>0</v>
      </c>
      <c r="AZ313" s="228">
        <f>MAG!AG20</f>
        <v>0</v>
      </c>
      <c r="BA313" s="229">
        <f>MAG!AH20</f>
        <v>0</v>
      </c>
      <c r="BB313" s="230">
        <f>MAG!AI20</f>
        <v>0</v>
      </c>
      <c r="BC313" s="231">
        <f>MAG!AJ20</f>
        <v>0</v>
      </c>
      <c r="BD313" s="228">
        <f>SUMIF(MAG!$G$120:$M$120,"&gt;0",MAG!$X20:$AD20)</f>
        <v>0</v>
      </c>
      <c r="BE313" s="696"/>
      <c r="BF313" s="228">
        <f>SUMIF(MAG!$BA$6:$BG$6,BF$177,MAG!$BA20:$BG20)</f>
        <v>0</v>
      </c>
      <c r="BG313" s="229">
        <f>SUMIF(MAG!$BA$6:$BG$6,BG$177,MAG!$BA20:$BG20)</f>
        <v>0</v>
      </c>
      <c r="BH313" s="229">
        <f>SUMIF(MAG!$BA$6:$BG$6,BH$177,MAG!$BA20:$BG20)</f>
        <v>0</v>
      </c>
      <c r="BI313" s="229">
        <f>SUMIF(MAG!$BA$6:$BG$6,BI$177,MAG!$BA20:$BG20)</f>
        <v>0</v>
      </c>
      <c r="BJ313" s="229">
        <f>SUMIF(MAG!$BA$6:$BG$6,BJ$177,MAG!$BA20:$BG20)</f>
        <v>0</v>
      </c>
      <c r="BK313" s="229">
        <f>SUMIF(MAG!$BA$6:$BG$6,BK$177,MAG!$BA20:$BG20)</f>
        <v>0</v>
      </c>
      <c r="BL313" s="229">
        <f>SUMIF(MAG!$BA$6:$BG$6,BL$177,MAG!$BA20:$BG20)</f>
        <v>0</v>
      </c>
      <c r="BM313" s="229">
        <f>SUMIF(MAG!$BA$6:$BG$6,BM$177,MAG!$BA20:$BG20)</f>
        <v>0</v>
      </c>
      <c r="BN313" s="229">
        <f>SUMIF(MAG!$BA$6:$BG$6,BN$177,MAG!$BA20:$BG20)</f>
        <v>0</v>
      </c>
      <c r="BO313" s="231">
        <f>SUMIF(MAG!$BA$6:$BG$6,BO$177,MAG!$BA20:$BG20)</f>
        <v>0</v>
      </c>
      <c r="BP313" s="231">
        <f>SUMIF(MAG!$BA$6:$BG$6,BP$177,MAG!$BA20:$BG20)</f>
        <v>0</v>
      </c>
      <c r="BQ313" s="252"/>
      <c r="BR313" s="228">
        <f>SUMIF(MAG!$BA$5:$BG$5,BR$177,MAG!$BA20:$BG20)</f>
        <v>0</v>
      </c>
      <c r="BS313" s="229">
        <f>SUMIF(MAG!$BA$5:$BG$5,BS$177,MAG!$BA20:$BG20)</f>
        <v>0</v>
      </c>
      <c r="BT313" s="229">
        <f>SUMIF(MAG!$BA$5:$BG$5,BT$177,MAG!$BA20:$BG20)</f>
        <v>0</v>
      </c>
      <c r="BU313" s="229">
        <f>SUMIF(MAG!$BA$5:$BG$5,BU$177,MAG!$BA20:$BG20)</f>
        <v>0</v>
      </c>
      <c r="BV313" s="229">
        <f>SUMIF(MAG!$BA$5:$BG$5,BV$177,MAG!$BA20:$BG20)</f>
        <v>0</v>
      </c>
      <c r="BW313" s="229">
        <f>SUMIF(MAG!$BA$5:$BG$5,BW$177,MAG!$BA20:$BG20)</f>
        <v>0</v>
      </c>
      <c r="BX313" s="230">
        <f>SUMIF(MAG!$BA$5:$BG$5,BX$177,MAG!$BA20:$BG20)</f>
        <v>0</v>
      </c>
      <c r="BY313" s="998">
        <f>SUMIF(MAG!$BA$5:$BG$5,BY$177,MAG!$BA20:$BG20)</f>
        <v>0</v>
      </c>
      <c r="CB313" s="252"/>
      <c r="CC313" s="61" t="e">
        <f t="shared" si="70"/>
        <v>#N/A</v>
      </c>
      <c r="CD313" s="61">
        <f t="shared" si="71"/>
        <v>0</v>
      </c>
      <c r="CE313" s="105" t="str">
        <f t="shared" si="64"/>
        <v/>
      </c>
      <c r="CF313" s="61" t="e">
        <f t="shared" si="72"/>
        <v>#N/A</v>
      </c>
      <c r="CG313" s="61" t="e">
        <f t="shared" si="73"/>
        <v>#N/A</v>
      </c>
      <c r="CH313" s="521">
        <f>MAG!AL20-CW313+CR313</f>
        <v>0</v>
      </c>
      <c r="CI313" s="228">
        <f>SUMIF(MAG!$G$121:$M$121,CI$178,MAG!$AM20:$AS20)+SUMIF($CS$178:$CV$178,CI$178,$CS313:$CV313)</f>
        <v>0</v>
      </c>
      <c r="CJ313" s="229">
        <f>SUMIF(MAG!$G$121:$M$121,CJ$178,MAG!$AM20:$AS20)+SUMIF($CS$178:$CV$178,CJ$178,$CS313:$CV313)</f>
        <v>0</v>
      </c>
      <c r="CK313" s="230">
        <f>SUMIF(MAG!$G$121:$M$121,CK$178,MAG!$AM20:$AS20)+SUMIF($CS$178:$CV$178,CK$178,$CS313:$CV313)</f>
        <v>0</v>
      </c>
      <c r="CL313" s="230">
        <f>SUMIF(MAG!$G$121:$M$121,CL$178,MAG!$AM20:$AS20)+SUMIF($CS$178:$CV$178,CL$178,$CS313:$CV313)</f>
        <v>0</v>
      </c>
      <c r="CM313" s="230">
        <f>SUMIF(MAG!$G$121:$M$121,CM$178,MAG!$AM20:$AS20)+SUMIF($CS$178:$CV$178,CM$178,$CS313:$CV313)</f>
        <v>0</v>
      </c>
      <c r="CN313" s="230">
        <f>SUMIF(MAG!$G$121:$M$121,CN$178,MAG!$AM20:$AS20)+SUMIF($CS$178:$CV$178,CN$178,$CS313:$CV313)</f>
        <v>0</v>
      </c>
      <c r="CO313" s="230">
        <f>SUMIF(MAG!$G$121:$M$121,CO$178,MAG!$AM20:$AS20)+SUMIF($CS$178:$CV$178,CO$178,$CS313:$CV313)</f>
        <v>0</v>
      </c>
      <c r="CP313" s="230">
        <f>SUMIF(MAG!$G$121:$M$121,CP$178,MAG!$AM20:$AS20)+SUMIF($CS$178:$CV$178,CP$178,$CS313:$CV313)</f>
        <v>0</v>
      </c>
      <c r="CQ313" s="231">
        <f>SUMIF(MAG!$G$121:$M$121,CQ$178,MAG!$AM20:$AS20)+SUMIF($CS$178:$CV$178,CQ$178,$CS313:$CV313)</f>
        <v>0</v>
      </c>
      <c r="CR313" s="521">
        <f>MAG!AU20</f>
        <v>0</v>
      </c>
      <c r="CS313" s="228">
        <f>MAG!AV20</f>
        <v>0</v>
      </c>
      <c r="CT313" s="229">
        <f>MAG!AW20</f>
        <v>0</v>
      </c>
      <c r="CU313" s="230">
        <f>MAG!AX20</f>
        <v>0</v>
      </c>
      <c r="CV313" s="231">
        <f>MAG!AY20</f>
        <v>0</v>
      </c>
      <c r="CW313" s="521">
        <f>SUM(MAG!AU20:AY20)</f>
        <v>0</v>
      </c>
      <c r="CX313" s="521">
        <f>MAG!AK20</f>
        <v>0</v>
      </c>
      <c r="CY313" s="2"/>
    </row>
    <row r="314" spans="1:103" ht="14.25" hidden="1" customHeight="1" x14ac:dyDescent="0.2">
      <c r="A314" s="2"/>
      <c r="B314" s="105">
        <f t="shared" si="74"/>
        <v>45426</v>
      </c>
      <c r="C314" s="146">
        <f>IF(AND(E314&gt;(E$561-1),E314&lt;(I$561+1)),W$551,IF(ISERROR(HLOOKUP(E314,$E$554:$L$554,1,FALSE)),HLOOKUP(WEEKDAY(E314,2),IMPOSTAZIONI!$C$52:$P$57,6,FALSE),$W$550))</f>
        <v>0</v>
      </c>
      <c r="D314" s="71" t="str">
        <f t="shared" si="75"/>
        <v/>
      </c>
      <c r="E314" s="2258">
        <f t="shared" si="80"/>
        <v>45426</v>
      </c>
      <c r="F314" s="2259"/>
      <c r="G314" s="2228" t="str">
        <f>MAG!E21</f>
        <v xml:space="preserve">disattivato  </v>
      </c>
      <c r="H314" s="2229"/>
      <c r="I314" s="2230"/>
      <c r="J314" s="262" t="str">
        <f t="shared" si="65"/>
        <v/>
      </c>
      <c r="K314" s="263"/>
      <c r="L314" s="2217">
        <f t="shared" si="63"/>
        <v>20</v>
      </c>
      <c r="M314" s="2218"/>
      <c r="N314" s="261"/>
      <c r="O314" s="261"/>
      <c r="P314" s="261"/>
      <c r="Q314" s="2219">
        <f t="shared" si="76"/>
        <v>45426</v>
      </c>
      <c r="R314" s="2219"/>
      <c r="S314" s="261"/>
      <c r="T314" s="1173">
        <f t="shared" si="66"/>
        <v>1</v>
      </c>
      <c r="U314" s="261"/>
      <c r="V314" s="261"/>
      <c r="W314" s="261"/>
      <c r="X314" s="261"/>
      <c r="Y314" s="261"/>
      <c r="Z314" s="261"/>
      <c r="AA314" s="261"/>
      <c r="AB314" s="261"/>
      <c r="AC314" s="261"/>
      <c r="AD314" s="261"/>
      <c r="AE314" s="261"/>
      <c r="AF314" s="261"/>
      <c r="AG314" s="1173">
        <f t="shared" si="77"/>
        <v>0</v>
      </c>
      <c r="AH314" s="61" t="str">
        <f t="shared" si="78"/>
        <v/>
      </c>
      <c r="AI314" s="89" t="e">
        <f t="shared" si="79"/>
        <v>#N/A</v>
      </c>
      <c r="AJ314" s="2"/>
      <c r="AK314" s="61">
        <f>IF(G314=G$547,0,IF(OR(G314&lt;&gt;0,CH314&lt;&gt;0,C314="L"),COUNTIF(AK$180:AK313,"&gt;0")+1,0))</f>
        <v>0</v>
      </c>
      <c r="AL314" s="61" t="str">
        <f t="shared" si="67"/>
        <v/>
      </c>
      <c r="AM314" s="61" t="e">
        <f t="shared" si="68"/>
        <v>#N/A</v>
      </c>
      <c r="AN314" s="89" t="e">
        <f t="shared" si="69"/>
        <v>#N/A</v>
      </c>
      <c r="AO314" s="230">
        <f>SUM(MAG!X21:AD21)-BD314+AY314</f>
        <v>0</v>
      </c>
      <c r="AP314" s="228">
        <f>SUMIF(MAG!$G$121:$M$121,AP$178,MAG!$P21:$V21)+SUMIF($AZ$178:$BC$178,AP$178,$AZ314:$BC314)</f>
        <v>0</v>
      </c>
      <c r="AQ314" s="229">
        <f>SUMIF(MAG!$G$121:$M$121,AQ$178,MAG!$P21:$V21)+SUMIF($AZ$178:$BC$178,AQ$178,$AZ314:$BC314)</f>
        <v>0</v>
      </c>
      <c r="AR314" s="230">
        <f>SUMIF(MAG!$G$121:$M$121,AR$178,MAG!$P21:$V21)+SUMIF($AZ$178:$BC$178,AR$178,$AZ314:$BC314)</f>
        <v>0</v>
      </c>
      <c r="AS314" s="230">
        <f>SUMIF(MAG!$G$121:$M$121,AS$178,MAG!$P21:$V21)+SUMIF($AZ$178:$BC$178,AS$178,$AZ314:$BC314)</f>
        <v>0</v>
      </c>
      <c r="AT314" s="230">
        <f>SUMIF(MAG!$G$121:$M$121,AT$178,MAG!$P21:$V21)+SUMIF($AZ$178:$BC$178,AT$178,$AZ314:$BC314)</f>
        <v>0</v>
      </c>
      <c r="AU314" s="230">
        <f>SUMIF(MAG!$G$121:$M$121,AU$178,MAG!$P21:$V21)+SUMIF($AZ$178:$BC$178,AU$178,$AZ314:$BC314)</f>
        <v>0</v>
      </c>
      <c r="AV314" s="230">
        <f>SUMIF(MAG!$G$121:$M$121,AV$178,MAG!$P21:$V21)+SUMIF($AZ$178:$BC$178,AV$178,$AZ314:$BC314)</f>
        <v>0</v>
      </c>
      <c r="AW314" s="230">
        <f>SUMIF(MAG!$G$121:$M$121,AW$178,MAG!$P21:$V21)+SUMIF($AZ$178:$BC$178,AW$178,$AZ314:$BC314)</f>
        <v>0</v>
      </c>
      <c r="AX314" s="231">
        <f>SUMIF(MAG!$G$121:$M$121,AX$178,MAG!$P21:$V21)+SUMIF($AZ$178:$BC$178,AX$178,$AZ314:$BC314)</f>
        <v>0</v>
      </c>
      <c r="AY314" s="232">
        <f>MAG!AF21</f>
        <v>0</v>
      </c>
      <c r="AZ314" s="228">
        <f>MAG!AG21</f>
        <v>0</v>
      </c>
      <c r="BA314" s="229">
        <f>MAG!AH21</f>
        <v>0</v>
      </c>
      <c r="BB314" s="230">
        <f>MAG!AI21</f>
        <v>0</v>
      </c>
      <c r="BC314" s="231">
        <f>MAG!AJ21</f>
        <v>0</v>
      </c>
      <c r="BD314" s="228">
        <f>SUMIF(MAG!$G$120:$M$120,"&gt;0",MAG!$X21:$AD21)</f>
        <v>0</v>
      </c>
      <c r="BE314" s="696"/>
      <c r="BF314" s="228">
        <f>SUMIF(MAG!$BA$6:$BG$6,BF$177,MAG!$BA21:$BG21)</f>
        <v>0</v>
      </c>
      <c r="BG314" s="229">
        <f>SUMIF(MAG!$BA$6:$BG$6,BG$177,MAG!$BA21:$BG21)</f>
        <v>0</v>
      </c>
      <c r="BH314" s="229">
        <f>SUMIF(MAG!$BA$6:$BG$6,BH$177,MAG!$BA21:$BG21)</f>
        <v>0</v>
      </c>
      <c r="BI314" s="229">
        <f>SUMIF(MAG!$BA$6:$BG$6,BI$177,MAG!$BA21:$BG21)</f>
        <v>0</v>
      </c>
      <c r="BJ314" s="229">
        <f>SUMIF(MAG!$BA$6:$BG$6,BJ$177,MAG!$BA21:$BG21)</f>
        <v>0</v>
      </c>
      <c r="BK314" s="229">
        <f>SUMIF(MAG!$BA$6:$BG$6,BK$177,MAG!$BA21:$BG21)</f>
        <v>0</v>
      </c>
      <c r="BL314" s="229">
        <f>SUMIF(MAG!$BA$6:$BG$6,BL$177,MAG!$BA21:$BG21)</f>
        <v>0</v>
      </c>
      <c r="BM314" s="229">
        <f>SUMIF(MAG!$BA$6:$BG$6,BM$177,MAG!$BA21:$BG21)</f>
        <v>0</v>
      </c>
      <c r="BN314" s="229">
        <f>SUMIF(MAG!$BA$6:$BG$6,BN$177,MAG!$BA21:$BG21)</f>
        <v>0</v>
      </c>
      <c r="BO314" s="231">
        <f>SUMIF(MAG!$BA$6:$BG$6,BO$177,MAG!$BA21:$BG21)</f>
        <v>0</v>
      </c>
      <c r="BP314" s="231">
        <f>SUMIF(MAG!$BA$6:$BG$6,BP$177,MAG!$BA21:$BG21)</f>
        <v>0</v>
      </c>
      <c r="BQ314" s="252"/>
      <c r="BR314" s="228">
        <f>SUMIF(MAG!$BA$5:$BG$5,BR$177,MAG!$BA21:$BG21)</f>
        <v>0</v>
      </c>
      <c r="BS314" s="229">
        <f>SUMIF(MAG!$BA$5:$BG$5,BS$177,MAG!$BA21:$BG21)</f>
        <v>0</v>
      </c>
      <c r="BT314" s="229">
        <f>SUMIF(MAG!$BA$5:$BG$5,BT$177,MAG!$BA21:$BG21)</f>
        <v>0</v>
      </c>
      <c r="BU314" s="229">
        <f>SUMIF(MAG!$BA$5:$BG$5,BU$177,MAG!$BA21:$BG21)</f>
        <v>0</v>
      </c>
      <c r="BV314" s="229">
        <f>SUMIF(MAG!$BA$5:$BG$5,BV$177,MAG!$BA21:$BG21)</f>
        <v>0</v>
      </c>
      <c r="BW314" s="229">
        <f>SUMIF(MAG!$BA$5:$BG$5,BW$177,MAG!$BA21:$BG21)</f>
        <v>0</v>
      </c>
      <c r="BX314" s="230">
        <f>SUMIF(MAG!$BA$5:$BG$5,BX$177,MAG!$BA21:$BG21)</f>
        <v>0</v>
      </c>
      <c r="BY314" s="998">
        <f>SUMIF(MAG!$BA$5:$BG$5,BY$177,MAG!$BA21:$BG21)</f>
        <v>0</v>
      </c>
      <c r="CB314" s="252"/>
      <c r="CC314" s="61" t="e">
        <f t="shared" si="70"/>
        <v>#N/A</v>
      </c>
      <c r="CD314" s="61">
        <f t="shared" si="71"/>
        <v>0</v>
      </c>
      <c r="CE314" s="105" t="str">
        <f t="shared" si="64"/>
        <v/>
      </c>
      <c r="CF314" s="61" t="e">
        <f t="shared" si="72"/>
        <v>#N/A</v>
      </c>
      <c r="CG314" s="61" t="e">
        <f t="shared" si="73"/>
        <v>#N/A</v>
      </c>
      <c r="CH314" s="521">
        <f>MAG!AL21-CW314+CR314</f>
        <v>0</v>
      </c>
      <c r="CI314" s="228">
        <f>SUMIF(MAG!$G$121:$M$121,CI$178,MAG!$AM21:$AS21)+SUMIF($CS$178:$CV$178,CI$178,$CS314:$CV314)</f>
        <v>0</v>
      </c>
      <c r="CJ314" s="229">
        <f>SUMIF(MAG!$G$121:$M$121,CJ$178,MAG!$AM21:$AS21)+SUMIF($CS$178:$CV$178,CJ$178,$CS314:$CV314)</f>
        <v>0</v>
      </c>
      <c r="CK314" s="230">
        <f>SUMIF(MAG!$G$121:$M$121,CK$178,MAG!$AM21:$AS21)+SUMIF($CS$178:$CV$178,CK$178,$CS314:$CV314)</f>
        <v>0</v>
      </c>
      <c r="CL314" s="230">
        <f>SUMIF(MAG!$G$121:$M$121,CL$178,MAG!$AM21:$AS21)+SUMIF($CS$178:$CV$178,CL$178,$CS314:$CV314)</f>
        <v>0</v>
      </c>
      <c r="CM314" s="230">
        <f>SUMIF(MAG!$G$121:$M$121,CM$178,MAG!$AM21:$AS21)+SUMIF($CS$178:$CV$178,CM$178,$CS314:$CV314)</f>
        <v>0</v>
      </c>
      <c r="CN314" s="230">
        <f>SUMIF(MAG!$G$121:$M$121,CN$178,MAG!$AM21:$AS21)+SUMIF($CS$178:$CV$178,CN$178,$CS314:$CV314)</f>
        <v>0</v>
      </c>
      <c r="CO314" s="230">
        <f>SUMIF(MAG!$G$121:$M$121,CO$178,MAG!$AM21:$AS21)+SUMIF($CS$178:$CV$178,CO$178,$CS314:$CV314)</f>
        <v>0</v>
      </c>
      <c r="CP314" s="230">
        <f>SUMIF(MAG!$G$121:$M$121,CP$178,MAG!$AM21:$AS21)+SUMIF($CS$178:$CV$178,CP$178,$CS314:$CV314)</f>
        <v>0</v>
      </c>
      <c r="CQ314" s="231">
        <f>SUMIF(MAG!$G$121:$M$121,CQ$178,MAG!$AM21:$AS21)+SUMIF($CS$178:$CV$178,CQ$178,$CS314:$CV314)</f>
        <v>0</v>
      </c>
      <c r="CR314" s="521">
        <f>MAG!AU21</f>
        <v>0</v>
      </c>
      <c r="CS314" s="228">
        <f>MAG!AV21</f>
        <v>0</v>
      </c>
      <c r="CT314" s="229">
        <f>MAG!AW21</f>
        <v>0</v>
      </c>
      <c r="CU314" s="230">
        <f>MAG!AX21</f>
        <v>0</v>
      </c>
      <c r="CV314" s="231">
        <f>MAG!AY21</f>
        <v>0</v>
      </c>
      <c r="CW314" s="521">
        <f>SUM(MAG!AU21:AY21)</f>
        <v>0</v>
      </c>
      <c r="CX314" s="521">
        <f>MAG!AK21</f>
        <v>0</v>
      </c>
      <c r="CY314" s="2"/>
    </row>
    <row r="315" spans="1:103" ht="14.25" hidden="1" customHeight="1" x14ac:dyDescent="0.2">
      <c r="A315" s="2"/>
      <c r="B315" s="105">
        <f t="shared" si="74"/>
        <v>45427</v>
      </c>
      <c r="C315" s="146">
        <f>IF(AND(E315&gt;(E$561-1),E315&lt;(I$561+1)),W$551,IF(ISERROR(HLOOKUP(E315,$E$554:$L$554,1,FALSE)),HLOOKUP(WEEKDAY(E315,2),IMPOSTAZIONI!$C$52:$P$57,6,FALSE),$W$550))</f>
        <v>0</v>
      </c>
      <c r="D315" s="71" t="str">
        <f t="shared" si="75"/>
        <v/>
      </c>
      <c r="E315" s="2258">
        <f t="shared" si="80"/>
        <v>45427</v>
      </c>
      <c r="F315" s="2259"/>
      <c r="G315" s="2228" t="str">
        <f>MAG!E22</f>
        <v xml:space="preserve">disattivato  </v>
      </c>
      <c r="H315" s="2229"/>
      <c r="I315" s="2230"/>
      <c r="J315" s="262" t="str">
        <f t="shared" si="65"/>
        <v/>
      </c>
      <c r="K315" s="263"/>
      <c r="L315" s="2217">
        <f t="shared" si="63"/>
        <v>20</v>
      </c>
      <c r="M315" s="2218"/>
      <c r="N315" s="261"/>
      <c r="O315" s="261"/>
      <c r="P315" s="261"/>
      <c r="Q315" s="2219">
        <f t="shared" si="76"/>
        <v>45427</v>
      </c>
      <c r="R315" s="2219"/>
      <c r="S315" s="261"/>
      <c r="T315" s="1173">
        <f t="shared" si="66"/>
        <v>1</v>
      </c>
      <c r="U315" s="261"/>
      <c r="V315" s="261"/>
      <c r="W315" s="261"/>
      <c r="X315" s="261"/>
      <c r="Y315" s="261"/>
      <c r="Z315" s="261"/>
      <c r="AA315" s="261"/>
      <c r="AB315" s="261"/>
      <c r="AC315" s="261"/>
      <c r="AD315" s="261"/>
      <c r="AE315" s="261"/>
      <c r="AF315" s="261"/>
      <c r="AG315" s="1173">
        <f t="shared" si="77"/>
        <v>0</v>
      </c>
      <c r="AH315" s="61" t="str">
        <f t="shared" si="78"/>
        <v/>
      </c>
      <c r="AI315" s="89" t="e">
        <f t="shared" si="79"/>
        <v>#N/A</v>
      </c>
      <c r="AJ315" s="2"/>
      <c r="AK315" s="61">
        <f>IF(G315=G$547,0,IF(OR(G315&lt;&gt;0,CH315&lt;&gt;0,C315="L"),COUNTIF(AK$180:AK314,"&gt;0")+1,0))</f>
        <v>0</v>
      </c>
      <c r="AL315" s="61" t="str">
        <f t="shared" si="67"/>
        <v/>
      </c>
      <c r="AM315" s="61" t="e">
        <f t="shared" si="68"/>
        <v>#N/A</v>
      </c>
      <c r="AN315" s="89" t="e">
        <f t="shared" si="69"/>
        <v>#N/A</v>
      </c>
      <c r="AO315" s="230">
        <f>SUM(MAG!X22:AD22)-BD315+AY315</f>
        <v>0</v>
      </c>
      <c r="AP315" s="228">
        <f>SUMIF(MAG!$G$121:$M$121,AP$178,MAG!$P22:$V22)+SUMIF($AZ$178:$BC$178,AP$178,$AZ315:$BC315)</f>
        <v>0</v>
      </c>
      <c r="AQ315" s="229">
        <f>SUMIF(MAG!$G$121:$M$121,AQ$178,MAG!$P22:$V22)+SUMIF($AZ$178:$BC$178,AQ$178,$AZ315:$BC315)</f>
        <v>0</v>
      </c>
      <c r="AR315" s="230">
        <f>SUMIF(MAG!$G$121:$M$121,AR$178,MAG!$P22:$V22)+SUMIF($AZ$178:$BC$178,AR$178,$AZ315:$BC315)</f>
        <v>0</v>
      </c>
      <c r="AS315" s="230">
        <f>SUMIF(MAG!$G$121:$M$121,AS$178,MAG!$P22:$V22)+SUMIF($AZ$178:$BC$178,AS$178,$AZ315:$BC315)</f>
        <v>0</v>
      </c>
      <c r="AT315" s="230">
        <f>SUMIF(MAG!$G$121:$M$121,AT$178,MAG!$P22:$V22)+SUMIF($AZ$178:$BC$178,AT$178,$AZ315:$BC315)</f>
        <v>0</v>
      </c>
      <c r="AU315" s="230">
        <f>SUMIF(MAG!$G$121:$M$121,AU$178,MAG!$P22:$V22)+SUMIF($AZ$178:$BC$178,AU$178,$AZ315:$BC315)</f>
        <v>0</v>
      </c>
      <c r="AV315" s="230">
        <f>SUMIF(MAG!$G$121:$M$121,AV$178,MAG!$P22:$V22)+SUMIF($AZ$178:$BC$178,AV$178,$AZ315:$BC315)</f>
        <v>0</v>
      </c>
      <c r="AW315" s="230">
        <f>SUMIF(MAG!$G$121:$M$121,AW$178,MAG!$P22:$V22)+SUMIF($AZ$178:$BC$178,AW$178,$AZ315:$BC315)</f>
        <v>0</v>
      </c>
      <c r="AX315" s="231">
        <f>SUMIF(MAG!$G$121:$M$121,AX$178,MAG!$P22:$V22)+SUMIF($AZ$178:$BC$178,AX$178,$AZ315:$BC315)</f>
        <v>0</v>
      </c>
      <c r="AY315" s="232">
        <f>MAG!AF22</f>
        <v>0</v>
      </c>
      <c r="AZ315" s="228">
        <f>MAG!AG22</f>
        <v>0</v>
      </c>
      <c r="BA315" s="229">
        <f>MAG!AH22</f>
        <v>0</v>
      </c>
      <c r="BB315" s="230">
        <f>MAG!AI22</f>
        <v>0</v>
      </c>
      <c r="BC315" s="231">
        <f>MAG!AJ22</f>
        <v>0</v>
      </c>
      <c r="BD315" s="228">
        <f>SUMIF(MAG!$G$120:$M$120,"&gt;0",MAG!$X22:$AD22)</f>
        <v>0</v>
      </c>
      <c r="BE315" s="696"/>
      <c r="BF315" s="228">
        <f>SUMIF(MAG!$BA$6:$BG$6,BF$177,MAG!$BA22:$BG22)</f>
        <v>0</v>
      </c>
      <c r="BG315" s="229">
        <f>SUMIF(MAG!$BA$6:$BG$6,BG$177,MAG!$BA22:$BG22)</f>
        <v>0</v>
      </c>
      <c r="BH315" s="229">
        <f>SUMIF(MAG!$BA$6:$BG$6,BH$177,MAG!$BA22:$BG22)</f>
        <v>0</v>
      </c>
      <c r="BI315" s="229">
        <f>SUMIF(MAG!$BA$6:$BG$6,BI$177,MAG!$BA22:$BG22)</f>
        <v>0</v>
      </c>
      <c r="BJ315" s="229">
        <f>SUMIF(MAG!$BA$6:$BG$6,BJ$177,MAG!$BA22:$BG22)</f>
        <v>0</v>
      </c>
      <c r="BK315" s="229">
        <f>SUMIF(MAG!$BA$6:$BG$6,BK$177,MAG!$BA22:$BG22)</f>
        <v>0</v>
      </c>
      <c r="BL315" s="229">
        <f>SUMIF(MAG!$BA$6:$BG$6,BL$177,MAG!$BA22:$BG22)</f>
        <v>0</v>
      </c>
      <c r="BM315" s="229">
        <f>SUMIF(MAG!$BA$6:$BG$6,BM$177,MAG!$BA22:$BG22)</f>
        <v>0</v>
      </c>
      <c r="BN315" s="229">
        <f>SUMIF(MAG!$BA$6:$BG$6,BN$177,MAG!$BA22:$BG22)</f>
        <v>0</v>
      </c>
      <c r="BO315" s="231">
        <f>SUMIF(MAG!$BA$6:$BG$6,BO$177,MAG!$BA22:$BG22)</f>
        <v>0</v>
      </c>
      <c r="BP315" s="231">
        <f>SUMIF(MAG!$BA$6:$BG$6,BP$177,MAG!$BA22:$BG22)</f>
        <v>0</v>
      </c>
      <c r="BQ315" s="252"/>
      <c r="BR315" s="228">
        <f>SUMIF(MAG!$BA$5:$BG$5,BR$177,MAG!$BA22:$BG22)</f>
        <v>0</v>
      </c>
      <c r="BS315" s="229">
        <f>SUMIF(MAG!$BA$5:$BG$5,BS$177,MAG!$BA22:$BG22)</f>
        <v>0</v>
      </c>
      <c r="BT315" s="229">
        <f>SUMIF(MAG!$BA$5:$BG$5,BT$177,MAG!$BA22:$BG22)</f>
        <v>0</v>
      </c>
      <c r="BU315" s="229">
        <f>SUMIF(MAG!$BA$5:$BG$5,BU$177,MAG!$BA22:$BG22)</f>
        <v>0</v>
      </c>
      <c r="BV315" s="229">
        <f>SUMIF(MAG!$BA$5:$BG$5,BV$177,MAG!$BA22:$BG22)</f>
        <v>0</v>
      </c>
      <c r="BW315" s="229">
        <f>SUMIF(MAG!$BA$5:$BG$5,BW$177,MAG!$BA22:$BG22)</f>
        <v>0</v>
      </c>
      <c r="BX315" s="230">
        <f>SUMIF(MAG!$BA$5:$BG$5,BX$177,MAG!$BA22:$BG22)</f>
        <v>0</v>
      </c>
      <c r="BY315" s="998">
        <f>SUMIF(MAG!$BA$5:$BG$5,BY$177,MAG!$BA22:$BG22)</f>
        <v>0</v>
      </c>
      <c r="CB315" s="252"/>
      <c r="CC315" s="61" t="e">
        <f t="shared" si="70"/>
        <v>#N/A</v>
      </c>
      <c r="CD315" s="61">
        <f t="shared" si="71"/>
        <v>0</v>
      </c>
      <c r="CE315" s="105" t="str">
        <f t="shared" si="64"/>
        <v/>
      </c>
      <c r="CF315" s="61" t="e">
        <f t="shared" si="72"/>
        <v>#N/A</v>
      </c>
      <c r="CG315" s="61" t="e">
        <f t="shared" si="73"/>
        <v>#N/A</v>
      </c>
      <c r="CH315" s="521">
        <f>MAG!AL22-CW315+CR315</f>
        <v>0</v>
      </c>
      <c r="CI315" s="228">
        <f>SUMIF(MAG!$G$121:$M$121,CI$178,MAG!$AM22:$AS22)+SUMIF($CS$178:$CV$178,CI$178,$CS315:$CV315)</f>
        <v>0</v>
      </c>
      <c r="CJ315" s="229">
        <f>SUMIF(MAG!$G$121:$M$121,CJ$178,MAG!$AM22:$AS22)+SUMIF($CS$178:$CV$178,CJ$178,$CS315:$CV315)</f>
        <v>0</v>
      </c>
      <c r="CK315" s="230">
        <f>SUMIF(MAG!$G$121:$M$121,CK$178,MAG!$AM22:$AS22)+SUMIF($CS$178:$CV$178,CK$178,$CS315:$CV315)</f>
        <v>0</v>
      </c>
      <c r="CL315" s="230">
        <f>SUMIF(MAG!$G$121:$M$121,CL$178,MAG!$AM22:$AS22)+SUMIF($CS$178:$CV$178,CL$178,$CS315:$CV315)</f>
        <v>0</v>
      </c>
      <c r="CM315" s="230">
        <f>SUMIF(MAG!$G$121:$M$121,CM$178,MAG!$AM22:$AS22)+SUMIF($CS$178:$CV$178,CM$178,$CS315:$CV315)</f>
        <v>0</v>
      </c>
      <c r="CN315" s="230">
        <f>SUMIF(MAG!$G$121:$M$121,CN$178,MAG!$AM22:$AS22)+SUMIF($CS$178:$CV$178,CN$178,$CS315:$CV315)</f>
        <v>0</v>
      </c>
      <c r="CO315" s="230">
        <f>SUMIF(MAG!$G$121:$M$121,CO$178,MAG!$AM22:$AS22)+SUMIF($CS$178:$CV$178,CO$178,$CS315:$CV315)</f>
        <v>0</v>
      </c>
      <c r="CP315" s="230">
        <f>SUMIF(MAG!$G$121:$M$121,CP$178,MAG!$AM22:$AS22)+SUMIF($CS$178:$CV$178,CP$178,$CS315:$CV315)</f>
        <v>0</v>
      </c>
      <c r="CQ315" s="231">
        <f>SUMIF(MAG!$G$121:$M$121,CQ$178,MAG!$AM22:$AS22)+SUMIF($CS$178:$CV$178,CQ$178,$CS315:$CV315)</f>
        <v>0</v>
      </c>
      <c r="CR315" s="521">
        <f>MAG!AU22</f>
        <v>0</v>
      </c>
      <c r="CS315" s="228">
        <f>MAG!AV22</f>
        <v>0</v>
      </c>
      <c r="CT315" s="229">
        <f>MAG!AW22</f>
        <v>0</v>
      </c>
      <c r="CU315" s="230">
        <f>MAG!AX22</f>
        <v>0</v>
      </c>
      <c r="CV315" s="231">
        <f>MAG!AY22</f>
        <v>0</v>
      </c>
      <c r="CW315" s="521">
        <f>SUM(MAG!AU22:AY22)</f>
        <v>0</v>
      </c>
      <c r="CX315" s="521">
        <f>MAG!AK22</f>
        <v>0</v>
      </c>
      <c r="CY315" s="2"/>
    </row>
    <row r="316" spans="1:103" ht="14.25" hidden="1" customHeight="1" x14ac:dyDescent="0.2">
      <c r="A316" s="2"/>
      <c r="B316" s="105">
        <f t="shared" si="74"/>
        <v>45428</v>
      </c>
      <c r="C316" s="146">
        <f>IF(AND(E316&gt;(E$561-1),E316&lt;(I$561+1)),W$551,IF(ISERROR(HLOOKUP(E316,$E$554:$L$554,1,FALSE)),HLOOKUP(WEEKDAY(E316,2),IMPOSTAZIONI!$C$52:$P$57,6,FALSE),$W$550))</f>
        <v>0</v>
      </c>
      <c r="D316" s="71" t="str">
        <f t="shared" si="75"/>
        <v/>
      </c>
      <c r="E316" s="2258">
        <f t="shared" si="80"/>
        <v>45428</v>
      </c>
      <c r="F316" s="2259"/>
      <c r="G316" s="2228" t="str">
        <f>MAG!E23</f>
        <v xml:space="preserve">disattivato  </v>
      </c>
      <c r="H316" s="2229"/>
      <c r="I316" s="2230"/>
      <c r="J316" s="262" t="str">
        <f t="shared" si="65"/>
        <v/>
      </c>
      <c r="K316" s="263"/>
      <c r="L316" s="2217">
        <f t="shared" si="63"/>
        <v>20</v>
      </c>
      <c r="M316" s="2218"/>
      <c r="N316" s="261"/>
      <c r="O316" s="261"/>
      <c r="P316" s="261"/>
      <c r="Q316" s="2219">
        <f t="shared" si="76"/>
        <v>45428</v>
      </c>
      <c r="R316" s="2219"/>
      <c r="S316" s="261"/>
      <c r="T316" s="1173">
        <f t="shared" si="66"/>
        <v>1</v>
      </c>
      <c r="U316" s="261"/>
      <c r="V316" s="261"/>
      <c r="W316" s="261"/>
      <c r="X316" s="261"/>
      <c r="Y316" s="261"/>
      <c r="Z316" s="261"/>
      <c r="AA316" s="261"/>
      <c r="AB316" s="261"/>
      <c r="AC316" s="261"/>
      <c r="AD316" s="261"/>
      <c r="AE316" s="261"/>
      <c r="AF316" s="261"/>
      <c r="AG316" s="1173">
        <f t="shared" si="77"/>
        <v>0</v>
      </c>
      <c r="AH316" s="61" t="str">
        <f t="shared" si="78"/>
        <v/>
      </c>
      <c r="AI316" s="89" t="e">
        <f t="shared" si="79"/>
        <v>#N/A</v>
      </c>
      <c r="AJ316" s="2"/>
      <c r="AK316" s="61">
        <f>IF(G316=G$547,0,IF(OR(G316&lt;&gt;0,CH316&lt;&gt;0,C316="L"),COUNTIF(AK$180:AK315,"&gt;0")+1,0))</f>
        <v>0</v>
      </c>
      <c r="AL316" s="61" t="str">
        <f t="shared" si="67"/>
        <v/>
      </c>
      <c r="AM316" s="61" t="e">
        <f t="shared" si="68"/>
        <v>#N/A</v>
      </c>
      <c r="AN316" s="89" t="e">
        <f t="shared" si="69"/>
        <v>#N/A</v>
      </c>
      <c r="AO316" s="230">
        <f>SUM(MAG!X23:AD23)-BD316+AY316</f>
        <v>0</v>
      </c>
      <c r="AP316" s="228">
        <f>SUMIF(MAG!$G$121:$M$121,AP$178,MAG!$P23:$V23)+SUMIF($AZ$178:$BC$178,AP$178,$AZ316:$BC316)</f>
        <v>0</v>
      </c>
      <c r="AQ316" s="229">
        <f>SUMIF(MAG!$G$121:$M$121,AQ$178,MAG!$P23:$V23)+SUMIF($AZ$178:$BC$178,AQ$178,$AZ316:$BC316)</f>
        <v>0</v>
      </c>
      <c r="AR316" s="230">
        <f>SUMIF(MAG!$G$121:$M$121,AR$178,MAG!$P23:$V23)+SUMIF($AZ$178:$BC$178,AR$178,$AZ316:$BC316)</f>
        <v>0</v>
      </c>
      <c r="AS316" s="230">
        <f>SUMIF(MAG!$G$121:$M$121,AS$178,MAG!$P23:$V23)+SUMIF($AZ$178:$BC$178,AS$178,$AZ316:$BC316)</f>
        <v>0</v>
      </c>
      <c r="AT316" s="230">
        <f>SUMIF(MAG!$G$121:$M$121,AT$178,MAG!$P23:$V23)+SUMIF($AZ$178:$BC$178,AT$178,$AZ316:$BC316)</f>
        <v>0</v>
      </c>
      <c r="AU316" s="230">
        <f>SUMIF(MAG!$G$121:$M$121,AU$178,MAG!$P23:$V23)+SUMIF($AZ$178:$BC$178,AU$178,$AZ316:$BC316)</f>
        <v>0</v>
      </c>
      <c r="AV316" s="230">
        <f>SUMIF(MAG!$G$121:$M$121,AV$178,MAG!$P23:$V23)+SUMIF($AZ$178:$BC$178,AV$178,$AZ316:$BC316)</f>
        <v>0</v>
      </c>
      <c r="AW316" s="230">
        <f>SUMIF(MAG!$G$121:$M$121,AW$178,MAG!$P23:$V23)+SUMIF($AZ$178:$BC$178,AW$178,$AZ316:$BC316)</f>
        <v>0</v>
      </c>
      <c r="AX316" s="231">
        <f>SUMIF(MAG!$G$121:$M$121,AX$178,MAG!$P23:$V23)+SUMIF($AZ$178:$BC$178,AX$178,$AZ316:$BC316)</f>
        <v>0</v>
      </c>
      <c r="AY316" s="232">
        <f>MAG!AF23</f>
        <v>0</v>
      </c>
      <c r="AZ316" s="228">
        <f>MAG!AG23</f>
        <v>0</v>
      </c>
      <c r="BA316" s="229">
        <f>MAG!AH23</f>
        <v>0</v>
      </c>
      <c r="BB316" s="230">
        <f>MAG!AI23</f>
        <v>0</v>
      </c>
      <c r="BC316" s="231">
        <f>MAG!AJ23</f>
        <v>0</v>
      </c>
      <c r="BD316" s="228">
        <f>SUMIF(MAG!$G$120:$M$120,"&gt;0",MAG!$X23:$AD23)</f>
        <v>0</v>
      </c>
      <c r="BE316" s="696"/>
      <c r="BF316" s="228">
        <f>SUMIF(MAG!$BA$6:$BG$6,BF$177,MAG!$BA23:$BG23)</f>
        <v>0</v>
      </c>
      <c r="BG316" s="229">
        <f>SUMIF(MAG!$BA$6:$BG$6,BG$177,MAG!$BA23:$BG23)</f>
        <v>0</v>
      </c>
      <c r="BH316" s="229">
        <f>SUMIF(MAG!$BA$6:$BG$6,BH$177,MAG!$BA23:$BG23)</f>
        <v>0</v>
      </c>
      <c r="BI316" s="229">
        <f>SUMIF(MAG!$BA$6:$BG$6,BI$177,MAG!$BA23:$BG23)</f>
        <v>0</v>
      </c>
      <c r="BJ316" s="229">
        <f>SUMIF(MAG!$BA$6:$BG$6,BJ$177,MAG!$BA23:$BG23)</f>
        <v>0</v>
      </c>
      <c r="BK316" s="229">
        <f>SUMIF(MAG!$BA$6:$BG$6,BK$177,MAG!$BA23:$BG23)</f>
        <v>0</v>
      </c>
      <c r="BL316" s="229">
        <f>SUMIF(MAG!$BA$6:$BG$6,BL$177,MAG!$BA23:$BG23)</f>
        <v>0</v>
      </c>
      <c r="BM316" s="229">
        <f>SUMIF(MAG!$BA$6:$BG$6,BM$177,MAG!$BA23:$BG23)</f>
        <v>0</v>
      </c>
      <c r="BN316" s="229">
        <f>SUMIF(MAG!$BA$6:$BG$6,BN$177,MAG!$BA23:$BG23)</f>
        <v>0</v>
      </c>
      <c r="BO316" s="231">
        <f>SUMIF(MAG!$BA$6:$BG$6,BO$177,MAG!$BA23:$BG23)</f>
        <v>0</v>
      </c>
      <c r="BP316" s="231">
        <f>SUMIF(MAG!$BA$6:$BG$6,BP$177,MAG!$BA23:$BG23)</f>
        <v>0</v>
      </c>
      <c r="BQ316" s="252"/>
      <c r="BR316" s="228">
        <f>SUMIF(MAG!$BA$5:$BG$5,BR$177,MAG!$BA23:$BG23)</f>
        <v>0</v>
      </c>
      <c r="BS316" s="229">
        <f>SUMIF(MAG!$BA$5:$BG$5,BS$177,MAG!$BA23:$BG23)</f>
        <v>0</v>
      </c>
      <c r="BT316" s="229">
        <f>SUMIF(MAG!$BA$5:$BG$5,BT$177,MAG!$BA23:$BG23)</f>
        <v>0</v>
      </c>
      <c r="BU316" s="229">
        <f>SUMIF(MAG!$BA$5:$BG$5,BU$177,MAG!$BA23:$BG23)</f>
        <v>0</v>
      </c>
      <c r="BV316" s="229">
        <f>SUMIF(MAG!$BA$5:$BG$5,BV$177,MAG!$BA23:$BG23)</f>
        <v>0</v>
      </c>
      <c r="BW316" s="229">
        <f>SUMIF(MAG!$BA$5:$BG$5,BW$177,MAG!$BA23:$BG23)</f>
        <v>0</v>
      </c>
      <c r="BX316" s="230">
        <f>SUMIF(MAG!$BA$5:$BG$5,BX$177,MAG!$BA23:$BG23)</f>
        <v>0</v>
      </c>
      <c r="BY316" s="998">
        <f>SUMIF(MAG!$BA$5:$BG$5,BY$177,MAG!$BA23:$BG23)</f>
        <v>0</v>
      </c>
      <c r="CB316" s="252"/>
      <c r="CC316" s="61" t="e">
        <f t="shared" si="70"/>
        <v>#N/A</v>
      </c>
      <c r="CD316" s="61">
        <f t="shared" si="71"/>
        <v>0</v>
      </c>
      <c r="CE316" s="105" t="str">
        <f t="shared" si="64"/>
        <v/>
      </c>
      <c r="CF316" s="61" t="e">
        <f t="shared" si="72"/>
        <v>#N/A</v>
      </c>
      <c r="CG316" s="61" t="e">
        <f t="shared" si="73"/>
        <v>#N/A</v>
      </c>
      <c r="CH316" s="521">
        <f>MAG!AL23-CW316+CR316</f>
        <v>0</v>
      </c>
      <c r="CI316" s="228">
        <f>SUMIF(MAG!$G$121:$M$121,CI$178,MAG!$AM23:$AS23)+SUMIF($CS$178:$CV$178,CI$178,$CS316:$CV316)</f>
        <v>0</v>
      </c>
      <c r="CJ316" s="229">
        <f>SUMIF(MAG!$G$121:$M$121,CJ$178,MAG!$AM23:$AS23)+SUMIF($CS$178:$CV$178,CJ$178,$CS316:$CV316)</f>
        <v>0</v>
      </c>
      <c r="CK316" s="230">
        <f>SUMIF(MAG!$G$121:$M$121,CK$178,MAG!$AM23:$AS23)+SUMIF($CS$178:$CV$178,CK$178,$CS316:$CV316)</f>
        <v>0</v>
      </c>
      <c r="CL316" s="230">
        <f>SUMIF(MAG!$G$121:$M$121,CL$178,MAG!$AM23:$AS23)+SUMIF($CS$178:$CV$178,CL$178,$CS316:$CV316)</f>
        <v>0</v>
      </c>
      <c r="CM316" s="230">
        <f>SUMIF(MAG!$G$121:$M$121,CM$178,MAG!$AM23:$AS23)+SUMIF($CS$178:$CV$178,CM$178,$CS316:$CV316)</f>
        <v>0</v>
      </c>
      <c r="CN316" s="230">
        <f>SUMIF(MAG!$G$121:$M$121,CN$178,MAG!$AM23:$AS23)+SUMIF($CS$178:$CV$178,CN$178,$CS316:$CV316)</f>
        <v>0</v>
      </c>
      <c r="CO316" s="230">
        <f>SUMIF(MAG!$G$121:$M$121,CO$178,MAG!$AM23:$AS23)+SUMIF($CS$178:$CV$178,CO$178,$CS316:$CV316)</f>
        <v>0</v>
      </c>
      <c r="CP316" s="230">
        <f>SUMIF(MAG!$G$121:$M$121,CP$178,MAG!$AM23:$AS23)+SUMIF($CS$178:$CV$178,CP$178,$CS316:$CV316)</f>
        <v>0</v>
      </c>
      <c r="CQ316" s="231">
        <f>SUMIF(MAG!$G$121:$M$121,CQ$178,MAG!$AM23:$AS23)+SUMIF($CS$178:$CV$178,CQ$178,$CS316:$CV316)</f>
        <v>0</v>
      </c>
      <c r="CR316" s="521">
        <f>MAG!AU23</f>
        <v>0</v>
      </c>
      <c r="CS316" s="228">
        <f>MAG!AV23</f>
        <v>0</v>
      </c>
      <c r="CT316" s="229">
        <f>MAG!AW23</f>
        <v>0</v>
      </c>
      <c r="CU316" s="230">
        <f>MAG!AX23</f>
        <v>0</v>
      </c>
      <c r="CV316" s="231">
        <f>MAG!AY23</f>
        <v>0</v>
      </c>
      <c r="CW316" s="521">
        <f>SUM(MAG!AU23:AY23)</f>
        <v>0</v>
      </c>
      <c r="CX316" s="521">
        <f>MAG!AK23</f>
        <v>0</v>
      </c>
      <c r="CY316" s="2"/>
    </row>
    <row r="317" spans="1:103" ht="14.25" hidden="1" customHeight="1" x14ac:dyDescent="0.2">
      <c r="A317" s="2"/>
      <c r="B317" s="105">
        <f t="shared" si="74"/>
        <v>45429</v>
      </c>
      <c r="C317" s="146">
        <f>IF(AND(E317&gt;(E$561-1),E317&lt;(I$561+1)),W$551,IF(ISERROR(HLOOKUP(E317,$E$554:$L$554,1,FALSE)),HLOOKUP(WEEKDAY(E317,2),IMPOSTAZIONI!$C$52:$P$57,6,FALSE),$W$550))</f>
        <v>0</v>
      </c>
      <c r="D317" s="71" t="str">
        <f t="shared" si="75"/>
        <v/>
      </c>
      <c r="E317" s="2258">
        <f t="shared" si="80"/>
        <v>45429</v>
      </c>
      <c r="F317" s="2259"/>
      <c r="G317" s="2228" t="str">
        <f>MAG!E24</f>
        <v xml:space="preserve">disattivato  </v>
      </c>
      <c r="H317" s="2229"/>
      <c r="I317" s="2230"/>
      <c r="J317" s="262" t="str">
        <f t="shared" si="65"/>
        <v/>
      </c>
      <c r="K317" s="263"/>
      <c r="L317" s="2217">
        <f t="shared" si="63"/>
        <v>20</v>
      </c>
      <c r="M317" s="2218"/>
      <c r="N317" s="261"/>
      <c r="O317" s="261"/>
      <c r="P317" s="261"/>
      <c r="Q317" s="2219">
        <f t="shared" si="76"/>
        <v>45429</v>
      </c>
      <c r="R317" s="2219"/>
      <c r="S317" s="261"/>
      <c r="T317" s="1173">
        <f t="shared" si="66"/>
        <v>1</v>
      </c>
      <c r="U317" s="261"/>
      <c r="V317" s="261"/>
      <c r="W317" s="261"/>
      <c r="X317" s="261"/>
      <c r="Y317" s="261"/>
      <c r="Z317" s="261"/>
      <c r="AA317" s="261"/>
      <c r="AB317" s="261"/>
      <c r="AC317" s="261"/>
      <c r="AD317" s="261"/>
      <c r="AE317" s="261"/>
      <c r="AF317" s="261"/>
      <c r="AG317" s="1173">
        <f t="shared" si="77"/>
        <v>0</v>
      </c>
      <c r="AH317" s="61" t="str">
        <f t="shared" si="78"/>
        <v/>
      </c>
      <c r="AI317" s="89" t="e">
        <f t="shared" si="79"/>
        <v>#N/A</v>
      </c>
      <c r="AJ317" s="2"/>
      <c r="AK317" s="61">
        <f>IF(G317=G$547,0,IF(OR(G317&lt;&gt;0,CH317&lt;&gt;0,C317="L"),COUNTIF(AK$180:AK316,"&gt;0")+1,0))</f>
        <v>0</v>
      </c>
      <c r="AL317" s="61" t="str">
        <f t="shared" si="67"/>
        <v/>
      </c>
      <c r="AM317" s="61" t="e">
        <f t="shared" si="68"/>
        <v>#N/A</v>
      </c>
      <c r="AN317" s="89" t="e">
        <f t="shared" si="69"/>
        <v>#N/A</v>
      </c>
      <c r="AO317" s="230">
        <f>SUM(MAG!X24:AD24)-BD317+AY317</f>
        <v>0</v>
      </c>
      <c r="AP317" s="228">
        <f>SUMIF(MAG!$G$121:$M$121,AP$178,MAG!$P24:$V24)+SUMIF($AZ$178:$BC$178,AP$178,$AZ317:$BC317)</f>
        <v>0</v>
      </c>
      <c r="AQ317" s="229">
        <f>SUMIF(MAG!$G$121:$M$121,AQ$178,MAG!$P24:$V24)+SUMIF($AZ$178:$BC$178,AQ$178,$AZ317:$BC317)</f>
        <v>0</v>
      </c>
      <c r="AR317" s="230">
        <f>SUMIF(MAG!$G$121:$M$121,AR$178,MAG!$P24:$V24)+SUMIF($AZ$178:$BC$178,AR$178,$AZ317:$BC317)</f>
        <v>0</v>
      </c>
      <c r="AS317" s="230">
        <f>SUMIF(MAG!$G$121:$M$121,AS$178,MAG!$P24:$V24)+SUMIF($AZ$178:$BC$178,AS$178,$AZ317:$BC317)</f>
        <v>0</v>
      </c>
      <c r="AT317" s="230">
        <f>SUMIF(MAG!$G$121:$M$121,AT$178,MAG!$P24:$V24)+SUMIF($AZ$178:$BC$178,AT$178,$AZ317:$BC317)</f>
        <v>0</v>
      </c>
      <c r="AU317" s="230">
        <f>SUMIF(MAG!$G$121:$M$121,AU$178,MAG!$P24:$V24)+SUMIF($AZ$178:$BC$178,AU$178,$AZ317:$BC317)</f>
        <v>0</v>
      </c>
      <c r="AV317" s="230">
        <f>SUMIF(MAG!$G$121:$M$121,AV$178,MAG!$P24:$V24)+SUMIF($AZ$178:$BC$178,AV$178,$AZ317:$BC317)</f>
        <v>0</v>
      </c>
      <c r="AW317" s="230">
        <f>SUMIF(MAG!$G$121:$M$121,AW$178,MAG!$P24:$V24)+SUMIF($AZ$178:$BC$178,AW$178,$AZ317:$BC317)</f>
        <v>0</v>
      </c>
      <c r="AX317" s="231">
        <f>SUMIF(MAG!$G$121:$M$121,AX$178,MAG!$P24:$V24)+SUMIF($AZ$178:$BC$178,AX$178,$AZ317:$BC317)</f>
        <v>0</v>
      </c>
      <c r="AY317" s="232">
        <f>MAG!AF24</f>
        <v>0</v>
      </c>
      <c r="AZ317" s="228">
        <f>MAG!AG24</f>
        <v>0</v>
      </c>
      <c r="BA317" s="229">
        <f>MAG!AH24</f>
        <v>0</v>
      </c>
      <c r="BB317" s="230">
        <f>MAG!AI24</f>
        <v>0</v>
      </c>
      <c r="BC317" s="231">
        <f>MAG!AJ24</f>
        <v>0</v>
      </c>
      <c r="BD317" s="228">
        <f>SUMIF(MAG!$G$120:$M$120,"&gt;0",MAG!$X24:$AD24)</f>
        <v>0</v>
      </c>
      <c r="BE317" s="696"/>
      <c r="BF317" s="228">
        <f>SUMIF(MAG!$BA$6:$BG$6,BF$177,MAG!$BA24:$BG24)</f>
        <v>0</v>
      </c>
      <c r="BG317" s="229">
        <f>SUMIF(MAG!$BA$6:$BG$6,BG$177,MAG!$BA24:$BG24)</f>
        <v>0</v>
      </c>
      <c r="BH317" s="229">
        <f>SUMIF(MAG!$BA$6:$BG$6,BH$177,MAG!$BA24:$BG24)</f>
        <v>0</v>
      </c>
      <c r="BI317" s="229">
        <f>SUMIF(MAG!$BA$6:$BG$6,BI$177,MAG!$BA24:$BG24)</f>
        <v>0</v>
      </c>
      <c r="BJ317" s="229">
        <f>SUMIF(MAG!$BA$6:$BG$6,BJ$177,MAG!$BA24:$BG24)</f>
        <v>0</v>
      </c>
      <c r="BK317" s="229">
        <f>SUMIF(MAG!$BA$6:$BG$6,BK$177,MAG!$BA24:$BG24)</f>
        <v>0</v>
      </c>
      <c r="BL317" s="229">
        <f>SUMIF(MAG!$BA$6:$BG$6,BL$177,MAG!$BA24:$BG24)</f>
        <v>0</v>
      </c>
      <c r="BM317" s="229">
        <f>SUMIF(MAG!$BA$6:$BG$6,BM$177,MAG!$BA24:$BG24)</f>
        <v>0</v>
      </c>
      <c r="BN317" s="229">
        <f>SUMIF(MAG!$BA$6:$BG$6,BN$177,MAG!$BA24:$BG24)</f>
        <v>0</v>
      </c>
      <c r="BO317" s="231">
        <f>SUMIF(MAG!$BA$6:$BG$6,BO$177,MAG!$BA24:$BG24)</f>
        <v>0</v>
      </c>
      <c r="BP317" s="231">
        <f>SUMIF(MAG!$BA$6:$BG$6,BP$177,MAG!$BA24:$BG24)</f>
        <v>0</v>
      </c>
      <c r="BQ317" s="252"/>
      <c r="BR317" s="228">
        <f>SUMIF(MAG!$BA$5:$BG$5,BR$177,MAG!$BA24:$BG24)</f>
        <v>0</v>
      </c>
      <c r="BS317" s="229">
        <f>SUMIF(MAG!$BA$5:$BG$5,BS$177,MAG!$BA24:$BG24)</f>
        <v>0</v>
      </c>
      <c r="BT317" s="229">
        <f>SUMIF(MAG!$BA$5:$BG$5,BT$177,MAG!$BA24:$BG24)</f>
        <v>0</v>
      </c>
      <c r="BU317" s="229">
        <f>SUMIF(MAG!$BA$5:$BG$5,BU$177,MAG!$BA24:$BG24)</f>
        <v>0</v>
      </c>
      <c r="BV317" s="229">
        <f>SUMIF(MAG!$BA$5:$BG$5,BV$177,MAG!$BA24:$BG24)</f>
        <v>0</v>
      </c>
      <c r="BW317" s="229">
        <f>SUMIF(MAG!$BA$5:$BG$5,BW$177,MAG!$BA24:$BG24)</f>
        <v>0</v>
      </c>
      <c r="BX317" s="230">
        <f>SUMIF(MAG!$BA$5:$BG$5,BX$177,MAG!$BA24:$BG24)</f>
        <v>0</v>
      </c>
      <c r="BY317" s="998">
        <f>SUMIF(MAG!$BA$5:$BG$5,BY$177,MAG!$BA24:$BG24)</f>
        <v>0</v>
      </c>
      <c r="CB317" s="252"/>
      <c r="CC317" s="61" t="e">
        <f t="shared" si="70"/>
        <v>#N/A</v>
      </c>
      <c r="CD317" s="61">
        <f t="shared" si="71"/>
        <v>0</v>
      </c>
      <c r="CE317" s="105" t="str">
        <f t="shared" si="64"/>
        <v/>
      </c>
      <c r="CF317" s="61" t="e">
        <f t="shared" si="72"/>
        <v>#N/A</v>
      </c>
      <c r="CG317" s="61" t="e">
        <f t="shared" si="73"/>
        <v>#N/A</v>
      </c>
      <c r="CH317" s="521">
        <f>MAG!AL24-CW317+CR317</f>
        <v>0</v>
      </c>
      <c r="CI317" s="228">
        <f>SUMIF(MAG!$G$121:$M$121,CI$178,MAG!$AM24:$AS24)+SUMIF($CS$178:$CV$178,CI$178,$CS317:$CV317)</f>
        <v>0</v>
      </c>
      <c r="CJ317" s="229">
        <f>SUMIF(MAG!$G$121:$M$121,CJ$178,MAG!$AM24:$AS24)+SUMIF($CS$178:$CV$178,CJ$178,$CS317:$CV317)</f>
        <v>0</v>
      </c>
      <c r="CK317" s="230">
        <f>SUMIF(MAG!$G$121:$M$121,CK$178,MAG!$AM24:$AS24)+SUMIF($CS$178:$CV$178,CK$178,$CS317:$CV317)</f>
        <v>0</v>
      </c>
      <c r="CL317" s="230">
        <f>SUMIF(MAG!$G$121:$M$121,CL$178,MAG!$AM24:$AS24)+SUMIF($CS$178:$CV$178,CL$178,$CS317:$CV317)</f>
        <v>0</v>
      </c>
      <c r="CM317" s="230">
        <f>SUMIF(MAG!$G$121:$M$121,CM$178,MAG!$AM24:$AS24)+SUMIF($CS$178:$CV$178,CM$178,$CS317:$CV317)</f>
        <v>0</v>
      </c>
      <c r="CN317" s="230">
        <f>SUMIF(MAG!$G$121:$M$121,CN$178,MAG!$AM24:$AS24)+SUMIF($CS$178:$CV$178,CN$178,$CS317:$CV317)</f>
        <v>0</v>
      </c>
      <c r="CO317" s="230">
        <f>SUMIF(MAG!$G$121:$M$121,CO$178,MAG!$AM24:$AS24)+SUMIF($CS$178:$CV$178,CO$178,$CS317:$CV317)</f>
        <v>0</v>
      </c>
      <c r="CP317" s="230">
        <f>SUMIF(MAG!$G$121:$M$121,CP$178,MAG!$AM24:$AS24)+SUMIF($CS$178:$CV$178,CP$178,$CS317:$CV317)</f>
        <v>0</v>
      </c>
      <c r="CQ317" s="231">
        <f>SUMIF(MAG!$G$121:$M$121,CQ$178,MAG!$AM24:$AS24)+SUMIF($CS$178:$CV$178,CQ$178,$CS317:$CV317)</f>
        <v>0</v>
      </c>
      <c r="CR317" s="521">
        <f>MAG!AU24</f>
        <v>0</v>
      </c>
      <c r="CS317" s="228">
        <f>MAG!AV24</f>
        <v>0</v>
      </c>
      <c r="CT317" s="229">
        <f>MAG!AW24</f>
        <v>0</v>
      </c>
      <c r="CU317" s="230">
        <f>MAG!AX24</f>
        <v>0</v>
      </c>
      <c r="CV317" s="231">
        <f>MAG!AY24</f>
        <v>0</v>
      </c>
      <c r="CW317" s="521">
        <f>SUM(MAG!AU24:AY24)</f>
        <v>0</v>
      </c>
      <c r="CX317" s="521">
        <f>MAG!AK24</f>
        <v>0</v>
      </c>
      <c r="CY317" s="2"/>
    </row>
    <row r="318" spans="1:103" ht="14.25" hidden="1" customHeight="1" x14ac:dyDescent="0.2">
      <c r="A318" s="2"/>
      <c r="B318" s="105">
        <f t="shared" si="74"/>
        <v>45430</v>
      </c>
      <c r="C318" s="146">
        <f>IF(AND(E318&gt;(E$561-1),E318&lt;(I$561+1)),W$551,IF(ISERROR(HLOOKUP(E318,$E$554:$L$554,1,FALSE)),HLOOKUP(WEEKDAY(E318,2),IMPOSTAZIONI!$C$52:$P$57,6,FALSE),$W$550))</f>
        <v>0</v>
      </c>
      <c r="D318" s="71" t="str">
        <f t="shared" si="75"/>
        <v/>
      </c>
      <c r="E318" s="2258">
        <f t="shared" si="80"/>
        <v>45430</v>
      </c>
      <c r="F318" s="2259"/>
      <c r="G318" s="2228" t="str">
        <f>MAG!E25</f>
        <v xml:space="preserve">disattivato  </v>
      </c>
      <c r="H318" s="2229"/>
      <c r="I318" s="2230"/>
      <c r="J318" s="262" t="str">
        <f t="shared" si="65"/>
        <v/>
      </c>
      <c r="K318" s="263"/>
      <c r="L318" s="2217">
        <f t="shared" ref="L318:L381" si="81">L311+1</f>
        <v>20</v>
      </c>
      <c r="M318" s="2218"/>
      <c r="N318" s="261"/>
      <c r="O318" s="261"/>
      <c r="P318" s="261"/>
      <c r="Q318" s="2219">
        <f t="shared" si="76"/>
        <v>45430</v>
      </c>
      <c r="R318" s="2219"/>
      <c r="S318" s="261"/>
      <c r="T318" s="1173">
        <f t="shared" si="66"/>
        <v>1</v>
      </c>
      <c r="U318" s="261"/>
      <c r="V318" s="261"/>
      <c r="W318" s="261"/>
      <c r="X318" s="261"/>
      <c r="Y318" s="261"/>
      <c r="Z318" s="261"/>
      <c r="AA318" s="261"/>
      <c r="AB318" s="261"/>
      <c r="AC318" s="261"/>
      <c r="AD318" s="261"/>
      <c r="AE318" s="261"/>
      <c r="AF318" s="261"/>
      <c r="AG318" s="1173">
        <f t="shared" si="77"/>
        <v>0</v>
      </c>
      <c r="AH318" s="61" t="str">
        <f t="shared" si="78"/>
        <v/>
      </c>
      <c r="AI318" s="89" t="e">
        <f t="shared" si="79"/>
        <v>#N/A</v>
      </c>
      <c r="AJ318" s="2"/>
      <c r="AK318" s="61">
        <f>IF(G318=G$547,0,IF(OR(G318&lt;&gt;0,CH318&lt;&gt;0,C318="L"),COUNTIF(AK$180:AK317,"&gt;0")+1,0))</f>
        <v>0</v>
      </c>
      <c r="AL318" s="61" t="str">
        <f t="shared" si="67"/>
        <v/>
      </c>
      <c r="AM318" s="61" t="e">
        <f t="shared" si="68"/>
        <v>#N/A</v>
      </c>
      <c r="AN318" s="89" t="e">
        <f t="shared" si="69"/>
        <v>#N/A</v>
      </c>
      <c r="AO318" s="230">
        <f>SUM(MAG!X25:AD25)-BD318+AY318</f>
        <v>0</v>
      </c>
      <c r="AP318" s="228">
        <f>SUMIF(MAG!$G$121:$M$121,AP$178,MAG!$P25:$V25)+SUMIF($AZ$178:$BC$178,AP$178,$AZ318:$BC318)</f>
        <v>0</v>
      </c>
      <c r="AQ318" s="229">
        <f>SUMIF(MAG!$G$121:$M$121,AQ$178,MAG!$P25:$V25)+SUMIF($AZ$178:$BC$178,AQ$178,$AZ318:$BC318)</f>
        <v>0</v>
      </c>
      <c r="AR318" s="230">
        <f>SUMIF(MAG!$G$121:$M$121,AR$178,MAG!$P25:$V25)+SUMIF($AZ$178:$BC$178,AR$178,$AZ318:$BC318)</f>
        <v>0</v>
      </c>
      <c r="AS318" s="230">
        <f>SUMIF(MAG!$G$121:$M$121,AS$178,MAG!$P25:$V25)+SUMIF($AZ$178:$BC$178,AS$178,$AZ318:$BC318)</f>
        <v>0</v>
      </c>
      <c r="AT318" s="230">
        <f>SUMIF(MAG!$G$121:$M$121,AT$178,MAG!$P25:$V25)+SUMIF($AZ$178:$BC$178,AT$178,$AZ318:$BC318)</f>
        <v>0</v>
      </c>
      <c r="AU318" s="230">
        <f>SUMIF(MAG!$G$121:$M$121,AU$178,MAG!$P25:$V25)+SUMIF($AZ$178:$BC$178,AU$178,$AZ318:$BC318)</f>
        <v>0</v>
      </c>
      <c r="AV318" s="230">
        <f>SUMIF(MAG!$G$121:$M$121,AV$178,MAG!$P25:$V25)+SUMIF($AZ$178:$BC$178,AV$178,$AZ318:$BC318)</f>
        <v>0</v>
      </c>
      <c r="AW318" s="230">
        <f>SUMIF(MAG!$G$121:$M$121,AW$178,MAG!$P25:$V25)+SUMIF($AZ$178:$BC$178,AW$178,$AZ318:$BC318)</f>
        <v>0</v>
      </c>
      <c r="AX318" s="231">
        <f>SUMIF(MAG!$G$121:$M$121,AX$178,MAG!$P25:$V25)+SUMIF($AZ$178:$BC$178,AX$178,$AZ318:$BC318)</f>
        <v>0</v>
      </c>
      <c r="AY318" s="232">
        <f>MAG!AF25</f>
        <v>0</v>
      </c>
      <c r="AZ318" s="228">
        <f>MAG!AG25</f>
        <v>0</v>
      </c>
      <c r="BA318" s="229">
        <f>MAG!AH25</f>
        <v>0</v>
      </c>
      <c r="BB318" s="230">
        <f>MAG!AI25</f>
        <v>0</v>
      </c>
      <c r="BC318" s="231">
        <f>MAG!AJ25</f>
        <v>0</v>
      </c>
      <c r="BD318" s="228">
        <f>SUMIF(MAG!$G$120:$M$120,"&gt;0",MAG!$X25:$AD25)</f>
        <v>0</v>
      </c>
      <c r="BE318" s="696"/>
      <c r="BF318" s="228">
        <f>SUMIF(MAG!$BA$6:$BG$6,BF$177,MAG!$BA25:$BG25)</f>
        <v>0</v>
      </c>
      <c r="BG318" s="229">
        <f>SUMIF(MAG!$BA$6:$BG$6,BG$177,MAG!$BA25:$BG25)</f>
        <v>0</v>
      </c>
      <c r="BH318" s="229">
        <f>SUMIF(MAG!$BA$6:$BG$6,BH$177,MAG!$BA25:$BG25)</f>
        <v>0</v>
      </c>
      <c r="BI318" s="229">
        <f>SUMIF(MAG!$BA$6:$BG$6,BI$177,MAG!$BA25:$BG25)</f>
        <v>0</v>
      </c>
      <c r="BJ318" s="229">
        <f>SUMIF(MAG!$BA$6:$BG$6,BJ$177,MAG!$BA25:$BG25)</f>
        <v>0</v>
      </c>
      <c r="BK318" s="229">
        <f>SUMIF(MAG!$BA$6:$BG$6,BK$177,MAG!$BA25:$BG25)</f>
        <v>0</v>
      </c>
      <c r="BL318" s="229">
        <f>SUMIF(MAG!$BA$6:$BG$6,BL$177,MAG!$BA25:$BG25)</f>
        <v>0</v>
      </c>
      <c r="BM318" s="229">
        <f>SUMIF(MAG!$BA$6:$BG$6,BM$177,MAG!$BA25:$BG25)</f>
        <v>0</v>
      </c>
      <c r="BN318" s="229">
        <f>SUMIF(MAG!$BA$6:$BG$6,BN$177,MAG!$BA25:$BG25)</f>
        <v>0</v>
      </c>
      <c r="BO318" s="231">
        <f>SUMIF(MAG!$BA$6:$BG$6,BO$177,MAG!$BA25:$BG25)</f>
        <v>0</v>
      </c>
      <c r="BP318" s="231">
        <f>SUMIF(MAG!$BA$6:$BG$6,BP$177,MAG!$BA25:$BG25)</f>
        <v>0</v>
      </c>
      <c r="BQ318" s="252"/>
      <c r="BR318" s="228">
        <f>SUMIF(MAG!$BA$5:$BG$5,BR$177,MAG!$BA25:$BG25)</f>
        <v>0</v>
      </c>
      <c r="BS318" s="229">
        <f>SUMIF(MAG!$BA$5:$BG$5,BS$177,MAG!$BA25:$BG25)</f>
        <v>0</v>
      </c>
      <c r="BT318" s="229">
        <f>SUMIF(MAG!$BA$5:$BG$5,BT$177,MAG!$BA25:$BG25)</f>
        <v>0</v>
      </c>
      <c r="BU318" s="229">
        <f>SUMIF(MAG!$BA$5:$BG$5,BU$177,MAG!$BA25:$BG25)</f>
        <v>0</v>
      </c>
      <c r="BV318" s="229">
        <f>SUMIF(MAG!$BA$5:$BG$5,BV$177,MAG!$BA25:$BG25)</f>
        <v>0</v>
      </c>
      <c r="BW318" s="229">
        <f>SUMIF(MAG!$BA$5:$BG$5,BW$177,MAG!$BA25:$BG25)</f>
        <v>0</v>
      </c>
      <c r="BX318" s="230">
        <f>SUMIF(MAG!$BA$5:$BG$5,BX$177,MAG!$BA25:$BG25)</f>
        <v>0</v>
      </c>
      <c r="BY318" s="998">
        <f>SUMIF(MAG!$BA$5:$BG$5,BY$177,MAG!$BA25:$BG25)</f>
        <v>0</v>
      </c>
      <c r="CB318" s="252"/>
      <c r="CC318" s="61" t="e">
        <f t="shared" si="70"/>
        <v>#N/A</v>
      </c>
      <c r="CD318" s="61">
        <f t="shared" si="71"/>
        <v>0</v>
      </c>
      <c r="CE318" s="105" t="str">
        <f t="shared" si="64"/>
        <v/>
      </c>
      <c r="CF318" s="61" t="e">
        <f t="shared" si="72"/>
        <v>#N/A</v>
      </c>
      <c r="CG318" s="61" t="e">
        <f t="shared" si="73"/>
        <v>#N/A</v>
      </c>
      <c r="CH318" s="521">
        <f>MAG!AL25-CW318+CR318</f>
        <v>0</v>
      </c>
      <c r="CI318" s="228">
        <f>SUMIF(MAG!$G$121:$M$121,CI$178,MAG!$AM25:$AS25)+SUMIF($CS$178:$CV$178,CI$178,$CS318:$CV318)</f>
        <v>0</v>
      </c>
      <c r="CJ318" s="229">
        <f>SUMIF(MAG!$G$121:$M$121,CJ$178,MAG!$AM25:$AS25)+SUMIF($CS$178:$CV$178,CJ$178,$CS318:$CV318)</f>
        <v>0</v>
      </c>
      <c r="CK318" s="230">
        <f>SUMIF(MAG!$G$121:$M$121,CK$178,MAG!$AM25:$AS25)+SUMIF($CS$178:$CV$178,CK$178,$CS318:$CV318)</f>
        <v>0</v>
      </c>
      <c r="CL318" s="230">
        <f>SUMIF(MAG!$G$121:$M$121,CL$178,MAG!$AM25:$AS25)+SUMIF($CS$178:$CV$178,CL$178,$CS318:$CV318)</f>
        <v>0</v>
      </c>
      <c r="CM318" s="230">
        <f>SUMIF(MAG!$G$121:$M$121,CM$178,MAG!$AM25:$AS25)+SUMIF($CS$178:$CV$178,CM$178,$CS318:$CV318)</f>
        <v>0</v>
      </c>
      <c r="CN318" s="230">
        <f>SUMIF(MAG!$G$121:$M$121,CN$178,MAG!$AM25:$AS25)+SUMIF($CS$178:$CV$178,CN$178,$CS318:$CV318)</f>
        <v>0</v>
      </c>
      <c r="CO318" s="230">
        <f>SUMIF(MAG!$G$121:$M$121,CO$178,MAG!$AM25:$AS25)+SUMIF($CS$178:$CV$178,CO$178,$CS318:$CV318)</f>
        <v>0</v>
      </c>
      <c r="CP318" s="230">
        <f>SUMIF(MAG!$G$121:$M$121,CP$178,MAG!$AM25:$AS25)+SUMIF($CS$178:$CV$178,CP$178,$CS318:$CV318)</f>
        <v>0</v>
      </c>
      <c r="CQ318" s="231">
        <f>SUMIF(MAG!$G$121:$M$121,CQ$178,MAG!$AM25:$AS25)+SUMIF($CS$178:$CV$178,CQ$178,$CS318:$CV318)</f>
        <v>0</v>
      </c>
      <c r="CR318" s="521">
        <f>MAG!AU25</f>
        <v>0</v>
      </c>
      <c r="CS318" s="228">
        <f>MAG!AV25</f>
        <v>0</v>
      </c>
      <c r="CT318" s="229">
        <f>MAG!AW25</f>
        <v>0</v>
      </c>
      <c r="CU318" s="230">
        <f>MAG!AX25</f>
        <v>0</v>
      </c>
      <c r="CV318" s="231">
        <f>MAG!AY25</f>
        <v>0</v>
      </c>
      <c r="CW318" s="521">
        <f>SUM(MAG!AU25:AY25)</f>
        <v>0</v>
      </c>
      <c r="CX318" s="521">
        <f>MAG!AK25</f>
        <v>0</v>
      </c>
      <c r="CY318" s="2"/>
    </row>
    <row r="319" spans="1:103" ht="14.25" hidden="1" customHeight="1" x14ac:dyDescent="0.2">
      <c r="A319" s="2"/>
      <c r="B319" s="105">
        <f t="shared" si="74"/>
        <v>45431</v>
      </c>
      <c r="C319" s="146">
        <f>IF(AND(E319&gt;(E$561-1),E319&lt;(I$561+1)),W$551,IF(ISERROR(HLOOKUP(E319,$E$554:$L$554,1,FALSE)),HLOOKUP(WEEKDAY(E319,2),IMPOSTAZIONI!$C$52:$P$57,6,FALSE),$W$550))</f>
        <v>0</v>
      </c>
      <c r="D319" s="71" t="str">
        <f t="shared" si="75"/>
        <v/>
      </c>
      <c r="E319" s="2258">
        <f t="shared" si="80"/>
        <v>45431</v>
      </c>
      <c r="F319" s="2259"/>
      <c r="G319" s="2228" t="str">
        <f>MAG!E26</f>
        <v xml:space="preserve">disattivato  </v>
      </c>
      <c r="H319" s="2229"/>
      <c r="I319" s="2230"/>
      <c r="J319" s="262" t="str">
        <f t="shared" si="65"/>
        <v/>
      </c>
      <c r="K319" s="263"/>
      <c r="L319" s="2220">
        <f t="shared" si="81"/>
        <v>20</v>
      </c>
      <c r="M319" s="2221"/>
      <c r="N319" s="261"/>
      <c r="O319" s="261"/>
      <c r="P319" s="261"/>
      <c r="Q319" s="2219">
        <f t="shared" si="76"/>
        <v>45431</v>
      </c>
      <c r="R319" s="2219"/>
      <c r="S319" s="261"/>
      <c r="T319" s="1173">
        <f t="shared" si="66"/>
        <v>1</v>
      </c>
      <c r="U319" s="261"/>
      <c r="V319" s="261"/>
      <c r="W319" s="261"/>
      <c r="X319" s="261"/>
      <c r="Y319" s="261"/>
      <c r="Z319" s="261"/>
      <c r="AA319" s="261"/>
      <c r="AB319" s="261"/>
      <c r="AC319" s="261"/>
      <c r="AD319" s="261"/>
      <c r="AE319" s="261"/>
      <c r="AF319" s="261"/>
      <c r="AG319" s="1173">
        <f t="shared" si="77"/>
        <v>0</v>
      </c>
      <c r="AH319" s="61" t="str">
        <f t="shared" si="78"/>
        <v/>
      </c>
      <c r="AI319" s="89" t="e">
        <f t="shared" si="79"/>
        <v>#N/A</v>
      </c>
      <c r="AJ319" s="2"/>
      <c r="AK319" s="61">
        <f>IF(G319=G$547,0,IF(OR(G319&lt;&gt;0,CH319&lt;&gt;0,C319="L"),COUNTIF(AK$180:AK318,"&gt;0")+1,0))</f>
        <v>0</v>
      </c>
      <c r="AL319" s="61" t="str">
        <f t="shared" si="67"/>
        <v/>
      </c>
      <c r="AM319" s="61" t="e">
        <f t="shared" si="68"/>
        <v>#N/A</v>
      </c>
      <c r="AN319" s="89" t="e">
        <f t="shared" si="69"/>
        <v>#N/A</v>
      </c>
      <c r="AO319" s="230">
        <f>SUM(MAG!X26:AD26)-BD319+AY319</f>
        <v>0</v>
      </c>
      <c r="AP319" s="228">
        <f>SUMIF(MAG!$G$121:$M$121,AP$178,MAG!$P26:$V26)+SUMIF($AZ$178:$BC$178,AP$178,$AZ319:$BC319)</f>
        <v>0</v>
      </c>
      <c r="AQ319" s="229">
        <f>SUMIF(MAG!$G$121:$M$121,AQ$178,MAG!$P26:$V26)+SUMIF($AZ$178:$BC$178,AQ$178,$AZ319:$BC319)</f>
        <v>0</v>
      </c>
      <c r="AR319" s="230">
        <f>SUMIF(MAG!$G$121:$M$121,AR$178,MAG!$P26:$V26)+SUMIF($AZ$178:$BC$178,AR$178,$AZ319:$BC319)</f>
        <v>0</v>
      </c>
      <c r="AS319" s="230">
        <f>SUMIF(MAG!$G$121:$M$121,AS$178,MAG!$P26:$V26)+SUMIF($AZ$178:$BC$178,AS$178,$AZ319:$BC319)</f>
        <v>0</v>
      </c>
      <c r="AT319" s="230">
        <f>SUMIF(MAG!$G$121:$M$121,AT$178,MAG!$P26:$V26)+SUMIF($AZ$178:$BC$178,AT$178,$AZ319:$BC319)</f>
        <v>0</v>
      </c>
      <c r="AU319" s="230">
        <f>SUMIF(MAG!$G$121:$M$121,AU$178,MAG!$P26:$V26)+SUMIF($AZ$178:$BC$178,AU$178,$AZ319:$BC319)</f>
        <v>0</v>
      </c>
      <c r="AV319" s="230">
        <f>SUMIF(MAG!$G$121:$M$121,AV$178,MAG!$P26:$V26)+SUMIF($AZ$178:$BC$178,AV$178,$AZ319:$BC319)</f>
        <v>0</v>
      </c>
      <c r="AW319" s="230">
        <f>SUMIF(MAG!$G$121:$M$121,AW$178,MAG!$P26:$V26)+SUMIF($AZ$178:$BC$178,AW$178,$AZ319:$BC319)</f>
        <v>0</v>
      </c>
      <c r="AX319" s="231">
        <f>SUMIF(MAG!$G$121:$M$121,AX$178,MAG!$P26:$V26)+SUMIF($AZ$178:$BC$178,AX$178,$AZ319:$BC319)</f>
        <v>0</v>
      </c>
      <c r="AY319" s="232">
        <f>MAG!AF26</f>
        <v>0</v>
      </c>
      <c r="AZ319" s="228">
        <f>MAG!AG26</f>
        <v>0</v>
      </c>
      <c r="BA319" s="229">
        <f>MAG!AH26</f>
        <v>0</v>
      </c>
      <c r="BB319" s="230">
        <f>MAG!AI26</f>
        <v>0</v>
      </c>
      <c r="BC319" s="231">
        <f>MAG!AJ26</f>
        <v>0</v>
      </c>
      <c r="BD319" s="228">
        <f>SUMIF(MAG!$G$120:$M$120,"&gt;0",MAG!$X26:$AD26)</f>
        <v>0</v>
      </c>
      <c r="BE319" s="696"/>
      <c r="BF319" s="228">
        <f>SUMIF(MAG!$BA$6:$BG$6,BF$177,MAG!$BA26:$BG26)</f>
        <v>0</v>
      </c>
      <c r="BG319" s="229">
        <f>SUMIF(MAG!$BA$6:$BG$6,BG$177,MAG!$BA26:$BG26)</f>
        <v>0</v>
      </c>
      <c r="BH319" s="229">
        <f>SUMIF(MAG!$BA$6:$BG$6,BH$177,MAG!$BA26:$BG26)</f>
        <v>0</v>
      </c>
      <c r="BI319" s="229">
        <f>SUMIF(MAG!$BA$6:$BG$6,BI$177,MAG!$BA26:$BG26)</f>
        <v>0</v>
      </c>
      <c r="BJ319" s="229">
        <f>SUMIF(MAG!$BA$6:$BG$6,BJ$177,MAG!$BA26:$BG26)</f>
        <v>0</v>
      </c>
      <c r="BK319" s="229">
        <f>SUMIF(MAG!$BA$6:$BG$6,BK$177,MAG!$BA26:$BG26)</f>
        <v>0</v>
      </c>
      <c r="BL319" s="229">
        <f>SUMIF(MAG!$BA$6:$BG$6,BL$177,MAG!$BA26:$BG26)</f>
        <v>0</v>
      </c>
      <c r="BM319" s="229">
        <f>SUMIF(MAG!$BA$6:$BG$6,BM$177,MAG!$BA26:$BG26)</f>
        <v>0</v>
      </c>
      <c r="BN319" s="229">
        <f>SUMIF(MAG!$BA$6:$BG$6,BN$177,MAG!$BA26:$BG26)</f>
        <v>0</v>
      </c>
      <c r="BO319" s="231">
        <f>SUMIF(MAG!$BA$6:$BG$6,BO$177,MAG!$BA26:$BG26)</f>
        <v>0</v>
      </c>
      <c r="BP319" s="231">
        <f>SUMIF(MAG!$BA$6:$BG$6,BP$177,MAG!$BA26:$BG26)</f>
        <v>0</v>
      </c>
      <c r="BQ319" s="252"/>
      <c r="BR319" s="228">
        <f>SUMIF(MAG!$BA$5:$BG$5,BR$177,MAG!$BA26:$BG26)</f>
        <v>0</v>
      </c>
      <c r="BS319" s="229">
        <f>SUMIF(MAG!$BA$5:$BG$5,BS$177,MAG!$BA26:$BG26)</f>
        <v>0</v>
      </c>
      <c r="BT319" s="229">
        <f>SUMIF(MAG!$BA$5:$BG$5,BT$177,MAG!$BA26:$BG26)</f>
        <v>0</v>
      </c>
      <c r="BU319" s="229">
        <f>SUMIF(MAG!$BA$5:$BG$5,BU$177,MAG!$BA26:$BG26)</f>
        <v>0</v>
      </c>
      <c r="BV319" s="229">
        <f>SUMIF(MAG!$BA$5:$BG$5,BV$177,MAG!$BA26:$BG26)</f>
        <v>0</v>
      </c>
      <c r="BW319" s="229">
        <f>SUMIF(MAG!$BA$5:$BG$5,BW$177,MAG!$BA26:$BG26)</f>
        <v>0</v>
      </c>
      <c r="BX319" s="230">
        <f>SUMIF(MAG!$BA$5:$BG$5,BX$177,MAG!$BA26:$BG26)</f>
        <v>0</v>
      </c>
      <c r="BY319" s="998">
        <f>SUMIF(MAG!$BA$5:$BG$5,BY$177,MAG!$BA26:$BG26)</f>
        <v>0</v>
      </c>
      <c r="CB319" s="252"/>
      <c r="CC319" s="61" t="e">
        <f t="shared" si="70"/>
        <v>#N/A</v>
      </c>
      <c r="CD319" s="61">
        <f t="shared" si="71"/>
        <v>0</v>
      </c>
      <c r="CE319" s="105" t="str">
        <f t="shared" si="64"/>
        <v/>
      </c>
      <c r="CF319" s="61" t="e">
        <f t="shared" si="72"/>
        <v>#N/A</v>
      </c>
      <c r="CG319" s="61" t="e">
        <f t="shared" si="73"/>
        <v>#N/A</v>
      </c>
      <c r="CH319" s="521">
        <f>MAG!AL26-CW319+CR319</f>
        <v>0</v>
      </c>
      <c r="CI319" s="228">
        <f>SUMIF(MAG!$G$121:$M$121,CI$178,MAG!$AM26:$AS26)+SUMIF($CS$178:$CV$178,CI$178,$CS319:$CV319)</f>
        <v>0</v>
      </c>
      <c r="CJ319" s="229">
        <f>SUMIF(MAG!$G$121:$M$121,CJ$178,MAG!$AM26:$AS26)+SUMIF($CS$178:$CV$178,CJ$178,$CS319:$CV319)</f>
        <v>0</v>
      </c>
      <c r="CK319" s="230">
        <f>SUMIF(MAG!$G$121:$M$121,CK$178,MAG!$AM26:$AS26)+SUMIF($CS$178:$CV$178,CK$178,$CS319:$CV319)</f>
        <v>0</v>
      </c>
      <c r="CL319" s="230">
        <f>SUMIF(MAG!$G$121:$M$121,CL$178,MAG!$AM26:$AS26)+SUMIF($CS$178:$CV$178,CL$178,$CS319:$CV319)</f>
        <v>0</v>
      </c>
      <c r="CM319" s="230">
        <f>SUMIF(MAG!$G$121:$M$121,CM$178,MAG!$AM26:$AS26)+SUMIF($CS$178:$CV$178,CM$178,$CS319:$CV319)</f>
        <v>0</v>
      </c>
      <c r="CN319" s="230">
        <f>SUMIF(MAG!$G$121:$M$121,CN$178,MAG!$AM26:$AS26)+SUMIF($CS$178:$CV$178,CN$178,$CS319:$CV319)</f>
        <v>0</v>
      </c>
      <c r="CO319" s="230">
        <f>SUMIF(MAG!$G$121:$M$121,CO$178,MAG!$AM26:$AS26)+SUMIF($CS$178:$CV$178,CO$178,$CS319:$CV319)</f>
        <v>0</v>
      </c>
      <c r="CP319" s="230">
        <f>SUMIF(MAG!$G$121:$M$121,CP$178,MAG!$AM26:$AS26)+SUMIF($CS$178:$CV$178,CP$178,$CS319:$CV319)</f>
        <v>0</v>
      </c>
      <c r="CQ319" s="231">
        <f>SUMIF(MAG!$G$121:$M$121,CQ$178,MAG!$AM26:$AS26)+SUMIF($CS$178:$CV$178,CQ$178,$CS319:$CV319)</f>
        <v>0</v>
      </c>
      <c r="CR319" s="521">
        <f>MAG!AU26</f>
        <v>0</v>
      </c>
      <c r="CS319" s="228">
        <f>MAG!AV26</f>
        <v>0</v>
      </c>
      <c r="CT319" s="229">
        <f>MAG!AW26</f>
        <v>0</v>
      </c>
      <c r="CU319" s="230">
        <f>MAG!AX26</f>
        <v>0</v>
      </c>
      <c r="CV319" s="231">
        <f>MAG!AY26</f>
        <v>0</v>
      </c>
      <c r="CW319" s="521">
        <f>SUM(MAG!AU26:AY26)</f>
        <v>0</v>
      </c>
      <c r="CX319" s="521">
        <f>MAG!AK26</f>
        <v>0</v>
      </c>
      <c r="CY319" s="2"/>
    </row>
    <row r="320" spans="1:103" ht="14.25" hidden="1" customHeight="1" x14ac:dyDescent="0.2">
      <c r="A320" s="2"/>
      <c r="B320" s="105">
        <f t="shared" si="74"/>
        <v>45432</v>
      </c>
      <c r="C320" s="146">
        <f>IF(AND(E320&gt;(E$561-1),E320&lt;(I$561+1)),W$551,IF(ISERROR(HLOOKUP(E320,$E$554:$L$554,1,FALSE)),HLOOKUP(WEEKDAY(E320,2),IMPOSTAZIONI!$C$52:$P$57,6,FALSE),$W$550))</f>
        <v>0</v>
      </c>
      <c r="D320" s="71" t="str">
        <f t="shared" si="75"/>
        <v/>
      </c>
      <c r="E320" s="2258">
        <f t="shared" si="80"/>
        <v>45432</v>
      </c>
      <c r="F320" s="2259"/>
      <c r="G320" s="2228" t="str">
        <f>MAG!E27</f>
        <v xml:space="preserve">disattivato  </v>
      </c>
      <c r="H320" s="2229"/>
      <c r="I320" s="2230"/>
      <c r="J320" s="262" t="str">
        <f t="shared" si="65"/>
        <v/>
      </c>
      <c r="K320" s="263"/>
      <c r="L320" s="2222">
        <f t="shared" si="81"/>
        <v>21</v>
      </c>
      <c r="M320" s="2223"/>
      <c r="N320" s="261"/>
      <c r="O320" s="261"/>
      <c r="P320" s="261"/>
      <c r="Q320" s="2219">
        <f t="shared" si="76"/>
        <v>45432</v>
      </c>
      <c r="R320" s="2219"/>
      <c r="S320" s="261"/>
      <c r="T320" s="1173">
        <f t="shared" si="66"/>
        <v>1</v>
      </c>
      <c r="U320" s="261"/>
      <c r="V320" s="261"/>
      <c r="W320" s="261"/>
      <c r="X320" s="261"/>
      <c r="Y320" s="261"/>
      <c r="Z320" s="261"/>
      <c r="AA320" s="261"/>
      <c r="AB320" s="261"/>
      <c r="AC320" s="261"/>
      <c r="AD320" s="261"/>
      <c r="AE320" s="261"/>
      <c r="AF320" s="261"/>
      <c r="AG320" s="1173">
        <f t="shared" si="77"/>
        <v>0</v>
      </c>
      <c r="AH320" s="61" t="str">
        <f t="shared" si="78"/>
        <v/>
      </c>
      <c r="AI320" s="89" t="e">
        <f t="shared" si="79"/>
        <v>#N/A</v>
      </c>
      <c r="AJ320" s="2"/>
      <c r="AK320" s="61">
        <f>IF(G320=G$547,0,IF(OR(G320&lt;&gt;0,CH320&lt;&gt;0,C320="L"),COUNTIF(AK$180:AK319,"&gt;0")+1,0))</f>
        <v>0</v>
      </c>
      <c r="AL320" s="61" t="str">
        <f t="shared" si="67"/>
        <v/>
      </c>
      <c r="AM320" s="61" t="e">
        <f t="shared" si="68"/>
        <v>#N/A</v>
      </c>
      <c r="AN320" s="89" t="e">
        <f t="shared" si="69"/>
        <v>#N/A</v>
      </c>
      <c r="AO320" s="230">
        <f>SUM(MAG!X27:AD27)-BD320+AY320</f>
        <v>0</v>
      </c>
      <c r="AP320" s="228">
        <f>SUMIF(MAG!$G$121:$M$121,AP$178,MAG!$P27:$V27)+SUMIF($AZ$178:$BC$178,AP$178,$AZ320:$BC320)</f>
        <v>0</v>
      </c>
      <c r="AQ320" s="229">
        <f>SUMIF(MAG!$G$121:$M$121,AQ$178,MAG!$P27:$V27)+SUMIF($AZ$178:$BC$178,AQ$178,$AZ320:$BC320)</f>
        <v>0</v>
      </c>
      <c r="AR320" s="230">
        <f>SUMIF(MAG!$G$121:$M$121,AR$178,MAG!$P27:$V27)+SUMIF($AZ$178:$BC$178,AR$178,$AZ320:$BC320)</f>
        <v>0</v>
      </c>
      <c r="AS320" s="230">
        <f>SUMIF(MAG!$G$121:$M$121,AS$178,MAG!$P27:$V27)+SUMIF($AZ$178:$BC$178,AS$178,$AZ320:$BC320)</f>
        <v>0</v>
      </c>
      <c r="AT320" s="230">
        <f>SUMIF(MAG!$G$121:$M$121,AT$178,MAG!$P27:$V27)+SUMIF($AZ$178:$BC$178,AT$178,$AZ320:$BC320)</f>
        <v>0</v>
      </c>
      <c r="AU320" s="230">
        <f>SUMIF(MAG!$G$121:$M$121,AU$178,MAG!$P27:$V27)+SUMIF($AZ$178:$BC$178,AU$178,$AZ320:$BC320)</f>
        <v>0</v>
      </c>
      <c r="AV320" s="230">
        <f>SUMIF(MAG!$G$121:$M$121,AV$178,MAG!$P27:$V27)+SUMIF($AZ$178:$BC$178,AV$178,$AZ320:$BC320)</f>
        <v>0</v>
      </c>
      <c r="AW320" s="230">
        <f>SUMIF(MAG!$G$121:$M$121,AW$178,MAG!$P27:$V27)+SUMIF($AZ$178:$BC$178,AW$178,$AZ320:$BC320)</f>
        <v>0</v>
      </c>
      <c r="AX320" s="231">
        <f>SUMIF(MAG!$G$121:$M$121,AX$178,MAG!$P27:$V27)+SUMIF($AZ$178:$BC$178,AX$178,$AZ320:$BC320)</f>
        <v>0</v>
      </c>
      <c r="AY320" s="232">
        <f>MAG!AF27</f>
        <v>0</v>
      </c>
      <c r="AZ320" s="228">
        <f>MAG!AG27</f>
        <v>0</v>
      </c>
      <c r="BA320" s="229">
        <f>MAG!AH27</f>
        <v>0</v>
      </c>
      <c r="BB320" s="230">
        <f>MAG!AI27</f>
        <v>0</v>
      </c>
      <c r="BC320" s="231">
        <f>MAG!AJ27</f>
        <v>0</v>
      </c>
      <c r="BD320" s="228">
        <f>SUMIF(MAG!$G$120:$M$120,"&gt;0",MAG!$X27:$AD27)</f>
        <v>0</v>
      </c>
      <c r="BE320" s="696"/>
      <c r="BF320" s="228">
        <f>SUMIF(MAG!$BA$6:$BG$6,BF$177,MAG!$BA27:$BG27)</f>
        <v>0</v>
      </c>
      <c r="BG320" s="229">
        <f>SUMIF(MAG!$BA$6:$BG$6,BG$177,MAG!$BA27:$BG27)</f>
        <v>0</v>
      </c>
      <c r="BH320" s="229">
        <f>SUMIF(MAG!$BA$6:$BG$6,BH$177,MAG!$BA27:$BG27)</f>
        <v>0</v>
      </c>
      <c r="BI320" s="229">
        <f>SUMIF(MAG!$BA$6:$BG$6,BI$177,MAG!$BA27:$BG27)</f>
        <v>0</v>
      </c>
      <c r="BJ320" s="229">
        <f>SUMIF(MAG!$BA$6:$BG$6,BJ$177,MAG!$BA27:$BG27)</f>
        <v>0</v>
      </c>
      <c r="BK320" s="229">
        <f>SUMIF(MAG!$BA$6:$BG$6,BK$177,MAG!$BA27:$BG27)</f>
        <v>0</v>
      </c>
      <c r="BL320" s="229">
        <f>SUMIF(MAG!$BA$6:$BG$6,BL$177,MAG!$BA27:$BG27)</f>
        <v>0</v>
      </c>
      <c r="BM320" s="229">
        <f>SUMIF(MAG!$BA$6:$BG$6,BM$177,MAG!$BA27:$BG27)</f>
        <v>0</v>
      </c>
      <c r="BN320" s="229">
        <f>SUMIF(MAG!$BA$6:$BG$6,BN$177,MAG!$BA27:$BG27)</f>
        <v>0</v>
      </c>
      <c r="BO320" s="231">
        <f>SUMIF(MAG!$BA$6:$BG$6,BO$177,MAG!$BA27:$BG27)</f>
        <v>0</v>
      </c>
      <c r="BP320" s="231">
        <f>SUMIF(MAG!$BA$6:$BG$6,BP$177,MAG!$BA27:$BG27)</f>
        <v>0</v>
      </c>
      <c r="BQ320" s="252"/>
      <c r="BR320" s="228">
        <f>SUMIF(MAG!$BA$5:$BG$5,BR$177,MAG!$BA27:$BG27)</f>
        <v>0</v>
      </c>
      <c r="BS320" s="229">
        <f>SUMIF(MAG!$BA$5:$BG$5,BS$177,MAG!$BA27:$BG27)</f>
        <v>0</v>
      </c>
      <c r="BT320" s="229">
        <f>SUMIF(MAG!$BA$5:$BG$5,BT$177,MAG!$BA27:$BG27)</f>
        <v>0</v>
      </c>
      <c r="BU320" s="229">
        <f>SUMIF(MAG!$BA$5:$BG$5,BU$177,MAG!$BA27:$BG27)</f>
        <v>0</v>
      </c>
      <c r="BV320" s="229">
        <f>SUMIF(MAG!$BA$5:$BG$5,BV$177,MAG!$BA27:$BG27)</f>
        <v>0</v>
      </c>
      <c r="BW320" s="229">
        <f>SUMIF(MAG!$BA$5:$BG$5,BW$177,MAG!$BA27:$BG27)</f>
        <v>0</v>
      </c>
      <c r="BX320" s="230">
        <f>SUMIF(MAG!$BA$5:$BG$5,BX$177,MAG!$BA27:$BG27)</f>
        <v>0</v>
      </c>
      <c r="BY320" s="998">
        <f>SUMIF(MAG!$BA$5:$BG$5,BY$177,MAG!$BA27:$BG27)</f>
        <v>0</v>
      </c>
      <c r="CB320" s="252"/>
      <c r="CC320" s="61" t="e">
        <f t="shared" si="70"/>
        <v>#N/A</v>
      </c>
      <c r="CD320" s="61">
        <f t="shared" si="71"/>
        <v>0</v>
      </c>
      <c r="CE320" s="105" t="str">
        <f t="shared" si="64"/>
        <v/>
      </c>
      <c r="CF320" s="61" t="e">
        <f t="shared" si="72"/>
        <v>#N/A</v>
      </c>
      <c r="CG320" s="61" t="e">
        <f t="shared" si="73"/>
        <v>#N/A</v>
      </c>
      <c r="CH320" s="521">
        <f>MAG!AL27-CW320+CR320</f>
        <v>0</v>
      </c>
      <c r="CI320" s="228">
        <f>SUMIF(MAG!$G$121:$M$121,CI$178,MAG!$AM27:$AS27)+SUMIF($CS$178:$CV$178,CI$178,$CS320:$CV320)</f>
        <v>0</v>
      </c>
      <c r="CJ320" s="229">
        <f>SUMIF(MAG!$G$121:$M$121,CJ$178,MAG!$AM27:$AS27)+SUMIF($CS$178:$CV$178,CJ$178,$CS320:$CV320)</f>
        <v>0</v>
      </c>
      <c r="CK320" s="230">
        <f>SUMIF(MAG!$G$121:$M$121,CK$178,MAG!$AM27:$AS27)+SUMIF($CS$178:$CV$178,CK$178,$CS320:$CV320)</f>
        <v>0</v>
      </c>
      <c r="CL320" s="230">
        <f>SUMIF(MAG!$G$121:$M$121,CL$178,MAG!$AM27:$AS27)+SUMIF($CS$178:$CV$178,CL$178,$CS320:$CV320)</f>
        <v>0</v>
      </c>
      <c r="CM320" s="230">
        <f>SUMIF(MAG!$G$121:$M$121,CM$178,MAG!$AM27:$AS27)+SUMIF($CS$178:$CV$178,CM$178,$CS320:$CV320)</f>
        <v>0</v>
      </c>
      <c r="CN320" s="230">
        <f>SUMIF(MAG!$G$121:$M$121,CN$178,MAG!$AM27:$AS27)+SUMIF($CS$178:$CV$178,CN$178,$CS320:$CV320)</f>
        <v>0</v>
      </c>
      <c r="CO320" s="230">
        <f>SUMIF(MAG!$G$121:$M$121,CO$178,MAG!$AM27:$AS27)+SUMIF($CS$178:$CV$178,CO$178,$CS320:$CV320)</f>
        <v>0</v>
      </c>
      <c r="CP320" s="230">
        <f>SUMIF(MAG!$G$121:$M$121,CP$178,MAG!$AM27:$AS27)+SUMIF($CS$178:$CV$178,CP$178,$CS320:$CV320)</f>
        <v>0</v>
      </c>
      <c r="CQ320" s="231">
        <f>SUMIF(MAG!$G$121:$M$121,CQ$178,MAG!$AM27:$AS27)+SUMIF($CS$178:$CV$178,CQ$178,$CS320:$CV320)</f>
        <v>0</v>
      </c>
      <c r="CR320" s="521">
        <f>MAG!AU27</f>
        <v>0</v>
      </c>
      <c r="CS320" s="228">
        <f>MAG!AV27</f>
        <v>0</v>
      </c>
      <c r="CT320" s="229">
        <f>MAG!AW27</f>
        <v>0</v>
      </c>
      <c r="CU320" s="230">
        <f>MAG!AX27</f>
        <v>0</v>
      </c>
      <c r="CV320" s="231">
        <f>MAG!AY27</f>
        <v>0</v>
      </c>
      <c r="CW320" s="521">
        <f>SUM(MAG!AU27:AY27)</f>
        <v>0</v>
      </c>
      <c r="CX320" s="521">
        <f>MAG!AK27</f>
        <v>0</v>
      </c>
      <c r="CY320" s="2"/>
    </row>
    <row r="321" spans="1:103" ht="14.25" hidden="1" customHeight="1" x14ac:dyDescent="0.2">
      <c r="A321" s="2"/>
      <c r="B321" s="105">
        <f t="shared" si="74"/>
        <v>45433</v>
      </c>
      <c r="C321" s="146">
        <f>IF(AND(E321&gt;(E$561-1),E321&lt;(I$561+1)),W$551,IF(ISERROR(HLOOKUP(E321,$E$554:$L$554,1,FALSE)),HLOOKUP(WEEKDAY(E321,2),IMPOSTAZIONI!$C$52:$P$57,6,FALSE),$W$550))</f>
        <v>0</v>
      </c>
      <c r="D321" s="71" t="str">
        <f t="shared" si="75"/>
        <v/>
      </c>
      <c r="E321" s="2258">
        <f t="shared" si="80"/>
        <v>45433</v>
      </c>
      <c r="F321" s="2259"/>
      <c r="G321" s="2228" t="str">
        <f>MAG!E28</f>
        <v xml:space="preserve">disattivato  </v>
      </c>
      <c r="H321" s="2229"/>
      <c r="I321" s="2230"/>
      <c r="J321" s="262" t="str">
        <f t="shared" si="65"/>
        <v/>
      </c>
      <c r="K321" s="263"/>
      <c r="L321" s="2217">
        <f t="shared" si="81"/>
        <v>21</v>
      </c>
      <c r="M321" s="2218"/>
      <c r="N321" s="261"/>
      <c r="O321" s="261"/>
      <c r="P321" s="261"/>
      <c r="Q321" s="2219">
        <f t="shared" si="76"/>
        <v>45433</v>
      </c>
      <c r="R321" s="2219"/>
      <c r="S321" s="261"/>
      <c r="T321" s="1173">
        <f t="shared" si="66"/>
        <v>1</v>
      </c>
      <c r="U321" s="261"/>
      <c r="V321" s="261"/>
      <c r="W321" s="261"/>
      <c r="X321" s="261"/>
      <c r="Y321" s="261"/>
      <c r="Z321" s="261"/>
      <c r="AA321" s="261"/>
      <c r="AB321" s="261"/>
      <c r="AC321" s="261"/>
      <c r="AD321" s="261"/>
      <c r="AE321" s="261"/>
      <c r="AF321" s="261"/>
      <c r="AG321" s="1173">
        <f t="shared" si="77"/>
        <v>0</v>
      </c>
      <c r="AH321" s="61" t="str">
        <f t="shared" si="78"/>
        <v/>
      </c>
      <c r="AI321" s="89" t="e">
        <f t="shared" si="79"/>
        <v>#N/A</v>
      </c>
      <c r="AJ321" s="2"/>
      <c r="AK321" s="61">
        <f>IF(G321=G$547,0,IF(OR(G321&lt;&gt;0,CH321&lt;&gt;0,C321="L"),COUNTIF(AK$180:AK320,"&gt;0")+1,0))</f>
        <v>0</v>
      </c>
      <c r="AL321" s="61" t="str">
        <f t="shared" si="67"/>
        <v/>
      </c>
      <c r="AM321" s="61" t="e">
        <f t="shared" si="68"/>
        <v>#N/A</v>
      </c>
      <c r="AN321" s="89" t="e">
        <f t="shared" si="69"/>
        <v>#N/A</v>
      </c>
      <c r="AO321" s="230">
        <f>SUM(MAG!X28:AD28)-BD321+AY321</f>
        <v>0</v>
      </c>
      <c r="AP321" s="228">
        <f>SUMIF(MAG!$G$121:$M$121,AP$178,MAG!$P28:$V28)+SUMIF($AZ$178:$BC$178,AP$178,$AZ321:$BC321)</f>
        <v>0</v>
      </c>
      <c r="AQ321" s="229">
        <f>SUMIF(MAG!$G$121:$M$121,AQ$178,MAG!$P28:$V28)+SUMIF($AZ$178:$BC$178,AQ$178,$AZ321:$BC321)</f>
        <v>0</v>
      </c>
      <c r="AR321" s="230">
        <f>SUMIF(MAG!$G$121:$M$121,AR$178,MAG!$P28:$V28)+SUMIF($AZ$178:$BC$178,AR$178,$AZ321:$BC321)</f>
        <v>0</v>
      </c>
      <c r="AS321" s="230">
        <f>SUMIF(MAG!$G$121:$M$121,AS$178,MAG!$P28:$V28)+SUMIF($AZ$178:$BC$178,AS$178,$AZ321:$BC321)</f>
        <v>0</v>
      </c>
      <c r="AT321" s="230">
        <f>SUMIF(MAG!$G$121:$M$121,AT$178,MAG!$P28:$V28)+SUMIF($AZ$178:$BC$178,AT$178,$AZ321:$BC321)</f>
        <v>0</v>
      </c>
      <c r="AU321" s="230">
        <f>SUMIF(MAG!$G$121:$M$121,AU$178,MAG!$P28:$V28)+SUMIF($AZ$178:$BC$178,AU$178,$AZ321:$BC321)</f>
        <v>0</v>
      </c>
      <c r="AV321" s="230">
        <f>SUMIF(MAG!$G$121:$M$121,AV$178,MAG!$P28:$V28)+SUMIF($AZ$178:$BC$178,AV$178,$AZ321:$BC321)</f>
        <v>0</v>
      </c>
      <c r="AW321" s="230">
        <f>SUMIF(MAG!$G$121:$M$121,AW$178,MAG!$P28:$V28)+SUMIF($AZ$178:$BC$178,AW$178,$AZ321:$BC321)</f>
        <v>0</v>
      </c>
      <c r="AX321" s="231">
        <f>SUMIF(MAG!$G$121:$M$121,AX$178,MAG!$P28:$V28)+SUMIF($AZ$178:$BC$178,AX$178,$AZ321:$BC321)</f>
        <v>0</v>
      </c>
      <c r="AY321" s="232">
        <f>MAG!AF28</f>
        <v>0</v>
      </c>
      <c r="AZ321" s="228">
        <f>MAG!AG28</f>
        <v>0</v>
      </c>
      <c r="BA321" s="229">
        <f>MAG!AH28</f>
        <v>0</v>
      </c>
      <c r="BB321" s="230">
        <f>MAG!AI28</f>
        <v>0</v>
      </c>
      <c r="BC321" s="231">
        <f>MAG!AJ28</f>
        <v>0</v>
      </c>
      <c r="BD321" s="228">
        <f>SUMIF(MAG!$G$120:$M$120,"&gt;0",MAG!$X28:$AD28)</f>
        <v>0</v>
      </c>
      <c r="BE321" s="696"/>
      <c r="BF321" s="228">
        <f>SUMIF(MAG!$BA$6:$BG$6,BF$177,MAG!$BA28:$BG28)</f>
        <v>0</v>
      </c>
      <c r="BG321" s="229">
        <f>SUMIF(MAG!$BA$6:$BG$6,BG$177,MAG!$BA28:$BG28)</f>
        <v>0</v>
      </c>
      <c r="BH321" s="229">
        <f>SUMIF(MAG!$BA$6:$BG$6,BH$177,MAG!$BA28:$BG28)</f>
        <v>0</v>
      </c>
      <c r="BI321" s="229">
        <f>SUMIF(MAG!$BA$6:$BG$6,BI$177,MAG!$BA28:$BG28)</f>
        <v>0</v>
      </c>
      <c r="BJ321" s="229">
        <f>SUMIF(MAG!$BA$6:$BG$6,BJ$177,MAG!$BA28:$BG28)</f>
        <v>0</v>
      </c>
      <c r="BK321" s="229">
        <f>SUMIF(MAG!$BA$6:$BG$6,BK$177,MAG!$BA28:$BG28)</f>
        <v>0</v>
      </c>
      <c r="BL321" s="229">
        <f>SUMIF(MAG!$BA$6:$BG$6,BL$177,MAG!$BA28:$BG28)</f>
        <v>0</v>
      </c>
      <c r="BM321" s="229">
        <f>SUMIF(MAG!$BA$6:$BG$6,BM$177,MAG!$BA28:$BG28)</f>
        <v>0</v>
      </c>
      <c r="BN321" s="229">
        <f>SUMIF(MAG!$BA$6:$BG$6,BN$177,MAG!$BA28:$BG28)</f>
        <v>0</v>
      </c>
      <c r="BO321" s="231">
        <f>SUMIF(MAG!$BA$6:$BG$6,BO$177,MAG!$BA28:$BG28)</f>
        <v>0</v>
      </c>
      <c r="BP321" s="231">
        <f>SUMIF(MAG!$BA$6:$BG$6,BP$177,MAG!$BA28:$BG28)</f>
        <v>0</v>
      </c>
      <c r="BQ321" s="252"/>
      <c r="BR321" s="228">
        <f>SUMIF(MAG!$BA$5:$BG$5,BR$177,MAG!$BA28:$BG28)</f>
        <v>0</v>
      </c>
      <c r="BS321" s="229">
        <f>SUMIF(MAG!$BA$5:$BG$5,BS$177,MAG!$BA28:$BG28)</f>
        <v>0</v>
      </c>
      <c r="BT321" s="229">
        <f>SUMIF(MAG!$BA$5:$BG$5,BT$177,MAG!$BA28:$BG28)</f>
        <v>0</v>
      </c>
      <c r="BU321" s="229">
        <f>SUMIF(MAG!$BA$5:$BG$5,BU$177,MAG!$BA28:$BG28)</f>
        <v>0</v>
      </c>
      <c r="BV321" s="229">
        <f>SUMIF(MAG!$BA$5:$BG$5,BV$177,MAG!$BA28:$BG28)</f>
        <v>0</v>
      </c>
      <c r="BW321" s="229">
        <f>SUMIF(MAG!$BA$5:$BG$5,BW$177,MAG!$BA28:$BG28)</f>
        <v>0</v>
      </c>
      <c r="BX321" s="230">
        <f>SUMIF(MAG!$BA$5:$BG$5,BX$177,MAG!$BA28:$BG28)</f>
        <v>0</v>
      </c>
      <c r="BY321" s="998">
        <f>SUMIF(MAG!$BA$5:$BG$5,BY$177,MAG!$BA28:$BG28)</f>
        <v>0</v>
      </c>
      <c r="CB321" s="252"/>
      <c r="CC321" s="61" t="e">
        <f t="shared" si="70"/>
        <v>#N/A</v>
      </c>
      <c r="CD321" s="61">
        <f t="shared" si="71"/>
        <v>0</v>
      </c>
      <c r="CE321" s="105" t="str">
        <f t="shared" si="64"/>
        <v/>
      </c>
      <c r="CF321" s="61" t="e">
        <f t="shared" si="72"/>
        <v>#N/A</v>
      </c>
      <c r="CG321" s="61" t="e">
        <f t="shared" si="73"/>
        <v>#N/A</v>
      </c>
      <c r="CH321" s="521">
        <f>MAG!AL28-CW321+CR321</f>
        <v>0</v>
      </c>
      <c r="CI321" s="228">
        <f>SUMIF(MAG!$G$121:$M$121,CI$178,MAG!$AM28:$AS28)+SUMIF($CS$178:$CV$178,CI$178,$CS321:$CV321)</f>
        <v>0</v>
      </c>
      <c r="CJ321" s="229">
        <f>SUMIF(MAG!$G$121:$M$121,CJ$178,MAG!$AM28:$AS28)+SUMIF($CS$178:$CV$178,CJ$178,$CS321:$CV321)</f>
        <v>0</v>
      </c>
      <c r="CK321" s="230">
        <f>SUMIF(MAG!$G$121:$M$121,CK$178,MAG!$AM28:$AS28)+SUMIF($CS$178:$CV$178,CK$178,$CS321:$CV321)</f>
        <v>0</v>
      </c>
      <c r="CL321" s="230">
        <f>SUMIF(MAG!$G$121:$M$121,CL$178,MAG!$AM28:$AS28)+SUMIF($CS$178:$CV$178,CL$178,$CS321:$CV321)</f>
        <v>0</v>
      </c>
      <c r="CM321" s="230">
        <f>SUMIF(MAG!$G$121:$M$121,CM$178,MAG!$AM28:$AS28)+SUMIF($CS$178:$CV$178,CM$178,$CS321:$CV321)</f>
        <v>0</v>
      </c>
      <c r="CN321" s="230">
        <f>SUMIF(MAG!$G$121:$M$121,CN$178,MAG!$AM28:$AS28)+SUMIF($CS$178:$CV$178,CN$178,$CS321:$CV321)</f>
        <v>0</v>
      </c>
      <c r="CO321" s="230">
        <f>SUMIF(MAG!$G$121:$M$121,CO$178,MAG!$AM28:$AS28)+SUMIF($CS$178:$CV$178,CO$178,$CS321:$CV321)</f>
        <v>0</v>
      </c>
      <c r="CP321" s="230">
        <f>SUMIF(MAG!$G$121:$M$121,CP$178,MAG!$AM28:$AS28)+SUMIF($CS$178:$CV$178,CP$178,$CS321:$CV321)</f>
        <v>0</v>
      </c>
      <c r="CQ321" s="231">
        <f>SUMIF(MAG!$G$121:$M$121,CQ$178,MAG!$AM28:$AS28)+SUMIF($CS$178:$CV$178,CQ$178,$CS321:$CV321)</f>
        <v>0</v>
      </c>
      <c r="CR321" s="521">
        <f>MAG!AU28</f>
        <v>0</v>
      </c>
      <c r="CS321" s="228">
        <f>MAG!AV28</f>
        <v>0</v>
      </c>
      <c r="CT321" s="229">
        <f>MAG!AW28</f>
        <v>0</v>
      </c>
      <c r="CU321" s="230">
        <f>MAG!AX28</f>
        <v>0</v>
      </c>
      <c r="CV321" s="231">
        <f>MAG!AY28</f>
        <v>0</v>
      </c>
      <c r="CW321" s="521">
        <f>SUM(MAG!AU28:AY28)</f>
        <v>0</v>
      </c>
      <c r="CX321" s="521">
        <f>MAG!AK28</f>
        <v>0</v>
      </c>
      <c r="CY321" s="2"/>
    </row>
    <row r="322" spans="1:103" ht="14.25" hidden="1" customHeight="1" x14ac:dyDescent="0.2">
      <c r="A322" s="2"/>
      <c r="B322" s="105">
        <f t="shared" si="74"/>
        <v>45434</v>
      </c>
      <c r="C322" s="146">
        <f>IF(AND(E322&gt;(E$561-1),E322&lt;(I$561+1)),W$551,IF(ISERROR(HLOOKUP(E322,$E$554:$L$554,1,FALSE)),HLOOKUP(WEEKDAY(E322,2),IMPOSTAZIONI!$C$52:$P$57,6,FALSE),$W$550))</f>
        <v>0</v>
      </c>
      <c r="D322" s="71" t="str">
        <f t="shared" si="75"/>
        <v/>
      </c>
      <c r="E322" s="2258">
        <f t="shared" si="80"/>
        <v>45434</v>
      </c>
      <c r="F322" s="2259"/>
      <c r="G322" s="2228" t="str">
        <f>MAG!E29</f>
        <v xml:space="preserve">disattivato  </v>
      </c>
      <c r="H322" s="2229"/>
      <c r="I322" s="2230"/>
      <c r="J322" s="262" t="str">
        <f t="shared" si="65"/>
        <v/>
      </c>
      <c r="K322" s="263"/>
      <c r="L322" s="2217">
        <f t="shared" si="81"/>
        <v>21</v>
      </c>
      <c r="M322" s="2218"/>
      <c r="N322" s="261"/>
      <c r="O322" s="261"/>
      <c r="P322" s="261"/>
      <c r="Q322" s="2219">
        <f t="shared" si="76"/>
        <v>45434</v>
      </c>
      <c r="R322" s="2219"/>
      <c r="S322" s="261"/>
      <c r="T322" s="1173">
        <f t="shared" si="66"/>
        <v>1</v>
      </c>
      <c r="U322" s="261"/>
      <c r="V322" s="261"/>
      <c r="W322" s="261"/>
      <c r="X322" s="261"/>
      <c r="Y322" s="261"/>
      <c r="Z322" s="261"/>
      <c r="AA322" s="261"/>
      <c r="AB322" s="261"/>
      <c r="AC322" s="261"/>
      <c r="AD322" s="261"/>
      <c r="AE322" s="261"/>
      <c r="AF322" s="261"/>
      <c r="AG322" s="1173">
        <f t="shared" si="77"/>
        <v>0</v>
      </c>
      <c r="AH322" s="61" t="str">
        <f t="shared" si="78"/>
        <v/>
      </c>
      <c r="AI322" s="89" t="e">
        <f t="shared" si="79"/>
        <v>#N/A</v>
      </c>
      <c r="AJ322" s="2"/>
      <c r="AK322" s="61">
        <f>IF(G322=G$547,0,IF(OR(G322&lt;&gt;0,CH322&lt;&gt;0,C322="L"),COUNTIF(AK$180:AK321,"&gt;0")+1,0))</f>
        <v>0</v>
      </c>
      <c r="AL322" s="61" t="str">
        <f t="shared" si="67"/>
        <v/>
      </c>
      <c r="AM322" s="61" t="e">
        <f t="shared" si="68"/>
        <v>#N/A</v>
      </c>
      <c r="AN322" s="89" t="e">
        <f t="shared" si="69"/>
        <v>#N/A</v>
      </c>
      <c r="AO322" s="230">
        <f>SUM(MAG!X29:AD29)-BD322+AY322</f>
        <v>0</v>
      </c>
      <c r="AP322" s="228">
        <f>SUMIF(MAG!$G$121:$M$121,AP$178,MAG!$P29:$V29)+SUMIF($AZ$178:$BC$178,AP$178,$AZ322:$BC322)</f>
        <v>0</v>
      </c>
      <c r="AQ322" s="229">
        <f>SUMIF(MAG!$G$121:$M$121,AQ$178,MAG!$P29:$V29)+SUMIF($AZ$178:$BC$178,AQ$178,$AZ322:$BC322)</f>
        <v>0</v>
      </c>
      <c r="AR322" s="230">
        <f>SUMIF(MAG!$G$121:$M$121,AR$178,MAG!$P29:$V29)+SUMIF($AZ$178:$BC$178,AR$178,$AZ322:$BC322)</f>
        <v>0</v>
      </c>
      <c r="AS322" s="230">
        <f>SUMIF(MAG!$G$121:$M$121,AS$178,MAG!$P29:$V29)+SUMIF($AZ$178:$BC$178,AS$178,$AZ322:$BC322)</f>
        <v>0</v>
      </c>
      <c r="AT322" s="230">
        <f>SUMIF(MAG!$G$121:$M$121,AT$178,MAG!$P29:$V29)+SUMIF($AZ$178:$BC$178,AT$178,$AZ322:$BC322)</f>
        <v>0</v>
      </c>
      <c r="AU322" s="230">
        <f>SUMIF(MAG!$G$121:$M$121,AU$178,MAG!$P29:$V29)+SUMIF($AZ$178:$BC$178,AU$178,$AZ322:$BC322)</f>
        <v>0</v>
      </c>
      <c r="AV322" s="230">
        <f>SUMIF(MAG!$G$121:$M$121,AV$178,MAG!$P29:$V29)+SUMIF($AZ$178:$BC$178,AV$178,$AZ322:$BC322)</f>
        <v>0</v>
      </c>
      <c r="AW322" s="230">
        <f>SUMIF(MAG!$G$121:$M$121,AW$178,MAG!$P29:$V29)+SUMIF($AZ$178:$BC$178,AW$178,$AZ322:$BC322)</f>
        <v>0</v>
      </c>
      <c r="AX322" s="231">
        <f>SUMIF(MAG!$G$121:$M$121,AX$178,MAG!$P29:$V29)+SUMIF($AZ$178:$BC$178,AX$178,$AZ322:$BC322)</f>
        <v>0</v>
      </c>
      <c r="AY322" s="232">
        <f>MAG!AF29</f>
        <v>0</v>
      </c>
      <c r="AZ322" s="228">
        <f>MAG!AG29</f>
        <v>0</v>
      </c>
      <c r="BA322" s="229">
        <f>MAG!AH29</f>
        <v>0</v>
      </c>
      <c r="BB322" s="230">
        <f>MAG!AI29</f>
        <v>0</v>
      </c>
      <c r="BC322" s="231">
        <f>MAG!AJ29</f>
        <v>0</v>
      </c>
      <c r="BD322" s="228">
        <f>SUMIF(MAG!$G$120:$M$120,"&gt;0",MAG!$X29:$AD29)</f>
        <v>0</v>
      </c>
      <c r="BE322" s="696"/>
      <c r="BF322" s="228">
        <f>SUMIF(MAG!$BA$6:$BG$6,BF$177,MAG!$BA29:$BG29)</f>
        <v>0</v>
      </c>
      <c r="BG322" s="229">
        <f>SUMIF(MAG!$BA$6:$BG$6,BG$177,MAG!$BA29:$BG29)</f>
        <v>0</v>
      </c>
      <c r="BH322" s="229">
        <f>SUMIF(MAG!$BA$6:$BG$6,BH$177,MAG!$BA29:$BG29)</f>
        <v>0</v>
      </c>
      <c r="BI322" s="229">
        <f>SUMIF(MAG!$BA$6:$BG$6,BI$177,MAG!$BA29:$BG29)</f>
        <v>0</v>
      </c>
      <c r="BJ322" s="229">
        <f>SUMIF(MAG!$BA$6:$BG$6,BJ$177,MAG!$BA29:$BG29)</f>
        <v>0</v>
      </c>
      <c r="BK322" s="229">
        <f>SUMIF(MAG!$BA$6:$BG$6,BK$177,MAG!$BA29:$BG29)</f>
        <v>0</v>
      </c>
      <c r="BL322" s="229">
        <f>SUMIF(MAG!$BA$6:$BG$6,BL$177,MAG!$BA29:$BG29)</f>
        <v>0</v>
      </c>
      <c r="BM322" s="229">
        <f>SUMIF(MAG!$BA$6:$BG$6,BM$177,MAG!$BA29:$BG29)</f>
        <v>0</v>
      </c>
      <c r="BN322" s="229">
        <f>SUMIF(MAG!$BA$6:$BG$6,BN$177,MAG!$BA29:$BG29)</f>
        <v>0</v>
      </c>
      <c r="BO322" s="231">
        <f>SUMIF(MAG!$BA$6:$BG$6,BO$177,MAG!$BA29:$BG29)</f>
        <v>0</v>
      </c>
      <c r="BP322" s="231">
        <f>SUMIF(MAG!$BA$6:$BG$6,BP$177,MAG!$BA29:$BG29)</f>
        <v>0</v>
      </c>
      <c r="BQ322" s="252"/>
      <c r="BR322" s="228">
        <f>SUMIF(MAG!$BA$5:$BG$5,BR$177,MAG!$BA29:$BG29)</f>
        <v>0</v>
      </c>
      <c r="BS322" s="229">
        <f>SUMIF(MAG!$BA$5:$BG$5,BS$177,MAG!$BA29:$BG29)</f>
        <v>0</v>
      </c>
      <c r="BT322" s="229">
        <f>SUMIF(MAG!$BA$5:$BG$5,BT$177,MAG!$BA29:$BG29)</f>
        <v>0</v>
      </c>
      <c r="BU322" s="229">
        <f>SUMIF(MAG!$BA$5:$BG$5,BU$177,MAG!$BA29:$BG29)</f>
        <v>0</v>
      </c>
      <c r="BV322" s="229">
        <f>SUMIF(MAG!$BA$5:$BG$5,BV$177,MAG!$BA29:$BG29)</f>
        <v>0</v>
      </c>
      <c r="BW322" s="229">
        <f>SUMIF(MAG!$BA$5:$BG$5,BW$177,MAG!$BA29:$BG29)</f>
        <v>0</v>
      </c>
      <c r="BX322" s="230">
        <f>SUMIF(MAG!$BA$5:$BG$5,BX$177,MAG!$BA29:$BG29)</f>
        <v>0</v>
      </c>
      <c r="BY322" s="998">
        <f>SUMIF(MAG!$BA$5:$BG$5,BY$177,MAG!$BA29:$BG29)</f>
        <v>0</v>
      </c>
      <c r="CB322" s="252"/>
      <c r="CC322" s="61" t="e">
        <f t="shared" si="70"/>
        <v>#N/A</v>
      </c>
      <c r="CD322" s="61">
        <f t="shared" si="71"/>
        <v>0</v>
      </c>
      <c r="CE322" s="105" t="str">
        <f t="shared" si="64"/>
        <v/>
      </c>
      <c r="CF322" s="61" t="e">
        <f t="shared" si="72"/>
        <v>#N/A</v>
      </c>
      <c r="CG322" s="61" t="e">
        <f t="shared" si="73"/>
        <v>#N/A</v>
      </c>
      <c r="CH322" s="521">
        <f>MAG!AL29-CW322+CR322</f>
        <v>0</v>
      </c>
      <c r="CI322" s="228">
        <f>SUMIF(MAG!$G$121:$M$121,CI$178,MAG!$AM29:$AS29)+SUMIF($CS$178:$CV$178,CI$178,$CS322:$CV322)</f>
        <v>0</v>
      </c>
      <c r="CJ322" s="229">
        <f>SUMIF(MAG!$G$121:$M$121,CJ$178,MAG!$AM29:$AS29)+SUMIF($CS$178:$CV$178,CJ$178,$CS322:$CV322)</f>
        <v>0</v>
      </c>
      <c r="CK322" s="230">
        <f>SUMIF(MAG!$G$121:$M$121,CK$178,MAG!$AM29:$AS29)+SUMIF($CS$178:$CV$178,CK$178,$CS322:$CV322)</f>
        <v>0</v>
      </c>
      <c r="CL322" s="230">
        <f>SUMIF(MAG!$G$121:$M$121,CL$178,MAG!$AM29:$AS29)+SUMIF($CS$178:$CV$178,CL$178,$CS322:$CV322)</f>
        <v>0</v>
      </c>
      <c r="CM322" s="230">
        <f>SUMIF(MAG!$G$121:$M$121,CM$178,MAG!$AM29:$AS29)+SUMIF($CS$178:$CV$178,CM$178,$CS322:$CV322)</f>
        <v>0</v>
      </c>
      <c r="CN322" s="230">
        <f>SUMIF(MAG!$G$121:$M$121,CN$178,MAG!$AM29:$AS29)+SUMIF($CS$178:$CV$178,CN$178,$CS322:$CV322)</f>
        <v>0</v>
      </c>
      <c r="CO322" s="230">
        <f>SUMIF(MAG!$G$121:$M$121,CO$178,MAG!$AM29:$AS29)+SUMIF($CS$178:$CV$178,CO$178,$CS322:$CV322)</f>
        <v>0</v>
      </c>
      <c r="CP322" s="230">
        <f>SUMIF(MAG!$G$121:$M$121,CP$178,MAG!$AM29:$AS29)+SUMIF($CS$178:$CV$178,CP$178,$CS322:$CV322)</f>
        <v>0</v>
      </c>
      <c r="CQ322" s="231">
        <f>SUMIF(MAG!$G$121:$M$121,CQ$178,MAG!$AM29:$AS29)+SUMIF($CS$178:$CV$178,CQ$178,$CS322:$CV322)</f>
        <v>0</v>
      </c>
      <c r="CR322" s="521">
        <f>MAG!AU29</f>
        <v>0</v>
      </c>
      <c r="CS322" s="228">
        <f>MAG!AV29</f>
        <v>0</v>
      </c>
      <c r="CT322" s="229">
        <f>MAG!AW29</f>
        <v>0</v>
      </c>
      <c r="CU322" s="230">
        <f>MAG!AX29</f>
        <v>0</v>
      </c>
      <c r="CV322" s="231">
        <f>MAG!AY29</f>
        <v>0</v>
      </c>
      <c r="CW322" s="521">
        <f>SUM(MAG!AU29:AY29)</f>
        <v>0</v>
      </c>
      <c r="CX322" s="521">
        <f>MAG!AK29</f>
        <v>0</v>
      </c>
      <c r="CY322" s="2"/>
    </row>
    <row r="323" spans="1:103" ht="14.25" hidden="1" customHeight="1" x14ac:dyDescent="0.2">
      <c r="A323" s="2"/>
      <c r="B323" s="105">
        <f t="shared" si="74"/>
        <v>45435</v>
      </c>
      <c r="C323" s="146">
        <f>IF(AND(E323&gt;(E$561-1),E323&lt;(I$561+1)),W$551,IF(ISERROR(HLOOKUP(E323,$E$554:$L$554,1,FALSE)),HLOOKUP(WEEKDAY(E323,2),IMPOSTAZIONI!$C$52:$P$57,6,FALSE),$W$550))</f>
        <v>0</v>
      </c>
      <c r="D323" s="71" t="str">
        <f t="shared" si="75"/>
        <v/>
      </c>
      <c r="E323" s="2258">
        <f t="shared" si="80"/>
        <v>45435</v>
      </c>
      <c r="F323" s="2259"/>
      <c r="G323" s="2228" t="str">
        <f>MAG!E30</f>
        <v xml:space="preserve">disattivato  </v>
      </c>
      <c r="H323" s="2229"/>
      <c r="I323" s="2230"/>
      <c r="J323" s="262" t="str">
        <f t="shared" si="65"/>
        <v/>
      </c>
      <c r="K323" s="263"/>
      <c r="L323" s="2217">
        <f t="shared" si="81"/>
        <v>21</v>
      </c>
      <c r="M323" s="2218"/>
      <c r="N323" s="261"/>
      <c r="O323" s="261"/>
      <c r="P323" s="261"/>
      <c r="Q323" s="2219">
        <f t="shared" si="76"/>
        <v>45435</v>
      </c>
      <c r="R323" s="2219"/>
      <c r="S323" s="261"/>
      <c r="T323" s="1173">
        <f t="shared" si="66"/>
        <v>1</v>
      </c>
      <c r="U323" s="261"/>
      <c r="V323" s="261"/>
      <c r="W323" s="261"/>
      <c r="X323" s="261"/>
      <c r="Y323" s="261"/>
      <c r="Z323" s="261"/>
      <c r="AA323" s="261"/>
      <c r="AB323" s="261"/>
      <c r="AC323" s="261"/>
      <c r="AD323" s="261"/>
      <c r="AE323" s="261"/>
      <c r="AF323" s="261"/>
      <c r="AG323" s="1173">
        <f t="shared" si="77"/>
        <v>0</v>
      </c>
      <c r="AH323" s="61" t="str">
        <f t="shared" si="78"/>
        <v/>
      </c>
      <c r="AI323" s="89" t="e">
        <f t="shared" si="79"/>
        <v>#N/A</v>
      </c>
      <c r="AJ323" s="2"/>
      <c r="AK323" s="61">
        <f>IF(G323=G$547,0,IF(OR(G323&lt;&gt;0,CH323&lt;&gt;0,C323="L"),COUNTIF(AK$180:AK322,"&gt;0")+1,0))</f>
        <v>0</v>
      </c>
      <c r="AL323" s="61" t="str">
        <f t="shared" si="67"/>
        <v/>
      </c>
      <c r="AM323" s="61" t="e">
        <f t="shared" si="68"/>
        <v>#N/A</v>
      </c>
      <c r="AN323" s="89" t="e">
        <f t="shared" si="69"/>
        <v>#N/A</v>
      </c>
      <c r="AO323" s="230">
        <f>SUM(MAG!X30:AD30)-BD323+AY323</f>
        <v>0</v>
      </c>
      <c r="AP323" s="228">
        <f>SUMIF(MAG!$G$121:$M$121,AP$178,MAG!$P30:$V30)+SUMIF($AZ$178:$BC$178,AP$178,$AZ323:$BC323)</f>
        <v>0</v>
      </c>
      <c r="AQ323" s="229">
        <f>SUMIF(MAG!$G$121:$M$121,AQ$178,MAG!$P30:$V30)+SUMIF($AZ$178:$BC$178,AQ$178,$AZ323:$BC323)</f>
        <v>0</v>
      </c>
      <c r="AR323" s="230">
        <f>SUMIF(MAG!$G$121:$M$121,AR$178,MAG!$P30:$V30)+SUMIF($AZ$178:$BC$178,AR$178,$AZ323:$BC323)</f>
        <v>0</v>
      </c>
      <c r="AS323" s="230">
        <f>SUMIF(MAG!$G$121:$M$121,AS$178,MAG!$P30:$V30)+SUMIF($AZ$178:$BC$178,AS$178,$AZ323:$BC323)</f>
        <v>0</v>
      </c>
      <c r="AT323" s="230">
        <f>SUMIF(MAG!$G$121:$M$121,AT$178,MAG!$P30:$V30)+SUMIF($AZ$178:$BC$178,AT$178,$AZ323:$BC323)</f>
        <v>0</v>
      </c>
      <c r="AU323" s="230">
        <f>SUMIF(MAG!$G$121:$M$121,AU$178,MAG!$P30:$V30)+SUMIF($AZ$178:$BC$178,AU$178,$AZ323:$BC323)</f>
        <v>0</v>
      </c>
      <c r="AV323" s="230">
        <f>SUMIF(MAG!$G$121:$M$121,AV$178,MAG!$P30:$V30)+SUMIF($AZ$178:$BC$178,AV$178,$AZ323:$BC323)</f>
        <v>0</v>
      </c>
      <c r="AW323" s="230">
        <f>SUMIF(MAG!$G$121:$M$121,AW$178,MAG!$P30:$V30)+SUMIF($AZ$178:$BC$178,AW$178,$AZ323:$BC323)</f>
        <v>0</v>
      </c>
      <c r="AX323" s="231">
        <f>SUMIF(MAG!$G$121:$M$121,AX$178,MAG!$P30:$V30)+SUMIF($AZ$178:$BC$178,AX$178,$AZ323:$BC323)</f>
        <v>0</v>
      </c>
      <c r="AY323" s="232">
        <f>MAG!AF30</f>
        <v>0</v>
      </c>
      <c r="AZ323" s="228">
        <f>MAG!AG30</f>
        <v>0</v>
      </c>
      <c r="BA323" s="229">
        <f>MAG!AH30</f>
        <v>0</v>
      </c>
      <c r="BB323" s="230">
        <f>MAG!AI30</f>
        <v>0</v>
      </c>
      <c r="BC323" s="231">
        <f>MAG!AJ30</f>
        <v>0</v>
      </c>
      <c r="BD323" s="228">
        <f>SUMIF(MAG!$G$120:$M$120,"&gt;0",MAG!$X30:$AD30)</f>
        <v>0</v>
      </c>
      <c r="BE323" s="696"/>
      <c r="BF323" s="228">
        <f>SUMIF(MAG!$BA$6:$BG$6,BF$177,MAG!$BA30:$BG30)</f>
        <v>0</v>
      </c>
      <c r="BG323" s="229">
        <f>SUMIF(MAG!$BA$6:$BG$6,BG$177,MAG!$BA30:$BG30)</f>
        <v>0</v>
      </c>
      <c r="BH323" s="229">
        <f>SUMIF(MAG!$BA$6:$BG$6,BH$177,MAG!$BA30:$BG30)</f>
        <v>0</v>
      </c>
      <c r="BI323" s="229">
        <f>SUMIF(MAG!$BA$6:$BG$6,BI$177,MAG!$BA30:$BG30)</f>
        <v>0</v>
      </c>
      <c r="BJ323" s="229">
        <f>SUMIF(MAG!$BA$6:$BG$6,BJ$177,MAG!$BA30:$BG30)</f>
        <v>0</v>
      </c>
      <c r="BK323" s="229">
        <f>SUMIF(MAG!$BA$6:$BG$6,BK$177,MAG!$BA30:$BG30)</f>
        <v>0</v>
      </c>
      <c r="BL323" s="229">
        <f>SUMIF(MAG!$BA$6:$BG$6,BL$177,MAG!$BA30:$BG30)</f>
        <v>0</v>
      </c>
      <c r="BM323" s="229">
        <f>SUMIF(MAG!$BA$6:$BG$6,BM$177,MAG!$BA30:$BG30)</f>
        <v>0</v>
      </c>
      <c r="BN323" s="229">
        <f>SUMIF(MAG!$BA$6:$BG$6,BN$177,MAG!$BA30:$BG30)</f>
        <v>0</v>
      </c>
      <c r="BO323" s="231">
        <f>SUMIF(MAG!$BA$6:$BG$6,BO$177,MAG!$BA30:$BG30)</f>
        <v>0</v>
      </c>
      <c r="BP323" s="231">
        <f>SUMIF(MAG!$BA$6:$BG$6,BP$177,MAG!$BA30:$BG30)</f>
        <v>0</v>
      </c>
      <c r="BQ323" s="252"/>
      <c r="BR323" s="228">
        <f>SUMIF(MAG!$BA$5:$BG$5,BR$177,MAG!$BA30:$BG30)</f>
        <v>0</v>
      </c>
      <c r="BS323" s="229">
        <f>SUMIF(MAG!$BA$5:$BG$5,BS$177,MAG!$BA30:$BG30)</f>
        <v>0</v>
      </c>
      <c r="BT323" s="229">
        <f>SUMIF(MAG!$BA$5:$BG$5,BT$177,MAG!$BA30:$BG30)</f>
        <v>0</v>
      </c>
      <c r="BU323" s="229">
        <f>SUMIF(MAG!$BA$5:$BG$5,BU$177,MAG!$BA30:$BG30)</f>
        <v>0</v>
      </c>
      <c r="BV323" s="229">
        <f>SUMIF(MAG!$BA$5:$BG$5,BV$177,MAG!$BA30:$BG30)</f>
        <v>0</v>
      </c>
      <c r="BW323" s="229">
        <f>SUMIF(MAG!$BA$5:$BG$5,BW$177,MAG!$BA30:$BG30)</f>
        <v>0</v>
      </c>
      <c r="BX323" s="230">
        <f>SUMIF(MAG!$BA$5:$BG$5,BX$177,MAG!$BA30:$BG30)</f>
        <v>0</v>
      </c>
      <c r="BY323" s="998">
        <f>SUMIF(MAG!$BA$5:$BG$5,BY$177,MAG!$BA30:$BG30)</f>
        <v>0</v>
      </c>
      <c r="CB323" s="252"/>
      <c r="CC323" s="61" t="e">
        <f t="shared" si="70"/>
        <v>#N/A</v>
      </c>
      <c r="CD323" s="61">
        <f t="shared" si="71"/>
        <v>0</v>
      </c>
      <c r="CE323" s="105" t="str">
        <f t="shared" si="64"/>
        <v/>
      </c>
      <c r="CF323" s="61" t="e">
        <f t="shared" si="72"/>
        <v>#N/A</v>
      </c>
      <c r="CG323" s="61" t="e">
        <f t="shared" si="73"/>
        <v>#N/A</v>
      </c>
      <c r="CH323" s="521">
        <f>MAG!AL30-CW323+CR323</f>
        <v>0</v>
      </c>
      <c r="CI323" s="228">
        <f>SUMIF(MAG!$G$121:$M$121,CI$178,MAG!$AM30:$AS30)+SUMIF($CS$178:$CV$178,CI$178,$CS323:$CV323)</f>
        <v>0</v>
      </c>
      <c r="CJ323" s="229">
        <f>SUMIF(MAG!$G$121:$M$121,CJ$178,MAG!$AM30:$AS30)+SUMIF($CS$178:$CV$178,CJ$178,$CS323:$CV323)</f>
        <v>0</v>
      </c>
      <c r="CK323" s="230">
        <f>SUMIF(MAG!$G$121:$M$121,CK$178,MAG!$AM30:$AS30)+SUMIF($CS$178:$CV$178,CK$178,$CS323:$CV323)</f>
        <v>0</v>
      </c>
      <c r="CL323" s="230">
        <f>SUMIF(MAG!$G$121:$M$121,CL$178,MAG!$AM30:$AS30)+SUMIF($CS$178:$CV$178,CL$178,$CS323:$CV323)</f>
        <v>0</v>
      </c>
      <c r="CM323" s="230">
        <f>SUMIF(MAG!$G$121:$M$121,CM$178,MAG!$AM30:$AS30)+SUMIF($CS$178:$CV$178,CM$178,$CS323:$CV323)</f>
        <v>0</v>
      </c>
      <c r="CN323" s="230">
        <f>SUMIF(MAG!$G$121:$M$121,CN$178,MAG!$AM30:$AS30)+SUMIF($CS$178:$CV$178,CN$178,$CS323:$CV323)</f>
        <v>0</v>
      </c>
      <c r="CO323" s="230">
        <f>SUMIF(MAG!$G$121:$M$121,CO$178,MAG!$AM30:$AS30)+SUMIF($CS$178:$CV$178,CO$178,$CS323:$CV323)</f>
        <v>0</v>
      </c>
      <c r="CP323" s="230">
        <f>SUMIF(MAG!$G$121:$M$121,CP$178,MAG!$AM30:$AS30)+SUMIF($CS$178:$CV$178,CP$178,$CS323:$CV323)</f>
        <v>0</v>
      </c>
      <c r="CQ323" s="231">
        <f>SUMIF(MAG!$G$121:$M$121,CQ$178,MAG!$AM30:$AS30)+SUMIF($CS$178:$CV$178,CQ$178,$CS323:$CV323)</f>
        <v>0</v>
      </c>
      <c r="CR323" s="521">
        <f>MAG!AU30</f>
        <v>0</v>
      </c>
      <c r="CS323" s="228">
        <f>MAG!AV30</f>
        <v>0</v>
      </c>
      <c r="CT323" s="229">
        <f>MAG!AW30</f>
        <v>0</v>
      </c>
      <c r="CU323" s="230">
        <f>MAG!AX30</f>
        <v>0</v>
      </c>
      <c r="CV323" s="231">
        <f>MAG!AY30</f>
        <v>0</v>
      </c>
      <c r="CW323" s="521">
        <f>SUM(MAG!AU30:AY30)</f>
        <v>0</v>
      </c>
      <c r="CX323" s="521">
        <f>MAG!AK30</f>
        <v>0</v>
      </c>
      <c r="CY323" s="2"/>
    </row>
    <row r="324" spans="1:103" ht="14.25" hidden="1" customHeight="1" x14ac:dyDescent="0.2">
      <c r="A324" s="2"/>
      <c r="B324" s="105">
        <f t="shared" si="74"/>
        <v>45436</v>
      </c>
      <c r="C324" s="146">
        <f>IF(AND(E324&gt;(E$561-1),E324&lt;(I$561+1)),W$551,IF(ISERROR(HLOOKUP(E324,$E$554:$L$554,1,FALSE)),HLOOKUP(WEEKDAY(E324,2),IMPOSTAZIONI!$C$52:$P$57,6,FALSE),$W$550))</f>
        <v>0</v>
      </c>
      <c r="D324" s="71" t="str">
        <f t="shared" si="75"/>
        <v/>
      </c>
      <c r="E324" s="2258">
        <f t="shared" si="80"/>
        <v>45436</v>
      </c>
      <c r="F324" s="2259"/>
      <c r="G324" s="2228" t="str">
        <f>MAG!E31</f>
        <v xml:space="preserve">disattivato  </v>
      </c>
      <c r="H324" s="2229"/>
      <c r="I324" s="2230"/>
      <c r="J324" s="262" t="str">
        <f t="shared" si="65"/>
        <v/>
      </c>
      <c r="K324" s="263"/>
      <c r="L324" s="2217">
        <f t="shared" si="81"/>
        <v>21</v>
      </c>
      <c r="M324" s="2218"/>
      <c r="N324" s="261"/>
      <c r="O324" s="261"/>
      <c r="P324" s="261"/>
      <c r="Q324" s="2219">
        <f t="shared" si="76"/>
        <v>45436</v>
      </c>
      <c r="R324" s="2219"/>
      <c r="S324" s="261"/>
      <c r="T324" s="1173">
        <f t="shared" si="66"/>
        <v>1</v>
      </c>
      <c r="U324" s="261"/>
      <c r="V324" s="261"/>
      <c r="W324" s="261"/>
      <c r="X324" s="261"/>
      <c r="Y324" s="261"/>
      <c r="Z324" s="261"/>
      <c r="AA324" s="261"/>
      <c r="AB324" s="261"/>
      <c r="AC324" s="261"/>
      <c r="AD324" s="261"/>
      <c r="AE324" s="261"/>
      <c r="AF324" s="261"/>
      <c r="AG324" s="1173">
        <f t="shared" si="77"/>
        <v>0</v>
      </c>
      <c r="AH324" s="61" t="str">
        <f t="shared" si="78"/>
        <v/>
      </c>
      <c r="AI324" s="89" t="e">
        <f t="shared" si="79"/>
        <v>#N/A</v>
      </c>
      <c r="AJ324" s="2"/>
      <c r="AK324" s="61">
        <f>IF(G324=G$547,0,IF(OR(G324&lt;&gt;0,CH324&lt;&gt;0,C324="L"),COUNTIF(AK$180:AK323,"&gt;0")+1,0))</f>
        <v>0</v>
      </c>
      <c r="AL324" s="61" t="str">
        <f t="shared" si="67"/>
        <v/>
      </c>
      <c r="AM324" s="61" t="e">
        <f t="shared" si="68"/>
        <v>#N/A</v>
      </c>
      <c r="AN324" s="89" t="e">
        <f t="shared" si="69"/>
        <v>#N/A</v>
      </c>
      <c r="AO324" s="230">
        <f>SUM(MAG!X31:AD31)-BD324+AY324</f>
        <v>0</v>
      </c>
      <c r="AP324" s="228">
        <f>SUMIF(MAG!$G$121:$M$121,AP$178,MAG!$P31:$V31)+SUMIF($AZ$178:$BC$178,AP$178,$AZ324:$BC324)</f>
        <v>0</v>
      </c>
      <c r="AQ324" s="229">
        <f>SUMIF(MAG!$G$121:$M$121,AQ$178,MAG!$P31:$V31)+SUMIF($AZ$178:$BC$178,AQ$178,$AZ324:$BC324)</f>
        <v>0</v>
      </c>
      <c r="AR324" s="230">
        <f>SUMIF(MAG!$G$121:$M$121,AR$178,MAG!$P31:$V31)+SUMIF($AZ$178:$BC$178,AR$178,$AZ324:$BC324)</f>
        <v>0</v>
      </c>
      <c r="AS324" s="230">
        <f>SUMIF(MAG!$G$121:$M$121,AS$178,MAG!$P31:$V31)+SUMIF($AZ$178:$BC$178,AS$178,$AZ324:$BC324)</f>
        <v>0</v>
      </c>
      <c r="AT324" s="230">
        <f>SUMIF(MAG!$G$121:$M$121,AT$178,MAG!$P31:$V31)+SUMIF($AZ$178:$BC$178,AT$178,$AZ324:$BC324)</f>
        <v>0</v>
      </c>
      <c r="AU324" s="230">
        <f>SUMIF(MAG!$G$121:$M$121,AU$178,MAG!$P31:$V31)+SUMIF($AZ$178:$BC$178,AU$178,$AZ324:$BC324)</f>
        <v>0</v>
      </c>
      <c r="AV324" s="230">
        <f>SUMIF(MAG!$G$121:$M$121,AV$178,MAG!$P31:$V31)+SUMIF($AZ$178:$BC$178,AV$178,$AZ324:$BC324)</f>
        <v>0</v>
      </c>
      <c r="AW324" s="230">
        <f>SUMIF(MAG!$G$121:$M$121,AW$178,MAG!$P31:$V31)+SUMIF($AZ$178:$BC$178,AW$178,$AZ324:$BC324)</f>
        <v>0</v>
      </c>
      <c r="AX324" s="231">
        <f>SUMIF(MAG!$G$121:$M$121,AX$178,MAG!$P31:$V31)+SUMIF($AZ$178:$BC$178,AX$178,$AZ324:$BC324)</f>
        <v>0</v>
      </c>
      <c r="AY324" s="232">
        <f>MAG!AF31</f>
        <v>0</v>
      </c>
      <c r="AZ324" s="228">
        <f>MAG!AG31</f>
        <v>0</v>
      </c>
      <c r="BA324" s="229">
        <f>MAG!AH31</f>
        <v>0</v>
      </c>
      <c r="BB324" s="230">
        <f>MAG!AI31</f>
        <v>0</v>
      </c>
      <c r="BC324" s="231">
        <f>MAG!AJ31</f>
        <v>0</v>
      </c>
      <c r="BD324" s="228">
        <f>SUMIF(MAG!$G$120:$M$120,"&gt;0",MAG!$X31:$AD31)</f>
        <v>0</v>
      </c>
      <c r="BE324" s="696"/>
      <c r="BF324" s="228">
        <f>SUMIF(MAG!$BA$6:$BG$6,BF$177,MAG!$BA31:$BG31)</f>
        <v>0</v>
      </c>
      <c r="BG324" s="229">
        <f>SUMIF(MAG!$BA$6:$BG$6,BG$177,MAG!$BA31:$BG31)</f>
        <v>0</v>
      </c>
      <c r="BH324" s="229">
        <f>SUMIF(MAG!$BA$6:$BG$6,BH$177,MAG!$BA31:$BG31)</f>
        <v>0</v>
      </c>
      <c r="BI324" s="229">
        <f>SUMIF(MAG!$BA$6:$BG$6,BI$177,MAG!$BA31:$BG31)</f>
        <v>0</v>
      </c>
      <c r="BJ324" s="229">
        <f>SUMIF(MAG!$BA$6:$BG$6,BJ$177,MAG!$BA31:$BG31)</f>
        <v>0</v>
      </c>
      <c r="BK324" s="229">
        <f>SUMIF(MAG!$BA$6:$BG$6,BK$177,MAG!$BA31:$BG31)</f>
        <v>0</v>
      </c>
      <c r="BL324" s="229">
        <f>SUMIF(MAG!$BA$6:$BG$6,BL$177,MAG!$BA31:$BG31)</f>
        <v>0</v>
      </c>
      <c r="BM324" s="229">
        <f>SUMIF(MAG!$BA$6:$BG$6,BM$177,MAG!$BA31:$BG31)</f>
        <v>0</v>
      </c>
      <c r="BN324" s="229">
        <f>SUMIF(MAG!$BA$6:$BG$6,BN$177,MAG!$BA31:$BG31)</f>
        <v>0</v>
      </c>
      <c r="BO324" s="231">
        <f>SUMIF(MAG!$BA$6:$BG$6,BO$177,MAG!$BA31:$BG31)</f>
        <v>0</v>
      </c>
      <c r="BP324" s="231">
        <f>SUMIF(MAG!$BA$6:$BG$6,BP$177,MAG!$BA31:$BG31)</f>
        <v>0</v>
      </c>
      <c r="BQ324" s="252"/>
      <c r="BR324" s="228">
        <f>SUMIF(MAG!$BA$5:$BG$5,BR$177,MAG!$BA31:$BG31)</f>
        <v>0</v>
      </c>
      <c r="BS324" s="229">
        <f>SUMIF(MAG!$BA$5:$BG$5,BS$177,MAG!$BA31:$BG31)</f>
        <v>0</v>
      </c>
      <c r="BT324" s="229">
        <f>SUMIF(MAG!$BA$5:$BG$5,BT$177,MAG!$BA31:$BG31)</f>
        <v>0</v>
      </c>
      <c r="BU324" s="229">
        <f>SUMIF(MAG!$BA$5:$BG$5,BU$177,MAG!$BA31:$BG31)</f>
        <v>0</v>
      </c>
      <c r="BV324" s="229">
        <f>SUMIF(MAG!$BA$5:$BG$5,BV$177,MAG!$BA31:$BG31)</f>
        <v>0</v>
      </c>
      <c r="BW324" s="229">
        <f>SUMIF(MAG!$BA$5:$BG$5,BW$177,MAG!$BA31:$BG31)</f>
        <v>0</v>
      </c>
      <c r="BX324" s="230">
        <f>SUMIF(MAG!$BA$5:$BG$5,BX$177,MAG!$BA31:$BG31)</f>
        <v>0</v>
      </c>
      <c r="BY324" s="998">
        <f>SUMIF(MAG!$BA$5:$BG$5,BY$177,MAG!$BA31:$BG31)</f>
        <v>0</v>
      </c>
      <c r="CB324" s="252"/>
      <c r="CC324" s="61" t="e">
        <f t="shared" si="70"/>
        <v>#N/A</v>
      </c>
      <c r="CD324" s="61">
        <f t="shared" si="71"/>
        <v>0</v>
      </c>
      <c r="CE324" s="105" t="str">
        <f t="shared" si="64"/>
        <v/>
      </c>
      <c r="CF324" s="61" t="e">
        <f t="shared" si="72"/>
        <v>#N/A</v>
      </c>
      <c r="CG324" s="61" t="e">
        <f t="shared" si="73"/>
        <v>#N/A</v>
      </c>
      <c r="CH324" s="521">
        <f>MAG!AL31-CW324+CR324</f>
        <v>0</v>
      </c>
      <c r="CI324" s="228">
        <f>SUMIF(MAG!$G$121:$M$121,CI$178,MAG!$AM31:$AS31)+SUMIF($CS$178:$CV$178,CI$178,$CS324:$CV324)</f>
        <v>0</v>
      </c>
      <c r="CJ324" s="229">
        <f>SUMIF(MAG!$G$121:$M$121,CJ$178,MAG!$AM31:$AS31)+SUMIF($CS$178:$CV$178,CJ$178,$CS324:$CV324)</f>
        <v>0</v>
      </c>
      <c r="CK324" s="230">
        <f>SUMIF(MAG!$G$121:$M$121,CK$178,MAG!$AM31:$AS31)+SUMIF($CS$178:$CV$178,CK$178,$CS324:$CV324)</f>
        <v>0</v>
      </c>
      <c r="CL324" s="230">
        <f>SUMIF(MAG!$G$121:$M$121,CL$178,MAG!$AM31:$AS31)+SUMIF($CS$178:$CV$178,CL$178,$CS324:$CV324)</f>
        <v>0</v>
      </c>
      <c r="CM324" s="230">
        <f>SUMIF(MAG!$G$121:$M$121,CM$178,MAG!$AM31:$AS31)+SUMIF($CS$178:$CV$178,CM$178,$CS324:$CV324)</f>
        <v>0</v>
      </c>
      <c r="CN324" s="230">
        <f>SUMIF(MAG!$G$121:$M$121,CN$178,MAG!$AM31:$AS31)+SUMIF($CS$178:$CV$178,CN$178,$CS324:$CV324)</f>
        <v>0</v>
      </c>
      <c r="CO324" s="230">
        <f>SUMIF(MAG!$G$121:$M$121,CO$178,MAG!$AM31:$AS31)+SUMIF($CS$178:$CV$178,CO$178,$CS324:$CV324)</f>
        <v>0</v>
      </c>
      <c r="CP324" s="230">
        <f>SUMIF(MAG!$G$121:$M$121,CP$178,MAG!$AM31:$AS31)+SUMIF($CS$178:$CV$178,CP$178,$CS324:$CV324)</f>
        <v>0</v>
      </c>
      <c r="CQ324" s="231">
        <f>SUMIF(MAG!$G$121:$M$121,CQ$178,MAG!$AM31:$AS31)+SUMIF($CS$178:$CV$178,CQ$178,$CS324:$CV324)</f>
        <v>0</v>
      </c>
      <c r="CR324" s="521">
        <f>MAG!AU31</f>
        <v>0</v>
      </c>
      <c r="CS324" s="228">
        <f>MAG!AV31</f>
        <v>0</v>
      </c>
      <c r="CT324" s="229">
        <f>MAG!AW31</f>
        <v>0</v>
      </c>
      <c r="CU324" s="230">
        <f>MAG!AX31</f>
        <v>0</v>
      </c>
      <c r="CV324" s="231">
        <f>MAG!AY31</f>
        <v>0</v>
      </c>
      <c r="CW324" s="521">
        <f>SUM(MAG!AU31:AY31)</f>
        <v>0</v>
      </c>
      <c r="CX324" s="521">
        <f>MAG!AK31</f>
        <v>0</v>
      </c>
      <c r="CY324" s="2"/>
    </row>
    <row r="325" spans="1:103" ht="14.25" hidden="1" customHeight="1" x14ac:dyDescent="0.2">
      <c r="A325" s="2"/>
      <c r="B325" s="105">
        <f t="shared" si="74"/>
        <v>45437</v>
      </c>
      <c r="C325" s="146">
        <f>IF(AND(E325&gt;(E$561-1),E325&lt;(I$561+1)),W$551,IF(ISERROR(HLOOKUP(E325,$E$554:$L$554,1,FALSE)),HLOOKUP(WEEKDAY(E325,2),IMPOSTAZIONI!$C$52:$P$57,6,FALSE),$W$550))</f>
        <v>0</v>
      </c>
      <c r="D325" s="71" t="str">
        <f t="shared" si="75"/>
        <v/>
      </c>
      <c r="E325" s="2258">
        <f t="shared" si="80"/>
        <v>45437</v>
      </c>
      <c r="F325" s="2259"/>
      <c r="G325" s="2228" t="str">
        <f>MAG!E32</f>
        <v xml:space="preserve">disattivato  </v>
      </c>
      <c r="H325" s="2229"/>
      <c r="I325" s="2230"/>
      <c r="J325" s="262" t="str">
        <f t="shared" si="65"/>
        <v/>
      </c>
      <c r="K325" s="263"/>
      <c r="L325" s="2217">
        <f t="shared" si="81"/>
        <v>21</v>
      </c>
      <c r="M325" s="2218"/>
      <c r="N325" s="261"/>
      <c r="O325" s="261"/>
      <c r="P325" s="261"/>
      <c r="Q325" s="2219">
        <f t="shared" si="76"/>
        <v>45437</v>
      </c>
      <c r="R325" s="2219"/>
      <c r="S325" s="261"/>
      <c r="T325" s="1173">
        <f t="shared" si="66"/>
        <v>1</v>
      </c>
      <c r="U325" s="261"/>
      <c r="V325" s="261"/>
      <c r="W325" s="261"/>
      <c r="X325" s="261"/>
      <c r="Y325" s="261"/>
      <c r="Z325" s="261"/>
      <c r="AA325" s="261"/>
      <c r="AB325" s="261"/>
      <c r="AC325" s="261"/>
      <c r="AD325" s="261"/>
      <c r="AE325" s="261"/>
      <c r="AF325" s="261"/>
      <c r="AG325" s="1173">
        <f t="shared" si="77"/>
        <v>0</v>
      </c>
      <c r="AH325" s="61" t="str">
        <f t="shared" si="78"/>
        <v/>
      </c>
      <c r="AI325" s="89" t="e">
        <f t="shared" si="79"/>
        <v>#N/A</v>
      </c>
      <c r="AJ325" s="2"/>
      <c r="AK325" s="61">
        <f>IF(G325=G$547,0,IF(OR(G325&lt;&gt;0,CH325&lt;&gt;0,C325="L"),COUNTIF(AK$180:AK324,"&gt;0")+1,0))</f>
        <v>0</v>
      </c>
      <c r="AL325" s="61" t="str">
        <f t="shared" si="67"/>
        <v/>
      </c>
      <c r="AM325" s="61" t="e">
        <f t="shared" si="68"/>
        <v>#N/A</v>
      </c>
      <c r="AN325" s="89" t="e">
        <f t="shared" si="69"/>
        <v>#N/A</v>
      </c>
      <c r="AO325" s="230">
        <f>SUM(MAG!X32:AD32)-BD325+AY325</f>
        <v>0</v>
      </c>
      <c r="AP325" s="228">
        <f>SUMIF(MAG!$G$121:$M$121,AP$178,MAG!$P32:$V32)+SUMIF($AZ$178:$BC$178,AP$178,$AZ325:$BC325)</f>
        <v>0</v>
      </c>
      <c r="AQ325" s="229">
        <f>SUMIF(MAG!$G$121:$M$121,AQ$178,MAG!$P32:$V32)+SUMIF($AZ$178:$BC$178,AQ$178,$AZ325:$BC325)</f>
        <v>0</v>
      </c>
      <c r="AR325" s="230">
        <f>SUMIF(MAG!$G$121:$M$121,AR$178,MAG!$P32:$V32)+SUMIF($AZ$178:$BC$178,AR$178,$AZ325:$BC325)</f>
        <v>0</v>
      </c>
      <c r="AS325" s="230">
        <f>SUMIF(MAG!$G$121:$M$121,AS$178,MAG!$P32:$V32)+SUMIF($AZ$178:$BC$178,AS$178,$AZ325:$BC325)</f>
        <v>0</v>
      </c>
      <c r="AT325" s="230">
        <f>SUMIF(MAG!$G$121:$M$121,AT$178,MAG!$P32:$V32)+SUMIF($AZ$178:$BC$178,AT$178,$AZ325:$BC325)</f>
        <v>0</v>
      </c>
      <c r="AU325" s="230">
        <f>SUMIF(MAG!$G$121:$M$121,AU$178,MAG!$P32:$V32)+SUMIF($AZ$178:$BC$178,AU$178,$AZ325:$BC325)</f>
        <v>0</v>
      </c>
      <c r="AV325" s="230">
        <f>SUMIF(MAG!$G$121:$M$121,AV$178,MAG!$P32:$V32)+SUMIF($AZ$178:$BC$178,AV$178,$AZ325:$BC325)</f>
        <v>0</v>
      </c>
      <c r="AW325" s="230">
        <f>SUMIF(MAG!$G$121:$M$121,AW$178,MAG!$P32:$V32)+SUMIF($AZ$178:$BC$178,AW$178,$AZ325:$BC325)</f>
        <v>0</v>
      </c>
      <c r="AX325" s="231">
        <f>SUMIF(MAG!$G$121:$M$121,AX$178,MAG!$P32:$V32)+SUMIF($AZ$178:$BC$178,AX$178,$AZ325:$BC325)</f>
        <v>0</v>
      </c>
      <c r="AY325" s="232">
        <f>MAG!AF32</f>
        <v>0</v>
      </c>
      <c r="AZ325" s="228">
        <f>MAG!AG32</f>
        <v>0</v>
      </c>
      <c r="BA325" s="229">
        <f>MAG!AH32</f>
        <v>0</v>
      </c>
      <c r="BB325" s="230">
        <f>MAG!AI32</f>
        <v>0</v>
      </c>
      <c r="BC325" s="231">
        <f>MAG!AJ32</f>
        <v>0</v>
      </c>
      <c r="BD325" s="228">
        <f>SUMIF(MAG!$G$120:$M$120,"&gt;0",MAG!$X32:$AD32)</f>
        <v>0</v>
      </c>
      <c r="BE325" s="696"/>
      <c r="BF325" s="228">
        <f>SUMIF(MAG!$BA$6:$BG$6,BF$177,MAG!$BA32:$BG32)</f>
        <v>0</v>
      </c>
      <c r="BG325" s="229">
        <f>SUMIF(MAG!$BA$6:$BG$6,BG$177,MAG!$BA32:$BG32)</f>
        <v>0</v>
      </c>
      <c r="BH325" s="229">
        <f>SUMIF(MAG!$BA$6:$BG$6,BH$177,MAG!$BA32:$BG32)</f>
        <v>0</v>
      </c>
      <c r="BI325" s="229">
        <f>SUMIF(MAG!$BA$6:$BG$6,BI$177,MAG!$BA32:$BG32)</f>
        <v>0</v>
      </c>
      <c r="BJ325" s="229">
        <f>SUMIF(MAG!$BA$6:$BG$6,BJ$177,MAG!$BA32:$BG32)</f>
        <v>0</v>
      </c>
      <c r="BK325" s="229">
        <f>SUMIF(MAG!$BA$6:$BG$6,BK$177,MAG!$BA32:$BG32)</f>
        <v>0</v>
      </c>
      <c r="BL325" s="229">
        <f>SUMIF(MAG!$BA$6:$BG$6,BL$177,MAG!$BA32:$BG32)</f>
        <v>0</v>
      </c>
      <c r="BM325" s="229">
        <f>SUMIF(MAG!$BA$6:$BG$6,BM$177,MAG!$BA32:$BG32)</f>
        <v>0</v>
      </c>
      <c r="BN325" s="229">
        <f>SUMIF(MAG!$BA$6:$BG$6,BN$177,MAG!$BA32:$BG32)</f>
        <v>0</v>
      </c>
      <c r="BO325" s="231">
        <f>SUMIF(MAG!$BA$6:$BG$6,BO$177,MAG!$BA32:$BG32)</f>
        <v>0</v>
      </c>
      <c r="BP325" s="231">
        <f>SUMIF(MAG!$BA$6:$BG$6,BP$177,MAG!$BA32:$BG32)</f>
        <v>0</v>
      </c>
      <c r="BQ325" s="252"/>
      <c r="BR325" s="228">
        <f>SUMIF(MAG!$BA$5:$BG$5,BR$177,MAG!$BA32:$BG32)</f>
        <v>0</v>
      </c>
      <c r="BS325" s="229">
        <f>SUMIF(MAG!$BA$5:$BG$5,BS$177,MAG!$BA32:$BG32)</f>
        <v>0</v>
      </c>
      <c r="BT325" s="229">
        <f>SUMIF(MAG!$BA$5:$BG$5,BT$177,MAG!$BA32:$BG32)</f>
        <v>0</v>
      </c>
      <c r="BU325" s="229">
        <f>SUMIF(MAG!$BA$5:$BG$5,BU$177,MAG!$BA32:$BG32)</f>
        <v>0</v>
      </c>
      <c r="BV325" s="229">
        <f>SUMIF(MAG!$BA$5:$BG$5,BV$177,MAG!$BA32:$BG32)</f>
        <v>0</v>
      </c>
      <c r="BW325" s="229">
        <f>SUMIF(MAG!$BA$5:$BG$5,BW$177,MAG!$BA32:$BG32)</f>
        <v>0</v>
      </c>
      <c r="BX325" s="230">
        <f>SUMIF(MAG!$BA$5:$BG$5,BX$177,MAG!$BA32:$BG32)</f>
        <v>0</v>
      </c>
      <c r="BY325" s="998">
        <f>SUMIF(MAG!$BA$5:$BG$5,BY$177,MAG!$BA32:$BG32)</f>
        <v>0</v>
      </c>
      <c r="CB325" s="252"/>
      <c r="CC325" s="61" t="e">
        <f t="shared" si="70"/>
        <v>#N/A</v>
      </c>
      <c r="CD325" s="61">
        <f t="shared" si="71"/>
        <v>0</v>
      </c>
      <c r="CE325" s="105" t="str">
        <f t="shared" si="64"/>
        <v/>
      </c>
      <c r="CF325" s="61" t="e">
        <f t="shared" si="72"/>
        <v>#N/A</v>
      </c>
      <c r="CG325" s="61" t="e">
        <f t="shared" si="73"/>
        <v>#N/A</v>
      </c>
      <c r="CH325" s="521">
        <f>MAG!AL32-CW325+CR325</f>
        <v>0</v>
      </c>
      <c r="CI325" s="228">
        <f>SUMIF(MAG!$G$121:$M$121,CI$178,MAG!$AM32:$AS32)+SUMIF($CS$178:$CV$178,CI$178,$CS325:$CV325)</f>
        <v>0</v>
      </c>
      <c r="CJ325" s="229">
        <f>SUMIF(MAG!$G$121:$M$121,CJ$178,MAG!$AM32:$AS32)+SUMIF($CS$178:$CV$178,CJ$178,$CS325:$CV325)</f>
        <v>0</v>
      </c>
      <c r="CK325" s="230">
        <f>SUMIF(MAG!$G$121:$M$121,CK$178,MAG!$AM32:$AS32)+SUMIF($CS$178:$CV$178,CK$178,$CS325:$CV325)</f>
        <v>0</v>
      </c>
      <c r="CL325" s="230">
        <f>SUMIF(MAG!$G$121:$M$121,CL$178,MAG!$AM32:$AS32)+SUMIF($CS$178:$CV$178,CL$178,$CS325:$CV325)</f>
        <v>0</v>
      </c>
      <c r="CM325" s="230">
        <f>SUMIF(MAG!$G$121:$M$121,CM$178,MAG!$AM32:$AS32)+SUMIF($CS$178:$CV$178,CM$178,$CS325:$CV325)</f>
        <v>0</v>
      </c>
      <c r="CN325" s="230">
        <f>SUMIF(MAG!$G$121:$M$121,CN$178,MAG!$AM32:$AS32)+SUMIF($CS$178:$CV$178,CN$178,$CS325:$CV325)</f>
        <v>0</v>
      </c>
      <c r="CO325" s="230">
        <f>SUMIF(MAG!$G$121:$M$121,CO$178,MAG!$AM32:$AS32)+SUMIF($CS$178:$CV$178,CO$178,$CS325:$CV325)</f>
        <v>0</v>
      </c>
      <c r="CP325" s="230">
        <f>SUMIF(MAG!$G$121:$M$121,CP$178,MAG!$AM32:$AS32)+SUMIF($CS$178:$CV$178,CP$178,$CS325:$CV325)</f>
        <v>0</v>
      </c>
      <c r="CQ325" s="231">
        <f>SUMIF(MAG!$G$121:$M$121,CQ$178,MAG!$AM32:$AS32)+SUMIF($CS$178:$CV$178,CQ$178,$CS325:$CV325)</f>
        <v>0</v>
      </c>
      <c r="CR325" s="521">
        <f>MAG!AU32</f>
        <v>0</v>
      </c>
      <c r="CS325" s="228">
        <f>MAG!AV32</f>
        <v>0</v>
      </c>
      <c r="CT325" s="229">
        <f>MAG!AW32</f>
        <v>0</v>
      </c>
      <c r="CU325" s="230">
        <f>MAG!AX32</f>
        <v>0</v>
      </c>
      <c r="CV325" s="231">
        <f>MAG!AY32</f>
        <v>0</v>
      </c>
      <c r="CW325" s="521">
        <f>SUM(MAG!AU32:AY32)</f>
        <v>0</v>
      </c>
      <c r="CX325" s="521">
        <f>MAG!AK32</f>
        <v>0</v>
      </c>
      <c r="CY325" s="2"/>
    </row>
    <row r="326" spans="1:103" ht="14.25" hidden="1" customHeight="1" x14ac:dyDescent="0.2">
      <c r="A326" s="2"/>
      <c r="B326" s="105">
        <f t="shared" si="74"/>
        <v>45438</v>
      </c>
      <c r="C326" s="146">
        <f>IF(AND(E326&gt;(E$561-1),E326&lt;(I$561+1)),W$551,IF(ISERROR(HLOOKUP(E326,$E$554:$L$554,1,FALSE)),HLOOKUP(WEEKDAY(E326,2),IMPOSTAZIONI!$C$52:$P$57,6,FALSE),$W$550))</f>
        <v>0</v>
      </c>
      <c r="D326" s="71" t="str">
        <f t="shared" si="75"/>
        <v/>
      </c>
      <c r="E326" s="2258">
        <f t="shared" si="80"/>
        <v>45438</v>
      </c>
      <c r="F326" s="2259"/>
      <c r="G326" s="2228" t="str">
        <f>MAG!E33</f>
        <v xml:space="preserve">disattivato  </v>
      </c>
      <c r="H326" s="2229"/>
      <c r="I326" s="2230"/>
      <c r="J326" s="262" t="str">
        <f t="shared" si="65"/>
        <v/>
      </c>
      <c r="K326" s="263"/>
      <c r="L326" s="2220">
        <f t="shared" si="81"/>
        <v>21</v>
      </c>
      <c r="M326" s="2221"/>
      <c r="N326" s="261"/>
      <c r="O326" s="261"/>
      <c r="P326" s="261"/>
      <c r="Q326" s="2219">
        <f t="shared" si="76"/>
        <v>45438</v>
      </c>
      <c r="R326" s="2219"/>
      <c r="S326" s="261"/>
      <c r="T326" s="1173">
        <f t="shared" si="66"/>
        <v>1</v>
      </c>
      <c r="U326" s="261"/>
      <c r="V326" s="261"/>
      <c r="W326" s="261"/>
      <c r="X326" s="261"/>
      <c r="Y326" s="261"/>
      <c r="Z326" s="261"/>
      <c r="AA326" s="261"/>
      <c r="AB326" s="261"/>
      <c r="AC326" s="261"/>
      <c r="AD326" s="261"/>
      <c r="AE326" s="261"/>
      <c r="AF326" s="261"/>
      <c r="AG326" s="1173">
        <f t="shared" si="77"/>
        <v>0</v>
      </c>
      <c r="AH326" s="61" t="str">
        <f t="shared" si="78"/>
        <v/>
      </c>
      <c r="AI326" s="89" t="e">
        <f t="shared" si="79"/>
        <v>#N/A</v>
      </c>
      <c r="AJ326" s="2"/>
      <c r="AK326" s="61">
        <f>IF(G326=G$547,0,IF(OR(G326&lt;&gt;0,CH326&lt;&gt;0,C326="L"),COUNTIF(AK$180:AK325,"&gt;0")+1,0))</f>
        <v>0</v>
      </c>
      <c r="AL326" s="61" t="str">
        <f t="shared" si="67"/>
        <v/>
      </c>
      <c r="AM326" s="61" t="e">
        <f t="shared" si="68"/>
        <v>#N/A</v>
      </c>
      <c r="AN326" s="89" t="e">
        <f t="shared" si="69"/>
        <v>#N/A</v>
      </c>
      <c r="AO326" s="230">
        <f>SUM(MAG!X33:AD33)-BD326+AY326</f>
        <v>0</v>
      </c>
      <c r="AP326" s="228">
        <f>SUMIF(MAG!$G$121:$M$121,AP$178,MAG!$P33:$V33)+SUMIF($AZ$178:$BC$178,AP$178,$AZ326:$BC326)</f>
        <v>0</v>
      </c>
      <c r="AQ326" s="229">
        <f>SUMIF(MAG!$G$121:$M$121,AQ$178,MAG!$P33:$V33)+SUMIF($AZ$178:$BC$178,AQ$178,$AZ326:$BC326)</f>
        <v>0</v>
      </c>
      <c r="AR326" s="230">
        <f>SUMIF(MAG!$G$121:$M$121,AR$178,MAG!$P33:$V33)+SUMIF($AZ$178:$BC$178,AR$178,$AZ326:$BC326)</f>
        <v>0</v>
      </c>
      <c r="AS326" s="230">
        <f>SUMIF(MAG!$G$121:$M$121,AS$178,MAG!$P33:$V33)+SUMIF($AZ$178:$BC$178,AS$178,$AZ326:$BC326)</f>
        <v>0</v>
      </c>
      <c r="AT326" s="230">
        <f>SUMIF(MAG!$G$121:$M$121,AT$178,MAG!$P33:$V33)+SUMIF($AZ$178:$BC$178,AT$178,$AZ326:$BC326)</f>
        <v>0</v>
      </c>
      <c r="AU326" s="230">
        <f>SUMIF(MAG!$G$121:$M$121,AU$178,MAG!$P33:$V33)+SUMIF($AZ$178:$BC$178,AU$178,$AZ326:$BC326)</f>
        <v>0</v>
      </c>
      <c r="AV326" s="230">
        <f>SUMIF(MAG!$G$121:$M$121,AV$178,MAG!$P33:$V33)+SUMIF($AZ$178:$BC$178,AV$178,$AZ326:$BC326)</f>
        <v>0</v>
      </c>
      <c r="AW326" s="230">
        <f>SUMIF(MAG!$G$121:$M$121,AW$178,MAG!$P33:$V33)+SUMIF($AZ$178:$BC$178,AW$178,$AZ326:$BC326)</f>
        <v>0</v>
      </c>
      <c r="AX326" s="231">
        <f>SUMIF(MAG!$G$121:$M$121,AX$178,MAG!$P33:$V33)+SUMIF($AZ$178:$BC$178,AX$178,$AZ326:$BC326)</f>
        <v>0</v>
      </c>
      <c r="AY326" s="232">
        <f>MAG!AF33</f>
        <v>0</v>
      </c>
      <c r="AZ326" s="228">
        <f>MAG!AG33</f>
        <v>0</v>
      </c>
      <c r="BA326" s="229">
        <f>MAG!AH33</f>
        <v>0</v>
      </c>
      <c r="BB326" s="230">
        <f>MAG!AI33</f>
        <v>0</v>
      </c>
      <c r="BC326" s="231">
        <f>MAG!AJ33</f>
        <v>0</v>
      </c>
      <c r="BD326" s="228">
        <f>SUMIF(MAG!$G$120:$M$120,"&gt;0",MAG!$X33:$AD33)</f>
        <v>0</v>
      </c>
      <c r="BE326" s="696"/>
      <c r="BF326" s="228">
        <f>SUMIF(MAG!$BA$6:$BG$6,BF$177,MAG!$BA33:$BG33)</f>
        <v>0</v>
      </c>
      <c r="BG326" s="229">
        <f>SUMIF(MAG!$BA$6:$BG$6,BG$177,MAG!$BA33:$BG33)</f>
        <v>0</v>
      </c>
      <c r="BH326" s="229">
        <f>SUMIF(MAG!$BA$6:$BG$6,BH$177,MAG!$BA33:$BG33)</f>
        <v>0</v>
      </c>
      <c r="BI326" s="229">
        <f>SUMIF(MAG!$BA$6:$BG$6,BI$177,MAG!$BA33:$BG33)</f>
        <v>0</v>
      </c>
      <c r="BJ326" s="229">
        <f>SUMIF(MAG!$BA$6:$BG$6,BJ$177,MAG!$BA33:$BG33)</f>
        <v>0</v>
      </c>
      <c r="BK326" s="229">
        <f>SUMIF(MAG!$BA$6:$BG$6,BK$177,MAG!$BA33:$BG33)</f>
        <v>0</v>
      </c>
      <c r="BL326" s="229">
        <f>SUMIF(MAG!$BA$6:$BG$6,BL$177,MAG!$BA33:$BG33)</f>
        <v>0</v>
      </c>
      <c r="BM326" s="229">
        <f>SUMIF(MAG!$BA$6:$BG$6,BM$177,MAG!$BA33:$BG33)</f>
        <v>0</v>
      </c>
      <c r="BN326" s="229">
        <f>SUMIF(MAG!$BA$6:$BG$6,BN$177,MAG!$BA33:$BG33)</f>
        <v>0</v>
      </c>
      <c r="BO326" s="231">
        <f>SUMIF(MAG!$BA$6:$BG$6,BO$177,MAG!$BA33:$BG33)</f>
        <v>0</v>
      </c>
      <c r="BP326" s="231">
        <f>SUMIF(MAG!$BA$6:$BG$6,BP$177,MAG!$BA33:$BG33)</f>
        <v>0</v>
      </c>
      <c r="BQ326" s="252"/>
      <c r="BR326" s="228">
        <f>SUMIF(MAG!$BA$5:$BG$5,BR$177,MAG!$BA33:$BG33)</f>
        <v>0</v>
      </c>
      <c r="BS326" s="229">
        <f>SUMIF(MAG!$BA$5:$BG$5,BS$177,MAG!$BA33:$BG33)</f>
        <v>0</v>
      </c>
      <c r="BT326" s="229">
        <f>SUMIF(MAG!$BA$5:$BG$5,BT$177,MAG!$BA33:$BG33)</f>
        <v>0</v>
      </c>
      <c r="BU326" s="229">
        <f>SUMIF(MAG!$BA$5:$BG$5,BU$177,MAG!$BA33:$BG33)</f>
        <v>0</v>
      </c>
      <c r="BV326" s="229">
        <f>SUMIF(MAG!$BA$5:$BG$5,BV$177,MAG!$BA33:$BG33)</f>
        <v>0</v>
      </c>
      <c r="BW326" s="229">
        <f>SUMIF(MAG!$BA$5:$BG$5,BW$177,MAG!$BA33:$BG33)</f>
        <v>0</v>
      </c>
      <c r="BX326" s="230">
        <f>SUMIF(MAG!$BA$5:$BG$5,BX$177,MAG!$BA33:$BG33)</f>
        <v>0</v>
      </c>
      <c r="BY326" s="998">
        <f>SUMIF(MAG!$BA$5:$BG$5,BY$177,MAG!$BA33:$BG33)</f>
        <v>0</v>
      </c>
      <c r="CB326" s="252"/>
      <c r="CC326" s="61" t="e">
        <f t="shared" si="70"/>
        <v>#N/A</v>
      </c>
      <c r="CD326" s="61">
        <f t="shared" si="71"/>
        <v>0</v>
      </c>
      <c r="CE326" s="105" t="str">
        <f t="shared" si="64"/>
        <v/>
      </c>
      <c r="CF326" s="61" t="e">
        <f t="shared" si="72"/>
        <v>#N/A</v>
      </c>
      <c r="CG326" s="61" t="e">
        <f t="shared" si="73"/>
        <v>#N/A</v>
      </c>
      <c r="CH326" s="521">
        <f>MAG!AL33-CW326+CR326</f>
        <v>0</v>
      </c>
      <c r="CI326" s="228">
        <f>SUMIF(MAG!$G$121:$M$121,CI$178,MAG!$AM33:$AS33)+SUMIF($CS$178:$CV$178,CI$178,$CS326:$CV326)</f>
        <v>0</v>
      </c>
      <c r="CJ326" s="229">
        <f>SUMIF(MAG!$G$121:$M$121,CJ$178,MAG!$AM33:$AS33)+SUMIF($CS$178:$CV$178,CJ$178,$CS326:$CV326)</f>
        <v>0</v>
      </c>
      <c r="CK326" s="230">
        <f>SUMIF(MAG!$G$121:$M$121,CK$178,MAG!$AM33:$AS33)+SUMIF($CS$178:$CV$178,CK$178,$CS326:$CV326)</f>
        <v>0</v>
      </c>
      <c r="CL326" s="230">
        <f>SUMIF(MAG!$G$121:$M$121,CL$178,MAG!$AM33:$AS33)+SUMIF($CS$178:$CV$178,CL$178,$CS326:$CV326)</f>
        <v>0</v>
      </c>
      <c r="CM326" s="230">
        <f>SUMIF(MAG!$G$121:$M$121,CM$178,MAG!$AM33:$AS33)+SUMIF($CS$178:$CV$178,CM$178,$CS326:$CV326)</f>
        <v>0</v>
      </c>
      <c r="CN326" s="230">
        <f>SUMIF(MAG!$G$121:$M$121,CN$178,MAG!$AM33:$AS33)+SUMIF($CS$178:$CV$178,CN$178,$CS326:$CV326)</f>
        <v>0</v>
      </c>
      <c r="CO326" s="230">
        <f>SUMIF(MAG!$G$121:$M$121,CO$178,MAG!$AM33:$AS33)+SUMIF($CS$178:$CV$178,CO$178,$CS326:$CV326)</f>
        <v>0</v>
      </c>
      <c r="CP326" s="230">
        <f>SUMIF(MAG!$G$121:$M$121,CP$178,MAG!$AM33:$AS33)+SUMIF($CS$178:$CV$178,CP$178,$CS326:$CV326)</f>
        <v>0</v>
      </c>
      <c r="CQ326" s="231">
        <f>SUMIF(MAG!$G$121:$M$121,CQ$178,MAG!$AM33:$AS33)+SUMIF($CS$178:$CV$178,CQ$178,$CS326:$CV326)</f>
        <v>0</v>
      </c>
      <c r="CR326" s="521">
        <f>MAG!AU33</f>
        <v>0</v>
      </c>
      <c r="CS326" s="228">
        <f>MAG!AV33</f>
        <v>0</v>
      </c>
      <c r="CT326" s="229">
        <f>MAG!AW33</f>
        <v>0</v>
      </c>
      <c r="CU326" s="230">
        <f>MAG!AX33</f>
        <v>0</v>
      </c>
      <c r="CV326" s="231">
        <f>MAG!AY33</f>
        <v>0</v>
      </c>
      <c r="CW326" s="521">
        <f>SUM(MAG!AU33:AY33)</f>
        <v>0</v>
      </c>
      <c r="CX326" s="521">
        <f>MAG!AK33</f>
        <v>0</v>
      </c>
      <c r="CY326" s="2"/>
    </row>
    <row r="327" spans="1:103" ht="14.25" hidden="1" customHeight="1" x14ac:dyDescent="0.2">
      <c r="A327" s="2"/>
      <c r="B327" s="105">
        <f t="shared" si="74"/>
        <v>45439</v>
      </c>
      <c r="C327" s="146">
        <f>IF(AND(E327&gt;(E$561-1),E327&lt;(I$561+1)),W$551,IF(ISERROR(HLOOKUP(E327,$E$554:$L$554,1,FALSE)),HLOOKUP(WEEKDAY(E327,2),IMPOSTAZIONI!$C$52:$P$57,6,FALSE),$W$550))</f>
        <v>0</v>
      </c>
      <c r="D327" s="71" t="str">
        <f t="shared" si="75"/>
        <v/>
      </c>
      <c r="E327" s="2258">
        <f t="shared" si="80"/>
        <v>45439</v>
      </c>
      <c r="F327" s="2259"/>
      <c r="G327" s="2228" t="str">
        <f>MAG!E34</f>
        <v xml:space="preserve">disattivato  </v>
      </c>
      <c r="H327" s="2229"/>
      <c r="I327" s="2230"/>
      <c r="J327" s="262" t="str">
        <f t="shared" si="65"/>
        <v/>
      </c>
      <c r="K327" s="263"/>
      <c r="L327" s="2222">
        <f t="shared" si="81"/>
        <v>22</v>
      </c>
      <c r="M327" s="2223"/>
      <c r="N327" s="261"/>
      <c r="O327" s="261"/>
      <c r="P327" s="261"/>
      <c r="Q327" s="2219">
        <f t="shared" si="76"/>
        <v>45439</v>
      </c>
      <c r="R327" s="2219"/>
      <c r="S327" s="261"/>
      <c r="T327" s="1173">
        <f t="shared" si="66"/>
        <v>1</v>
      </c>
      <c r="U327" s="261"/>
      <c r="V327" s="261"/>
      <c r="W327" s="261"/>
      <c r="X327" s="261"/>
      <c r="Y327" s="261"/>
      <c r="Z327" s="261"/>
      <c r="AA327" s="261"/>
      <c r="AB327" s="261"/>
      <c r="AC327" s="261"/>
      <c r="AD327" s="261"/>
      <c r="AE327" s="261"/>
      <c r="AF327" s="261"/>
      <c r="AG327" s="1173">
        <f t="shared" si="77"/>
        <v>0</v>
      </c>
      <c r="AH327" s="61" t="str">
        <f t="shared" si="78"/>
        <v/>
      </c>
      <c r="AI327" s="89" t="e">
        <f t="shared" si="79"/>
        <v>#N/A</v>
      </c>
      <c r="AJ327" s="2"/>
      <c r="AK327" s="61">
        <f>IF(G327=G$547,0,IF(OR(G327&lt;&gt;0,CH327&lt;&gt;0,C327="L"),COUNTIF(AK$180:AK326,"&gt;0")+1,0))</f>
        <v>0</v>
      </c>
      <c r="AL327" s="61" t="str">
        <f t="shared" si="67"/>
        <v/>
      </c>
      <c r="AM327" s="61" t="e">
        <f t="shared" si="68"/>
        <v>#N/A</v>
      </c>
      <c r="AN327" s="89" t="e">
        <f t="shared" si="69"/>
        <v>#N/A</v>
      </c>
      <c r="AO327" s="230">
        <f>SUM(MAG!X34:AD34)-BD327+AY327</f>
        <v>0</v>
      </c>
      <c r="AP327" s="228">
        <f>SUMIF(MAG!$G$121:$M$121,AP$178,MAG!$P34:$V34)+SUMIF($AZ$178:$BC$178,AP$178,$AZ327:$BC327)</f>
        <v>0</v>
      </c>
      <c r="AQ327" s="229">
        <f>SUMIF(MAG!$G$121:$M$121,AQ$178,MAG!$P34:$V34)+SUMIF($AZ$178:$BC$178,AQ$178,$AZ327:$BC327)</f>
        <v>0</v>
      </c>
      <c r="AR327" s="230">
        <f>SUMIF(MAG!$G$121:$M$121,AR$178,MAG!$P34:$V34)+SUMIF($AZ$178:$BC$178,AR$178,$AZ327:$BC327)</f>
        <v>0</v>
      </c>
      <c r="AS327" s="230">
        <f>SUMIF(MAG!$G$121:$M$121,AS$178,MAG!$P34:$V34)+SUMIF($AZ$178:$BC$178,AS$178,$AZ327:$BC327)</f>
        <v>0</v>
      </c>
      <c r="AT327" s="230">
        <f>SUMIF(MAG!$G$121:$M$121,AT$178,MAG!$P34:$V34)+SUMIF($AZ$178:$BC$178,AT$178,$AZ327:$BC327)</f>
        <v>0</v>
      </c>
      <c r="AU327" s="230">
        <f>SUMIF(MAG!$G$121:$M$121,AU$178,MAG!$P34:$V34)+SUMIF($AZ$178:$BC$178,AU$178,$AZ327:$BC327)</f>
        <v>0</v>
      </c>
      <c r="AV327" s="230">
        <f>SUMIF(MAG!$G$121:$M$121,AV$178,MAG!$P34:$V34)+SUMIF($AZ$178:$BC$178,AV$178,$AZ327:$BC327)</f>
        <v>0</v>
      </c>
      <c r="AW327" s="230">
        <f>SUMIF(MAG!$G$121:$M$121,AW$178,MAG!$P34:$V34)+SUMIF($AZ$178:$BC$178,AW$178,$AZ327:$BC327)</f>
        <v>0</v>
      </c>
      <c r="AX327" s="231">
        <f>SUMIF(MAG!$G$121:$M$121,AX$178,MAG!$P34:$V34)+SUMIF($AZ$178:$BC$178,AX$178,$AZ327:$BC327)</f>
        <v>0</v>
      </c>
      <c r="AY327" s="232">
        <f>MAG!AF34</f>
        <v>0</v>
      </c>
      <c r="AZ327" s="228">
        <f>MAG!AG34</f>
        <v>0</v>
      </c>
      <c r="BA327" s="229">
        <f>MAG!AH34</f>
        <v>0</v>
      </c>
      <c r="BB327" s="230">
        <f>MAG!AI34</f>
        <v>0</v>
      </c>
      <c r="BC327" s="231">
        <f>MAG!AJ34</f>
        <v>0</v>
      </c>
      <c r="BD327" s="228">
        <f>SUMIF(MAG!$G$120:$M$120,"&gt;0",MAG!$X34:$AD34)</f>
        <v>0</v>
      </c>
      <c r="BE327" s="696"/>
      <c r="BF327" s="228">
        <f>SUMIF(MAG!$BA$6:$BG$6,BF$177,MAG!$BA34:$BG34)</f>
        <v>0</v>
      </c>
      <c r="BG327" s="229">
        <f>SUMIF(MAG!$BA$6:$BG$6,BG$177,MAG!$BA34:$BG34)</f>
        <v>0</v>
      </c>
      <c r="BH327" s="229">
        <f>SUMIF(MAG!$BA$6:$BG$6,BH$177,MAG!$BA34:$BG34)</f>
        <v>0</v>
      </c>
      <c r="BI327" s="229">
        <f>SUMIF(MAG!$BA$6:$BG$6,BI$177,MAG!$BA34:$BG34)</f>
        <v>0</v>
      </c>
      <c r="BJ327" s="229">
        <f>SUMIF(MAG!$BA$6:$BG$6,BJ$177,MAG!$BA34:$BG34)</f>
        <v>0</v>
      </c>
      <c r="BK327" s="229">
        <f>SUMIF(MAG!$BA$6:$BG$6,BK$177,MAG!$BA34:$BG34)</f>
        <v>0</v>
      </c>
      <c r="BL327" s="229">
        <f>SUMIF(MAG!$BA$6:$BG$6,BL$177,MAG!$BA34:$BG34)</f>
        <v>0</v>
      </c>
      <c r="BM327" s="229">
        <f>SUMIF(MAG!$BA$6:$BG$6,BM$177,MAG!$BA34:$BG34)</f>
        <v>0</v>
      </c>
      <c r="BN327" s="229">
        <f>SUMIF(MAG!$BA$6:$BG$6,BN$177,MAG!$BA34:$BG34)</f>
        <v>0</v>
      </c>
      <c r="BO327" s="231">
        <f>SUMIF(MAG!$BA$6:$BG$6,BO$177,MAG!$BA34:$BG34)</f>
        <v>0</v>
      </c>
      <c r="BP327" s="231">
        <f>SUMIF(MAG!$BA$6:$BG$6,BP$177,MAG!$BA34:$BG34)</f>
        <v>0</v>
      </c>
      <c r="BQ327" s="252"/>
      <c r="BR327" s="228">
        <f>SUMIF(MAG!$BA$5:$BG$5,BR$177,MAG!$BA34:$BG34)</f>
        <v>0</v>
      </c>
      <c r="BS327" s="229">
        <f>SUMIF(MAG!$BA$5:$BG$5,BS$177,MAG!$BA34:$BG34)</f>
        <v>0</v>
      </c>
      <c r="BT327" s="229">
        <f>SUMIF(MAG!$BA$5:$BG$5,BT$177,MAG!$BA34:$BG34)</f>
        <v>0</v>
      </c>
      <c r="BU327" s="229">
        <f>SUMIF(MAG!$BA$5:$BG$5,BU$177,MAG!$BA34:$BG34)</f>
        <v>0</v>
      </c>
      <c r="BV327" s="229">
        <f>SUMIF(MAG!$BA$5:$BG$5,BV$177,MAG!$BA34:$BG34)</f>
        <v>0</v>
      </c>
      <c r="BW327" s="229">
        <f>SUMIF(MAG!$BA$5:$BG$5,BW$177,MAG!$BA34:$BG34)</f>
        <v>0</v>
      </c>
      <c r="BX327" s="230">
        <f>SUMIF(MAG!$BA$5:$BG$5,BX$177,MAG!$BA34:$BG34)</f>
        <v>0</v>
      </c>
      <c r="BY327" s="998">
        <f>SUMIF(MAG!$BA$5:$BG$5,BY$177,MAG!$BA34:$BG34)</f>
        <v>0</v>
      </c>
      <c r="CB327" s="252"/>
      <c r="CC327" s="61" t="e">
        <f t="shared" si="70"/>
        <v>#N/A</v>
      </c>
      <c r="CD327" s="61">
        <f t="shared" si="71"/>
        <v>0</v>
      </c>
      <c r="CE327" s="105" t="str">
        <f t="shared" si="64"/>
        <v/>
      </c>
      <c r="CF327" s="61" t="e">
        <f t="shared" si="72"/>
        <v>#N/A</v>
      </c>
      <c r="CG327" s="61" t="e">
        <f t="shared" si="73"/>
        <v>#N/A</v>
      </c>
      <c r="CH327" s="521">
        <f>MAG!AL34-CW327+CR327</f>
        <v>0</v>
      </c>
      <c r="CI327" s="228">
        <f>SUMIF(MAG!$G$121:$M$121,CI$178,MAG!$AM34:$AS34)+SUMIF($CS$178:$CV$178,CI$178,$CS327:$CV327)</f>
        <v>0</v>
      </c>
      <c r="CJ327" s="229">
        <f>SUMIF(MAG!$G$121:$M$121,CJ$178,MAG!$AM34:$AS34)+SUMIF($CS$178:$CV$178,CJ$178,$CS327:$CV327)</f>
        <v>0</v>
      </c>
      <c r="CK327" s="230">
        <f>SUMIF(MAG!$G$121:$M$121,CK$178,MAG!$AM34:$AS34)+SUMIF($CS$178:$CV$178,CK$178,$CS327:$CV327)</f>
        <v>0</v>
      </c>
      <c r="CL327" s="230">
        <f>SUMIF(MAG!$G$121:$M$121,CL$178,MAG!$AM34:$AS34)+SUMIF($CS$178:$CV$178,CL$178,$CS327:$CV327)</f>
        <v>0</v>
      </c>
      <c r="CM327" s="230">
        <f>SUMIF(MAG!$G$121:$M$121,CM$178,MAG!$AM34:$AS34)+SUMIF($CS$178:$CV$178,CM$178,$CS327:$CV327)</f>
        <v>0</v>
      </c>
      <c r="CN327" s="230">
        <f>SUMIF(MAG!$G$121:$M$121,CN$178,MAG!$AM34:$AS34)+SUMIF($CS$178:$CV$178,CN$178,$CS327:$CV327)</f>
        <v>0</v>
      </c>
      <c r="CO327" s="230">
        <f>SUMIF(MAG!$G$121:$M$121,CO$178,MAG!$AM34:$AS34)+SUMIF($CS$178:$CV$178,CO$178,$CS327:$CV327)</f>
        <v>0</v>
      </c>
      <c r="CP327" s="230">
        <f>SUMIF(MAG!$G$121:$M$121,CP$178,MAG!$AM34:$AS34)+SUMIF($CS$178:$CV$178,CP$178,$CS327:$CV327)</f>
        <v>0</v>
      </c>
      <c r="CQ327" s="231">
        <f>SUMIF(MAG!$G$121:$M$121,CQ$178,MAG!$AM34:$AS34)+SUMIF($CS$178:$CV$178,CQ$178,$CS327:$CV327)</f>
        <v>0</v>
      </c>
      <c r="CR327" s="521">
        <f>MAG!AU34</f>
        <v>0</v>
      </c>
      <c r="CS327" s="228">
        <f>MAG!AV34</f>
        <v>0</v>
      </c>
      <c r="CT327" s="229">
        <f>MAG!AW34</f>
        <v>0</v>
      </c>
      <c r="CU327" s="230">
        <f>MAG!AX34</f>
        <v>0</v>
      </c>
      <c r="CV327" s="231">
        <f>MAG!AY34</f>
        <v>0</v>
      </c>
      <c r="CW327" s="521">
        <f>SUM(MAG!AU34:AY34)</f>
        <v>0</v>
      </c>
      <c r="CX327" s="521">
        <f>MAG!AK34</f>
        <v>0</v>
      </c>
      <c r="CY327" s="2"/>
    </row>
    <row r="328" spans="1:103" ht="14.25" hidden="1" customHeight="1" x14ac:dyDescent="0.2">
      <c r="A328" s="2"/>
      <c r="B328" s="105">
        <f t="shared" si="74"/>
        <v>45440</v>
      </c>
      <c r="C328" s="146">
        <f>IF(AND(E328&gt;(E$561-1),E328&lt;(I$561+1)),W$551,IF(ISERROR(HLOOKUP(E328,$E$554:$L$554,1,FALSE)),HLOOKUP(WEEKDAY(E328,2),IMPOSTAZIONI!$C$52:$P$57,6,FALSE),$W$550))</f>
        <v>0</v>
      </c>
      <c r="D328" s="71" t="str">
        <f t="shared" si="75"/>
        <v/>
      </c>
      <c r="E328" s="2258">
        <f t="shared" si="80"/>
        <v>45440</v>
      </c>
      <c r="F328" s="2259"/>
      <c r="G328" s="2228" t="str">
        <f>MAG!E35</f>
        <v xml:space="preserve">disattivato  </v>
      </c>
      <c r="H328" s="2229"/>
      <c r="I328" s="2230"/>
      <c r="J328" s="262" t="str">
        <f t="shared" si="65"/>
        <v/>
      </c>
      <c r="K328" s="263"/>
      <c r="L328" s="2217">
        <f t="shared" si="81"/>
        <v>22</v>
      </c>
      <c r="M328" s="2218"/>
      <c r="N328" s="261"/>
      <c r="O328" s="261"/>
      <c r="P328" s="261"/>
      <c r="Q328" s="2219">
        <f t="shared" si="76"/>
        <v>45440</v>
      </c>
      <c r="R328" s="2219"/>
      <c r="S328" s="261"/>
      <c r="T328" s="1173">
        <f t="shared" si="66"/>
        <v>1</v>
      </c>
      <c r="U328" s="261"/>
      <c r="V328" s="261"/>
      <c r="W328" s="261"/>
      <c r="X328" s="261"/>
      <c r="Y328" s="261"/>
      <c r="Z328" s="261"/>
      <c r="AA328" s="261"/>
      <c r="AB328" s="261"/>
      <c r="AC328" s="261"/>
      <c r="AD328" s="261"/>
      <c r="AE328" s="261"/>
      <c r="AF328" s="261"/>
      <c r="AG328" s="1173">
        <f t="shared" si="77"/>
        <v>0</v>
      </c>
      <c r="AH328" s="61" t="str">
        <f t="shared" si="78"/>
        <v/>
      </c>
      <c r="AI328" s="89" t="e">
        <f t="shared" si="79"/>
        <v>#N/A</v>
      </c>
      <c r="AJ328" s="2"/>
      <c r="AK328" s="61">
        <f>IF(G328=G$547,0,IF(OR(G328&lt;&gt;0,CH328&lt;&gt;0,C328="L"),COUNTIF(AK$180:AK327,"&gt;0")+1,0))</f>
        <v>0</v>
      </c>
      <c r="AL328" s="61" t="str">
        <f t="shared" si="67"/>
        <v/>
      </c>
      <c r="AM328" s="61" t="e">
        <f t="shared" si="68"/>
        <v>#N/A</v>
      </c>
      <c r="AN328" s="89" t="e">
        <f t="shared" si="69"/>
        <v>#N/A</v>
      </c>
      <c r="AO328" s="230">
        <f>SUM(MAG!X35:AD35)-BD328+AY328</f>
        <v>0</v>
      </c>
      <c r="AP328" s="228">
        <f>SUMIF(MAG!$G$121:$M$121,AP$178,MAG!$P35:$V35)+SUMIF($AZ$178:$BC$178,AP$178,$AZ328:$BC328)</f>
        <v>0</v>
      </c>
      <c r="AQ328" s="229">
        <f>SUMIF(MAG!$G$121:$M$121,AQ$178,MAG!$P35:$V35)+SUMIF($AZ$178:$BC$178,AQ$178,$AZ328:$BC328)</f>
        <v>0</v>
      </c>
      <c r="AR328" s="230">
        <f>SUMIF(MAG!$G$121:$M$121,AR$178,MAG!$P35:$V35)+SUMIF($AZ$178:$BC$178,AR$178,$AZ328:$BC328)</f>
        <v>0</v>
      </c>
      <c r="AS328" s="230">
        <f>SUMIF(MAG!$G$121:$M$121,AS$178,MAG!$P35:$V35)+SUMIF($AZ$178:$BC$178,AS$178,$AZ328:$BC328)</f>
        <v>0</v>
      </c>
      <c r="AT328" s="230">
        <f>SUMIF(MAG!$G$121:$M$121,AT$178,MAG!$P35:$V35)+SUMIF($AZ$178:$BC$178,AT$178,$AZ328:$BC328)</f>
        <v>0</v>
      </c>
      <c r="AU328" s="230">
        <f>SUMIF(MAG!$G$121:$M$121,AU$178,MAG!$P35:$V35)+SUMIF($AZ$178:$BC$178,AU$178,$AZ328:$BC328)</f>
        <v>0</v>
      </c>
      <c r="AV328" s="230">
        <f>SUMIF(MAG!$G$121:$M$121,AV$178,MAG!$P35:$V35)+SUMIF($AZ$178:$BC$178,AV$178,$AZ328:$BC328)</f>
        <v>0</v>
      </c>
      <c r="AW328" s="230">
        <f>SUMIF(MAG!$G$121:$M$121,AW$178,MAG!$P35:$V35)+SUMIF($AZ$178:$BC$178,AW$178,$AZ328:$BC328)</f>
        <v>0</v>
      </c>
      <c r="AX328" s="231">
        <f>SUMIF(MAG!$G$121:$M$121,AX$178,MAG!$P35:$V35)+SUMIF($AZ$178:$BC$178,AX$178,$AZ328:$BC328)</f>
        <v>0</v>
      </c>
      <c r="AY328" s="232">
        <f>MAG!AF35</f>
        <v>0</v>
      </c>
      <c r="AZ328" s="228">
        <f>MAG!AG35</f>
        <v>0</v>
      </c>
      <c r="BA328" s="229">
        <f>MAG!AH35</f>
        <v>0</v>
      </c>
      <c r="BB328" s="230">
        <f>MAG!AI35</f>
        <v>0</v>
      </c>
      <c r="BC328" s="231">
        <f>MAG!AJ35</f>
        <v>0</v>
      </c>
      <c r="BD328" s="228">
        <f>SUMIF(MAG!$G$120:$M$120,"&gt;0",MAG!$X35:$AD35)</f>
        <v>0</v>
      </c>
      <c r="BE328" s="696"/>
      <c r="BF328" s="228">
        <f>SUMIF(MAG!$BA$6:$BG$6,BF$177,MAG!$BA35:$BG35)</f>
        <v>0</v>
      </c>
      <c r="BG328" s="229">
        <f>SUMIF(MAG!$BA$6:$BG$6,BG$177,MAG!$BA35:$BG35)</f>
        <v>0</v>
      </c>
      <c r="BH328" s="229">
        <f>SUMIF(MAG!$BA$6:$BG$6,BH$177,MAG!$BA35:$BG35)</f>
        <v>0</v>
      </c>
      <c r="BI328" s="229">
        <f>SUMIF(MAG!$BA$6:$BG$6,BI$177,MAG!$BA35:$BG35)</f>
        <v>0</v>
      </c>
      <c r="BJ328" s="229">
        <f>SUMIF(MAG!$BA$6:$BG$6,BJ$177,MAG!$BA35:$BG35)</f>
        <v>0</v>
      </c>
      <c r="BK328" s="229">
        <f>SUMIF(MAG!$BA$6:$BG$6,BK$177,MAG!$BA35:$BG35)</f>
        <v>0</v>
      </c>
      <c r="BL328" s="229">
        <f>SUMIF(MAG!$BA$6:$BG$6,BL$177,MAG!$BA35:$BG35)</f>
        <v>0</v>
      </c>
      <c r="BM328" s="229">
        <f>SUMIF(MAG!$BA$6:$BG$6,BM$177,MAG!$BA35:$BG35)</f>
        <v>0</v>
      </c>
      <c r="BN328" s="229">
        <f>SUMIF(MAG!$BA$6:$BG$6,BN$177,MAG!$BA35:$BG35)</f>
        <v>0</v>
      </c>
      <c r="BO328" s="231">
        <f>SUMIF(MAG!$BA$6:$BG$6,BO$177,MAG!$BA35:$BG35)</f>
        <v>0</v>
      </c>
      <c r="BP328" s="231">
        <f>SUMIF(MAG!$BA$6:$BG$6,BP$177,MAG!$BA35:$BG35)</f>
        <v>0</v>
      </c>
      <c r="BQ328" s="252"/>
      <c r="BR328" s="228">
        <f>SUMIF(MAG!$BA$5:$BG$5,BR$177,MAG!$BA35:$BG35)</f>
        <v>0</v>
      </c>
      <c r="BS328" s="229">
        <f>SUMIF(MAG!$BA$5:$BG$5,BS$177,MAG!$BA35:$BG35)</f>
        <v>0</v>
      </c>
      <c r="BT328" s="229">
        <f>SUMIF(MAG!$BA$5:$BG$5,BT$177,MAG!$BA35:$BG35)</f>
        <v>0</v>
      </c>
      <c r="BU328" s="229">
        <f>SUMIF(MAG!$BA$5:$BG$5,BU$177,MAG!$BA35:$BG35)</f>
        <v>0</v>
      </c>
      <c r="BV328" s="229">
        <f>SUMIF(MAG!$BA$5:$BG$5,BV$177,MAG!$BA35:$BG35)</f>
        <v>0</v>
      </c>
      <c r="BW328" s="229">
        <f>SUMIF(MAG!$BA$5:$BG$5,BW$177,MAG!$BA35:$BG35)</f>
        <v>0</v>
      </c>
      <c r="BX328" s="230">
        <f>SUMIF(MAG!$BA$5:$BG$5,BX$177,MAG!$BA35:$BG35)</f>
        <v>0</v>
      </c>
      <c r="BY328" s="998">
        <f>SUMIF(MAG!$BA$5:$BG$5,BY$177,MAG!$BA35:$BG35)</f>
        <v>0</v>
      </c>
      <c r="CB328" s="252"/>
      <c r="CC328" s="61" t="e">
        <f t="shared" si="70"/>
        <v>#N/A</v>
      </c>
      <c r="CD328" s="61">
        <f t="shared" si="71"/>
        <v>0</v>
      </c>
      <c r="CE328" s="105" t="str">
        <f t="shared" si="64"/>
        <v/>
      </c>
      <c r="CF328" s="61" t="e">
        <f t="shared" si="72"/>
        <v>#N/A</v>
      </c>
      <c r="CG328" s="61" t="e">
        <f t="shared" si="73"/>
        <v>#N/A</v>
      </c>
      <c r="CH328" s="521">
        <f>MAG!AL35-CW328+CR328</f>
        <v>0</v>
      </c>
      <c r="CI328" s="228">
        <f>SUMIF(MAG!$G$121:$M$121,CI$178,MAG!$AM35:$AS35)+SUMIF($CS$178:$CV$178,CI$178,$CS328:$CV328)</f>
        <v>0</v>
      </c>
      <c r="CJ328" s="229">
        <f>SUMIF(MAG!$G$121:$M$121,CJ$178,MAG!$AM35:$AS35)+SUMIF($CS$178:$CV$178,CJ$178,$CS328:$CV328)</f>
        <v>0</v>
      </c>
      <c r="CK328" s="230">
        <f>SUMIF(MAG!$G$121:$M$121,CK$178,MAG!$AM35:$AS35)+SUMIF($CS$178:$CV$178,CK$178,$CS328:$CV328)</f>
        <v>0</v>
      </c>
      <c r="CL328" s="230">
        <f>SUMIF(MAG!$G$121:$M$121,CL$178,MAG!$AM35:$AS35)+SUMIF($CS$178:$CV$178,CL$178,$CS328:$CV328)</f>
        <v>0</v>
      </c>
      <c r="CM328" s="230">
        <f>SUMIF(MAG!$G$121:$M$121,CM$178,MAG!$AM35:$AS35)+SUMIF($CS$178:$CV$178,CM$178,$CS328:$CV328)</f>
        <v>0</v>
      </c>
      <c r="CN328" s="230">
        <f>SUMIF(MAG!$G$121:$M$121,CN$178,MAG!$AM35:$AS35)+SUMIF($CS$178:$CV$178,CN$178,$CS328:$CV328)</f>
        <v>0</v>
      </c>
      <c r="CO328" s="230">
        <f>SUMIF(MAG!$G$121:$M$121,CO$178,MAG!$AM35:$AS35)+SUMIF($CS$178:$CV$178,CO$178,$CS328:$CV328)</f>
        <v>0</v>
      </c>
      <c r="CP328" s="230">
        <f>SUMIF(MAG!$G$121:$M$121,CP$178,MAG!$AM35:$AS35)+SUMIF($CS$178:$CV$178,CP$178,$CS328:$CV328)</f>
        <v>0</v>
      </c>
      <c r="CQ328" s="231">
        <f>SUMIF(MAG!$G$121:$M$121,CQ$178,MAG!$AM35:$AS35)+SUMIF($CS$178:$CV$178,CQ$178,$CS328:$CV328)</f>
        <v>0</v>
      </c>
      <c r="CR328" s="521">
        <f>MAG!AU35</f>
        <v>0</v>
      </c>
      <c r="CS328" s="228">
        <f>MAG!AV35</f>
        <v>0</v>
      </c>
      <c r="CT328" s="229">
        <f>MAG!AW35</f>
        <v>0</v>
      </c>
      <c r="CU328" s="230">
        <f>MAG!AX35</f>
        <v>0</v>
      </c>
      <c r="CV328" s="231">
        <f>MAG!AY35</f>
        <v>0</v>
      </c>
      <c r="CW328" s="521">
        <f>SUM(MAG!AU35:AY35)</f>
        <v>0</v>
      </c>
      <c r="CX328" s="521">
        <f>MAG!AK35</f>
        <v>0</v>
      </c>
      <c r="CY328" s="2"/>
    </row>
    <row r="329" spans="1:103" ht="14.25" hidden="1" customHeight="1" x14ac:dyDescent="0.2">
      <c r="A329" s="2"/>
      <c r="B329" s="105">
        <f t="shared" si="74"/>
        <v>45441</v>
      </c>
      <c r="C329" s="146">
        <f>IF(AND(E329&gt;(E$561-1),E329&lt;(I$561+1)),W$551,IF(ISERROR(HLOOKUP(E329,$E$554:$L$554,1,FALSE)),HLOOKUP(WEEKDAY(E329,2),IMPOSTAZIONI!$C$52:$P$57,6,FALSE),$W$550))</f>
        <v>0</v>
      </c>
      <c r="D329" s="71" t="str">
        <f t="shared" si="75"/>
        <v/>
      </c>
      <c r="E329" s="2258">
        <f t="shared" si="80"/>
        <v>45441</v>
      </c>
      <c r="F329" s="2259"/>
      <c r="G329" s="2228" t="str">
        <f>MAG!E36</f>
        <v xml:space="preserve">disattivato  </v>
      </c>
      <c r="H329" s="2229"/>
      <c r="I329" s="2230"/>
      <c r="J329" s="262" t="str">
        <f t="shared" si="65"/>
        <v/>
      </c>
      <c r="K329" s="263"/>
      <c r="L329" s="2217">
        <f t="shared" si="81"/>
        <v>22</v>
      </c>
      <c r="M329" s="2218"/>
      <c r="N329" s="261"/>
      <c r="O329" s="261"/>
      <c r="P329" s="261"/>
      <c r="Q329" s="2219">
        <f t="shared" si="76"/>
        <v>45441</v>
      </c>
      <c r="R329" s="2219"/>
      <c r="S329" s="261"/>
      <c r="T329" s="1173">
        <f t="shared" si="66"/>
        <v>1</v>
      </c>
      <c r="U329" s="261"/>
      <c r="V329" s="261"/>
      <c r="W329" s="261"/>
      <c r="X329" s="261"/>
      <c r="Y329" s="261"/>
      <c r="Z329" s="261"/>
      <c r="AA329" s="261"/>
      <c r="AB329" s="261"/>
      <c r="AC329" s="261"/>
      <c r="AD329" s="261"/>
      <c r="AE329" s="261"/>
      <c r="AF329" s="261"/>
      <c r="AG329" s="1173">
        <f t="shared" si="77"/>
        <v>0</v>
      </c>
      <c r="AH329" s="61" t="str">
        <f t="shared" si="78"/>
        <v/>
      </c>
      <c r="AI329" s="89" t="e">
        <f t="shared" si="79"/>
        <v>#N/A</v>
      </c>
      <c r="AJ329" s="2"/>
      <c r="AK329" s="61">
        <f>IF(G329=G$547,0,IF(OR(G329&lt;&gt;0,CH329&lt;&gt;0,C329="L"),COUNTIF(AK$180:AK328,"&gt;0")+1,0))</f>
        <v>0</v>
      </c>
      <c r="AL329" s="61" t="str">
        <f t="shared" si="67"/>
        <v/>
      </c>
      <c r="AM329" s="61" t="e">
        <f t="shared" si="68"/>
        <v>#N/A</v>
      </c>
      <c r="AN329" s="89" t="e">
        <f t="shared" si="69"/>
        <v>#N/A</v>
      </c>
      <c r="AO329" s="230">
        <f>SUM(MAG!X36:AD36)-BD329+AY329</f>
        <v>0</v>
      </c>
      <c r="AP329" s="228">
        <f>SUMIF(MAG!$G$121:$M$121,AP$178,MAG!$P36:$V36)+SUMIF($AZ$178:$BC$178,AP$178,$AZ329:$BC329)</f>
        <v>0</v>
      </c>
      <c r="AQ329" s="229">
        <f>SUMIF(MAG!$G$121:$M$121,AQ$178,MAG!$P36:$V36)+SUMIF($AZ$178:$BC$178,AQ$178,$AZ329:$BC329)</f>
        <v>0</v>
      </c>
      <c r="AR329" s="230">
        <f>SUMIF(MAG!$G$121:$M$121,AR$178,MAG!$P36:$V36)+SUMIF($AZ$178:$BC$178,AR$178,$AZ329:$BC329)</f>
        <v>0</v>
      </c>
      <c r="AS329" s="230">
        <f>SUMIF(MAG!$G$121:$M$121,AS$178,MAG!$P36:$V36)+SUMIF($AZ$178:$BC$178,AS$178,$AZ329:$BC329)</f>
        <v>0</v>
      </c>
      <c r="AT329" s="230">
        <f>SUMIF(MAG!$G$121:$M$121,AT$178,MAG!$P36:$V36)+SUMIF($AZ$178:$BC$178,AT$178,$AZ329:$BC329)</f>
        <v>0</v>
      </c>
      <c r="AU329" s="230">
        <f>SUMIF(MAG!$G$121:$M$121,AU$178,MAG!$P36:$V36)+SUMIF($AZ$178:$BC$178,AU$178,$AZ329:$BC329)</f>
        <v>0</v>
      </c>
      <c r="AV329" s="230">
        <f>SUMIF(MAG!$G$121:$M$121,AV$178,MAG!$P36:$V36)+SUMIF($AZ$178:$BC$178,AV$178,$AZ329:$BC329)</f>
        <v>0</v>
      </c>
      <c r="AW329" s="230">
        <f>SUMIF(MAG!$G$121:$M$121,AW$178,MAG!$P36:$V36)+SUMIF($AZ$178:$BC$178,AW$178,$AZ329:$BC329)</f>
        <v>0</v>
      </c>
      <c r="AX329" s="231">
        <f>SUMIF(MAG!$G$121:$M$121,AX$178,MAG!$P36:$V36)+SUMIF($AZ$178:$BC$178,AX$178,$AZ329:$BC329)</f>
        <v>0</v>
      </c>
      <c r="AY329" s="232">
        <f>MAG!AF36</f>
        <v>0</v>
      </c>
      <c r="AZ329" s="228">
        <f>MAG!AG36</f>
        <v>0</v>
      </c>
      <c r="BA329" s="229">
        <f>MAG!AH36</f>
        <v>0</v>
      </c>
      <c r="BB329" s="230">
        <f>MAG!AI36</f>
        <v>0</v>
      </c>
      <c r="BC329" s="231">
        <f>MAG!AJ36</f>
        <v>0</v>
      </c>
      <c r="BD329" s="228">
        <f>SUMIF(MAG!$G$120:$M$120,"&gt;0",MAG!$X36:$AD36)</f>
        <v>0</v>
      </c>
      <c r="BE329" s="696"/>
      <c r="BF329" s="228">
        <f>SUMIF(MAG!$BA$6:$BG$6,BF$177,MAG!$BA36:$BG36)</f>
        <v>0</v>
      </c>
      <c r="BG329" s="229">
        <f>SUMIF(MAG!$BA$6:$BG$6,BG$177,MAG!$BA36:$BG36)</f>
        <v>0</v>
      </c>
      <c r="BH329" s="229">
        <f>SUMIF(MAG!$BA$6:$BG$6,BH$177,MAG!$BA36:$BG36)</f>
        <v>0</v>
      </c>
      <c r="BI329" s="229">
        <f>SUMIF(MAG!$BA$6:$BG$6,BI$177,MAG!$BA36:$BG36)</f>
        <v>0</v>
      </c>
      <c r="BJ329" s="229">
        <f>SUMIF(MAG!$BA$6:$BG$6,BJ$177,MAG!$BA36:$BG36)</f>
        <v>0</v>
      </c>
      <c r="BK329" s="229">
        <f>SUMIF(MAG!$BA$6:$BG$6,BK$177,MAG!$BA36:$BG36)</f>
        <v>0</v>
      </c>
      <c r="BL329" s="229">
        <f>SUMIF(MAG!$BA$6:$BG$6,BL$177,MAG!$BA36:$BG36)</f>
        <v>0</v>
      </c>
      <c r="BM329" s="229">
        <f>SUMIF(MAG!$BA$6:$BG$6,BM$177,MAG!$BA36:$BG36)</f>
        <v>0</v>
      </c>
      <c r="BN329" s="229">
        <f>SUMIF(MAG!$BA$6:$BG$6,BN$177,MAG!$BA36:$BG36)</f>
        <v>0</v>
      </c>
      <c r="BO329" s="231">
        <f>SUMIF(MAG!$BA$6:$BG$6,BO$177,MAG!$BA36:$BG36)</f>
        <v>0</v>
      </c>
      <c r="BP329" s="231">
        <f>SUMIF(MAG!$BA$6:$BG$6,BP$177,MAG!$BA36:$BG36)</f>
        <v>0</v>
      </c>
      <c r="BQ329" s="252"/>
      <c r="BR329" s="228">
        <f>SUMIF(MAG!$BA$5:$BG$5,BR$177,MAG!$BA36:$BG36)</f>
        <v>0</v>
      </c>
      <c r="BS329" s="229">
        <f>SUMIF(MAG!$BA$5:$BG$5,BS$177,MAG!$BA36:$BG36)</f>
        <v>0</v>
      </c>
      <c r="BT329" s="229">
        <f>SUMIF(MAG!$BA$5:$BG$5,BT$177,MAG!$BA36:$BG36)</f>
        <v>0</v>
      </c>
      <c r="BU329" s="229">
        <f>SUMIF(MAG!$BA$5:$BG$5,BU$177,MAG!$BA36:$BG36)</f>
        <v>0</v>
      </c>
      <c r="BV329" s="229">
        <f>SUMIF(MAG!$BA$5:$BG$5,BV$177,MAG!$BA36:$BG36)</f>
        <v>0</v>
      </c>
      <c r="BW329" s="229">
        <f>SUMIF(MAG!$BA$5:$BG$5,BW$177,MAG!$BA36:$BG36)</f>
        <v>0</v>
      </c>
      <c r="BX329" s="230">
        <f>SUMIF(MAG!$BA$5:$BG$5,BX$177,MAG!$BA36:$BG36)</f>
        <v>0</v>
      </c>
      <c r="BY329" s="998">
        <f>SUMIF(MAG!$BA$5:$BG$5,BY$177,MAG!$BA36:$BG36)</f>
        <v>0</v>
      </c>
      <c r="CB329" s="252"/>
      <c r="CC329" s="61" t="e">
        <f t="shared" si="70"/>
        <v>#N/A</v>
      </c>
      <c r="CD329" s="61">
        <f t="shared" si="71"/>
        <v>0</v>
      </c>
      <c r="CE329" s="105" t="str">
        <f t="shared" si="64"/>
        <v/>
      </c>
      <c r="CF329" s="61" t="e">
        <f t="shared" si="72"/>
        <v>#N/A</v>
      </c>
      <c r="CG329" s="61" t="e">
        <f t="shared" si="73"/>
        <v>#N/A</v>
      </c>
      <c r="CH329" s="521">
        <f>MAG!AL36-CW329+CR329</f>
        <v>0</v>
      </c>
      <c r="CI329" s="228">
        <f>SUMIF(MAG!$G$121:$M$121,CI$178,MAG!$AM36:$AS36)+SUMIF($CS$178:$CV$178,CI$178,$CS329:$CV329)</f>
        <v>0</v>
      </c>
      <c r="CJ329" s="229">
        <f>SUMIF(MAG!$G$121:$M$121,CJ$178,MAG!$AM36:$AS36)+SUMIF($CS$178:$CV$178,CJ$178,$CS329:$CV329)</f>
        <v>0</v>
      </c>
      <c r="CK329" s="230">
        <f>SUMIF(MAG!$G$121:$M$121,CK$178,MAG!$AM36:$AS36)+SUMIF($CS$178:$CV$178,CK$178,$CS329:$CV329)</f>
        <v>0</v>
      </c>
      <c r="CL329" s="230">
        <f>SUMIF(MAG!$G$121:$M$121,CL$178,MAG!$AM36:$AS36)+SUMIF($CS$178:$CV$178,CL$178,$CS329:$CV329)</f>
        <v>0</v>
      </c>
      <c r="CM329" s="230">
        <f>SUMIF(MAG!$G$121:$M$121,CM$178,MAG!$AM36:$AS36)+SUMIF($CS$178:$CV$178,CM$178,$CS329:$CV329)</f>
        <v>0</v>
      </c>
      <c r="CN329" s="230">
        <f>SUMIF(MAG!$G$121:$M$121,CN$178,MAG!$AM36:$AS36)+SUMIF($CS$178:$CV$178,CN$178,$CS329:$CV329)</f>
        <v>0</v>
      </c>
      <c r="CO329" s="230">
        <f>SUMIF(MAG!$G$121:$M$121,CO$178,MAG!$AM36:$AS36)+SUMIF($CS$178:$CV$178,CO$178,$CS329:$CV329)</f>
        <v>0</v>
      </c>
      <c r="CP329" s="230">
        <f>SUMIF(MAG!$G$121:$M$121,CP$178,MAG!$AM36:$AS36)+SUMIF($CS$178:$CV$178,CP$178,$CS329:$CV329)</f>
        <v>0</v>
      </c>
      <c r="CQ329" s="231">
        <f>SUMIF(MAG!$G$121:$M$121,CQ$178,MAG!$AM36:$AS36)+SUMIF($CS$178:$CV$178,CQ$178,$CS329:$CV329)</f>
        <v>0</v>
      </c>
      <c r="CR329" s="521">
        <f>MAG!AU36</f>
        <v>0</v>
      </c>
      <c r="CS329" s="228">
        <f>MAG!AV36</f>
        <v>0</v>
      </c>
      <c r="CT329" s="229">
        <f>MAG!AW36</f>
        <v>0</v>
      </c>
      <c r="CU329" s="230">
        <f>MAG!AX36</f>
        <v>0</v>
      </c>
      <c r="CV329" s="231">
        <f>MAG!AY36</f>
        <v>0</v>
      </c>
      <c r="CW329" s="521">
        <f>SUM(MAG!AU36:AY36)</f>
        <v>0</v>
      </c>
      <c r="CX329" s="521">
        <f>MAG!AK36</f>
        <v>0</v>
      </c>
      <c r="CY329" s="2"/>
    </row>
    <row r="330" spans="1:103" ht="14.25" hidden="1" customHeight="1" x14ac:dyDescent="0.2">
      <c r="A330" s="2"/>
      <c r="B330" s="105">
        <f t="shared" si="74"/>
        <v>45442</v>
      </c>
      <c r="C330" s="146">
        <f>IF(AND(E330&gt;(E$561-1),E330&lt;(I$561+1)),W$551,IF(ISERROR(HLOOKUP(E330,$E$554:$L$554,1,FALSE)),HLOOKUP(WEEKDAY(E330,2),IMPOSTAZIONI!$C$52:$P$57,6,FALSE),$W$550))</f>
        <v>0</v>
      </c>
      <c r="D330" s="71" t="str">
        <f t="shared" si="75"/>
        <v/>
      </c>
      <c r="E330" s="2258">
        <f t="shared" si="80"/>
        <v>45442</v>
      </c>
      <c r="F330" s="2259"/>
      <c r="G330" s="2228" t="str">
        <f>MAG!E37</f>
        <v xml:space="preserve">disattivato  </v>
      </c>
      <c r="H330" s="2229"/>
      <c r="I330" s="2230"/>
      <c r="J330" s="262" t="str">
        <f t="shared" si="65"/>
        <v/>
      </c>
      <c r="K330" s="263"/>
      <c r="L330" s="2217">
        <f t="shared" si="81"/>
        <v>22</v>
      </c>
      <c r="M330" s="2218"/>
      <c r="N330" s="261"/>
      <c r="O330" s="261"/>
      <c r="P330" s="261"/>
      <c r="Q330" s="2219">
        <f t="shared" si="76"/>
        <v>45442</v>
      </c>
      <c r="R330" s="2219"/>
      <c r="S330" s="261"/>
      <c r="T330" s="1173">
        <f t="shared" si="66"/>
        <v>1</v>
      </c>
      <c r="U330" s="261"/>
      <c r="V330" s="261"/>
      <c r="W330" s="261"/>
      <c r="X330" s="261"/>
      <c r="Y330" s="261"/>
      <c r="Z330" s="261"/>
      <c r="AA330" s="261"/>
      <c r="AB330" s="261"/>
      <c r="AC330" s="261"/>
      <c r="AD330" s="261"/>
      <c r="AE330" s="261"/>
      <c r="AF330" s="261"/>
      <c r="AG330" s="1173">
        <f t="shared" si="77"/>
        <v>0</v>
      </c>
      <c r="AH330" s="61" t="str">
        <f t="shared" si="78"/>
        <v/>
      </c>
      <c r="AI330" s="89" t="e">
        <f t="shared" si="79"/>
        <v>#N/A</v>
      </c>
      <c r="AJ330" s="2"/>
      <c r="AK330" s="61">
        <f>IF(G330=G$547,0,IF(OR(G330&lt;&gt;0,CH330&lt;&gt;0,C330="L"),COUNTIF(AK$180:AK329,"&gt;0")+1,0))</f>
        <v>0</v>
      </c>
      <c r="AL330" s="61" t="str">
        <f t="shared" si="67"/>
        <v/>
      </c>
      <c r="AM330" s="61" t="e">
        <f t="shared" si="68"/>
        <v>#N/A</v>
      </c>
      <c r="AN330" s="89" t="e">
        <f t="shared" si="69"/>
        <v>#N/A</v>
      </c>
      <c r="AO330" s="230">
        <f>SUM(MAG!X37:AD37)-BD330+AY330</f>
        <v>0</v>
      </c>
      <c r="AP330" s="228">
        <f>SUMIF(MAG!$G$121:$M$121,AP$178,MAG!$P37:$V37)+SUMIF($AZ$178:$BC$178,AP$178,$AZ330:$BC330)</f>
        <v>0</v>
      </c>
      <c r="AQ330" s="229">
        <f>SUMIF(MAG!$G$121:$M$121,AQ$178,MAG!$P37:$V37)+SUMIF($AZ$178:$BC$178,AQ$178,$AZ330:$BC330)</f>
        <v>0</v>
      </c>
      <c r="AR330" s="230">
        <f>SUMIF(MAG!$G$121:$M$121,AR$178,MAG!$P37:$V37)+SUMIF($AZ$178:$BC$178,AR$178,$AZ330:$BC330)</f>
        <v>0</v>
      </c>
      <c r="AS330" s="230">
        <f>SUMIF(MAG!$G$121:$M$121,AS$178,MAG!$P37:$V37)+SUMIF($AZ$178:$BC$178,AS$178,$AZ330:$BC330)</f>
        <v>0</v>
      </c>
      <c r="AT330" s="230">
        <f>SUMIF(MAG!$G$121:$M$121,AT$178,MAG!$P37:$V37)+SUMIF($AZ$178:$BC$178,AT$178,$AZ330:$BC330)</f>
        <v>0</v>
      </c>
      <c r="AU330" s="230">
        <f>SUMIF(MAG!$G$121:$M$121,AU$178,MAG!$P37:$V37)+SUMIF($AZ$178:$BC$178,AU$178,$AZ330:$BC330)</f>
        <v>0</v>
      </c>
      <c r="AV330" s="230">
        <f>SUMIF(MAG!$G$121:$M$121,AV$178,MAG!$P37:$V37)+SUMIF($AZ$178:$BC$178,AV$178,$AZ330:$BC330)</f>
        <v>0</v>
      </c>
      <c r="AW330" s="230">
        <f>SUMIF(MAG!$G$121:$M$121,AW$178,MAG!$P37:$V37)+SUMIF($AZ$178:$BC$178,AW$178,$AZ330:$BC330)</f>
        <v>0</v>
      </c>
      <c r="AX330" s="231">
        <f>SUMIF(MAG!$G$121:$M$121,AX$178,MAG!$P37:$V37)+SUMIF($AZ$178:$BC$178,AX$178,$AZ330:$BC330)</f>
        <v>0</v>
      </c>
      <c r="AY330" s="232">
        <f>MAG!AF37</f>
        <v>0</v>
      </c>
      <c r="AZ330" s="228">
        <f>MAG!AG37</f>
        <v>0</v>
      </c>
      <c r="BA330" s="229">
        <f>MAG!AH37</f>
        <v>0</v>
      </c>
      <c r="BB330" s="230">
        <f>MAG!AI37</f>
        <v>0</v>
      </c>
      <c r="BC330" s="231">
        <f>MAG!AJ37</f>
        <v>0</v>
      </c>
      <c r="BD330" s="228">
        <f>SUMIF(MAG!$G$120:$M$120,"&gt;0",MAG!$X37:$AD37)</f>
        <v>0</v>
      </c>
      <c r="BE330" s="696"/>
      <c r="BF330" s="228">
        <f>SUMIF(MAG!$BA$6:$BG$6,BF$177,MAG!$BA37:$BG37)</f>
        <v>0</v>
      </c>
      <c r="BG330" s="229">
        <f>SUMIF(MAG!$BA$6:$BG$6,BG$177,MAG!$BA37:$BG37)</f>
        <v>0</v>
      </c>
      <c r="BH330" s="229">
        <f>SUMIF(MAG!$BA$6:$BG$6,BH$177,MAG!$BA37:$BG37)</f>
        <v>0</v>
      </c>
      <c r="BI330" s="229">
        <f>SUMIF(MAG!$BA$6:$BG$6,BI$177,MAG!$BA37:$BG37)</f>
        <v>0</v>
      </c>
      <c r="BJ330" s="229">
        <f>SUMIF(MAG!$BA$6:$BG$6,BJ$177,MAG!$BA37:$BG37)</f>
        <v>0</v>
      </c>
      <c r="BK330" s="229">
        <f>SUMIF(MAG!$BA$6:$BG$6,BK$177,MAG!$BA37:$BG37)</f>
        <v>0</v>
      </c>
      <c r="BL330" s="229">
        <f>SUMIF(MAG!$BA$6:$BG$6,BL$177,MAG!$BA37:$BG37)</f>
        <v>0</v>
      </c>
      <c r="BM330" s="229">
        <f>SUMIF(MAG!$BA$6:$BG$6,BM$177,MAG!$BA37:$BG37)</f>
        <v>0</v>
      </c>
      <c r="BN330" s="229">
        <f>SUMIF(MAG!$BA$6:$BG$6,BN$177,MAG!$BA37:$BG37)</f>
        <v>0</v>
      </c>
      <c r="BO330" s="231">
        <f>SUMIF(MAG!$BA$6:$BG$6,BO$177,MAG!$BA37:$BG37)</f>
        <v>0</v>
      </c>
      <c r="BP330" s="231">
        <f>SUMIF(MAG!$BA$6:$BG$6,BP$177,MAG!$BA37:$BG37)</f>
        <v>0</v>
      </c>
      <c r="BQ330" s="252"/>
      <c r="BR330" s="228">
        <f>SUMIF(MAG!$BA$5:$BG$5,BR$177,MAG!$BA37:$BG37)</f>
        <v>0</v>
      </c>
      <c r="BS330" s="229">
        <f>SUMIF(MAG!$BA$5:$BG$5,BS$177,MAG!$BA37:$BG37)</f>
        <v>0</v>
      </c>
      <c r="BT330" s="229">
        <f>SUMIF(MAG!$BA$5:$BG$5,BT$177,MAG!$BA37:$BG37)</f>
        <v>0</v>
      </c>
      <c r="BU330" s="229">
        <f>SUMIF(MAG!$BA$5:$BG$5,BU$177,MAG!$BA37:$BG37)</f>
        <v>0</v>
      </c>
      <c r="BV330" s="229">
        <f>SUMIF(MAG!$BA$5:$BG$5,BV$177,MAG!$BA37:$BG37)</f>
        <v>0</v>
      </c>
      <c r="BW330" s="229">
        <f>SUMIF(MAG!$BA$5:$BG$5,BW$177,MAG!$BA37:$BG37)</f>
        <v>0</v>
      </c>
      <c r="BX330" s="230">
        <f>SUMIF(MAG!$BA$5:$BG$5,BX$177,MAG!$BA37:$BG37)</f>
        <v>0</v>
      </c>
      <c r="BY330" s="998">
        <f>SUMIF(MAG!$BA$5:$BG$5,BY$177,MAG!$BA37:$BG37)</f>
        <v>0</v>
      </c>
      <c r="CB330" s="252"/>
      <c r="CC330" s="61" t="e">
        <f t="shared" si="70"/>
        <v>#N/A</v>
      </c>
      <c r="CD330" s="61">
        <f t="shared" si="71"/>
        <v>0</v>
      </c>
      <c r="CE330" s="105" t="str">
        <f t="shared" si="64"/>
        <v/>
      </c>
      <c r="CF330" s="61" t="e">
        <f t="shared" si="72"/>
        <v>#N/A</v>
      </c>
      <c r="CG330" s="61" t="e">
        <f t="shared" si="73"/>
        <v>#N/A</v>
      </c>
      <c r="CH330" s="521">
        <f>MAG!AL37-CW330+CR330</f>
        <v>0</v>
      </c>
      <c r="CI330" s="228">
        <f>SUMIF(MAG!$G$121:$M$121,CI$178,MAG!$AM37:$AS37)+SUMIF($CS$178:$CV$178,CI$178,$CS330:$CV330)</f>
        <v>0</v>
      </c>
      <c r="CJ330" s="229">
        <f>SUMIF(MAG!$G$121:$M$121,CJ$178,MAG!$AM37:$AS37)+SUMIF($CS$178:$CV$178,CJ$178,$CS330:$CV330)</f>
        <v>0</v>
      </c>
      <c r="CK330" s="230">
        <f>SUMIF(MAG!$G$121:$M$121,CK$178,MAG!$AM37:$AS37)+SUMIF($CS$178:$CV$178,CK$178,$CS330:$CV330)</f>
        <v>0</v>
      </c>
      <c r="CL330" s="230">
        <f>SUMIF(MAG!$G$121:$M$121,CL$178,MAG!$AM37:$AS37)+SUMIF($CS$178:$CV$178,CL$178,$CS330:$CV330)</f>
        <v>0</v>
      </c>
      <c r="CM330" s="230">
        <f>SUMIF(MAG!$G$121:$M$121,CM$178,MAG!$AM37:$AS37)+SUMIF($CS$178:$CV$178,CM$178,$CS330:$CV330)</f>
        <v>0</v>
      </c>
      <c r="CN330" s="230">
        <f>SUMIF(MAG!$G$121:$M$121,CN$178,MAG!$AM37:$AS37)+SUMIF($CS$178:$CV$178,CN$178,$CS330:$CV330)</f>
        <v>0</v>
      </c>
      <c r="CO330" s="230">
        <f>SUMIF(MAG!$G$121:$M$121,CO$178,MAG!$AM37:$AS37)+SUMIF($CS$178:$CV$178,CO$178,$CS330:$CV330)</f>
        <v>0</v>
      </c>
      <c r="CP330" s="230">
        <f>SUMIF(MAG!$G$121:$M$121,CP$178,MAG!$AM37:$AS37)+SUMIF($CS$178:$CV$178,CP$178,$CS330:$CV330)</f>
        <v>0</v>
      </c>
      <c r="CQ330" s="231">
        <f>SUMIF(MAG!$G$121:$M$121,CQ$178,MAG!$AM37:$AS37)+SUMIF($CS$178:$CV$178,CQ$178,$CS330:$CV330)</f>
        <v>0</v>
      </c>
      <c r="CR330" s="521">
        <f>MAG!AU37</f>
        <v>0</v>
      </c>
      <c r="CS330" s="228">
        <f>MAG!AV37</f>
        <v>0</v>
      </c>
      <c r="CT330" s="229">
        <f>MAG!AW37</f>
        <v>0</v>
      </c>
      <c r="CU330" s="230">
        <f>MAG!AX37</f>
        <v>0</v>
      </c>
      <c r="CV330" s="231">
        <f>MAG!AY37</f>
        <v>0</v>
      </c>
      <c r="CW330" s="521">
        <f>SUM(MAG!AU37:AY37)</f>
        <v>0</v>
      </c>
      <c r="CX330" s="521">
        <f>MAG!AK37</f>
        <v>0</v>
      </c>
      <c r="CY330" s="2"/>
    </row>
    <row r="331" spans="1:103" ht="14.25" hidden="1" customHeight="1" x14ac:dyDescent="0.2">
      <c r="A331" s="2"/>
      <c r="B331" s="105">
        <f t="shared" si="74"/>
        <v>45443</v>
      </c>
      <c r="C331" s="146">
        <f>IF(AND(E331&gt;(E$561-1),E331&lt;(I$561+1)),W$551,IF(ISERROR(HLOOKUP(E331,$E$554:$L$554,1,FALSE)),HLOOKUP(WEEKDAY(E331,2),IMPOSTAZIONI!$C$52:$P$57,6,FALSE),$W$550))</f>
        <v>0</v>
      </c>
      <c r="D331" s="71" t="str">
        <f t="shared" si="75"/>
        <v/>
      </c>
      <c r="E331" s="2262">
        <f t="shared" si="80"/>
        <v>45443</v>
      </c>
      <c r="F331" s="2263"/>
      <c r="G331" s="2266" t="str">
        <f>MAG!E38</f>
        <v xml:space="preserve">disattivato  </v>
      </c>
      <c r="H331" s="2267"/>
      <c r="I331" s="2268"/>
      <c r="J331" s="262" t="str">
        <f t="shared" si="65"/>
        <v/>
      </c>
      <c r="K331" s="263"/>
      <c r="L331" s="2217">
        <f t="shared" si="81"/>
        <v>22</v>
      </c>
      <c r="M331" s="2218"/>
      <c r="N331" s="261"/>
      <c r="O331" s="261"/>
      <c r="P331" s="261"/>
      <c r="Q331" s="2219">
        <f t="shared" si="76"/>
        <v>45443</v>
      </c>
      <c r="R331" s="2219"/>
      <c r="S331" s="261"/>
      <c r="T331" s="1173">
        <f t="shared" si="66"/>
        <v>1</v>
      </c>
      <c r="U331" s="261"/>
      <c r="V331" s="261"/>
      <c r="W331" s="261"/>
      <c r="X331" s="261"/>
      <c r="Y331" s="261"/>
      <c r="Z331" s="261"/>
      <c r="AA331" s="261"/>
      <c r="AB331" s="261"/>
      <c r="AC331" s="261"/>
      <c r="AD331" s="261"/>
      <c r="AE331" s="261"/>
      <c r="AF331" s="261"/>
      <c r="AG331" s="1173">
        <f t="shared" si="77"/>
        <v>0</v>
      </c>
      <c r="AH331" s="61" t="str">
        <f t="shared" si="78"/>
        <v/>
      </c>
      <c r="AI331" s="89" t="e">
        <f t="shared" si="79"/>
        <v>#N/A</v>
      </c>
      <c r="AJ331" s="2"/>
      <c r="AK331" s="61">
        <f>IF(G331=G$547,0,IF(OR(G331&lt;&gt;0,CH331&lt;&gt;0,C331="L"),COUNTIF(AK$180:AK330,"&gt;0")+1,0))</f>
        <v>0</v>
      </c>
      <c r="AL331" s="61" t="str">
        <f t="shared" si="67"/>
        <v/>
      </c>
      <c r="AM331" s="61" t="e">
        <f t="shared" si="68"/>
        <v>#N/A</v>
      </c>
      <c r="AN331" s="89" t="e">
        <f t="shared" si="69"/>
        <v>#N/A</v>
      </c>
      <c r="AO331" s="235">
        <f>SUM(MAG!X38:AD38)-BD331+AY331</f>
        <v>0</v>
      </c>
      <c r="AP331" s="233">
        <f>SUMIF(MAG!$G$121:$M$121,AP$178,MAG!$P38:$V38)+SUMIF($AZ$178:$BC$178,AP$178,$AZ331:$BC331)</f>
        <v>0</v>
      </c>
      <c r="AQ331" s="234">
        <f>SUMIF(MAG!$G$121:$M$121,AQ$178,MAG!$P38:$V38)+SUMIF($AZ$178:$BC$178,AQ$178,$AZ331:$BC331)</f>
        <v>0</v>
      </c>
      <c r="AR331" s="235">
        <f>SUMIF(MAG!$G$121:$M$121,AR$178,MAG!$P38:$V38)+SUMIF($AZ$178:$BC$178,AR$178,$AZ331:$BC331)</f>
        <v>0</v>
      </c>
      <c r="AS331" s="235">
        <f>SUMIF(MAG!$G$121:$M$121,AS$178,MAG!$P38:$V38)+SUMIF($AZ$178:$BC$178,AS$178,$AZ331:$BC331)</f>
        <v>0</v>
      </c>
      <c r="AT331" s="235">
        <f>SUMIF(MAG!$G$121:$M$121,AT$178,MAG!$P38:$V38)+SUMIF($AZ$178:$BC$178,AT$178,$AZ331:$BC331)</f>
        <v>0</v>
      </c>
      <c r="AU331" s="235">
        <f>SUMIF(MAG!$G$121:$M$121,AU$178,MAG!$P38:$V38)+SUMIF($AZ$178:$BC$178,AU$178,$AZ331:$BC331)</f>
        <v>0</v>
      </c>
      <c r="AV331" s="235">
        <f>SUMIF(MAG!$G$121:$M$121,AV$178,MAG!$P38:$V38)+SUMIF($AZ$178:$BC$178,AV$178,$AZ331:$BC331)</f>
        <v>0</v>
      </c>
      <c r="AW331" s="235">
        <f>SUMIF(MAG!$G$121:$M$121,AW$178,MAG!$P38:$V38)+SUMIF($AZ$178:$BC$178,AW$178,$AZ331:$BC331)</f>
        <v>0</v>
      </c>
      <c r="AX331" s="236">
        <f>SUMIF(MAG!$G$121:$M$121,AX$178,MAG!$P38:$V38)+SUMIF($AZ$178:$BC$178,AX$178,$AZ331:$BC331)</f>
        <v>0</v>
      </c>
      <c r="AY331" s="237">
        <f>MAG!AF38</f>
        <v>0</v>
      </c>
      <c r="AZ331" s="233">
        <f>MAG!AG38</f>
        <v>0</v>
      </c>
      <c r="BA331" s="234">
        <f>MAG!AH38</f>
        <v>0</v>
      </c>
      <c r="BB331" s="235">
        <f>MAG!AI38</f>
        <v>0</v>
      </c>
      <c r="BC331" s="236">
        <f>MAG!AJ38</f>
        <v>0</v>
      </c>
      <c r="BD331" s="233">
        <f>SUMIF(MAG!$G$120:$M$120,"&gt;0",MAG!$X38:$AD38)</f>
        <v>0</v>
      </c>
      <c r="BE331" s="696"/>
      <c r="BF331" s="233">
        <f>SUMIF(MAG!$BA$6:$BG$6,BF$177,MAG!$BA38:$BG38)</f>
        <v>0</v>
      </c>
      <c r="BG331" s="234">
        <f>SUMIF(MAG!$BA$6:$BG$6,BG$177,MAG!$BA38:$BG38)</f>
        <v>0</v>
      </c>
      <c r="BH331" s="234">
        <f>SUMIF(MAG!$BA$6:$BG$6,BH$177,MAG!$BA38:$BG38)</f>
        <v>0</v>
      </c>
      <c r="BI331" s="234">
        <f>SUMIF(MAG!$BA$6:$BG$6,BI$177,MAG!$BA38:$BG38)</f>
        <v>0</v>
      </c>
      <c r="BJ331" s="234">
        <f>SUMIF(MAG!$BA$6:$BG$6,BJ$177,MAG!$BA38:$BG38)</f>
        <v>0</v>
      </c>
      <c r="BK331" s="234">
        <f>SUMIF(MAG!$BA$6:$BG$6,BK$177,MAG!$BA38:$BG38)</f>
        <v>0</v>
      </c>
      <c r="BL331" s="234">
        <f>SUMIF(MAG!$BA$6:$BG$6,BL$177,MAG!$BA38:$BG38)</f>
        <v>0</v>
      </c>
      <c r="BM331" s="234">
        <f>SUMIF(MAG!$BA$6:$BG$6,BM$177,MAG!$BA38:$BG38)</f>
        <v>0</v>
      </c>
      <c r="BN331" s="234">
        <f>SUMIF(MAG!$BA$6:$BG$6,BN$177,MAG!$BA38:$BG38)</f>
        <v>0</v>
      </c>
      <c r="BO331" s="236">
        <f>SUMIF(MAG!$BA$6:$BG$6,BO$177,MAG!$BA38:$BG38)</f>
        <v>0</v>
      </c>
      <c r="BP331" s="236">
        <f>SUMIF(MAG!$BA$6:$BG$6,BP$177,MAG!$BA38:$BG38)</f>
        <v>0</v>
      </c>
      <c r="BQ331" s="252"/>
      <c r="BR331" s="233">
        <f>SUMIF(MAG!$BA$5:$BG$5,BR$177,MAG!$BA38:$BG38)</f>
        <v>0</v>
      </c>
      <c r="BS331" s="234">
        <f>SUMIF(MAG!$BA$5:$BG$5,BS$177,MAG!$BA38:$BG38)</f>
        <v>0</v>
      </c>
      <c r="BT331" s="234">
        <f>SUMIF(MAG!$BA$5:$BG$5,BT$177,MAG!$BA38:$BG38)</f>
        <v>0</v>
      </c>
      <c r="BU331" s="234">
        <f>SUMIF(MAG!$BA$5:$BG$5,BU$177,MAG!$BA38:$BG38)</f>
        <v>0</v>
      </c>
      <c r="BV331" s="234">
        <f>SUMIF(MAG!$BA$5:$BG$5,BV$177,MAG!$BA38:$BG38)</f>
        <v>0</v>
      </c>
      <c r="BW331" s="234">
        <f>SUMIF(MAG!$BA$5:$BG$5,BW$177,MAG!$BA38:$BG38)</f>
        <v>0</v>
      </c>
      <c r="BX331" s="235">
        <f>SUMIF(MAG!$BA$5:$BG$5,BX$177,MAG!$BA38:$BG38)</f>
        <v>0</v>
      </c>
      <c r="BY331" s="999">
        <f>SUMIF(MAG!$BA$5:$BG$5,BY$177,MAG!$BA38:$BG38)</f>
        <v>0</v>
      </c>
      <c r="CB331" s="252"/>
      <c r="CC331" s="61" t="e">
        <f t="shared" si="70"/>
        <v>#N/A</v>
      </c>
      <c r="CD331" s="61">
        <f t="shared" si="71"/>
        <v>0</v>
      </c>
      <c r="CE331" s="105" t="str">
        <f t="shared" si="64"/>
        <v/>
      </c>
      <c r="CF331" s="61" t="e">
        <f t="shared" si="72"/>
        <v>#N/A</v>
      </c>
      <c r="CG331" s="61" t="e">
        <f t="shared" si="73"/>
        <v>#N/A</v>
      </c>
      <c r="CH331" s="522">
        <f>MAG!AL38-CW331+CR331</f>
        <v>0</v>
      </c>
      <c r="CI331" s="233">
        <f>SUMIF(MAG!$G$121:$M$121,CI$178,MAG!$AM38:$AS38)+SUMIF($CS$178:$CV$178,CI$178,$CS331:$CV331)</f>
        <v>0</v>
      </c>
      <c r="CJ331" s="234">
        <f>SUMIF(MAG!$G$121:$M$121,CJ$178,MAG!$AM38:$AS38)+SUMIF($CS$178:$CV$178,CJ$178,$CS331:$CV331)</f>
        <v>0</v>
      </c>
      <c r="CK331" s="235">
        <f>SUMIF(MAG!$G$121:$M$121,CK$178,MAG!$AM38:$AS38)+SUMIF($CS$178:$CV$178,CK$178,$CS331:$CV331)</f>
        <v>0</v>
      </c>
      <c r="CL331" s="235">
        <f>SUMIF(MAG!$G$121:$M$121,CL$178,MAG!$AM38:$AS38)+SUMIF($CS$178:$CV$178,CL$178,$CS331:$CV331)</f>
        <v>0</v>
      </c>
      <c r="CM331" s="235">
        <f>SUMIF(MAG!$G$121:$M$121,CM$178,MAG!$AM38:$AS38)+SUMIF($CS$178:$CV$178,CM$178,$CS331:$CV331)</f>
        <v>0</v>
      </c>
      <c r="CN331" s="235">
        <f>SUMIF(MAG!$G$121:$M$121,CN$178,MAG!$AM38:$AS38)+SUMIF($CS$178:$CV$178,CN$178,$CS331:$CV331)</f>
        <v>0</v>
      </c>
      <c r="CO331" s="235">
        <f>SUMIF(MAG!$G$121:$M$121,CO$178,MAG!$AM38:$AS38)+SUMIF($CS$178:$CV$178,CO$178,$CS331:$CV331)</f>
        <v>0</v>
      </c>
      <c r="CP331" s="235">
        <f>SUMIF(MAG!$G$121:$M$121,CP$178,MAG!$AM38:$AS38)+SUMIF($CS$178:$CV$178,CP$178,$CS331:$CV331)</f>
        <v>0</v>
      </c>
      <c r="CQ331" s="236">
        <f>SUMIF(MAG!$G$121:$M$121,CQ$178,MAG!$AM38:$AS38)+SUMIF($CS$178:$CV$178,CQ$178,$CS331:$CV331)</f>
        <v>0</v>
      </c>
      <c r="CR331" s="522">
        <f>MAG!AU38</f>
        <v>0</v>
      </c>
      <c r="CS331" s="233">
        <f>MAG!AV38</f>
        <v>0</v>
      </c>
      <c r="CT331" s="234">
        <f>MAG!AW38</f>
        <v>0</v>
      </c>
      <c r="CU331" s="235">
        <f>MAG!AX38</f>
        <v>0</v>
      </c>
      <c r="CV331" s="236">
        <f>MAG!AY38</f>
        <v>0</v>
      </c>
      <c r="CW331" s="522">
        <f>SUM(MAG!AU38:AY38)</f>
        <v>0</v>
      </c>
      <c r="CX331" s="522">
        <f>MAG!AK38</f>
        <v>0</v>
      </c>
      <c r="CY331" s="2"/>
    </row>
    <row r="332" spans="1:103" ht="14.25" hidden="1" customHeight="1" x14ac:dyDescent="0.2">
      <c r="A332" s="2"/>
      <c r="B332" s="105">
        <f t="shared" si="74"/>
        <v>45444</v>
      </c>
      <c r="C332" s="146">
        <f>IF(AND(E332&gt;(E$562-1),E332&lt;(I$562+1)),W$551,IF(ISERROR(HLOOKUP(E332,$E$555:$L$555,1,FALSE)),HLOOKUP(WEEKDAY(E332,2),IMPOSTAZIONI!$C$52:$P$57,6,FALSE),$W$550))</f>
        <v>0</v>
      </c>
      <c r="D332" s="71" t="str">
        <f t="shared" si="75"/>
        <v/>
      </c>
      <c r="E332" s="2260">
        <f t="shared" si="80"/>
        <v>45444</v>
      </c>
      <c r="F332" s="2261"/>
      <c r="G332" s="2249" t="str">
        <f>GIU!E8</f>
        <v xml:space="preserve">disattivato  </v>
      </c>
      <c r="H332" s="2250"/>
      <c r="I332" s="2251"/>
      <c r="J332" s="262" t="str">
        <f t="shared" si="65"/>
        <v/>
      </c>
      <c r="K332" s="263"/>
      <c r="L332" s="2217">
        <f t="shared" si="81"/>
        <v>22</v>
      </c>
      <c r="M332" s="2218"/>
      <c r="N332" s="261"/>
      <c r="O332" s="261"/>
      <c r="P332" s="261"/>
      <c r="Q332" s="2219">
        <f t="shared" si="76"/>
        <v>45444</v>
      </c>
      <c r="R332" s="2219"/>
      <c r="S332" s="261"/>
      <c r="T332" s="1173">
        <f t="shared" si="66"/>
        <v>1</v>
      </c>
      <c r="U332" s="261"/>
      <c r="V332" s="261"/>
      <c r="W332" s="261"/>
      <c r="X332" s="261"/>
      <c r="Y332" s="261"/>
      <c r="Z332" s="261"/>
      <c r="AA332" s="261"/>
      <c r="AB332" s="261"/>
      <c r="AC332" s="261"/>
      <c r="AD332" s="261"/>
      <c r="AE332" s="261"/>
      <c r="AF332" s="261"/>
      <c r="AG332" s="1173">
        <f t="shared" si="77"/>
        <v>0</v>
      </c>
      <c r="AH332" s="61" t="str">
        <f t="shared" si="78"/>
        <v/>
      </c>
      <c r="AI332" s="89" t="e">
        <f t="shared" si="79"/>
        <v>#N/A</v>
      </c>
      <c r="AJ332" s="89">
        <f>IF(G332=G547,0,COUNTIF(T332:T361,"&gt;0"))</f>
        <v>0</v>
      </c>
      <c r="AK332" s="61">
        <f>IF(G332=G$547,0,IF(OR(G332&lt;&gt;0,CH332&lt;&gt;0,C332="L"),COUNTIF(AK$180:AK331,"&gt;0")+1,0))</f>
        <v>0</v>
      </c>
      <c r="AL332" s="61" t="str">
        <f t="shared" si="67"/>
        <v/>
      </c>
      <c r="AM332" s="61" t="e">
        <f t="shared" si="68"/>
        <v>#N/A</v>
      </c>
      <c r="AN332" s="89" t="e">
        <f t="shared" si="69"/>
        <v>#N/A</v>
      </c>
      <c r="AO332" s="230">
        <f>SUM(GIU!X8:AD8)-BD332+AY332</f>
        <v>0</v>
      </c>
      <c r="AP332" s="228">
        <f>SUMIF(GIU!$G$121:$M$121,AP$178,GIU!$P8:$V8)+SUMIF($AZ$178:$BC$178,AP$178,$AZ332:$BC332)</f>
        <v>0</v>
      </c>
      <c r="AQ332" s="229">
        <f>SUMIF(GIU!$G$121:$M$121,AQ$178,GIU!$P8:$V8)+SUMIF($AZ$178:$BC$178,AQ$178,$AZ332:$BC332)</f>
        <v>0</v>
      </c>
      <c r="AR332" s="230">
        <f>SUMIF(GIU!$G$121:$M$121,AR$178,GIU!$P8:$V8)+SUMIF($AZ$178:$BC$178,AR$178,$AZ332:$BC332)</f>
        <v>0</v>
      </c>
      <c r="AS332" s="230">
        <f>SUMIF(GIU!$G$121:$M$121,AS$178,GIU!$P8:$V8)+SUMIF($AZ$178:$BC$178,AS$178,$AZ332:$BC332)</f>
        <v>0</v>
      </c>
      <c r="AT332" s="230">
        <f>SUMIF(GIU!$G$121:$M$121,AT$178,GIU!$P8:$V8)+SUMIF($AZ$178:$BC$178,AT$178,$AZ332:$BC332)</f>
        <v>0</v>
      </c>
      <c r="AU332" s="230">
        <f>SUMIF(GIU!$G$121:$M$121,AU$178,GIU!$P8:$V8)+SUMIF($AZ$178:$BC$178,AU$178,$AZ332:$BC332)</f>
        <v>0</v>
      </c>
      <c r="AV332" s="230">
        <f>SUMIF(GIU!$G$121:$M$121,AV$178,GIU!$P8:$V8)+SUMIF($AZ$178:$BC$178,AV$178,$AZ332:$BC332)</f>
        <v>0</v>
      </c>
      <c r="AW332" s="230">
        <f>SUMIF(GIU!$G$121:$M$121,AW$178,GIU!$P8:$V8)+SUMIF($AZ$178:$BC$178,AW$178,$AZ332:$BC332)</f>
        <v>0</v>
      </c>
      <c r="AX332" s="231">
        <f>SUMIF(GIU!$G$121:$M$121,AX$178,GIU!$P8:$V8)+SUMIF($AZ$178:$BC$178,AX$178,$AZ332:$BC332)</f>
        <v>0</v>
      </c>
      <c r="AY332" s="232">
        <f>GIU!AF8</f>
        <v>0</v>
      </c>
      <c r="AZ332" s="228">
        <f>GIU!AG8</f>
        <v>0</v>
      </c>
      <c r="BA332" s="229">
        <f>GIU!AH8</f>
        <v>0</v>
      </c>
      <c r="BB332" s="230">
        <f>GIU!AI8</f>
        <v>0</v>
      </c>
      <c r="BC332" s="231">
        <f>GIU!AJ8</f>
        <v>0</v>
      </c>
      <c r="BD332" s="228">
        <f>SUMIF(GIU!$G$120:$M$120,"&gt;0",GIU!$X8:$AD8)</f>
        <v>0</v>
      </c>
      <c r="BE332" s="696"/>
      <c r="BF332" s="254">
        <f>SUMIF(GIU!$BA$6:$BG$6,BF$177,GIU!$BA8:$BG8)</f>
        <v>0</v>
      </c>
      <c r="BG332" s="255">
        <f>SUMIF(GIU!$BA$6:$BG$6,BG$177,GIU!$BA8:$BG8)</f>
        <v>0</v>
      </c>
      <c r="BH332" s="255">
        <f>SUMIF(GIU!$BA$6:$BG$6,BH$177,GIU!$BA8:$BG8)</f>
        <v>0</v>
      </c>
      <c r="BI332" s="255">
        <f>SUMIF(GIU!$BA$6:$BG$6,BI$177,GIU!$BA8:$BG8)</f>
        <v>0</v>
      </c>
      <c r="BJ332" s="255">
        <f>SUMIF(GIU!$BA$6:$BG$6,BJ$177,GIU!$BA8:$BG8)</f>
        <v>0</v>
      </c>
      <c r="BK332" s="255">
        <f>SUMIF(GIU!$BA$6:$BG$6,BK$177,GIU!$BA8:$BG8)</f>
        <v>0</v>
      </c>
      <c r="BL332" s="255">
        <f>SUMIF(GIU!$BA$6:$BG$6,BL$177,GIU!$BA8:$BG8)</f>
        <v>0</v>
      </c>
      <c r="BM332" s="255">
        <f>SUMIF(GIU!$BA$6:$BG$6,BM$177,GIU!$BA8:$BG8)</f>
        <v>0</v>
      </c>
      <c r="BN332" s="255">
        <f>SUMIF(GIU!$BA$6:$BG$6,BN$177,GIU!$BA8:$BG8)</f>
        <v>0</v>
      </c>
      <c r="BO332" s="256">
        <f>SUMIF(GIU!$BA$6:$BG$6,BO$177,GIU!$BA8:$BG8)</f>
        <v>0</v>
      </c>
      <c r="BP332" s="256">
        <f>SUMIF(GIU!$BA$6:$BG$6,BP$177,GIU!$BA8:$BG8)</f>
        <v>0</v>
      </c>
      <c r="BQ332" s="252"/>
      <c r="BR332" s="254">
        <f>SUMIF(GIU!$BA$5:$BG$5,BR$177,GIU!$BA8:$BG8)</f>
        <v>0</v>
      </c>
      <c r="BS332" s="255">
        <f>SUMIF(GIU!$BA$5:$BG$5,BS$177,GIU!$BA8:$BG8)</f>
        <v>0</v>
      </c>
      <c r="BT332" s="255">
        <f>SUMIF(GIU!$BA$5:$BG$5,BT$177,GIU!$BA8:$BG8)</f>
        <v>0</v>
      </c>
      <c r="BU332" s="255">
        <f>SUMIF(GIU!$BA$5:$BG$5,BU$177,GIU!$BA8:$BG8)</f>
        <v>0</v>
      </c>
      <c r="BV332" s="255">
        <f>SUMIF(GIU!$BA$5:$BG$5,BV$177,GIU!$BA8:$BG8)</f>
        <v>0</v>
      </c>
      <c r="BW332" s="255">
        <f>SUMIF(GIU!$BA$5:$BG$5,BW$177,GIU!$BA8:$BG8)</f>
        <v>0</v>
      </c>
      <c r="BX332" s="996">
        <f>SUMIF(GIU!$BA$5:$BG$5,BX$177,GIU!$BA8:$BG8)</f>
        <v>0</v>
      </c>
      <c r="BY332" s="997">
        <f>SUMIF(GIU!$BA$5:$BG$5,BY$177,GIU!$BA8:$BG8)</f>
        <v>0</v>
      </c>
      <c r="CB332" s="252"/>
      <c r="CC332" s="61" t="e">
        <f t="shared" si="70"/>
        <v>#N/A</v>
      </c>
      <c r="CD332" s="61">
        <f t="shared" si="71"/>
        <v>0</v>
      </c>
      <c r="CE332" s="105" t="str">
        <f t="shared" si="64"/>
        <v/>
      </c>
      <c r="CF332" s="61" t="e">
        <f t="shared" si="72"/>
        <v>#N/A</v>
      </c>
      <c r="CG332" s="61" t="e">
        <f t="shared" si="73"/>
        <v>#N/A</v>
      </c>
      <c r="CH332" s="523">
        <f>GIU!AL8-CW332+CR332</f>
        <v>0</v>
      </c>
      <c r="CI332" s="228">
        <f>SUMIF(GIU!$G$121:$M$121,CI$178,GIU!$AM8:$AS8)+SUMIF($CS$178:$CV$178,CI$178,$CS332:$CV332)</f>
        <v>0</v>
      </c>
      <c r="CJ332" s="229">
        <f>SUMIF(GIU!$G$121:$M$121,CJ$178,GIU!$AM8:$AS8)+SUMIF($CS$178:$CV$178,CJ$178,$CS332:$CV332)</f>
        <v>0</v>
      </c>
      <c r="CK332" s="230">
        <f>SUMIF(GIU!$G$121:$M$121,CK$178,GIU!$AM8:$AS8)+SUMIF($CS$178:$CV$178,CK$178,$CS332:$CV332)</f>
        <v>0</v>
      </c>
      <c r="CL332" s="230">
        <f>SUMIF(GIU!$G$121:$M$121,CL$178,GIU!$AM8:$AS8)+SUMIF($CS$178:$CV$178,CL$178,$CS332:$CV332)</f>
        <v>0</v>
      </c>
      <c r="CM332" s="230">
        <f>SUMIF(GIU!$G$121:$M$121,CM$178,GIU!$AM8:$AS8)+SUMIF($CS$178:$CV$178,CM$178,$CS332:$CV332)</f>
        <v>0</v>
      </c>
      <c r="CN332" s="230">
        <f>SUMIF(GIU!$G$121:$M$121,CN$178,GIU!$AM8:$AS8)+SUMIF($CS$178:$CV$178,CN$178,$CS332:$CV332)</f>
        <v>0</v>
      </c>
      <c r="CO332" s="230">
        <f>SUMIF(GIU!$G$121:$M$121,CO$178,GIU!$AM8:$AS8)+SUMIF($CS$178:$CV$178,CO$178,$CS332:$CV332)</f>
        <v>0</v>
      </c>
      <c r="CP332" s="230">
        <f>SUMIF(GIU!$G$121:$M$121,CP$178,GIU!$AM8:$AS8)+SUMIF($CS$178:$CV$178,CP$178,$CS332:$CV332)</f>
        <v>0</v>
      </c>
      <c r="CQ332" s="231">
        <f>SUMIF(GIU!$G$121:$M$121,CQ$178,GIU!$AM8:$AS8)+SUMIF($CS$178:$CV$178,CQ$178,$CS332:$CV332)</f>
        <v>0</v>
      </c>
      <c r="CR332" s="523">
        <f>GIU!AU8</f>
        <v>0</v>
      </c>
      <c r="CS332" s="228">
        <f>GIU!AV8</f>
        <v>0</v>
      </c>
      <c r="CT332" s="229">
        <f>GIU!AW8</f>
        <v>0</v>
      </c>
      <c r="CU332" s="230">
        <f>GIU!AX8</f>
        <v>0</v>
      </c>
      <c r="CV332" s="231">
        <f>GIU!AY8</f>
        <v>0</v>
      </c>
      <c r="CW332" s="523">
        <f>SUM(GIU!AU8:AY8)</f>
        <v>0</v>
      </c>
      <c r="CX332" s="523">
        <f>GIU!AK8</f>
        <v>0</v>
      </c>
      <c r="CY332" s="2"/>
    </row>
    <row r="333" spans="1:103" ht="14.25" hidden="1" customHeight="1" x14ac:dyDescent="0.2">
      <c r="A333" s="2"/>
      <c r="B333" s="105">
        <f t="shared" si="74"/>
        <v>45445</v>
      </c>
      <c r="C333" s="146">
        <f>IF(AND(E333&gt;(E$562-1),E333&lt;(I$562+1)),W$551,IF(ISERROR(HLOOKUP(E333,$E$555:$L$555,1,FALSE)),HLOOKUP(WEEKDAY(E333,2),IMPOSTAZIONI!$C$52:$P$57,6,FALSE),$W$550))</f>
        <v>0</v>
      </c>
      <c r="D333" s="71" t="str">
        <f t="shared" si="75"/>
        <v/>
      </c>
      <c r="E333" s="2258">
        <f t="shared" si="80"/>
        <v>45445</v>
      </c>
      <c r="F333" s="2259"/>
      <c r="G333" s="2228" t="str">
        <f>GIU!E9</f>
        <v xml:space="preserve">disattivato  </v>
      </c>
      <c r="H333" s="2229"/>
      <c r="I333" s="2230"/>
      <c r="J333" s="262" t="str">
        <f t="shared" si="65"/>
        <v/>
      </c>
      <c r="K333" s="263"/>
      <c r="L333" s="2220">
        <f t="shared" si="81"/>
        <v>22</v>
      </c>
      <c r="M333" s="2221"/>
      <c r="N333" s="261"/>
      <c r="O333" s="261"/>
      <c r="P333" s="261"/>
      <c r="Q333" s="2219">
        <f t="shared" si="76"/>
        <v>45445</v>
      </c>
      <c r="R333" s="2219"/>
      <c r="S333" s="261"/>
      <c r="T333" s="1173">
        <f t="shared" si="66"/>
        <v>1</v>
      </c>
      <c r="U333" s="261"/>
      <c r="V333" s="261"/>
      <c r="W333" s="261"/>
      <c r="X333" s="261"/>
      <c r="Y333" s="261"/>
      <c r="Z333" s="261"/>
      <c r="AA333" s="261"/>
      <c r="AB333" s="261"/>
      <c r="AC333" s="261"/>
      <c r="AD333" s="261"/>
      <c r="AE333" s="261"/>
      <c r="AF333" s="261"/>
      <c r="AG333" s="1173">
        <f t="shared" si="77"/>
        <v>0</v>
      </c>
      <c r="AH333" s="61" t="str">
        <f t="shared" si="78"/>
        <v/>
      </c>
      <c r="AI333" s="89" t="e">
        <f t="shared" si="79"/>
        <v>#N/A</v>
      </c>
      <c r="AJ333" s="2"/>
      <c r="AK333" s="61">
        <f>IF(G333=G$547,0,IF(OR(G333&lt;&gt;0,CH333&lt;&gt;0,C333="L"),COUNTIF(AK$180:AK332,"&gt;0")+1,0))</f>
        <v>0</v>
      </c>
      <c r="AL333" s="61" t="str">
        <f t="shared" si="67"/>
        <v/>
      </c>
      <c r="AM333" s="61" t="e">
        <f t="shared" si="68"/>
        <v>#N/A</v>
      </c>
      <c r="AN333" s="89" t="e">
        <f t="shared" si="69"/>
        <v>#N/A</v>
      </c>
      <c r="AO333" s="230">
        <f>SUM(GIU!X9:AD9)-BD333+AY333</f>
        <v>0</v>
      </c>
      <c r="AP333" s="228">
        <f>SUMIF(GIU!$G$121:$M$121,AP$178,GIU!$P9:$V9)+SUMIF($AZ$178:$BC$178,AP$178,$AZ333:$BC333)</f>
        <v>0</v>
      </c>
      <c r="AQ333" s="229">
        <f>SUMIF(GIU!$G$121:$M$121,AQ$178,GIU!$P9:$V9)+SUMIF($AZ$178:$BC$178,AQ$178,$AZ333:$BC333)</f>
        <v>0</v>
      </c>
      <c r="AR333" s="230">
        <f>SUMIF(GIU!$G$121:$M$121,AR$178,GIU!$P9:$V9)+SUMIF($AZ$178:$BC$178,AR$178,$AZ333:$BC333)</f>
        <v>0</v>
      </c>
      <c r="AS333" s="230">
        <f>SUMIF(GIU!$G$121:$M$121,AS$178,GIU!$P9:$V9)+SUMIF($AZ$178:$BC$178,AS$178,$AZ333:$BC333)</f>
        <v>0</v>
      </c>
      <c r="AT333" s="230">
        <f>SUMIF(GIU!$G$121:$M$121,AT$178,GIU!$P9:$V9)+SUMIF($AZ$178:$BC$178,AT$178,$AZ333:$BC333)</f>
        <v>0</v>
      </c>
      <c r="AU333" s="230">
        <f>SUMIF(GIU!$G$121:$M$121,AU$178,GIU!$P9:$V9)+SUMIF($AZ$178:$BC$178,AU$178,$AZ333:$BC333)</f>
        <v>0</v>
      </c>
      <c r="AV333" s="230">
        <f>SUMIF(GIU!$G$121:$M$121,AV$178,GIU!$P9:$V9)+SUMIF($AZ$178:$BC$178,AV$178,$AZ333:$BC333)</f>
        <v>0</v>
      </c>
      <c r="AW333" s="230">
        <f>SUMIF(GIU!$G$121:$M$121,AW$178,GIU!$P9:$V9)+SUMIF($AZ$178:$BC$178,AW$178,$AZ333:$BC333)</f>
        <v>0</v>
      </c>
      <c r="AX333" s="231">
        <f>SUMIF(GIU!$G$121:$M$121,AX$178,GIU!$P9:$V9)+SUMIF($AZ$178:$BC$178,AX$178,$AZ333:$BC333)</f>
        <v>0</v>
      </c>
      <c r="AY333" s="232">
        <f>GIU!AF9</f>
        <v>0</v>
      </c>
      <c r="AZ333" s="228">
        <f>GIU!AG9</f>
        <v>0</v>
      </c>
      <c r="BA333" s="229">
        <f>GIU!AH9</f>
        <v>0</v>
      </c>
      <c r="BB333" s="230">
        <f>GIU!AI9</f>
        <v>0</v>
      </c>
      <c r="BC333" s="231">
        <f>GIU!AJ9</f>
        <v>0</v>
      </c>
      <c r="BD333" s="228">
        <f>SUMIF(GIU!$G$120:$M$120,"&gt;0",GIU!$X9:$AD9)</f>
        <v>0</v>
      </c>
      <c r="BE333" s="696"/>
      <c r="BF333" s="228">
        <f>SUMIF(GIU!$BA$6:$BG$6,BF$177,GIU!$BA9:$BG9)</f>
        <v>0</v>
      </c>
      <c r="BG333" s="229">
        <f>SUMIF(GIU!$BA$6:$BG$6,BG$177,GIU!$BA9:$BG9)</f>
        <v>0</v>
      </c>
      <c r="BH333" s="229">
        <f>SUMIF(GIU!$BA$6:$BG$6,BH$177,GIU!$BA9:$BG9)</f>
        <v>0</v>
      </c>
      <c r="BI333" s="229">
        <f>SUMIF(GIU!$BA$6:$BG$6,BI$177,GIU!$BA9:$BG9)</f>
        <v>0</v>
      </c>
      <c r="BJ333" s="229">
        <f>SUMIF(GIU!$BA$6:$BG$6,BJ$177,GIU!$BA9:$BG9)</f>
        <v>0</v>
      </c>
      <c r="BK333" s="229">
        <f>SUMIF(GIU!$BA$6:$BG$6,BK$177,GIU!$BA9:$BG9)</f>
        <v>0</v>
      </c>
      <c r="BL333" s="229">
        <f>SUMIF(GIU!$BA$6:$BG$6,BL$177,GIU!$BA9:$BG9)</f>
        <v>0</v>
      </c>
      <c r="BM333" s="229">
        <f>SUMIF(GIU!$BA$6:$BG$6,BM$177,GIU!$BA9:$BG9)</f>
        <v>0</v>
      </c>
      <c r="BN333" s="229">
        <f>SUMIF(GIU!$BA$6:$BG$6,BN$177,GIU!$BA9:$BG9)</f>
        <v>0</v>
      </c>
      <c r="BO333" s="231">
        <f>SUMIF(GIU!$BA$6:$BG$6,BO$177,GIU!$BA9:$BG9)</f>
        <v>0</v>
      </c>
      <c r="BP333" s="231">
        <f>SUMIF(GIU!$BA$6:$BG$6,BP$177,GIU!$BA9:$BG9)</f>
        <v>0</v>
      </c>
      <c r="BQ333" s="252"/>
      <c r="BR333" s="228">
        <f>SUMIF(GIU!$BA$5:$BG$5,BR$177,GIU!$BA9:$BG9)</f>
        <v>0</v>
      </c>
      <c r="BS333" s="229">
        <f>SUMIF(GIU!$BA$5:$BG$5,BS$177,GIU!$BA9:$BG9)</f>
        <v>0</v>
      </c>
      <c r="BT333" s="229">
        <f>SUMIF(GIU!$BA$5:$BG$5,BT$177,GIU!$BA9:$BG9)</f>
        <v>0</v>
      </c>
      <c r="BU333" s="229">
        <f>SUMIF(GIU!$BA$5:$BG$5,BU$177,GIU!$BA9:$BG9)</f>
        <v>0</v>
      </c>
      <c r="BV333" s="229">
        <f>SUMIF(GIU!$BA$5:$BG$5,BV$177,GIU!$BA9:$BG9)</f>
        <v>0</v>
      </c>
      <c r="BW333" s="229">
        <f>SUMIF(GIU!$BA$5:$BG$5,BW$177,GIU!$BA9:$BG9)</f>
        <v>0</v>
      </c>
      <c r="BX333" s="230">
        <f>SUMIF(GIU!$BA$5:$BG$5,BX$177,GIU!$BA9:$BG9)</f>
        <v>0</v>
      </c>
      <c r="BY333" s="998">
        <f>SUMIF(GIU!$BA$5:$BG$5,BY$177,GIU!$BA9:$BG9)</f>
        <v>0</v>
      </c>
      <c r="CB333" s="252"/>
      <c r="CC333" s="61" t="e">
        <f t="shared" si="70"/>
        <v>#N/A</v>
      </c>
      <c r="CD333" s="61">
        <f t="shared" si="71"/>
        <v>0</v>
      </c>
      <c r="CE333" s="105" t="str">
        <f t="shared" si="64"/>
        <v/>
      </c>
      <c r="CF333" s="61" t="e">
        <f t="shared" si="72"/>
        <v>#N/A</v>
      </c>
      <c r="CG333" s="61" t="e">
        <f t="shared" si="73"/>
        <v>#N/A</v>
      </c>
      <c r="CH333" s="521">
        <f>GIU!AL9-CW333+CR333</f>
        <v>0</v>
      </c>
      <c r="CI333" s="228">
        <f>SUMIF(GIU!$G$121:$M$121,CI$178,GIU!$AM9:$AS9)+SUMIF($CS$178:$CV$178,CI$178,$CS333:$CV333)</f>
        <v>0</v>
      </c>
      <c r="CJ333" s="229">
        <f>SUMIF(GIU!$G$121:$M$121,CJ$178,GIU!$AM9:$AS9)+SUMIF($CS$178:$CV$178,CJ$178,$CS333:$CV333)</f>
        <v>0</v>
      </c>
      <c r="CK333" s="230">
        <f>SUMIF(GIU!$G$121:$M$121,CK$178,GIU!$AM9:$AS9)+SUMIF($CS$178:$CV$178,CK$178,$CS333:$CV333)</f>
        <v>0</v>
      </c>
      <c r="CL333" s="230">
        <f>SUMIF(GIU!$G$121:$M$121,CL$178,GIU!$AM9:$AS9)+SUMIF($CS$178:$CV$178,CL$178,$CS333:$CV333)</f>
        <v>0</v>
      </c>
      <c r="CM333" s="230">
        <f>SUMIF(GIU!$G$121:$M$121,CM$178,GIU!$AM9:$AS9)+SUMIF($CS$178:$CV$178,CM$178,$CS333:$CV333)</f>
        <v>0</v>
      </c>
      <c r="CN333" s="230">
        <f>SUMIF(GIU!$G$121:$M$121,CN$178,GIU!$AM9:$AS9)+SUMIF($CS$178:$CV$178,CN$178,$CS333:$CV333)</f>
        <v>0</v>
      </c>
      <c r="CO333" s="230">
        <f>SUMIF(GIU!$G$121:$M$121,CO$178,GIU!$AM9:$AS9)+SUMIF($CS$178:$CV$178,CO$178,$CS333:$CV333)</f>
        <v>0</v>
      </c>
      <c r="CP333" s="230">
        <f>SUMIF(GIU!$G$121:$M$121,CP$178,GIU!$AM9:$AS9)+SUMIF($CS$178:$CV$178,CP$178,$CS333:$CV333)</f>
        <v>0</v>
      </c>
      <c r="CQ333" s="231">
        <f>SUMIF(GIU!$G$121:$M$121,CQ$178,GIU!$AM9:$AS9)+SUMIF($CS$178:$CV$178,CQ$178,$CS333:$CV333)</f>
        <v>0</v>
      </c>
      <c r="CR333" s="521">
        <f>GIU!AU9</f>
        <v>0</v>
      </c>
      <c r="CS333" s="228">
        <f>GIU!AV9</f>
        <v>0</v>
      </c>
      <c r="CT333" s="229">
        <f>GIU!AW9</f>
        <v>0</v>
      </c>
      <c r="CU333" s="230">
        <f>GIU!AX9</f>
        <v>0</v>
      </c>
      <c r="CV333" s="231">
        <f>GIU!AY9</f>
        <v>0</v>
      </c>
      <c r="CW333" s="521">
        <f>SUM(GIU!AU9:AY9)</f>
        <v>0</v>
      </c>
      <c r="CX333" s="521">
        <f>GIU!AK9</f>
        <v>0</v>
      </c>
      <c r="CY333" s="2"/>
    </row>
    <row r="334" spans="1:103" ht="14.25" hidden="1" customHeight="1" x14ac:dyDescent="0.2">
      <c r="A334" s="2"/>
      <c r="B334" s="105">
        <f t="shared" si="74"/>
        <v>45446</v>
      </c>
      <c r="C334" s="146">
        <f>IF(AND(E334&gt;(E$562-1),E334&lt;(I$562+1)),W$551,IF(ISERROR(HLOOKUP(E334,$E$555:$L$555,1,FALSE)),HLOOKUP(WEEKDAY(E334,2),IMPOSTAZIONI!$C$52:$P$57,6,FALSE),$W$550))</f>
        <v>0</v>
      </c>
      <c r="D334" s="71" t="str">
        <f t="shared" si="75"/>
        <v/>
      </c>
      <c r="E334" s="2258">
        <f t="shared" si="80"/>
        <v>45446</v>
      </c>
      <c r="F334" s="2259"/>
      <c r="G334" s="2228" t="str">
        <f>GIU!E10</f>
        <v xml:space="preserve">disattivato  </v>
      </c>
      <c r="H334" s="2229"/>
      <c r="I334" s="2230"/>
      <c r="J334" s="262" t="str">
        <f t="shared" si="65"/>
        <v/>
      </c>
      <c r="K334" s="263"/>
      <c r="L334" s="2222">
        <f t="shared" si="81"/>
        <v>23</v>
      </c>
      <c r="M334" s="2223"/>
      <c r="N334" s="261"/>
      <c r="O334" s="261"/>
      <c r="P334" s="261"/>
      <c r="Q334" s="2219">
        <f t="shared" si="76"/>
        <v>45446</v>
      </c>
      <c r="R334" s="2219"/>
      <c r="S334" s="261"/>
      <c r="T334" s="1173">
        <f t="shared" si="66"/>
        <v>1</v>
      </c>
      <c r="U334" s="261"/>
      <c r="V334" s="261"/>
      <c r="W334" s="261"/>
      <c r="X334" s="261"/>
      <c r="Y334" s="261"/>
      <c r="Z334" s="261"/>
      <c r="AA334" s="261"/>
      <c r="AB334" s="261"/>
      <c r="AC334" s="261"/>
      <c r="AD334" s="261"/>
      <c r="AE334" s="261"/>
      <c r="AF334" s="261"/>
      <c r="AG334" s="1173">
        <f t="shared" si="77"/>
        <v>0</v>
      </c>
      <c r="AH334" s="61" t="str">
        <f t="shared" si="78"/>
        <v/>
      </c>
      <c r="AI334" s="89" t="e">
        <f t="shared" si="79"/>
        <v>#N/A</v>
      </c>
      <c r="AJ334" s="2"/>
      <c r="AK334" s="61">
        <f>IF(G334=G$547,0,IF(OR(G334&lt;&gt;0,CH334&lt;&gt;0,C334="L"),COUNTIF(AK$180:AK333,"&gt;0")+1,0))</f>
        <v>0</v>
      </c>
      <c r="AL334" s="61" t="str">
        <f t="shared" si="67"/>
        <v/>
      </c>
      <c r="AM334" s="61" t="e">
        <f t="shared" si="68"/>
        <v>#N/A</v>
      </c>
      <c r="AN334" s="89" t="e">
        <f t="shared" si="69"/>
        <v>#N/A</v>
      </c>
      <c r="AO334" s="230">
        <f>SUM(GIU!X10:AD10)-BD334+AY334</f>
        <v>0</v>
      </c>
      <c r="AP334" s="228">
        <f>SUMIF(GIU!$G$121:$M$121,AP$178,GIU!$P10:$V10)+SUMIF($AZ$178:$BC$178,AP$178,$AZ334:$BC334)</f>
        <v>0</v>
      </c>
      <c r="AQ334" s="229">
        <f>SUMIF(GIU!$G$121:$M$121,AQ$178,GIU!$P10:$V10)+SUMIF($AZ$178:$BC$178,AQ$178,$AZ334:$BC334)</f>
        <v>0</v>
      </c>
      <c r="AR334" s="230">
        <f>SUMIF(GIU!$G$121:$M$121,AR$178,GIU!$P10:$V10)+SUMIF($AZ$178:$BC$178,AR$178,$AZ334:$BC334)</f>
        <v>0</v>
      </c>
      <c r="AS334" s="230">
        <f>SUMIF(GIU!$G$121:$M$121,AS$178,GIU!$P10:$V10)+SUMIF($AZ$178:$BC$178,AS$178,$AZ334:$BC334)</f>
        <v>0</v>
      </c>
      <c r="AT334" s="230">
        <f>SUMIF(GIU!$G$121:$M$121,AT$178,GIU!$P10:$V10)+SUMIF($AZ$178:$BC$178,AT$178,$AZ334:$BC334)</f>
        <v>0</v>
      </c>
      <c r="AU334" s="230">
        <f>SUMIF(GIU!$G$121:$M$121,AU$178,GIU!$P10:$V10)+SUMIF($AZ$178:$BC$178,AU$178,$AZ334:$BC334)</f>
        <v>0</v>
      </c>
      <c r="AV334" s="230">
        <f>SUMIF(GIU!$G$121:$M$121,AV$178,GIU!$P10:$V10)+SUMIF($AZ$178:$BC$178,AV$178,$AZ334:$BC334)</f>
        <v>0</v>
      </c>
      <c r="AW334" s="230">
        <f>SUMIF(GIU!$G$121:$M$121,AW$178,GIU!$P10:$V10)+SUMIF($AZ$178:$BC$178,AW$178,$AZ334:$BC334)</f>
        <v>0</v>
      </c>
      <c r="AX334" s="231">
        <f>SUMIF(GIU!$G$121:$M$121,AX$178,GIU!$P10:$V10)+SUMIF($AZ$178:$BC$178,AX$178,$AZ334:$BC334)</f>
        <v>0</v>
      </c>
      <c r="AY334" s="232">
        <f>GIU!AF10</f>
        <v>0</v>
      </c>
      <c r="AZ334" s="228">
        <f>GIU!AG10</f>
        <v>0</v>
      </c>
      <c r="BA334" s="229">
        <f>GIU!AH10</f>
        <v>0</v>
      </c>
      <c r="BB334" s="230">
        <f>GIU!AI10</f>
        <v>0</v>
      </c>
      <c r="BC334" s="231">
        <f>GIU!AJ10</f>
        <v>0</v>
      </c>
      <c r="BD334" s="228">
        <f>SUMIF(GIU!$G$120:$M$120,"&gt;0",GIU!$X10:$AD10)</f>
        <v>0</v>
      </c>
      <c r="BE334" s="696"/>
      <c r="BF334" s="228">
        <f>SUMIF(GIU!$BA$6:$BG$6,BF$177,GIU!$BA10:$BG10)</f>
        <v>0</v>
      </c>
      <c r="BG334" s="229">
        <f>SUMIF(GIU!$BA$6:$BG$6,BG$177,GIU!$BA10:$BG10)</f>
        <v>0</v>
      </c>
      <c r="BH334" s="229">
        <f>SUMIF(GIU!$BA$6:$BG$6,BH$177,GIU!$BA10:$BG10)</f>
        <v>0</v>
      </c>
      <c r="BI334" s="229">
        <f>SUMIF(GIU!$BA$6:$BG$6,BI$177,GIU!$BA10:$BG10)</f>
        <v>0</v>
      </c>
      <c r="BJ334" s="229">
        <f>SUMIF(GIU!$BA$6:$BG$6,BJ$177,GIU!$BA10:$BG10)</f>
        <v>0</v>
      </c>
      <c r="BK334" s="229">
        <f>SUMIF(GIU!$BA$6:$BG$6,BK$177,GIU!$BA10:$BG10)</f>
        <v>0</v>
      </c>
      <c r="BL334" s="229">
        <f>SUMIF(GIU!$BA$6:$BG$6,BL$177,GIU!$BA10:$BG10)</f>
        <v>0</v>
      </c>
      <c r="BM334" s="229">
        <f>SUMIF(GIU!$BA$6:$BG$6,BM$177,GIU!$BA10:$BG10)</f>
        <v>0</v>
      </c>
      <c r="BN334" s="229">
        <f>SUMIF(GIU!$BA$6:$BG$6,BN$177,GIU!$BA10:$BG10)</f>
        <v>0</v>
      </c>
      <c r="BO334" s="231">
        <f>SUMIF(GIU!$BA$6:$BG$6,BO$177,GIU!$BA10:$BG10)</f>
        <v>0</v>
      </c>
      <c r="BP334" s="231">
        <f>SUMIF(GIU!$BA$6:$BG$6,BP$177,GIU!$BA10:$BG10)</f>
        <v>0</v>
      </c>
      <c r="BQ334" s="252"/>
      <c r="BR334" s="228">
        <f>SUMIF(GIU!$BA$5:$BG$5,BR$177,GIU!$BA10:$BG10)</f>
        <v>0</v>
      </c>
      <c r="BS334" s="229">
        <f>SUMIF(GIU!$BA$5:$BG$5,BS$177,GIU!$BA10:$BG10)</f>
        <v>0</v>
      </c>
      <c r="BT334" s="229">
        <f>SUMIF(GIU!$BA$5:$BG$5,BT$177,GIU!$BA10:$BG10)</f>
        <v>0</v>
      </c>
      <c r="BU334" s="229">
        <f>SUMIF(GIU!$BA$5:$BG$5,BU$177,GIU!$BA10:$BG10)</f>
        <v>0</v>
      </c>
      <c r="BV334" s="229">
        <f>SUMIF(GIU!$BA$5:$BG$5,BV$177,GIU!$BA10:$BG10)</f>
        <v>0</v>
      </c>
      <c r="BW334" s="229">
        <f>SUMIF(GIU!$BA$5:$BG$5,BW$177,GIU!$BA10:$BG10)</f>
        <v>0</v>
      </c>
      <c r="BX334" s="230">
        <f>SUMIF(GIU!$BA$5:$BG$5,BX$177,GIU!$BA10:$BG10)</f>
        <v>0</v>
      </c>
      <c r="BY334" s="998">
        <f>SUMIF(GIU!$BA$5:$BG$5,BY$177,GIU!$BA10:$BG10)</f>
        <v>0</v>
      </c>
      <c r="CB334" s="252"/>
      <c r="CC334" s="61" t="e">
        <f t="shared" si="70"/>
        <v>#N/A</v>
      </c>
      <c r="CD334" s="61">
        <f t="shared" si="71"/>
        <v>0</v>
      </c>
      <c r="CE334" s="105" t="str">
        <f t="shared" si="64"/>
        <v/>
      </c>
      <c r="CF334" s="61" t="e">
        <f t="shared" si="72"/>
        <v>#N/A</v>
      </c>
      <c r="CG334" s="61" t="e">
        <f t="shared" si="73"/>
        <v>#N/A</v>
      </c>
      <c r="CH334" s="521">
        <f>GIU!AL10-CW334+CR334</f>
        <v>0</v>
      </c>
      <c r="CI334" s="228">
        <f>SUMIF(GIU!$G$121:$M$121,CI$178,GIU!$AM10:$AS10)+SUMIF($CS$178:$CV$178,CI$178,$CS334:$CV334)</f>
        <v>0</v>
      </c>
      <c r="CJ334" s="229">
        <f>SUMIF(GIU!$G$121:$M$121,CJ$178,GIU!$AM10:$AS10)+SUMIF($CS$178:$CV$178,CJ$178,$CS334:$CV334)</f>
        <v>0</v>
      </c>
      <c r="CK334" s="230">
        <f>SUMIF(GIU!$G$121:$M$121,CK$178,GIU!$AM10:$AS10)+SUMIF($CS$178:$CV$178,CK$178,$CS334:$CV334)</f>
        <v>0</v>
      </c>
      <c r="CL334" s="230">
        <f>SUMIF(GIU!$G$121:$M$121,CL$178,GIU!$AM10:$AS10)+SUMIF($CS$178:$CV$178,CL$178,$CS334:$CV334)</f>
        <v>0</v>
      </c>
      <c r="CM334" s="230">
        <f>SUMIF(GIU!$G$121:$M$121,CM$178,GIU!$AM10:$AS10)+SUMIF($CS$178:$CV$178,CM$178,$CS334:$CV334)</f>
        <v>0</v>
      </c>
      <c r="CN334" s="230">
        <f>SUMIF(GIU!$G$121:$M$121,CN$178,GIU!$AM10:$AS10)+SUMIF($CS$178:$CV$178,CN$178,$CS334:$CV334)</f>
        <v>0</v>
      </c>
      <c r="CO334" s="230">
        <f>SUMIF(GIU!$G$121:$M$121,CO$178,GIU!$AM10:$AS10)+SUMIF($CS$178:$CV$178,CO$178,$CS334:$CV334)</f>
        <v>0</v>
      </c>
      <c r="CP334" s="230">
        <f>SUMIF(GIU!$G$121:$M$121,CP$178,GIU!$AM10:$AS10)+SUMIF($CS$178:$CV$178,CP$178,$CS334:$CV334)</f>
        <v>0</v>
      </c>
      <c r="CQ334" s="231">
        <f>SUMIF(GIU!$G$121:$M$121,CQ$178,GIU!$AM10:$AS10)+SUMIF($CS$178:$CV$178,CQ$178,$CS334:$CV334)</f>
        <v>0</v>
      </c>
      <c r="CR334" s="521">
        <f>GIU!AU10</f>
        <v>0</v>
      </c>
      <c r="CS334" s="228">
        <f>GIU!AV10</f>
        <v>0</v>
      </c>
      <c r="CT334" s="229">
        <f>GIU!AW10</f>
        <v>0</v>
      </c>
      <c r="CU334" s="230">
        <f>GIU!AX10</f>
        <v>0</v>
      </c>
      <c r="CV334" s="231">
        <f>GIU!AY10</f>
        <v>0</v>
      </c>
      <c r="CW334" s="521">
        <f>SUM(GIU!AU10:AY10)</f>
        <v>0</v>
      </c>
      <c r="CX334" s="521">
        <f>GIU!AK10</f>
        <v>0</v>
      </c>
      <c r="CY334" s="2"/>
    </row>
    <row r="335" spans="1:103" ht="14.25" hidden="1" customHeight="1" x14ac:dyDescent="0.2">
      <c r="A335" s="2"/>
      <c r="B335" s="105">
        <f t="shared" si="74"/>
        <v>45447</v>
      </c>
      <c r="C335" s="146">
        <f>IF(AND(E335&gt;(E$562-1),E335&lt;(I$562+1)),W$551,IF(ISERROR(HLOOKUP(E335,$E$555:$L$555,1,FALSE)),HLOOKUP(WEEKDAY(E335,2),IMPOSTAZIONI!$C$52:$P$57,6,FALSE),$W$550))</f>
        <v>0</v>
      </c>
      <c r="D335" s="71" t="str">
        <f t="shared" si="75"/>
        <v/>
      </c>
      <c r="E335" s="2258">
        <f t="shared" si="80"/>
        <v>45447</v>
      </c>
      <c r="F335" s="2259"/>
      <c r="G335" s="2228" t="str">
        <f>GIU!E11</f>
        <v xml:space="preserve">disattivato  </v>
      </c>
      <c r="H335" s="2229"/>
      <c r="I335" s="2230"/>
      <c r="J335" s="262" t="str">
        <f t="shared" si="65"/>
        <v/>
      </c>
      <c r="K335" s="263"/>
      <c r="L335" s="2217">
        <f t="shared" si="81"/>
        <v>23</v>
      </c>
      <c r="M335" s="2218"/>
      <c r="N335" s="261"/>
      <c r="O335" s="261"/>
      <c r="P335" s="261"/>
      <c r="Q335" s="2219">
        <f t="shared" si="76"/>
        <v>45447</v>
      </c>
      <c r="R335" s="2219"/>
      <c r="S335" s="261"/>
      <c r="T335" s="1173">
        <f t="shared" si="66"/>
        <v>1</v>
      </c>
      <c r="U335" s="261"/>
      <c r="V335" s="261"/>
      <c r="W335" s="261"/>
      <c r="X335" s="261"/>
      <c r="Y335" s="261"/>
      <c r="Z335" s="261"/>
      <c r="AA335" s="261"/>
      <c r="AB335" s="261"/>
      <c r="AC335" s="261"/>
      <c r="AD335" s="261"/>
      <c r="AE335" s="261"/>
      <c r="AF335" s="261"/>
      <c r="AG335" s="1173">
        <f t="shared" si="77"/>
        <v>0</v>
      </c>
      <c r="AH335" s="61" t="str">
        <f t="shared" si="78"/>
        <v/>
      </c>
      <c r="AI335" s="89" t="e">
        <f t="shared" si="79"/>
        <v>#N/A</v>
      </c>
      <c r="AJ335" s="2"/>
      <c r="AK335" s="61">
        <f>IF(G335=G$547,0,IF(OR(G335&lt;&gt;0,CH335&lt;&gt;0,C335="L"),COUNTIF(AK$180:AK334,"&gt;0")+1,0))</f>
        <v>0</v>
      </c>
      <c r="AL335" s="61" t="str">
        <f t="shared" si="67"/>
        <v/>
      </c>
      <c r="AM335" s="61" t="e">
        <f t="shared" si="68"/>
        <v>#N/A</v>
      </c>
      <c r="AN335" s="89" t="e">
        <f t="shared" si="69"/>
        <v>#N/A</v>
      </c>
      <c r="AO335" s="230">
        <f>SUM(GIU!X11:AD11)-BD335+AY335</f>
        <v>0</v>
      </c>
      <c r="AP335" s="228">
        <f>SUMIF(GIU!$G$121:$M$121,AP$178,GIU!$P11:$V11)+SUMIF($AZ$178:$BC$178,AP$178,$AZ335:$BC335)</f>
        <v>0</v>
      </c>
      <c r="AQ335" s="229">
        <f>SUMIF(GIU!$G$121:$M$121,AQ$178,GIU!$P11:$V11)+SUMIF($AZ$178:$BC$178,AQ$178,$AZ335:$BC335)</f>
        <v>0</v>
      </c>
      <c r="AR335" s="230">
        <f>SUMIF(GIU!$G$121:$M$121,AR$178,GIU!$P11:$V11)+SUMIF($AZ$178:$BC$178,AR$178,$AZ335:$BC335)</f>
        <v>0</v>
      </c>
      <c r="AS335" s="230">
        <f>SUMIF(GIU!$G$121:$M$121,AS$178,GIU!$P11:$V11)+SUMIF($AZ$178:$BC$178,AS$178,$AZ335:$BC335)</f>
        <v>0</v>
      </c>
      <c r="AT335" s="230">
        <f>SUMIF(GIU!$G$121:$M$121,AT$178,GIU!$P11:$V11)+SUMIF($AZ$178:$BC$178,AT$178,$AZ335:$BC335)</f>
        <v>0</v>
      </c>
      <c r="AU335" s="230">
        <f>SUMIF(GIU!$G$121:$M$121,AU$178,GIU!$P11:$V11)+SUMIF($AZ$178:$BC$178,AU$178,$AZ335:$BC335)</f>
        <v>0</v>
      </c>
      <c r="AV335" s="230">
        <f>SUMIF(GIU!$G$121:$M$121,AV$178,GIU!$P11:$V11)+SUMIF($AZ$178:$BC$178,AV$178,$AZ335:$BC335)</f>
        <v>0</v>
      </c>
      <c r="AW335" s="230">
        <f>SUMIF(GIU!$G$121:$M$121,AW$178,GIU!$P11:$V11)+SUMIF($AZ$178:$BC$178,AW$178,$AZ335:$BC335)</f>
        <v>0</v>
      </c>
      <c r="AX335" s="231">
        <f>SUMIF(GIU!$G$121:$M$121,AX$178,GIU!$P11:$V11)+SUMIF($AZ$178:$BC$178,AX$178,$AZ335:$BC335)</f>
        <v>0</v>
      </c>
      <c r="AY335" s="232">
        <f>GIU!AF11</f>
        <v>0</v>
      </c>
      <c r="AZ335" s="228">
        <f>GIU!AG11</f>
        <v>0</v>
      </c>
      <c r="BA335" s="229">
        <f>GIU!AH11</f>
        <v>0</v>
      </c>
      <c r="BB335" s="230">
        <f>GIU!AI11</f>
        <v>0</v>
      </c>
      <c r="BC335" s="231">
        <f>GIU!AJ11</f>
        <v>0</v>
      </c>
      <c r="BD335" s="228">
        <f>SUMIF(GIU!$G$120:$M$120,"&gt;0",GIU!$X11:$AD11)</f>
        <v>0</v>
      </c>
      <c r="BE335" s="696"/>
      <c r="BF335" s="228">
        <f>SUMIF(GIU!$BA$6:$BG$6,BF$177,GIU!$BA11:$BG11)</f>
        <v>0</v>
      </c>
      <c r="BG335" s="229">
        <f>SUMIF(GIU!$BA$6:$BG$6,BG$177,GIU!$BA11:$BG11)</f>
        <v>0</v>
      </c>
      <c r="BH335" s="229">
        <f>SUMIF(GIU!$BA$6:$BG$6,BH$177,GIU!$BA11:$BG11)</f>
        <v>0</v>
      </c>
      <c r="BI335" s="229">
        <f>SUMIF(GIU!$BA$6:$BG$6,BI$177,GIU!$BA11:$BG11)</f>
        <v>0</v>
      </c>
      <c r="BJ335" s="229">
        <f>SUMIF(GIU!$BA$6:$BG$6,BJ$177,GIU!$BA11:$BG11)</f>
        <v>0</v>
      </c>
      <c r="BK335" s="229">
        <f>SUMIF(GIU!$BA$6:$BG$6,BK$177,GIU!$BA11:$BG11)</f>
        <v>0</v>
      </c>
      <c r="BL335" s="229">
        <f>SUMIF(GIU!$BA$6:$BG$6,BL$177,GIU!$BA11:$BG11)</f>
        <v>0</v>
      </c>
      <c r="BM335" s="229">
        <f>SUMIF(GIU!$BA$6:$BG$6,BM$177,GIU!$BA11:$BG11)</f>
        <v>0</v>
      </c>
      <c r="BN335" s="229">
        <f>SUMIF(GIU!$BA$6:$BG$6,BN$177,GIU!$BA11:$BG11)</f>
        <v>0</v>
      </c>
      <c r="BO335" s="231">
        <f>SUMIF(GIU!$BA$6:$BG$6,BO$177,GIU!$BA11:$BG11)</f>
        <v>0</v>
      </c>
      <c r="BP335" s="231">
        <f>SUMIF(GIU!$BA$6:$BG$6,BP$177,GIU!$BA11:$BG11)</f>
        <v>0</v>
      </c>
      <c r="BQ335" s="252"/>
      <c r="BR335" s="228">
        <f>SUMIF(GIU!$BA$5:$BG$5,BR$177,GIU!$BA11:$BG11)</f>
        <v>0</v>
      </c>
      <c r="BS335" s="229">
        <f>SUMIF(GIU!$BA$5:$BG$5,BS$177,GIU!$BA11:$BG11)</f>
        <v>0</v>
      </c>
      <c r="BT335" s="229">
        <f>SUMIF(GIU!$BA$5:$BG$5,BT$177,GIU!$BA11:$BG11)</f>
        <v>0</v>
      </c>
      <c r="BU335" s="229">
        <f>SUMIF(GIU!$BA$5:$BG$5,BU$177,GIU!$BA11:$BG11)</f>
        <v>0</v>
      </c>
      <c r="BV335" s="229">
        <f>SUMIF(GIU!$BA$5:$BG$5,BV$177,GIU!$BA11:$BG11)</f>
        <v>0</v>
      </c>
      <c r="BW335" s="229">
        <f>SUMIF(GIU!$BA$5:$BG$5,BW$177,GIU!$BA11:$BG11)</f>
        <v>0</v>
      </c>
      <c r="BX335" s="230">
        <f>SUMIF(GIU!$BA$5:$BG$5,BX$177,GIU!$BA11:$BG11)</f>
        <v>0</v>
      </c>
      <c r="BY335" s="998">
        <f>SUMIF(GIU!$BA$5:$BG$5,BY$177,GIU!$BA11:$BG11)</f>
        <v>0</v>
      </c>
      <c r="CB335" s="252"/>
      <c r="CC335" s="61" t="e">
        <f t="shared" si="70"/>
        <v>#N/A</v>
      </c>
      <c r="CD335" s="61">
        <f t="shared" si="71"/>
        <v>0</v>
      </c>
      <c r="CE335" s="105" t="str">
        <f t="shared" si="64"/>
        <v/>
      </c>
      <c r="CF335" s="61" t="e">
        <f t="shared" si="72"/>
        <v>#N/A</v>
      </c>
      <c r="CG335" s="61" t="e">
        <f t="shared" si="73"/>
        <v>#N/A</v>
      </c>
      <c r="CH335" s="521">
        <f>GIU!AL11-CW335+CR335</f>
        <v>0</v>
      </c>
      <c r="CI335" s="228">
        <f>SUMIF(GIU!$G$121:$M$121,CI$178,GIU!$AM11:$AS11)+SUMIF($CS$178:$CV$178,CI$178,$CS335:$CV335)</f>
        <v>0</v>
      </c>
      <c r="CJ335" s="229">
        <f>SUMIF(GIU!$G$121:$M$121,CJ$178,GIU!$AM11:$AS11)+SUMIF($CS$178:$CV$178,CJ$178,$CS335:$CV335)</f>
        <v>0</v>
      </c>
      <c r="CK335" s="230">
        <f>SUMIF(GIU!$G$121:$M$121,CK$178,GIU!$AM11:$AS11)+SUMIF($CS$178:$CV$178,CK$178,$CS335:$CV335)</f>
        <v>0</v>
      </c>
      <c r="CL335" s="230">
        <f>SUMIF(GIU!$G$121:$M$121,CL$178,GIU!$AM11:$AS11)+SUMIF($CS$178:$CV$178,CL$178,$CS335:$CV335)</f>
        <v>0</v>
      </c>
      <c r="CM335" s="230">
        <f>SUMIF(GIU!$G$121:$M$121,CM$178,GIU!$AM11:$AS11)+SUMIF($CS$178:$CV$178,CM$178,$CS335:$CV335)</f>
        <v>0</v>
      </c>
      <c r="CN335" s="230">
        <f>SUMIF(GIU!$G$121:$M$121,CN$178,GIU!$AM11:$AS11)+SUMIF($CS$178:$CV$178,CN$178,$CS335:$CV335)</f>
        <v>0</v>
      </c>
      <c r="CO335" s="230">
        <f>SUMIF(GIU!$G$121:$M$121,CO$178,GIU!$AM11:$AS11)+SUMIF($CS$178:$CV$178,CO$178,$CS335:$CV335)</f>
        <v>0</v>
      </c>
      <c r="CP335" s="230">
        <f>SUMIF(GIU!$G$121:$M$121,CP$178,GIU!$AM11:$AS11)+SUMIF($CS$178:$CV$178,CP$178,$CS335:$CV335)</f>
        <v>0</v>
      </c>
      <c r="CQ335" s="231">
        <f>SUMIF(GIU!$G$121:$M$121,CQ$178,GIU!$AM11:$AS11)+SUMIF($CS$178:$CV$178,CQ$178,$CS335:$CV335)</f>
        <v>0</v>
      </c>
      <c r="CR335" s="521">
        <f>GIU!AU11</f>
        <v>0</v>
      </c>
      <c r="CS335" s="228">
        <f>GIU!AV11</f>
        <v>0</v>
      </c>
      <c r="CT335" s="229">
        <f>GIU!AW11</f>
        <v>0</v>
      </c>
      <c r="CU335" s="230">
        <f>GIU!AX11</f>
        <v>0</v>
      </c>
      <c r="CV335" s="231">
        <f>GIU!AY11</f>
        <v>0</v>
      </c>
      <c r="CW335" s="521">
        <f>SUM(GIU!AU11:AY11)</f>
        <v>0</v>
      </c>
      <c r="CX335" s="521">
        <f>GIU!AK11</f>
        <v>0</v>
      </c>
      <c r="CY335" s="2"/>
    </row>
    <row r="336" spans="1:103" ht="14.25" hidden="1" customHeight="1" x14ac:dyDescent="0.2">
      <c r="A336" s="2"/>
      <c r="B336" s="105">
        <f t="shared" si="74"/>
        <v>45448</v>
      </c>
      <c r="C336" s="146">
        <f>IF(AND(E336&gt;(E$562-1),E336&lt;(I$562+1)),W$551,IF(ISERROR(HLOOKUP(E336,$E$555:$L$555,1,FALSE)),HLOOKUP(WEEKDAY(E336,2),IMPOSTAZIONI!$C$52:$P$57,6,FALSE),$W$550))</f>
        <v>0</v>
      </c>
      <c r="D336" s="71" t="str">
        <f t="shared" si="75"/>
        <v/>
      </c>
      <c r="E336" s="2258">
        <f t="shared" si="80"/>
        <v>45448</v>
      </c>
      <c r="F336" s="2259"/>
      <c r="G336" s="2228" t="str">
        <f>GIU!E12</f>
        <v xml:space="preserve">disattivato  </v>
      </c>
      <c r="H336" s="2229"/>
      <c r="I336" s="2230"/>
      <c r="J336" s="262" t="str">
        <f t="shared" si="65"/>
        <v/>
      </c>
      <c r="K336" s="263"/>
      <c r="L336" s="2217">
        <f t="shared" si="81"/>
        <v>23</v>
      </c>
      <c r="M336" s="2218"/>
      <c r="N336" s="261"/>
      <c r="O336" s="261"/>
      <c r="P336" s="261"/>
      <c r="Q336" s="2219">
        <f t="shared" si="76"/>
        <v>45448</v>
      </c>
      <c r="R336" s="2219"/>
      <c r="S336" s="261"/>
      <c r="T336" s="1173">
        <f t="shared" si="66"/>
        <v>1</v>
      </c>
      <c r="U336" s="261"/>
      <c r="V336" s="261"/>
      <c r="W336" s="261"/>
      <c r="X336" s="261"/>
      <c r="Y336" s="261"/>
      <c r="Z336" s="261"/>
      <c r="AA336" s="261"/>
      <c r="AB336" s="261"/>
      <c r="AC336" s="261"/>
      <c r="AD336" s="261"/>
      <c r="AE336" s="261"/>
      <c r="AF336" s="261"/>
      <c r="AG336" s="1173">
        <f t="shared" si="77"/>
        <v>0</v>
      </c>
      <c r="AH336" s="61" t="str">
        <f t="shared" si="78"/>
        <v/>
      </c>
      <c r="AI336" s="89" t="e">
        <f t="shared" si="79"/>
        <v>#N/A</v>
      </c>
      <c r="AJ336" s="2"/>
      <c r="AK336" s="61">
        <f>IF(G336=G$547,0,IF(OR(G336&lt;&gt;0,CH336&lt;&gt;0,C336="L"),COUNTIF(AK$180:AK335,"&gt;0")+1,0))</f>
        <v>0</v>
      </c>
      <c r="AL336" s="61" t="str">
        <f t="shared" si="67"/>
        <v/>
      </c>
      <c r="AM336" s="61" t="e">
        <f t="shared" si="68"/>
        <v>#N/A</v>
      </c>
      <c r="AN336" s="89" t="e">
        <f t="shared" si="69"/>
        <v>#N/A</v>
      </c>
      <c r="AO336" s="230">
        <f>SUM(GIU!X12:AD12)-BD336+AY336</f>
        <v>0</v>
      </c>
      <c r="AP336" s="228">
        <f>SUMIF(GIU!$G$121:$M$121,AP$178,GIU!$P12:$V12)+SUMIF($AZ$178:$BC$178,AP$178,$AZ336:$BC336)</f>
        <v>0</v>
      </c>
      <c r="AQ336" s="229">
        <f>SUMIF(GIU!$G$121:$M$121,AQ$178,GIU!$P12:$V12)+SUMIF($AZ$178:$BC$178,AQ$178,$AZ336:$BC336)</f>
        <v>0</v>
      </c>
      <c r="AR336" s="230">
        <f>SUMIF(GIU!$G$121:$M$121,AR$178,GIU!$P12:$V12)+SUMIF($AZ$178:$BC$178,AR$178,$AZ336:$BC336)</f>
        <v>0</v>
      </c>
      <c r="AS336" s="230">
        <f>SUMIF(GIU!$G$121:$M$121,AS$178,GIU!$P12:$V12)+SUMIF($AZ$178:$BC$178,AS$178,$AZ336:$BC336)</f>
        <v>0</v>
      </c>
      <c r="AT336" s="230">
        <f>SUMIF(GIU!$G$121:$M$121,AT$178,GIU!$P12:$V12)+SUMIF($AZ$178:$BC$178,AT$178,$AZ336:$BC336)</f>
        <v>0</v>
      </c>
      <c r="AU336" s="230">
        <f>SUMIF(GIU!$G$121:$M$121,AU$178,GIU!$P12:$V12)+SUMIF($AZ$178:$BC$178,AU$178,$AZ336:$BC336)</f>
        <v>0</v>
      </c>
      <c r="AV336" s="230">
        <f>SUMIF(GIU!$G$121:$M$121,AV$178,GIU!$P12:$V12)+SUMIF($AZ$178:$BC$178,AV$178,$AZ336:$BC336)</f>
        <v>0</v>
      </c>
      <c r="AW336" s="230">
        <f>SUMIF(GIU!$G$121:$M$121,AW$178,GIU!$P12:$V12)+SUMIF($AZ$178:$BC$178,AW$178,$AZ336:$BC336)</f>
        <v>0</v>
      </c>
      <c r="AX336" s="231">
        <f>SUMIF(GIU!$G$121:$M$121,AX$178,GIU!$P12:$V12)+SUMIF($AZ$178:$BC$178,AX$178,$AZ336:$BC336)</f>
        <v>0</v>
      </c>
      <c r="AY336" s="232">
        <f>GIU!AF12</f>
        <v>0</v>
      </c>
      <c r="AZ336" s="228">
        <f>GIU!AG12</f>
        <v>0</v>
      </c>
      <c r="BA336" s="229">
        <f>GIU!AH12</f>
        <v>0</v>
      </c>
      <c r="BB336" s="230">
        <f>GIU!AI12</f>
        <v>0</v>
      </c>
      <c r="BC336" s="231">
        <f>GIU!AJ12</f>
        <v>0</v>
      </c>
      <c r="BD336" s="228">
        <f>SUMIF(GIU!$G$120:$M$120,"&gt;0",GIU!$X12:$AD12)</f>
        <v>0</v>
      </c>
      <c r="BE336" s="696"/>
      <c r="BF336" s="228">
        <f>SUMIF(GIU!$BA$6:$BG$6,BF$177,GIU!$BA12:$BG12)</f>
        <v>0</v>
      </c>
      <c r="BG336" s="229">
        <f>SUMIF(GIU!$BA$6:$BG$6,BG$177,GIU!$BA12:$BG12)</f>
        <v>0</v>
      </c>
      <c r="BH336" s="229">
        <f>SUMIF(GIU!$BA$6:$BG$6,BH$177,GIU!$BA12:$BG12)</f>
        <v>0</v>
      </c>
      <c r="BI336" s="229">
        <f>SUMIF(GIU!$BA$6:$BG$6,BI$177,GIU!$BA12:$BG12)</f>
        <v>0</v>
      </c>
      <c r="BJ336" s="229">
        <f>SUMIF(GIU!$BA$6:$BG$6,BJ$177,GIU!$BA12:$BG12)</f>
        <v>0</v>
      </c>
      <c r="BK336" s="229">
        <f>SUMIF(GIU!$BA$6:$BG$6,BK$177,GIU!$BA12:$BG12)</f>
        <v>0</v>
      </c>
      <c r="BL336" s="229">
        <f>SUMIF(GIU!$BA$6:$BG$6,BL$177,GIU!$BA12:$BG12)</f>
        <v>0</v>
      </c>
      <c r="BM336" s="229">
        <f>SUMIF(GIU!$BA$6:$BG$6,BM$177,GIU!$BA12:$BG12)</f>
        <v>0</v>
      </c>
      <c r="BN336" s="229">
        <f>SUMIF(GIU!$BA$6:$BG$6,BN$177,GIU!$BA12:$BG12)</f>
        <v>0</v>
      </c>
      <c r="BO336" s="231">
        <f>SUMIF(GIU!$BA$6:$BG$6,BO$177,GIU!$BA12:$BG12)</f>
        <v>0</v>
      </c>
      <c r="BP336" s="231">
        <f>SUMIF(GIU!$BA$6:$BG$6,BP$177,GIU!$BA12:$BG12)</f>
        <v>0</v>
      </c>
      <c r="BQ336" s="252"/>
      <c r="BR336" s="228">
        <f>SUMIF(GIU!$BA$5:$BG$5,BR$177,GIU!$BA12:$BG12)</f>
        <v>0</v>
      </c>
      <c r="BS336" s="229">
        <f>SUMIF(GIU!$BA$5:$BG$5,BS$177,GIU!$BA12:$BG12)</f>
        <v>0</v>
      </c>
      <c r="BT336" s="229">
        <f>SUMIF(GIU!$BA$5:$BG$5,BT$177,GIU!$BA12:$BG12)</f>
        <v>0</v>
      </c>
      <c r="BU336" s="229">
        <f>SUMIF(GIU!$BA$5:$BG$5,BU$177,GIU!$BA12:$BG12)</f>
        <v>0</v>
      </c>
      <c r="BV336" s="229">
        <f>SUMIF(GIU!$BA$5:$BG$5,BV$177,GIU!$BA12:$BG12)</f>
        <v>0</v>
      </c>
      <c r="BW336" s="229">
        <f>SUMIF(GIU!$BA$5:$BG$5,BW$177,GIU!$BA12:$BG12)</f>
        <v>0</v>
      </c>
      <c r="BX336" s="230">
        <f>SUMIF(GIU!$BA$5:$BG$5,BX$177,GIU!$BA12:$BG12)</f>
        <v>0</v>
      </c>
      <c r="BY336" s="998">
        <f>SUMIF(GIU!$BA$5:$BG$5,BY$177,GIU!$BA12:$BG12)</f>
        <v>0</v>
      </c>
      <c r="CB336" s="252"/>
      <c r="CC336" s="61" t="e">
        <f t="shared" si="70"/>
        <v>#N/A</v>
      </c>
      <c r="CD336" s="61">
        <f t="shared" si="71"/>
        <v>0</v>
      </c>
      <c r="CE336" s="105" t="str">
        <f t="shared" si="64"/>
        <v/>
      </c>
      <c r="CF336" s="61" t="e">
        <f t="shared" si="72"/>
        <v>#N/A</v>
      </c>
      <c r="CG336" s="61" t="e">
        <f t="shared" si="73"/>
        <v>#N/A</v>
      </c>
      <c r="CH336" s="521">
        <f>GIU!AL12-CW336+CR336</f>
        <v>0</v>
      </c>
      <c r="CI336" s="228">
        <f>SUMIF(GIU!$G$121:$M$121,CI$178,GIU!$AM12:$AS12)+SUMIF($CS$178:$CV$178,CI$178,$CS336:$CV336)</f>
        <v>0</v>
      </c>
      <c r="CJ336" s="229">
        <f>SUMIF(GIU!$G$121:$M$121,CJ$178,GIU!$AM12:$AS12)+SUMIF($CS$178:$CV$178,CJ$178,$CS336:$CV336)</f>
        <v>0</v>
      </c>
      <c r="CK336" s="230">
        <f>SUMIF(GIU!$G$121:$M$121,CK$178,GIU!$AM12:$AS12)+SUMIF($CS$178:$CV$178,CK$178,$CS336:$CV336)</f>
        <v>0</v>
      </c>
      <c r="CL336" s="230">
        <f>SUMIF(GIU!$G$121:$M$121,CL$178,GIU!$AM12:$AS12)+SUMIF($CS$178:$CV$178,CL$178,$CS336:$CV336)</f>
        <v>0</v>
      </c>
      <c r="CM336" s="230">
        <f>SUMIF(GIU!$G$121:$M$121,CM$178,GIU!$AM12:$AS12)+SUMIF($CS$178:$CV$178,CM$178,$CS336:$CV336)</f>
        <v>0</v>
      </c>
      <c r="CN336" s="230">
        <f>SUMIF(GIU!$G$121:$M$121,CN$178,GIU!$AM12:$AS12)+SUMIF($CS$178:$CV$178,CN$178,$CS336:$CV336)</f>
        <v>0</v>
      </c>
      <c r="CO336" s="230">
        <f>SUMIF(GIU!$G$121:$M$121,CO$178,GIU!$AM12:$AS12)+SUMIF($CS$178:$CV$178,CO$178,$CS336:$CV336)</f>
        <v>0</v>
      </c>
      <c r="CP336" s="230">
        <f>SUMIF(GIU!$G$121:$M$121,CP$178,GIU!$AM12:$AS12)+SUMIF($CS$178:$CV$178,CP$178,$CS336:$CV336)</f>
        <v>0</v>
      </c>
      <c r="CQ336" s="231">
        <f>SUMIF(GIU!$G$121:$M$121,CQ$178,GIU!$AM12:$AS12)+SUMIF($CS$178:$CV$178,CQ$178,$CS336:$CV336)</f>
        <v>0</v>
      </c>
      <c r="CR336" s="521">
        <f>GIU!AU12</f>
        <v>0</v>
      </c>
      <c r="CS336" s="228">
        <f>GIU!AV12</f>
        <v>0</v>
      </c>
      <c r="CT336" s="229">
        <f>GIU!AW12</f>
        <v>0</v>
      </c>
      <c r="CU336" s="230">
        <f>GIU!AX12</f>
        <v>0</v>
      </c>
      <c r="CV336" s="231">
        <f>GIU!AY12</f>
        <v>0</v>
      </c>
      <c r="CW336" s="521">
        <f>SUM(GIU!AU12:AY12)</f>
        <v>0</v>
      </c>
      <c r="CX336" s="521">
        <f>GIU!AK12</f>
        <v>0</v>
      </c>
      <c r="CY336" s="2"/>
    </row>
    <row r="337" spans="1:103" ht="14.25" hidden="1" customHeight="1" x14ac:dyDescent="0.2">
      <c r="A337" s="2"/>
      <c r="B337" s="105">
        <f t="shared" si="74"/>
        <v>45449</v>
      </c>
      <c r="C337" s="146">
        <f>IF(AND(E337&gt;(E$562-1),E337&lt;(I$562+1)),W$551,IF(ISERROR(HLOOKUP(E337,$E$555:$L$555,1,FALSE)),HLOOKUP(WEEKDAY(E337,2),IMPOSTAZIONI!$C$52:$P$57,6,FALSE),$W$550))</f>
        <v>0</v>
      </c>
      <c r="D337" s="71" t="str">
        <f t="shared" si="75"/>
        <v/>
      </c>
      <c r="E337" s="2258">
        <f t="shared" si="80"/>
        <v>45449</v>
      </c>
      <c r="F337" s="2259"/>
      <c r="G337" s="2228" t="str">
        <f>GIU!E13</f>
        <v xml:space="preserve">disattivato  </v>
      </c>
      <c r="H337" s="2229"/>
      <c r="I337" s="2230"/>
      <c r="J337" s="262" t="str">
        <f t="shared" si="65"/>
        <v/>
      </c>
      <c r="K337" s="263"/>
      <c r="L337" s="2217">
        <f t="shared" si="81"/>
        <v>23</v>
      </c>
      <c r="M337" s="2218"/>
      <c r="N337" s="261"/>
      <c r="O337" s="261"/>
      <c r="P337" s="261"/>
      <c r="Q337" s="2219">
        <f t="shared" si="76"/>
        <v>45449</v>
      </c>
      <c r="R337" s="2219"/>
      <c r="S337" s="261"/>
      <c r="T337" s="1173">
        <f t="shared" si="66"/>
        <v>1</v>
      </c>
      <c r="U337" s="261"/>
      <c r="V337" s="261"/>
      <c r="W337" s="261"/>
      <c r="X337" s="261"/>
      <c r="Y337" s="261"/>
      <c r="Z337" s="261"/>
      <c r="AA337" s="261"/>
      <c r="AB337" s="261"/>
      <c r="AC337" s="261"/>
      <c r="AD337" s="261"/>
      <c r="AE337" s="261"/>
      <c r="AF337" s="261"/>
      <c r="AG337" s="1173">
        <f t="shared" si="77"/>
        <v>0</v>
      </c>
      <c r="AH337" s="61" t="str">
        <f t="shared" si="78"/>
        <v/>
      </c>
      <c r="AI337" s="89" t="e">
        <f t="shared" si="79"/>
        <v>#N/A</v>
      </c>
      <c r="AJ337" s="2"/>
      <c r="AK337" s="61">
        <f>IF(G337=G$547,0,IF(OR(G337&lt;&gt;0,CH337&lt;&gt;0,C337="L"),COUNTIF(AK$180:AK336,"&gt;0")+1,0))</f>
        <v>0</v>
      </c>
      <c r="AL337" s="61" t="str">
        <f t="shared" si="67"/>
        <v/>
      </c>
      <c r="AM337" s="61" t="e">
        <f t="shared" si="68"/>
        <v>#N/A</v>
      </c>
      <c r="AN337" s="89" t="e">
        <f t="shared" si="69"/>
        <v>#N/A</v>
      </c>
      <c r="AO337" s="230">
        <f>SUM(GIU!X13:AD13)-BD337+AY337</f>
        <v>0</v>
      </c>
      <c r="AP337" s="228">
        <f>SUMIF(GIU!$G$121:$M$121,AP$178,GIU!$P13:$V13)+SUMIF($AZ$178:$BC$178,AP$178,$AZ337:$BC337)</f>
        <v>0</v>
      </c>
      <c r="AQ337" s="229">
        <f>SUMIF(GIU!$G$121:$M$121,AQ$178,GIU!$P13:$V13)+SUMIF($AZ$178:$BC$178,AQ$178,$AZ337:$BC337)</f>
        <v>0</v>
      </c>
      <c r="AR337" s="230">
        <f>SUMIF(GIU!$G$121:$M$121,AR$178,GIU!$P13:$V13)+SUMIF($AZ$178:$BC$178,AR$178,$AZ337:$BC337)</f>
        <v>0</v>
      </c>
      <c r="AS337" s="230">
        <f>SUMIF(GIU!$G$121:$M$121,AS$178,GIU!$P13:$V13)+SUMIF($AZ$178:$BC$178,AS$178,$AZ337:$BC337)</f>
        <v>0</v>
      </c>
      <c r="AT337" s="230">
        <f>SUMIF(GIU!$G$121:$M$121,AT$178,GIU!$P13:$V13)+SUMIF($AZ$178:$BC$178,AT$178,$AZ337:$BC337)</f>
        <v>0</v>
      </c>
      <c r="AU337" s="230">
        <f>SUMIF(GIU!$G$121:$M$121,AU$178,GIU!$P13:$V13)+SUMIF($AZ$178:$BC$178,AU$178,$AZ337:$BC337)</f>
        <v>0</v>
      </c>
      <c r="AV337" s="230">
        <f>SUMIF(GIU!$G$121:$M$121,AV$178,GIU!$P13:$V13)+SUMIF($AZ$178:$BC$178,AV$178,$AZ337:$BC337)</f>
        <v>0</v>
      </c>
      <c r="AW337" s="230">
        <f>SUMIF(GIU!$G$121:$M$121,AW$178,GIU!$P13:$V13)+SUMIF($AZ$178:$BC$178,AW$178,$AZ337:$BC337)</f>
        <v>0</v>
      </c>
      <c r="AX337" s="231">
        <f>SUMIF(GIU!$G$121:$M$121,AX$178,GIU!$P13:$V13)+SUMIF($AZ$178:$BC$178,AX$178,$AZ337:$BC337)</f>
        <v>0</v>
      </c>
      <c r="AY337" s="232">
        <f>GIU!AF13</f>
        <v>0</v>
      </c>
      <c r="AZ337" s="228">
        <f>GIU!AG13</f>
        <v>0</v>
      </c>
      <c r="BA337" s="229">
        <f>GIU!AH13</f>
        <v>0</v>
      </c>
      <c r="BB337" s="230">
        <f>GIU!AI13</f>
        <v>0</v>
      </c>
      <c r="BC337" s="231">
        <f>GIU!AJ13</f>
        <v>0</v>
      </c>
      <c r="BD337" s="228">
        <f>SUMIF(GIU!$G$120:$M$120,"&gt;0",GIU!$X13:$AD13)</f>
        <v>0</v>
      </c>
      <c r="BE337" s="696"/>
      <c r="BF337" s="228">
        <f>SUMIF(GIU!$BA$6:$BG$6,BF$177,GIU!$BA13:$BG13)</f>
        <v>0</v>
      </c>
      <c r="BG337" s="229">
        <f>SUMIF(GIU!$BA$6:$BG$6,BG$177,GIU!$BA13:$BG13)</f>
        <v>0</v>
      </c>
      <c r="BH337" s="229">
        <f>SUMIF(GIU!$BA$6:$BG$6,BH$177,GIU!$BA13:$BG13)</f>
        <v>0</v>
      </c>
      <c r="BI337" s="229">
        <f>SUMIF(GIU!$BA$6:$BG$6,BI$177,GIU!$BA13:$BG13)</f>
        <v>0</v>
      </c>
      <c r="BJ337" s="229">
        <f>SUMIF(GIU!$BA$6:$BG$6,BJ$177,GIU!$BA13:$BG13)</f>
        <v>0</v>
      </c>
      <c r="BK337" s="229">
        <f>SUMIF(GIU!$BA$6:$BG$6,BK$177,GIU!$BA13:$BG13)</f>
        <v>0</v>
      </c>
      <c r="BL337" s="229">
        <f>SUMIF(GIU!$BA$6:$BG$6,BL$177,GIU!$BA13:$BG13)</f>
        <v>0</v>
      </c>
      <c r="BM337" s="229">
        <f>SUMIF(GIU!$BA$6:$BG$6,BM$177,GIU!$BA13:$BG13)</f>
        <v>0</v>
      </c>
      <c r="BN337" s="229">
        <f>SUMIF(GIU!$BA$6:$BG$6,BN$177,GIU!$BA13:$BG13)</f>
        <v>0</v>
      </c>
      <c r="BO337" s="231">
        <f>SUMIF(GIU!$BA$6:$BG$6,BO$177,GIU!$BA13:$BG13)</f>
        <v>0</v>
      </c>
      <c r="BP337" s="231">
        <f>SUMIF(GIU!$BA$6:$BG$6,BP$177,GIU!$BA13:$BG13)</f>
        <v>0</v>
      </c>
      <c r="BQ337" s="252"/>
      <c r="BR337" s="228">
        <f>SUMIF(GIU!$BA$5:$BG$5,BR$177,GIU!$BA13:$BG13)</f>
        <v>0</v>
      </c>
      <c r="BS337" s="229">
        <f>SUMIF(GIU!$BA$5:$BG$5,BS$177,GIU!$BA13:$BG13)</f>
        <v>0</v>
      </c>
      <c r="BT337" s="229">
        <f>SUMIF(GIU!$BA$5:$BG$5,BT$177,GIU!$BA13:$BG13)</f>
        <v>0</v>
      </c>
      <c r="BU337" s="229">
        <f>SUMIF(GIU!$BA$5:$BG$5,BU$177,GIU!$BA13:$BG13)</f>
        <v>0</v>
      </c>
      <c r="BV337" s="229">
        <f>SUMIF(GIU!$BA$5:$BG$5,BV$177,GIU!$BA13:$BG13)</f>
        <v>0</v>
      </c>
      <c r="BW337" s="229">
        <f>SUMIF(GIU!$BA$5:$BG$5,BW$177,GIU!$BA13:$BG13)</f>
        <v>0</v>
      </c>
      <c r="BX337" s="230">
        <f>SUMIF(GIU!$BA$5:$BG$5,BX$177,GIU!$BA13:$BG13)</f>
        <v>0</v>
      </c>
      <c r="BY337" s="998">
        <f>SUMIF(GIU!$BA$5:$BG$5,BY$177,GIU!$BA13:$BG13)</f>
        <v>0</v>
      </c>
      <c r="CB337" s="252"/>
      <c r="CC337" s="61" t="e">
        <f t="shared" si="70"/>
        <v>#N/A</v>
      </c>
      <c r="CD337" s="61">
        <f t="shared" si="71"/>
        <v>0</v>
      </c>
      <c r="CE337" s="105" t="str">
        <f t="shared" si="64"/>
        <v/>
      </c>
      <c r="CF337" s="61" t="e">
        <f t="shared" si="72"/>
        <v>#N/A</v>
      </c>
      <c r="CG337" s="61" t="e">
        <f t="shared" si="73"/>
        <v>#N/A</v>
      </c>
      <c r="CH337" s="521">
        <f>GIU!AL13-CW337+CR337</f>
        <v>0</v>
      </c>
      <c r="CI337" s="228">
        <f>SUMIF(GIU!$G$121:$M$121,CI$178,GIU!$AM13:$AS13)+SUMIF($CS$178:$CV$178,CI$178,$CS337:$CV337)</f>
        <v>0</v>
      </c>
      <c r="CJ337" s="229">
        <f>SUMIF(GIU!$G$121:$M$121,CJ$178,GIU!$AM13:$AS13)+SUMIF($CS$178:$CV$178,CJ$178,$CS337:$CV337)</f>
        <v>0</v>
      </c>
      <c r="CK337" s="230">
        <f>SUMIF(GIU!$G$121:$M$121,CK$178,GIU!$AM13:$AS13)+SUMIF($CS$178:$CV$178,CK$178,$CS337:$CV337)</f>
        <v>0</v>
      </c>
      <c r="CL337" s="230">
        <f>SUMIF(GIU!$G$121:$M$121,CL$178,GIU!$AM13:$AS13)+SUMIF($CS$178:$CV$178,CL$178,$CS337:$CV337)</f>
        <v>0</v>
      </c>
      <c r="CM337" s="230">
        <f>SUMIF(GIU!$G$121:$M$121,CM$178,GIU!$AM13:$AS13)+SUMIF($CS$178:$CV$178,CM$178,$CS337:$CV337)</f>
        <v>0</v>
      </c>
      <c r="CN337" s="230">
        <f>SUMIF(GIU!$G$121:$M$121,CN$178,GIU!$AM13:$AS13)+SUMIF($CS$178:$CV$178,CN$178,$CS337:$CV337)</f>
        <v>0</v>
      </c>
      <c r="CO337" s="230">
        <f>SUMIF(GIU!$G$121:$M$121,CO$178,GIU!$AM13:$AS13)+SUMIF($CS$178:$CV$178,CO$178,$CS337:$CV337)</f>
        <v>0</v>
      </c>
      <c r="CP337" s="230">
        <f>SUMIF(GIU!$G$121:$M$121,CP$178,GIU!$AM13:$AS13)+SUMIF($CS$178:$CV$178,CP$178,$CS337:$CV337)</f>
        <v>0</v>
      </c>
      <c r="CQ337" s="231">
        <f>SUMIF(GIU!$G$121:$M$121,CQ$178,GIU!$AM13:$AS13)+SUMIF($CS$178:$CV$178,CQ$178,$CS337:$CV337)</f>
        <v>0</v>
      </c>
      <c r="CR337" s="521">
        <f>GIU!AU13</f>
        <v>0</v>
      </c>
      <c r="CS337" s="228">
        <f>GIU!AV13</f>
        <v>0</v>
      </c>
      <c r="CT337" s="229">
        <f>GIU!AW13</f>
        <v>0</v>
      </c>
      <c r="CU337" s="230">
        <f>GIU!AX13</f>
        <v>0</v>
      </c>
      <c r="CV337" s="231">
        <f>GIU!AY13</f>
        <v>0</v>
      </c>
      <c r="CW337" s="521">
        <f>SUM(GIU!AU13:AY13)</f>
        <v>0</v>
      </c>
      <c r="CX337" s="521">
        <f>GIU!AK13</f>
        <v>0</v>
      </c>
      <c r="CY337" s="2"/>
    </row>
    <row r="338" spans="1:103" ht="14.25" hidden="1" customHeight="1" x14ac:dyDescent="0.2">
      <c r="A338" s="2"/>
      <c r="B338" s="105">
        <f t="shared" si="74"/>
        <v>45450</v>
      </c>
      <c r="C338" s="146">
        <f>IF(AND(E338&gt;(E$562-1),E338&lt;(I$562+1)),W$551,IF(ISERROR(HLOOKUP(E338,$E$555:$L$555,1,FALSE)),HLOOKUP(WEEKDAY(E338,2),IMPOSTAZIONI!$C$52:$P$57,6,FALSE),$W$550))</f>
        <v>0</v>
      </c>
      <c r="D338" s="71" t="str">
        <f t="shared" si="75"/>
        <v/>
      </c>
      <c r="E338" s="2258">
        <f t="shared" si="80"/>
        <v>45450</v>
      </c>
      <c r="F338" s="2259"/>
      <c r="G338" s="2228" t="str">
        <f>GIU!E14</f>
        <v xml:space="preserve">disattivato  </v>
      </c>
      <c r="H338" s="2229"/>
      <c r="I338" s="2230"/>
      <c r="J338" s="262" t="str">
        <f t="shared" si="65"/>
        <v/>
      </c>
      <c r="K338" s="263"/>
      <c r="L338" s="2217">
        <f t="shared" si="81"/>
        <v>23</v>
      </c>
      <c r="M338" s="2218"/>
      <c r="N338" s="261"/>
      <c r="O338" s="261"/>
      <c r="P338" s="261"/>
      <c r="Q338" s="2219">
        <f t="shared" si="76"/>
        <v>45450</v>
      </c>
      <c r="R338" s="2219"/>
      <c r="S338" s="261"/>
      <c r="T338" s="1173">
        <f t="shared" si="66"/>
        <v>1</v>
      </c>
      <c r="U338" s="261"/>
      <c r="V338" s="261"/>
      <c r="W338" s="261"/>
      <c r="X338" s="261"/>
      <c r="Y338" s="261"/>
      <c r="Z338" s="261"/>
      <c r="AA338" s="261"/>
      <c r="AB338" s="261"/>
      <c r="AC338" s="261"/>
      <c r="AD338" s="261"/>
      <c r="AE338" s="261"/>
      <c r="AF338" s="261"/>
      <c r="AG338" s="1173">
        <f t="shared" si="77"/>
        <v>0</v>
      </c>
      <c r="AH338" s="61" t="str">
        <f t="shared" si="78"/>
        <v/>
      </c>
      <c r="AI338" s="89" t="e">
        <f t="shared" si="79"/>
        <v>#N/A</v>
      </c>
      <c r="AJ338" s="2"/>
      <c r="AK338" s="61">
        <f>IF(G338=G$547,0,IF(OR(G338&lt;&gt;0,CH338&lt;&gt;0,C338="L"),COUNTIF(AK$180:AK337,"&gt;0")+1,0))</f>
        <v>0</v>
      </c>
      <c r="AL338" s="61" t="str">
        <f t="shared" si="67"/>
        <v/>
      </c>
      <c r="AM338" s="61" t="e">
        <f t="shared" si="68"/>
        <v>#N/A</v>
      </c>
      <c r="AN338" s="89" t="e">
        <f t="shared" si="69"/>
        <v>#N/A</v>
      </c>
      <c r="AO338" s="230">
        <f>SUM(GIU!X14:AD14)-BD338+AY338</f>
        <v>0</v>
      </c>
      <c r="AP338" s="228">
        <f>SUMIF(GIU!$G$121:$M$121,AP$178,GIU!$P14:$V14)+SUMIF($AZ$178:$BC$178,AP$178,$AZ338:$BC338)</f>
        <v>0</v>
      </c>
      <c r="AQ338" s="229">
        <f>SUMIF(GIU!$G$121:$M$121,AQ$178,GIU!$P14:$V14)+SUMIF($AZ$178:$BC$178,AQ$178,$AZ338:$BC338)</f>
        <v>0</v>
      </c>
      <c r="AR338" s="230">
        <f>SUMIF(GIU!$G$121:$M$121,AR$178,GIU!$P14:$V14)+SUMIF($AZ$178:$BC$178,AR$178,$AZ338:$BC338)</f>
        <v>0</v>
      </c>
      <c r="AS338" s="230">
        <f>SUMIF(GIU!$G$121:$M$121,AS$178,GIU!$P14:$V14)+SUMIF($AZ$178:$BC$178,AS$178,$AZ338:$BC338)</f>
        <v>0</v>
      </c>
      <c r="AT338" s="230">
        <f>SUMIF(GIU!$G$121:$M$121,AT$178,GIU!$P14:$V14)+SUMIF($AZ$178:$BC$178,AT$178,$AZ338:$BC338)</f>
        <v>0</v>
      </c>
      <c r="AU338" s="230">
        <f>SUMIF(GIU!$G$121:$M$121,AU$178,GIU!$P14:$V14)+SUMIF($AZ$178:$BC$178,AU$178,$AZ338:$BC338)</f>
        <v>0</v>
      </c>
      <c r="AV338" s="230">
        <f>SUMIF(GIU!$G$121:$M$121,AV$178,GIU!$P14:$V14)+SUMIF($AZ$178:$BC$178,AV$178,$AZ338:$BC338)</f>
        <v>0</v>
      </c>
      <c r="AW338" s="230">
        <f>SUMIF(GIU!$G$121:$M$121,AW$178,GIU!$P14:$V14)+SUMIF($AZ$178:$BC$178,AW$178,$AZ338:$BC338)</f>
        <v>0</v>
      </c>
      <c r="AX338" s="231">
        <f>SUMIF(GIU!$G$121:$M$121,AX$178,GIU!$P14:$V14)+SUMIF($AZ$178:$BC$178,AX$178,$AZ338:$BC338)</f>
        <v>0</v>
      </c>
      <c r="AY338" s="232">
        <f>GIU!AF14</f>
        <v>0</v>
      </c>
      <c r="AZ338" s="228">
        <f>GIU!AG14</f>
        <v>0</v>
      </c>
      <c r="BA338" s="229">
        <f>GIU!AH14</f>
        <v>0</v>
      </c>
      <c r="BB338" s="230">
        <f>GIU!AI14</f>
        <v>0</v>
      </c>
      <c r="BC338" s="231">
        <f>GIU!AJ14</f>
        <v>0</v>
      </c>
      <c r="BD338" s="228">
        <f>SUMIF(GIU!$G$120:$M$120,"&gt;0",GIU!$X14:$AD14)</f>
        <v>0</v>
      </c>
      <c r="BE338" s="696"/>
      <c r="BF338" s="228">
        <f>SUMIF(GIU!$BA$6:$BG$6,BF$177,GIU!$BA14:$BG14)</f>
        <v>0</v>
      </c>
      <c r="BG338" s="229">
        <f>SUMIF(GIU!$BA$6:$BG$6,BG$177,GIU!$BA14:$BG14)</f>
        <v>0</v>
      </c>
      <c r="BH338" s="229">
        <f>SUMIF(GIU!$BA$6:$BG$6,BH$177,GIU!$BA14:$BG14)</f>
        <v>0</v>
      </c>
      <c r="BI338" s="229">
        <f>SUMIF(GIU!$BA$6:$BG$6,BI$177,GIU!$BA14:$BG14)</f>
        <v>0</v>
      </c>
      <c r="BJ338" s="229">
        <f>SUMIF(GIU!$BA$6:$BG$6,BJ$177,GIU!$BA14:$BG14)</f>
        <v>0</v>
      </c>
      <c r="BK338" s="229">
        <f>SUMIF(GIU!$BA$6:$BG$6,BK$177,GIU!$BA14:$BG14)</f>
        <v>0</v>
      </c>
      <c r="BL338" s="229">
        <f>SUMIF(GIU!$BA$6:$BG$6,BL$177,GIU!$BA14:$BG14)</f>
        <v>0</v>
      </c>
      <c r="BM338" s="229">
        <f>SUMIF(GIU!$BA$6:$BG$6,BM$177,GIU!$BA14:$BG14)</f>
        <v>0</v>
      </c>
      <c r="BN338" s="229">
        <f>SUMIF(GIU!$BA$6:$BG$6,BN$177,GIU!$BA14:$BG14)</f>
        <v>0</v>
      </c>
      <c r="BO338" s="231">
        <f>SUMIF(GIU!$BA$6:$BG$6,BO$177,GIU!$BA14:$BG14)</f>
        <v>0</v>
      </c>
      <c r="BP338" s="231">
        <f>SUMIF(GIU!$BA$6:$BG$6,BP$177,GIU!$BA14:$BG14)</f>
        <v>0</v>
      </c>
      <c r="BQ338" s="252"/>
      <c r="BR338" s="228">
        <f>SUMIF(GIU!$BA$5:$BG$5,BR$177,GIU!$BA14:$BG14)</f>
        <v>0</v>
      </c>
      <c r="BS338" s="229">
        <f>SUMIF(GIU!$BA$5:$BG$5,BS$177,GIU!$BA14:$BG14)</f>
        <v>0</v>
      </c>
      <c r="BT338" s="229">
        <f>SUMIF(GIU!$BA$5:$BG$5,BT$177,GIU!$BA14:$BG14)</f>
        <v>0</v>
      </c>
      <c r="BU338" s="229">
        <f>SUMIF(GIU!$BA$5:$BG$5,BU$177,GIU!$BA14:$BG14)</f>
        <v>0</v>
      </c>
      <c r="BV338" s="229">
        <f>SUMIF(GIU!$BA$5:$BG$5,BV$177,GIU!$BA14:$BG14)</f>
        <v>0</v>
      </c>
      <c r="BW338" s="229">
        <f>SUMIF(GIU!$BA$5:$BG$5,BW$177,GIU!$BA14:$BG14)</f>
        <v>0</v>
      </c>
      <c r="BX338" s="230">
        <f>SUMIF(GIU!$BA$5:$BG$5,BX$177,GIU!$BA14:$BG14)</f>
        <v>0</v>
      </c>
      <c r="BY338" s="998">
        <f>SUMIF(GIU!$BA$5:$BG$5,BY$177,GIU!$BA14:$BG14)</f>
        <v>0</v>
      </c>
      <c r="CB338" s="252"/>
      <c r="CC338" s="61" t="e">
        <f t="shared" si="70"/>
        <v>#N/A</v>
      </c>
      <c r="CD338" s="61">
        <f t="shared" si="71"/>
        <v>0</v>
      </c>
      <c r="CE338" s="105" t="str">
        <f t="shared" si="64"/>
        <v/>
      </c>
      <c r="CF338" s="61" t="e">
        <f t="shared" si="72"/>
        <v>#N/A</v>
      </c>
      <c r="CG338" s="61" t="e">
        <f t="shared" si="73"/>
        <v>#N/A</v>
      </c>
      <c r="CH338" s="521">
        <f>GIU!AL14-CW338+CR338</f>
        <v>0</v>
      </c>
      <c r="CI338" s="228">
        <f>SUMIF(GIU!$G$121:$M$121,CI$178,GIU!$AM14:$AS14)+SUMIF($CS$178:$CV$178,CI$178,$CS338:$CV338)</f>
        <v>0</v>
      </c>
      <c r="CJ338" s="229">
        <f>SUMIF(GIU!$G$121:$M$121,CJ$178,GIU!$AM14:$AS14)+SUMIF($CS$178:$CV$178,CJ$178,$CS338:$CV338)</f>
        <v>0</v>
      </c>
      <c r="CK338" s="230">
        <f>SUMIF(GIU!$G$121:$M$121,CK$178,GIU!$AM14:$AS14)+SUMIF($CS$178:$CV$178,CK$178,$CS338:$CV338)</f>
        <v>0</v>
      </c>
      <c r="CL338" s="230">
        <f>SUMIF(GIU!$G$121:$M$121,CL$178,GIU!$AM14:$AS14)+SUMIF($CS$178:$CV$178,CL$178,$CS338:$CV338)</f>
        <v>0</v>
      </c>
      <c r="CM338" s="230">
        <f>SUMIF(GIU!$G$121:$M$121,CM$178,GIU!$AM14:$AS14)+SUMIF($CS$178:$CV$178,CM$178,$CS338:$CV338)</f>
        <v>0</v>
      </c>
      <c r="CN338" s="230">
        <f>SUMIF(GIU!$G$121:$M$121,CN$178,GIU!$AM14:$AS14)+SUMIF($CS$178:$CV$178,CN$178,$CS338:$CV338)</f>
        <v>0</v>
      </c>
      <c r="CO338" s="230">
        <f>SUMIF(GIU!$G$121:$M$121,CO$178,GIU!$AM14:$AS14)+SUMIF($CS$178:$CV$178,CO$178,$CS338:$CV338)</f>
        <v>0</v>
      </c>
      <c r="CP338" s="230">
        <f>SUMIF(GIU!$G$121:$M$121,CP$178,GIU!$AM14:$AS14)+SUMIF($CS$178:$CV$178,CP$178,$CS338:$CV338)</f>
        <v>0</v>
      </c>
      <c r="CQ338" s="231">
        <f>SUMIF(GIU!$G$121:$M$121,CQ$178,GIU!$AM14:$AS14)+SUMIF($CS$178:$CV$178,CQ$178,$CS338:$CV338)</f>
        <v>0</v>
      </c>
      <c r="CR338" s="521">
        <f>GIU!AU14</f>
        <v>0</v>
      </c>
      <c r="CS338" s="228">
        <f>GIU!AV14</f>
        <v>0</v>
      </c>
      <c r="CT338" s="229">
        <f>GIU!AW14</f>
        <v>0</v>
      </c>
      <c r="CU338" s="230">
        <f>GIU!AX14</f>
        <v>0</v>
      </c>
      <c r="CV338" s="231">
        <f>GIU!AY14</f>
        <v>0</v>
      </c>
      <c r="CW338" s="521">
        <f>SUM(GIU!AU14:AY14)</f>
        <v>0</v>
      </c>
      <c r="CX338" s="521">
        <f>GIU!AK14</f>
        <v>0</v>
      </c>
      <c r="CY338" s="2"/>
    </row>
    <row r="339" spans="1:103" ht="14.25" hidden="1" customHeight="1" x14ac:dyDescent="0.2">
      <c r="A339" s="2"/>
      <c r="B339" s="105">
        <f t="shared" si="74"/>
        <v>45451</v>
      </c>
      <c r="C339" s="146">
        <f>IF(AND(E339&gt;(E$562-1),E339&lt;(I$562+1)),W$551,IF(ISERROR(HLOOKUP(E339,$E$555:$L$555,1,FALSE)),HLOOKUP(WEEKDAY(E339,2),IMPOSTAZIONI!$C$52:$P$57,6,FALSE),$W$550))</f>
        <v>0</v>
      </c>
      <c r="D339" s="71" t="str">
        <f t="shared" si="75"/>
        <v/>
      </c>
      <c r="E339" s="2258">
        <f t="shared" si="80"/>
        <v>45451</v>
      </c>
      <c r="F339" s="2259"/>
      <c r="G339" s="2228" t="str">
        <f>GIU!E15</f>
        <v xml:space="preserve">disattivato  </v>
      </c>
      <c r="H339" s="2229"/>
      <c r="I339" s="2230"/>
      <c r="J339" s="262" t="str">
        <f t="shared" si="65"/>
        <v/>
      </c>
      <c r="K339" s="263"/>
      <c r="L339" s="2217">
        <f t="shared" si="81"/>
        <v>23</v>
      </c>
      <c r="M339" s="2218"/>
      <c r="N339" s="261"/>
      <c r="O339" s="261"/>
      <c r="P339" s="261"/>
      <c r="Q339" s="2219">
        <f t="shared" si="76"/>
        <v>45451</v>
      </c>
      <c r="R339" s="2219"/>
      <c r="S339" s="261"/>
      <c r="T339" s="1173">
        <f t="shared" si="66"/>
        <v>1</v>
      </c>
      <c r="U339" s="261"/>
      <c r="V339" s="261"/>
      <c r="W339" s="261"/>
      <c r="X339" s="261"/>
      <c r="Y339" s="261"/>
      <c r="Z339" s="261"/>
      <c r="AA339" s="261"/>
      <c r="AB339" s="261"/>
      <c r="AC339" s="261"/>
      <c r="AD339" s="261"/>
      <c r="AE339" s="261"/>
      <c r="AF339" s="261"/>
      <c r="AG339" s="1173">
        <f t="shared" si="77"/>
        <v>0</v>
      </c>
      <c r="AH339" s="61" t="str">
        <f t="shared" si="78"/>
        <v/>
      </c>
      <c r="AI339" s="89" t="e">
        <f t="shared" si="79"/>
        <v>#N/A</v>
      </c>
      <c r="AJ339" s="2"/>
      <c r="AK339" s="61">
        <f>IF(G339=G$547,0,IF(OR(G339&lt;&gt;0,CH339&lt;&gt;0,C339="L"),COUNTIF(AK$180:AK338,"&gt;0")+1,0))</f>
        <v>0</v>
      </c>
      <c r="AL339" s="61" t="str">
        <f t="shared" si="67"/>
        <v/>
      </c>
      <c r="AM339" s="61" t="e">
        <f t="shared" si="68"/>
        <v>#N/A</v>
      </c>
      <c r="AN339" s="89" t="e">
        <f t="shared" si="69"/>
        <v>#N/A</v>
      </c>
      <c r="AO339" s="230">
        <f>SUM(GIU!X15:AD15)-BD339+AY339</f>
        <v>0</v>
      </c>
      <c r="AP339" s="228">
        <f>SUMIF(GIU!$G$121:$M$121,AP$178,GIU!$P15:$V15)+SUMIF($AZ$178:$BC$178,AP$178,$AZ339:$BC339)</f>
        <v>0</v>
      </c>
      <c r="AQ339" s="229">
        <f>SUMIF(GIU!$G$121:$M$121,AQ$178,GIU!$P15:$V15)+SUMIF($AZ$178:$BC$178,AQ$178,$AZ339:$BC339)</f>
        <v>0</v>
      </c>
      <c r="AR339" s="230">
        <f>SUMIF(GIU!$G$121:$M$121,AR$178,GIU!$P15:$V15)+SUMIF($AZ$178:$BC$178,AR$178,$AZ339:$BC339)</f>
        <v>0</v>
      </c>
      <c r="AS339" s="230">
        <f>SUMIF(GIU!$G$121:$M$121,AS$178,GIU!$P15:$V15)+SUMIF($AZ$178:$BC$178,AS$178,$AZ339:$BC339)</f>
        <v>0</v>
      </c>
      <c r="AT339" s="230">
        <f>SUMIF(GIU!$G$121:$M$121,AT$178,GIU!$P15:$V15)+SUMIF($AZ$178:$BC$178,AT$178,$AZ339:$BC339)</f>
        <v>0</v>
      </c>
      <c r="AU339" s="230">
        <f>SUMIF(GIU!$G$121:$M$121,AU$178,GIU!$P15:$V15)+SUMIF($AZ$178:$BC$178,AU$178,$AZ339:$BC339)</f>
        <v>0</v>
      </c>
      <c r="AV339" s="230">
        <f>SUMIF(GIU!$G$121:$M$121,AV$178,GIU!$P15:$V15)+SUMIF($AZ$178:$BC$178,AV$178,$AZ339:$BC339)</f>
        <v>0</v>
      </c>
      <c r="AW339" s="230">
        <f>SUMIF(GIU!$G$121:$M$121,AW$178,GIU!$P15:$V15)+SUMIF($AZ$178:$BC$178,AW$178,$AZ339:$BC339)</f>
        <v>0</v>
      </c>
      <c r="AX339" s="231">
        <f>SUMIF(GIU!$G$121:$M$121,AX$178,GIU!$P15:$V15)+SUMIF($AZ$178:$BC$178,AX$178,$AZ339:$BC339)</f>
        <v>0</v>
      </c>
      <c r="AY339" s="232">
        <f>GIU!AF15</f>
        <v>0</v>
      </c>
      <c r="AZ339" s="228">
        <f>GIU!AG15</f>
        <v>0</v>
      </c>
      <c r="BA339" s="229">
        <f>GIU!AH15</f>
        <v>0</v>
      </c>
      <c r="BB339" s="230">
        <f>GIU!AI15</f>
        <v>0</v>
      </c>
      <c r="BC339" s="231">
        <f>GIU!AJ15</f>
        <v>0</v>
      </c>
      <c r="BD339" s="228">
        <f>SUMIF(GIU!$G$120:$M$120,"&gt;0",GIU!$X15:$AD15)</f>
        <v>0</v>
      </c>
      <c r="BE339" s="696"/>
      <c r="BF339" s="228">
        <f>SUMIF(GIU!$BA$6:$BG$6,BF$177,GIU!$BA15:$BG15)</f>
        <v>0</v>
      </c>
      <c r="BG339" s="229">
        <f>SUMIF(GIU!$BA$6:$BG$6,BG$177,GIU!$BA15:$BG15)</f>
        <v>0</v>
      </c>
      <c r="BH339" s="229">
        <f>SUMIF(GIU!$BA$6:$BG$6,BH$177,GIU!$BA15:$BG15)</f>
        <v>0</v>
      </c>
      <c r="BI339" s="229">
        <f>SUMIF(GIU!$BA$6:$BG$6,BI$177,GIU!$BA15:$BG15)</f>
        <v>0</v>
      </c>
      <c r="BJ339" s="229">
        <f>SUMIF(GIU!$BA$6:$BG$6,BJ$177,GIU!$BA15:$BG15)</f>
        <v>0</v>
      </c>
      <c r="BK339" s="229">
        <f>SUMIF(GIU!$BA$6:$BG$6,BK$177,GIU!$BA15:$BG15)</f>
        <v>0</v>
      </c>
      <c r="BL339" s="229">
        <f>SUMIF(GIU!$BA$6:$BG$6,BL$177,GIU!$BA15:$BG15)</f>
        <v>0</v>
      </c>
      <c r="BM339" s="229">
        <f>SUMIF(GIU!$BA$6:$BG$6,BM$177,GIU!$BA15:$BG15)</f>
        <v>0</v>
      </c>
      <c r="BN339" s="229">
        <f>SUMIF(GIU!$BA$6:$BG$6,BN$177,GIU!$BA15:$BG15)</f>
        <v>0</v>
      </c>
      <c r="BO339" s="231">
        <f>SUMIF(GIU!$BA$6:$BG$6,BO$177,GIU!$BA15:$BG15)</f>
        <v>0</v>
      </c>
      <c r="BP339" s="231">
        <f>SUMIF(GIU!$BA$6:$BG$6,BP$177,GIU!$BA15:$BG15)</f>
        <v>0</v>
      </c>
      <c r="BQ339" s="252"/>
      <c r="BR339" s="228">
        <f>SUMIF(GIU!$BA$5:$BG$5,BR$177,GIU!$BA15:$BG15)</f>
        <v>0</v>
      </c>
      <c r="BS339" s="229">
        <f>SUMIF(GIU!$BA$5:$BG$5,BS$177,GIU!$BA15:$BG15)</f>
        <v>0</v>
      </c>
      <c r="BT339" s="229">
        <f>SUMIF(GIU!$BA$5:$BG$5,BT$177,GIU!$BA15:$BG15)</f>
        <v>0</v>
      </c>
      <c r="BU339" s="229">
        <f>SUMIF(GIU!$BA$5:$BG$5,BU$177,GIU!$BA15:$BG15)</f>
        <v>0</v>
      </c>
      <c r="BV339" s="229">
        <f>SUMIF(GIU!$BA$5:$BG$5,BV$177,GIU!$BA15:$BG15)</f>
        <v>0</v>
      </c>
      <c r="BW339" s="229">
        <f>SUMIF(GIU!$BA$5:$BG$5,BW$177,GIU!$BA15:$BG15)</f>
        <v>0</v>
      </c>
      <c r="BX339" s="230">
        <f>SUMIF(GIU!$BA$5:$BG$5,BX$177,GIU!$BA15:$BG15)</f>
        <v>0</v>
      </c>
      <c r="BY339" s="998">
        <f>SUMIF(GIU!$BA$5:$BG$5,BY$177,GIU!$BA15:$BG15)</f>
        <v>0</v>
      </c>
      <c r="CB339" s="252"/>
      <c r="CC339" s="61" t="e">
        <f t="shared" si="70"/>
        <v>#N/A</v>
      </c>
      <c r="CD339" s="61">
        <f t="shared" si="71"/>
        <v>0</v>
      </c>
      <c r="CE339" s="105" t="str">
        <f t="shared" si="64"/>
        <v/>
      </c>
      <c r="CF339" s="61" t="e">
        <f t="shared" si="72"/>
        <v>#N/A</v>
      </c>
      <c r="CG339" s="61" t="e">
        <f t="shared" si="73"/>
        <v>#N/A</v>
      </c>
      <c r="CH339" s="521">
        <f>GIU!AL15-CW339+CR339</f>
        <v>0</v>
      </c>
      <c r="CI339" s="228">
        <f>SUMIF(GIU!$G$121:$M$121,CI$178,GIU!$AM15:$AS15)+SUMIF($CS$178:$CV$178,CI$178,$CS339:$CV339)</f>
        <v>0</v>
      </c>
      <c r="CJ339" s="229">
        <f>SUMIF(GIU!$G$121:$M$121,CJ$178,GIU!$AM15:$AS15)+SUMIF($CS$178:$CV$178,CJ$178,$CS339:$CV339)</f>
        <v>0</v>
      </c>
      <c r="CK339" s="230">
        <f>SUMIF(GIU!$G$121:$M$121,CK$178,GIU!$AM15:$AS15)+SUMIF($CS$178:$CV$178,CK$178,$CS339:$CV339)</f>
        <v>0</v>
      </c>
      <c r="CL339" s="230">
        <f>SUMIF(GIU!$G$121:$M$121,CL$178,GIU!$AM15:$AS15)+SUMIF($CS$178:$CV$178,CL$178,$CS339:$CV339)</f>
        <v>0</v>
      </c>
      <c r="CM339" s="230">
        <f>SUMIF(GIU!$G$121:$M$121,CM$178,GIU!$AM15:$AS15)+SUMIF($CS$178:$CV$178,CM$178,$CS339:$CV339)</f>
        <v>0</v>
      </c>
      <c r="CN339" s="230">
        <f>SUMIF(GIU!$G$121:$M$121,CN$178,GIU!$AM15:$AS15)+SUMIF($CS$178:$CV$178,CN$178,$CS339:$CV339)</f>
        <v>0</v>
      </c>
      <c r="CO339" s="230">
        <f>SUMIF(GIU!$G$121:$M$121,CO$178,GIU!$AM15:$AS15)+SUMIF($CS$178:$CV$178,CO$178,$CS339:$CV339)</f>
        <v>0</v>
      </c>
      <c r="CP339" s="230">
        <f>SUMIF(GIU!$G$121:$M$121,CP$178,GIU!$AM15:$AS15)+SUMIF($CS$178:$CV$178,CP$178,$CS339:$CV339)</f>
        <v>0</v>
      </c>
      <c r="CQ339" s="231">
        <f>SUMIF(GIU!$G$121:$M$121,CQ$178,GIU!$AM15:$AS15)+SUMIF($CS$178:$CV$178,CQ$178,$CS339:$CV339)</f>
        <v>0</v>
      </c>
      <c r="CR339" s="521">
        <f>GIU!AU15</f>
        <v>0</v>
      </c>
      <c r="CS339" s="228">
        <f>GIU!AV15</f>
        <v>0</v>
      </c>
      <c r="CT339" s="229">
        <f>GIU!AW15</f>
        <v>0</v>
      </c>
      <c r="CU339" s="230">
        <f>GIU!AX15</f>
        <v>0</v>
      </c>
      <c r="CV339" s="231">
        <f>GIU!AY15</f>
        <v>0</v>
      </c>
      <c r="CW339" s="521">
        <f>SUM(GIU!AU15:AY15)</f>
        <v>0</v>
      </c>
      <c r="CX339" s="521">
        <f>GIU!AK15</f>
        <v>0</v>
      </c>
      <c r="CY339" s="2"/>
    </row>
    <row r="340" spans="1:103" ht="14.25" hidden="1" customHeight="1" x14ac:dyDescent="0.2">
      <c r="A340" s="2"/>
      <c r="B340" s="105">
        <f t="shared" si="74"/>
        <v>45452</v>
      </c>
      <c r="C340" s="146">
        <f>IF(AND(E340&gt;(E$562-1),E340&lt;(I$562+1)),W$551,IF(ISERROR(HLOOKUP(E340,$E$555:$L$555,1,FALSE)),HLOOKUP(WEEKDAY(E340,2),IMPOSTAZIONI!$C$52:$P$57,6,FALSE),$W$550))</f>
        <v>0</v>
      </c>
      <c r="D340" s="71" t="str">
        <f t="shared" si="75"/>
        <v/>
      </c>
      <c r="E340" s="2258">
        <f t="shared" si="80"/>
        <v>45452</v>
      </c>
      <c r="F340" s="2259"/>
      <c r="G340" s="2228" t="str">
        <f>GIU!E16</f>
        <v xml:space="preserve">disattivato  </v>
      </c>
      <c r="H340" s="2229"/>
      <c r="I340" s="2230"/>
      <c r="J340" s="262" t="str">
        <f t="shared" si="65"/>
        <v/>
      </c>
      <c r="K340" s="263"/>
      <c r="L340" s="2220">
        <f t="shared" si="81"/>
        <v>23</v>
      </c>
      <c r="M340" s="2221"/>
      <c r="N340" s="261"/>
      <c r="O340" s="261"/>
      <c r="P340" s="261"/>
      <c r="Q340" s="2219">
        <f t="shared" si="76"/>
        <v>45452</v>
      </c>
      <c r="R340" s="2219"/>
      <c r="S340" s="261"/>
      <c r="T340" s="1173">
        <f t="shared" si="66"/>
        <v>1</v>
      </c>
      <c r="U340" s="261"/>
      <c r="V340" s="261"/>
      <c r="W340" s="261"/>
      <c r="X340" s="261"/>
      <c r="Y340" s="261"/>
      <c r="Z340" s="261"/>
      <c r="AA340" s="261"/>
      <c r="AB340" s="261"/>
      <c r="AC340" s="261"/>
      <c r="AD340" s="261"/>
      <c r="AE340" s="261"/>
      <c r="AF340" s="261"/>
      <c r="AG340" s="1173">
        <f t="shared" si="77"/>
        <v>0</v>
      </c>
      <c r="AH340" s="61" t="str">
        <f t="shared" si="78"/>
        <v/>
      </c>
      <c r="AI340" s="89" t="e">
        <f t="shared" si="79"/>
        <v>#N/A</v>
      </c>
      <c r="AJ340" s="2"/>
      <c r="AK340" s="61">
        <f>IF(G340=G$547,0,IF(OR(G340&lt;&gt;0,CH340&lt;&gt;0,C340="L"),COUNTIF(AK$180:AK339,"&gt;0")+1,0))</f>
        <v>0</v>
      </c>
      <c r="AL340" s="61" t="str">
        <f t="shared" si="67"/>
        <v/>
      </c>
      <c r="AM340" s="61" t="e">
        <f t="shared" si="68"/>
        <v>#N/A</v>
      </c>
      <c r="AN340" s="89" t="e">
        <f t="shared" si="69"/>
        <v>#N/A</v>
      </c>
      <c r="AO340" s="230">
        <f>SUM(GIU!X16:AD16)-BD340+AY340</f>
        <v>0</v>
      </c>
      <c r="AP340" s="228">
        <f>SUMIF(GIU!$G$121:$M$121,AP$178,GIU!$P16:$V16)+SUMIF($AZ$178:$BC$178,AP$178,$AZ340:$BC340)</f>
        <v>0</v>
      </c>
      <c r="AQ340" s="229">
        <f>SUMIF(GIU!$G$121:$M$121,AQ$178,GIU!$P16:$V16)+SUMIF($AZ$178:$BC$178,AQ$178,$AZ340:$BC340)</f>
        <v>0</v>
      </c>
      <c r="AR340" s="230">
        <f>SUMIF(GIU!$G$121:$M$121,AR$178,GIU!$P16:$V16)+SUMIF($AZ$178:$BC$178,AR$178,$AZ340:$BC340)</f>
        <v>0</v>
      </c>
      <c r="AS340" s="230">
        <f>SUMIF(GIU!$G$121:$M$121,AS$178,GIU!$P16:$V16)+SUMIF($AZ$178:$BC$178,AS$178,$AZ340:$BC340)</f>
        <v>0</v>
      </c>
      <c r="AT340" s="230">
        <f>SUMIF(GIU!$G$121:$M$121,AT$178,GIU!$P16:$V16)+SUMIF($AZ$178:$BC$178,AT$178,$AZ340:$BC340)</f>
        <v>0</v>
      </c>
      <c r="AU340" s="230">
        <f>SUMIF(GIU!$G$121:$M$121,AU$178,GIU!$P16:$V16)+SUMIF($AZ$178:$BC$178,AU$178,$AZ340:$BC340)</f>
        <v>0</v>
      </c>
      <c r="AV340" s="230">
        <f>SUMIF(GIU!$G$121:$M$121,AV$178,GIU!$P16:$V16)+SUMIF($AZ$178:$BC$178,AV$178,$AZ340:$BC340)</f>
        <v>0</v>
      </c>
      <c r="AW340" s="230">
        <f>SUMIF(GIU!$G$121:$M$121,AW$178,GIU!$P16:$V16)+SUMIF($AZ$178:$BC$178,AW$178,$AZ340:$BC340)</f>
        <v>0</v>
      </c>
      <c r="AX340" s="231">
        <f>SUMIF(GIU!$G$121:$M$121,AX$178,GIU!$P16:$V16)+SUMIF($AZ$178:$BC$178,AX$178,$AZ340:$BC340)</f>
        <v>0</v>
      </c>
      <c r="AY340" s="232">
        <f>GIU!AF16</f>
        <v>0</v>
      </c>
      <c r="AZ340" s="228">
        <f>GIU!AG16</f>
        <v>0</v>
      </c>
      <c r="BA340" s="229">
        <f>GIU!AH16</f>
        <v>0</v>
      </c>
      <c r="BB340" s="230">
        <f>GIU!AI16</f>
        <v>0</v>
      </c>
      <c r="BC340" s="231">
        <f>GIU!AJ16</f>
        <v>0</v>
      </c>
      <c r="BD340" s="228">
        <f>SUMIF(GIU!$G$120:$M$120,"&gt;0",GIU!$X16:$AD16)</f>
        <v>0</v>
      </c>
      <c r="BE340" s="696"/>
      <c r="BF340" s="228">
        <f>SUMIF(GIU!$BA$6:$BG$6,BF$177,GIU!$BA16:$BG16)</f>
        <v>0</v>
      </c>
      <c r="BG340" s="229">
        <f>SUMIF(GIU!$BA$6:$BG$6,BG$177,GIU!$BA16:$BG16)</f>
        <v>0</v>
      </c>
      <c r="BH340" s="229">
        <f>SUMIF(GIU!$BA$6:$BG$6,BH$177,GIU!$BA16:$BG16)</f>
        <v>0</v>
      </c>
      <c r="BI340" s="229">
        <f>SUMIF(GIU!$BA$6:$BG$6,BI$177,GIU!$BA16:$BG16)</f>
        <v>0</v>
      </c>
      <c r="BJ340" s="229">
        <f>SUMIF(GIU!$BA$6:$BG$6,BJ$177,GIU!$BA16:$BG16)</f>
        <v>0</v>
      </c>
      <c r="BK340" s="229">
        <f>SUMIF(GIU!$BA$6:$BG$6,BK$177,GIU!$BA16:$BG16)</f>
        <v>0</v>
      </c>
      <c r="BL340" s="229">
        <f>SUMIF(GIU!$BA$6:$BG$6,BL$177,GIU!$BA16:$BG16)</f>
        <v>0</v>
      </c>
      <c r="BM340" s="229">
        <f>SUMIF(GIU!$BA$6:$BG$6,BM$177,GIU!$BA16:$BG16)</f>
        <v>0</v>
      </c>
      <c r="BN340" s="229">
        <f>SUMIF(GIU!$BA$6:$BG$6,BN$177,GIU!$BA16:$BG16)</f>
        <v>0</v>
      </c>
      <c r="BO340" s="231">
        <f>SUMIF(GIU!$BA$6:$BG$6,BO$177,GIU!$BA16:$BG16)</f>
        <v>0</v>
      </c>
      <c r="BP340" s="231">
        <f>SUMIF(GIU!$BA$6:$BG$6,BP$177,GIU!$BA16:$BG16)</f>
        <v>0</v>
      </c>
      <c r="BQ340" s="252"/>
      <c r="BR340" s="228">
        <f>SUMIF(GIU!$BA$5:$BG$5,BR$177,GIU!$BA16:$BG16)</f>
        <v>0</v>
      </c>
      <c r="BS340" s="229">
        <f>SUMIF(GIU!$BA$5:$BG$5,BS$177,GIU!$BA16:$BG16)</f>
        <v>0</v>
      </c>
      <c r="BT340" s="229">
        <f>SUMIF(GIU!$BA$5:$BG$5,BT$177,GIU!$BA16:$BG16)</f>
        <v>0</v>
      </c>
      <c r="BU340" s="229">
        <f>SUMIF(GIU!$BA$5:$BG$5,BU$177,GIU!$BA16:$BG16)</f>
        <v>0</v>
      </c>
      <c r="BV340" s="229">
        <f>SUMIF(GIU!$BA$5:$BG$5,BV$177,GIU!$BA16:$BG16)</f>
        <v>0</v>
      </c>
      <c r="BW340" s="229">
        <f>SUMIF(GIU!$BA$5:$BG$5,BW$177,GIU!$BA16:$BG16)</f>
        <v>0</v>
      </c>
      <c r="BX340" s="230">
        <f>SUMIF(GIU!$BA$5:$BG$5,BX$177,GIU!$BA16:$BG16)</f>
        <v>0</v>
      </c>
      <c r="BY340" s="998">
        <f>SUMIF(GIU!$BA$5:$BG$5,BY$177,GIU!$BA16:$BG16)</f>
        <v>0</v>
      </c>
      <c r="CB340" s="252"/>
      <c r="CC340" s="61" t="e">
        <f t="shared" si="70"/>
        <v>#N/A</v>
      </c>
      <c r="CD340" s="61">
        <f t="shared" si="71"/>
        <v>0</v>
      </c>
      <c r="CE340" s="105" t="str">
        <f t="shared" si="64"/>
        <v/>
      </c>
      <c r="CF340" s="61" t="e">
        <f t="shared" si="72"/>
        <v>#N/A</v>
      </c>
      <c r="CG340" s="61" t="e">
        <f t="shared" si="73"/>
        <v>#N/A</v>
      </c>
      <c r="CH340" s="521">
        <f>GIU!AL16-CW340+CR340</f>
        <v>0</v>
      </c>
      <c r="CI340" s="228">
        <f>SUMIF(GIU!$G$121:$M$121,CI$178,GIU!$AM16:$AS16)+SUMIF($CS$178:$CV$178,CI$178,$CS340:$CV340)</f>
        <v>0</v>
      </c>
      <c r="CJ340" s="229">
        <f>SUMIF(GIU!$G$121:$M$121,CJ$178,GIU!$AM16:$AS16)+SUMIF($CS$178:$CV$178,CJ$178,$CS340:$CV340)</f>
        <v>0</v>
      </c>
      <c r="CK340" s="230">
        <f>SUMIF(GIU!$G$121:$M$121,CK$178,GIU!$AM16:$AS16)+SUMIF($CS$178:$CV$178,CK$178,$CS340:$CV340)</f>
        <v>0</v>
      </c>
      <c r="CL340" s="230">
        <f>SUMIF(GIU!$G$121:$M$121,CL$178,GIU!$AM16:$AS16)+SUMIF($CS$178:$CV$178,CL$178,$CS340:$CV340)</f>
        <v>0</v>
      </c>
      <c r="CM340" s="230">
        <f>SUMIF(GIU!$G$121:$M$121,CM$178,GIU!$AM16:$AS16)+SUMIF($CS$178:$CV$178,CM$178,$CS340:$CV340)</f>
        <v>0</v>
      </c>
      <c r="CN340" s="230">
        <f>SUMIF(GIU!$G$121:$M$121,CN$178,GIU!$AM16:$AS16)+SUMIF($CS$178:$CV$178,CN$178,$CS340:$CV340)</f>
        <v>0</v>
      </c>
      <c r="CO340" s="230">
        <f>SUMIF(GIU!$G$121:$M$121,CO$178,GIU!$AM16:$AS16)+SUMIF($CS$178:$CV$178,CO$178,$CS340:$CV340)</f>
        <v>0</v>
      </c>
      <c r="CP340" s="230">
        <f>SUMIF(GIU!$G$121:$M$121,CP$178,GIU!$AM16:$AS16)+SUMIF($CS$178:$CV$178,CP$178,$CS340:$CV340)</f>
        <v>0</v>
      </c>
      <c r="CQ340" s="231">
        <f>SUMIF(GIU!$G$121:$M$121,CQ$178,GIU!$AM16:$AS16)+SUMIF($CS$178:$CV$178,CQ$178,$CS340:$CV340)</f>
        <v>0</v>
      </c>
      <c r="CR340" s="521">
        <f>GIU!AU16</f>
        <v>0</v>
      </c>
      <c r="CS340" s="228">
        <f>GIU!AV16</f>
        <v>0</v>
      </c>
      <c r="CT340" s="229">
        <f>GIU!AW16</f>
        <v>0</v>
      </c>
      <c r="CU340" s="230">
        <f>GIU!AX16</f>
        <v>0</v>
      </c>
      <c r="CV340" s="231">
        <f>GIU!AY16</f>
        <v>0</v>
      </c>
      <c r="CW340" s="521">
        <f>SUM(GIU!AU16:AY16)</f>
        <v>0</v>
      </c>
      <c r="CX340" s="521">
        <f>GIU!AK16</f>
        <v>0</v>
      </c>
      <c r="CY340" s="2"/>
    </row>
    <row r="341" spans="1:103" ht="14.25" hidden="1" customHeight="1" x14ac:dyDescent="0.2">
      <c r="A341" s="2"/>
      <c r="B341" s="105">
        <f t="shared" si="74"/>
        <v>45453</v>
      </c>
      <c r="C341" s="146">
        <f>IF(AND(E341&gt;(E$562-1),E341&lt;(I$562+1)),W$551,IF(ISERROR(HLOOKUP(E341,$E$555:$L$555,1,FALSE)),HLOOKUP(WEEKDAY(E341,2),IMPOSTAZIONI!$C$52:$P$57,6,FALSE),$W$550))</f>
        <v>0</v>
      </c>
      <c r="D341" s="71" t="str">
        <f t="shared" si="75"/>
        <v/>
      </c>
      <c r="E341" s="2258">
        <f t="shared" si="80"/>
        <v>45453</v>
      </c>
      <c r="F341" s="2259"/>
      <c r="G341" s="2228" t="str">
        <f>GIU!E17</f>
        <v xml:space="preserve">disattivato  </v>
      </c>
      <c r="H341" s="2229"/>
      <c r="I341" s="2230"/>
      <c r="J341" s="262" t="str">
        <f t="shared" si="65"/>
        <v/>
      </c>
      <c r="K341" s="263"/>
      <c r="L341" s="2222">
        <f t="shared" si="81"/>
        <v>24</v>
      </c>
      <c r="M341" s="2223"/>
      <c r="N341" s="261"/>
      <c r="O341" s="261"/>
      <c r="P341" s="261"/>
      <c r="Q341" s="2219">
        <f t="shared" si="76"/>
        <v>45453</v>
      </c>
      <c r="R341" s="2219"/>
      <c r="S341" s="261"/>
      <c r="T341" s="1173">
        <f t="shared" si="66"/>
        <v>1</v>
      </c>
      <c r="U341" s="261"/>
      <c r="V341" s="261"/>
      <c r="W341" s="261"/>
      <c r="X341" s="261"/>
      <c r="Y341" s="261"/>
      <c r="Z341" s="261"/>
      <c r="AA341" s="261"/>
      <c r="AB341" s="261"/>
      <c r="AC341" s="261"/>
      <c r="AD341" s="261"/>
      <c r="AE341" s="261"/>
      <c r="AF341" s="261"/>
      <c r="AG341" s="1173">
        <f t="shared" si="77"/>
        <v>0</v>
      </c>
      <c r="AH341" s="61" t="str">
        <f t="shared" si="78"/>
        <v/>
      </c>
      <c r="AI341" s="89" t="e">
        <f t="shared" si="79"/>
        <v>#N/A</v>
      </c>
      <c r="AJ341" s="2"/>
      <c r="AK341" s="61">
        <f>IF(G341=G$547,0,IF(OR(G341&lt;&gt;0,CH341&lt;&gt;0,C341="L"),COUNTIF(AK$180:AK340,"&gt;0")+1,0))</f>
        <v>0</v>
      </c>
      <c r="AL341" s="61" t="str">
        <f t="shared" si="67"/>
        <v/>
      </c>
      <c r="AM341" s="61" t="e">
        <f t="shared" si="68"/>
        <v>#N/A</v>
      </c>
      <c r="AN341" s="89" t="e">
        <f t="shared" si="69"/>
        <v>#N/A</v>
      </c>
      <c r="AO341" s="230">
        <f>SUM(GIU!X17:AD17)-BD341+AY341</f>
        <v>0</v>
      </c>
      <c r="AP341" s="228">
        <f>SUMIF(GIU!$G$121:$M$121,AP$178,GIU!$P17:$V17)+SUMIF($AZ$178:$BC$178,AP$178,$AZ341:$BC341)</f>
        <v>0</v>
      </c>
      <c r="AQ341" s="229">
        <f>SUMIF(GIU!$G$121:$M$121,AQ$178,GIU!$P17:$V17)+SUMIF($AZ$178:$BC$178,AQ$178,$AZ341:$BC341)</f>
        <v>0</v>
      </c>
      <c r="AR341" s="230">
        <f>SUMIF(GIU!$G$121:$M$121,AR$178,GIU!$P17:$V17)+SUMIF($AZ$178:$BC$178,AR$178,$AZ341:$BC341)</f>
        <v>0</v>
      </c>
      <c r="AS341" s="230">
        <f>SUMIF(GIU!$G$121:$M$121,AS$178,GIU!$P17:$V17)+SUMIF($AZ$178:$BC$178,AS$178,$AZ341:$BC341)</f>
        <v>0</v>
      </c>
      <c r="AT341" s="230">
        <f>SUMIF(GIU!$G$121:$M$121,AT$178,GIU!$P17:$V17)+SUMIF($AZ$178:$BC$178,AT$178,$AZ341:$BC341)</f>
        <v>0</v>
      </c>
      <c r="AU341" s="230">
        <f>SUMIF(GIU!$G$121:$M$121,AU$178,GIU!$P17:$V17)+SUMIF($AZ$178:$BC$178,AU$178,$AZ341:$BC341)</f>
        <v>0</v>
      </c>
      <c r="AV341" s="230">
        <f>SUMIF(GIU!$G$121:$M$121,AV$178,GIU!$P17:$V17)+SUMIF($AZ$178:$BC$178,AV$178,$AZ341:$BC341)</f>
        <v>0</v>
      </c>
      <c r="AW341" s="230">
        <f>SUMIF(GIU!$G$121:$M$121,AW$178,GIU!$P17:$V17)+SUMIF($AZ$178:$BC$178,AW$178,$AZ341:$BC341)</f>
        <v>0</v>
      </c>
      <c r="AX341" s="231">
        <f>SUMIF(GIU!$G$121:$M$121,AX$178,GIU!$P17:$V17)+SUMIF($AZ$178:$BC$178,AX$178,$AZ341:$BC341)</f>
        <v>0</v>
      </c>
      <c r="AY341" s="232">
        <f>GIU!AF17</f>
        <v>0</v>
      </c>
      <c r="AZ341" s="228">
        <f>GIU!AG17</f>
        <v>0</v>
      </c>
      <c r="BA341" s="229">
        <f>GIU!AH17</f>
        <v>0</v>
      </c>
      <c r="BB341" s="230">
        <f>GIU!AI17</f>
        <v>0</v>
      </c>
      <c r="BC341" s="231">
        <f>GIU!AJ17</f>
        <v>0</v>
      </c>
      <c r="BD341" s="228">
        <f>SUMIF(GIU!$G$120:$M$120,"&gt;0",GIU!$X17:$AD17)</f>
        <v>0</v>
      </c>
      <c r="BE341" s="696"/>
      <c r="BF341" s="228">
        <f>SUMIF(GIU!$BA$6:$BG$6,BF$177,GIU!$BA17:$BG17)</f>
        <v>0</v>
      </c>
      <c r="BG341" s="229">
        <f>SUMIF(GIU!$BA$6:$BG$6,BG$177,GIU!$BA17:$BG17)</f>
        <v>0</v>
      </c>
      <c r="BH341" s="229">
        <f>SUMIF(GIU!$BA$6:$BG$6,BH$177,GIU!$BA17:$BG17)</f>
        <v>0</v>
      </c>
      <c r="BI341" s="229">
        <f>SUMIF(GIU!$BA$6:$BG$6,BI$177,GIU!$BA17:$BG17)</f>
        <v>0</v>
      </c>
      <c r="BJ341" s="229">
        <f>SUMIF(GIU!$BA$6:$BG$6,BJ$177,GIU!$BA17:$BG17)</f>
        <v>0</v>
      </c>
      <c r="BK341" s="229">
        <f>SUMIF(GIU!$BA$6:$BG$6,BK$177,GIU!$BA17:$BG17)</f>
        <v>0</v>
      </c>
      <c r="BL341" s="229">
        <f>SUMIF(GIU!$BA$6:$BG$6,BL$177,GIU!$BA17:$BG17)</f>
        <v>0</v>
      </c>
      <c r="BM341" s="229">
        <f>SUMIF(GIU!$BA$6:$BG$6,BM$177,GIU!$BA17:$BG17)</f>
        <v>0</v>
      </c>
      <c r="BN341" s="229">
        <f>SUMIF(GIU!$BA$6:$BG$6,BN$177,GIU!$BA17:$BG17)</f>
        <v>0</v>
      </c>
      <c r="BO341" s="231">
        <f>SUMIF(GIU!$BA$6:$BG$6,BO$177,GIU!$BA17:$BG17)</f>
        <v>0</v>
      </c>
      <c r="BP341" s="231">
        <f>SUMIF(GIU!$BA$6:$BG$6,BP$177,GIU!$BA17:$BG17)</f>
        <v>0</v>
      </c>
      <c r="BQ341" s="252"/>
      <c r="BR341" s="228">
        <f>SUMIF(GIU!$BA$5:$BG$5,BR$177,GIU!$BA17:$BG17)</f>
        <v>0</v>
      </c>
      <c r="BS341" s="229">
        <f>SUMIF(GIU!$BA$5:$BG$5,BS$177,GIU!$BA17:$BG17)</f>
        <v>0</v>
      </c>
      <c r="BT341" s="229">
        <f>SUMIF(GIU!$BA$5:$BG$5,BT$177,GIU!$BA17:$BG17)</f>
        <v>0</v>
      </c>
      <c r="BU341" s="229">
        <f>SUMIF(GIU!$BA$5:$BG$5,BU$177,GIU!$BA17:$BG17)</f>
        <v>0</v>
      </c>
      <c r="BV341" s="229">
        <f>SUMIF(GIU!$BA$5:$BG$5,BV$177,GIU!$BA17:$BG17)</f>
        <v>0</v>
      </c>
      <c r="BW341" s="229">
        <f>SUMIF(GIU!$BA$5:$BG$5,BW$177,GIU!$BA17:$BG17)</f>
        <v>0</v>
      </c>
      <c r="BX341" s="230">
        <f>SUMIF(GIU!$BA$5:$BG$5,BX$177,GIU!$BA17:$BG17)</f>
        <v>0</v>
      </c>
      <c r="BY341" s="998">
        <f>SUMIF(GIU!$BA$5:$BG$5,BY$177,GIU!$BA17:$BG17)</f>
        <v>0</v>
      </c>
      <c r="CB341" s="252"/>
      <c r="CC341" s="61" t="e">
        <f t="shared" si="70"/>
        <v>#N/A</v>
      </c>
      <c r="CD341" s="61">
        <f t="shared" si="71"/>
        <v>0</v>
      </c>
      <c r="CE341" s="105" t="str">
        <f t="shared" si="64"/>
        <v/>
      </c>
      <c r="CF341" s="61" t="e">
        <f t="shared" si="72"/>
        <v>#N/A</v>
      </c>
      <c r="CG341" s="61" t="e">
        <f t="shared" si="73"/>
        <v>#N/A</v>
      </c>
      <c r="CH341" s="521">
        <f>GIU!AL17-CW341+CR341</f>
        <v>0</v>
      </c>
      <c r="CI341" s="228">
        <f>SUMIF(GIU!$G$121:$M$121,CI$178,GIU!$AM17:$AS17)+SUMIF($CS$178:$CV$178,CI$178,$CS341:$CV341)</f>
        <v>0</v>
      </c>
      <c r="CJ341" s="229">
        <f>SUMIF(GIU!$G$121:$M$121,CJ$178,GIU!$AM17:$AS17)+SUMIF($CS$178:$CV$178,CJ$178,$CS341:$CV341)</f>
        <v>0</v>
      </c>
      <c r="CK341" s="230">
        <f>SUMIF(GIU!$G$121:$M$121,CK$178,GIU!$AM17:$AS17)+SUMIF($CS$178:$CV$178,CK$178,$CS341:$CV341)</f>
        <v>0</v>
      </c>
      <c r="CL341" s="230">
        <f>SUMIF(GIU!$G$121:$M$121,CL$178,GIU!$AM17:$AS17)+SUMIF($CS$178:$CV$178,CL$178,$CS341:$CV341)</f>
        <v>0</v>
      </c>
      <c r="CM341" s="230">
        <f>SUMIF(GIU!$G$121:$M$121,CM$178,GIU!$AM17:$AS17)+SUMIF($CS$178:$CV$178,CM$178,$CS341:$CV341)</f>
        <v>0</v>
      </c>
      <c r="CN341" s="230">
        <f>SUMIF(GIU!$G$121:$M$121,CN$178,GIU!$AM17:$AS17)+SUMIF($CS$178:$CV$178,CN$178,$CS341:$CV341)</f>
        <v>0</v>
      </c>
      <c r="CO341" s="230">
        <f>SUMIF(GIU!$G$121:$M$121,CO$178,GIU!$AM17:$AS17)+SUMIF($CS$178:$CV$178,CO$178,$CS341:$CV341)</f>
        <v>0</v>
      </c>
      <c r="CP341" s="230">
        <f>SUMIF(GIU!$G$121:$M$121,CP$178,GIU!$AM17:$AS17)+SUMIF($CS$178:$CV$178,CP$178,$CS341:$CV341)</f>
        <v>0</v>
      </c>
      <c r="CQ341" s="231">
        <f>SUMIF(GIU!$G$121:$M$121,CQ$178,GIU!$AM17:$AS17)+SUMIF($CS$178:$CV$178,CQ$178,$CS341:$CV341)</f>
        <v>0</v>
      </c>
      <c r="CR341" s="521">
        <f>GIU!AU17</f>
        <v>0</v>
      </c>
      <c r="CS341" s="228">
        <f>GIU!AV17</f>
        <v>0</v>
      </c>
      <c r="CT341" s="229">
        <f>GIU!AW17</f>
        <v>0</v>
      </c>
      <c r="CU341" s="230">
        <f>GIU!AX17</f>
        <v>0</v>
      </c>
      <c r="CV341" s="231">
        <f>GIU!AY17</f>
        <v>0</v>
      </c>
      <c r="CW341" s="521">
        <f>SUM(GIU!AU17:AY17)</f>
        <v>0</v>
      </c>
      <c r="CX341" s="521">
        <f>GIU!AK17</f>
        <v>0</v>
      </c>
      <c r="CY341" s="2"/>
    </row>
    <row r="342" spans="1:103" ht="14.25" hidden="1" customHeight="1" x14ac:dyDescent="0.2">
      <c r="A342" s="2"/>
      <c r="B342" s="105">
        <f t="shared" si="74"/>
        <v>45454</v>
      </c>
      <c r="C342" s="146">
        <f>IF(AND(E342&gt;(E$562-1),E342&lt;(I$562+1)),W$551,IF(ISERROR(HLOOKUP(E342,$E$555:$L$555,1,FALSE)),HLOOKUP(WEEKDAY(E342,2),IMPOSTAZIONI!$C$52:$P$57,6,FALSE),$W$550))</f>
        <v>0</v>
      </c>
      <c r="D342" s="71" t="str">
        <f t="shared" si="75"/>
        <v/>
      </c>
      <c r="E342" s="2258">
        <f t="shared" si="80"/>
        <v>45454</v>
      </c>
      <c r="F342" s="2259"/>
      <c r="G342" s="2228" t="str">
        <f>GIU!E18</f>
        <v xml:space="preserve">disattivato  </v>
      </c>
      <c r="H342" s="2229"/>
      <c r="I342" s="2230"/>
      <c r="J342" s="262" t="str">
        <f t="shared" si="65"/>
        <v/>
      </c>
      <c r="K342" s="263"/>
      <c r="L342" s="2217">
        <f t="shared" si="81"/>
        <v>24</v>
      </c>
      <c r="M342" s="2218"/>
      <c r="N342" s="261"/>
      <c r="O342" s="261"/>
      <c r="P342" s="261"/>
      <c r="Q342" s="2219">
        <f t="shared" si="76"/>
        <v>45454</v>
      </c>
      <c r="R342" s="2219"/>
      <c r="S342" s="261"/>
      <c r="T342" s="1173">
        <f t="shared" si="66"/>
        <v>1</v>
      </c>
      <c r="U342" s="261"/>
      <c r="V342" s="261"/>
      <c r="W342" s="261"/>
      <c r="X342" s="261"/>
      <c r="Y342" s="261"/>
      <c r="Z342" s="261"/>
      <c r="AA342" s="261"/>
      <c r="AB342" s="261"/>
      <c r="AC342" s="261"/>
      <c r="AD342" s="261"/>
      <c r="AE342" s="261"/>
      <c r="AF342" s="261"/>
      <c r="AG342" s="1173">
        <f t="shared" si="77"/>
        <v>0</v>
      </c>
      <c r="AH342" s="61" t="str">
        <f t="shared" si="78"/>
        <v/>
      </c>
      <c r="AI342" s="89" t="e">
        <f t="shared" si="79"/>
        <v>#N/A</v>
      </c>
      <c r="AJ342" s="2"/>
      <c r="AK342" s="61">
        <f>IF(G342=G$547,0,IF(OR(G342&lt;&gt;0,CH342&lt;&gt;0,C342="L"),COUNTIF(AK$180:AK341,"&gt;0")+1,0))</f>
        <v>0</v>
      </c>
      <c r="AL342" s="61" t="str">
        <f t="shared" si="67"/>
        <v/>
      </c>
      <c r="AM342" s="61" t="e">
        <f t="shared" si="68"/>
        <v>#N/A</v>
      </c>
      <c r="AN342" s="89" t="e">
        <f t="shared" si="69"/>
        <v>#N/A</v>
      </c>
      <c r="AO342" s="230">
        <f>SUM(GIU!X18:AD18)-BD342+AY342</f>
        <v>0</v>
      </c>
      <c r="AP342" s="228">
        <f>SUMIF(GIU!$G$121:$M$121,AP$178,GIU!$P18:$V18)+SUMIF($AZ$178:$BC$178,AP$178,$AZ342:$BC342)</f>
        <v>0</v>
      </c>
      <c r="AQ342" s="229">
        <f>SUMIF(GIU!$G$121:$M$121,AQ$178,GIU!$P18:$V18)+SUMIF($AZ$178:$BC$178,AQ$178,$AZ342:$BC342)</f>
        <v>0</v>
      </c>
      <c r="AR342" s="230">
        <f>SUMIF(GIU!$G$121:$M$121,AR$178,GIU!$P18:$V18)+SUMIF($AZ$178:$BC$178,AR$178,$AZ342:$BC342)</f>
        <v>0</v>
      </c>
      <c r="AS342" s="230">
        <f>SUMIF(GIU!$G$121:$M$121,AS$178,GIU!$P18:$V18)+SUMIF($AZ$178:$BC$178,AS$178,$AZ342:$BC342)</f>
        <v>0</v>
      </c>
      <c r="AT342" s="230">
        <f>SUMIF(GIU!$G$121:$M$121,AT$178,GIU!$P18:$V18)+SUMIF($AZ$178:$BC$178,AT$178,$AZ342:$BC342)</f>
        <v>0</v>
      </c>
      <c r="AU342" s="230">
        <f>SUMIF(GIU!$G$121:$M$121,AU$178,GIU!$P18:$V18)+SUMIF($AZ$178:$BC$178,AU$178,$AZ342:$BC342)</f>
        <v>0</v>
      </c>
      <c r="AV342" s="230">
        <f>SUMIF(GIU!$G$121:$M$121,AV$178,GIU!$P18:$V18)+SUMIF($AZ$178:$BC$178,AV$178,$AZ342:$BC342)</f>
        <v>0</v>
      </c>
      <c r="AW342" s="230">
        <f>SUMIF(GIU!$G$121:$M$121,AW$178,GIU!$P18:$V18)+SUMIF($AZ$178:$BC$178,AW$178,$AZ342:$BC342)</f>
        <v>0</v>
      </c>
      <c r="AX342" s="231">
        <f>SUMIF(GIU!$G$121:$M$121,AX$178,GIU!$P18:$V18)+SUMIF($AZ$178:$BC$178,AX$178,$AZ342:$BC342)</f>
        <v>0</v>
      </c>
      <c r="AY342" s="232">
        <f>GIU!AF18</f>
        <v>0</v>
      </c>
      <c r="AZ342" s="228">
        <f>GIU!AG18</f>
        <v>0</v>
      </c>
      <c r="BA342" s="229">
        <f>GIU!AH18</f>
        <v>0</v>
      </c>
      <c r="BB342" s="230">
        <f>GIU!AI18</f>
        <v>0</v>
      </c>
      <c r="BC342" s="231">
        <f>GIU!AJ18</f>
        <v>0</v>
      </c>
      <c r="BD342" s="228">
        <f>SUMIF(GIU!$G$120:$M$120,"&gt;0",GIU!$X18:$AD18)</f>
        <v>0</v>
      </c>
      <c r="BE342" s="696"/>
      <c r="BF342" s="228">
        <f>SUMIF(GIU!$BA$6:$BG$6,BF$177,GIU!$BA18:$BG18)</f>
        <v>0</v>
      </c>
      <c r="BG342" s="229">
        <f>SUMIF(GIU!$BA$6:$BG$6,BG$177,GIU!$BA18:$BG18)</f>
        <v>0</v>
      </c>
      <c r="BH342" s="229">
        <f>SUMIF(GIU!$BA$6:$BG$6,BH$177,GIU!$BA18:$BG18)</f>
        <v>0</v>
      </c>
      <c r="BI342" s="229">
        <f>SUMIF(GIU!$BA$6:$BG$6,BI$177,GIU!$BA18:$BG18)</f>
        <v>0</v>
      </c>
      <c r="BJ342" s="229">
        <f>SUMIF(GIU!$BA$6:$BG$6,BJ$177,GIU!$BA18:$BG18)</f>
        <v>0</v>
      </c>
      <c r="BK342" s="229">
        <f>SUMIF(GIU!$BA$6:$BG$6,BK$177,GIU!$BA18:$BG18)</f>
        <v>0</v>
      </c>
      <c r="BL342" s="229">
        <f>SUMIF(GIU!$BA$6:$BG$6,BL$177,GIU!$BA18:$BG18)</f>
        <v>0</v>
      </c>
      <c r="BM342" s="229">
        <f>SUMIF(GIU!$BA$6:$BG$6,BM$177,GIU!$BA18:$BG18)</f>
        <v>0</v>
      </c>
      <c r="BN342" s="229">
        <f>SUMIF(GIU!$BA$6:$BG$6,BN$177,GIU!$BA18:$BG18)</f>
        <v>0</v>
      </c>
      <c r="BO342" s="231">
        <f>SUMIF(GIU!$BA$6:$BG$6,BO$177,GIU!$BA18:$BG18)</f>
        <v>0</v>
      </c>
      <c r="BP342" s="231">
        <f>SUMIF(GIU!$BA$6:$BG$6,BP$177,GIU!$BA18:$BG18)</f>
        <v>0</v>
      </c>
      <c r="BQ342" s="252"/>
      <c r="BR342" s="228">
        <f>SUMIF(GIU!$BA$5:$BG$5,BR$177,GIU!$BA18:$BG18)</f>
        <v>0</v>
      </c>
      <c r="BS342" s="229">
        <f>SUMIF(GIU!$BA$5:$BG$5,BS$177,GIU!$BA18:$BG18)</f>
        <v>0</v>
      </c>
      <c r="BT342" s="229">
        <f>SUMIF(GIU!$BA$5:$BG$5,BT$177,GIU!$BA18:$BG18)</f>
        <v>0</v>
      </c>
      <c r="BU342" s="229">
        <f>SUMIF(GIU!$BA$5:$BG$5,BU$177,GIU!$BA18:$BG18)</f>
        <v>0</v>
      </c>
      <c r="BV342" s="229">
        <f>SUMIF(GIU!$BA$5:$BG$5,BV$177,GIU!$BA18:$BG18)</f>
        <v>0</v>
      </c>
      <c r="BW342" s="229">
        <f>SUMIF(GIU!$BA$5:$BG$5,BW$177,GIU!$BA18:$BG18)</f>
        <v>0</v>
      </c>
      <c r="BX342" s="230">
        <f>SUMIF(GIU!$BA$5:$BG$5,BX$177,GIU!$BA18:$BG18)</f>
        <v>0</v>
      </c>
      <c r="BY342" s="998">
        <f>SUMIF(GIU!$BA$5:$BG$5,BY$177,GIU!$BA18:$BG18)</f>
        <v>0</v>
      </c>
      <c r="CB342" s="252"/>
      <c r="CC342" s="61" t="e">
        <f t="shared" si="70"/>
        <v>#N/A</v>
      </c>
      <c r="CD342" s="61">
        <f t="shared" si="71"/>
        <v>0</v>
      </c>
      <c r="CE342" s="105" t="str">
        <f t="shared" si="64"/>
        <v/>
      </c>
      <c r="CF342" s="61" t="e">
        <f t="shared" si="72"/>
        <v>#N/A</v>
      </c>
      <c r="CG342" s="61" t="e">
        <f t="shared" si="73"/>
        <v>#N/A</v>
      </c>
      <c r="CH342" s="521">
        <f>GIU!AL18-CW342+CR342</f>
        <v>0</v>
      </c>
      <c r="CI342" s="228">
        <f>SUMIF(GIU!$G$121:$M$121,CI$178,GIU!$AM18:$AS18)+SUMIF($CS$178:$CV$178,CI$178,$CS342:$CV342)</f>
        <v>0</v>
      </c>
      <c r="CJ342" s="229">
        <f>SUMIF(GIU!$G$121:$M$121,CJ$178,GIU!$AM18:$AS18)+SUMIF($CS$178:$CV$178,CJ$178,$CS342:$CV342)</f>
        <v>0</v>
      </c>
      <c r="CK342" s="230">
        <f>SUMIF(GIU!$G$121:$M$121,CK$178,GIU!$AM18:$AS18)+SUMIF($CS$178:$CV$178,CK$178,$CS342:$CV342)</f>
        <v>0</v>
      </c>
      <c r="CL342" s="230">
        <f>SUMIF(GIU!$G$121:$M$121,CL$178,GIU!$AM18:$AS18)+SUMIF($CS$178:$CV$178,CL$178,$CS342:$CV342)</f>
        <v>0</v>
      </c>
      <c r="CM342" s="230">
        <f>SUMIF(GIU!$G$121:$M$121,CM$178,GIU!$AM18:$AS18)+SUMIF($CS$178:$CV$178,CM$178,$CS342:$CV342)</f>
        <v>0</v>
      </c>
      <c r="CN342" s="230">
        <f>SUMIF(GIU!$G$121:$M$121,CN$178,GIU!$AM18:$AS18)+SUMIF($CS$178:$CV$178,CN$178,$CS342:$CV342)</f>
        <v>0</v>
      </c>
      <c r="CO342" s="230">
        <f>SUMIF(GIU!$G$121:$M$121,CO$178,GIU!$AM18:$AS18)+SUMIF($CS$178:$CV$178,CO$178,$CS342:$CV342)</f>
        <v>0</v>
      </c>
      <c r="CP342" s="230">
        <f>SUMIF(GIU!$G$121:$M$121,CP$178,GIU!$AM18:$AS18)+SUMIF($CS$178:$CV$178,CP$178,$CS342:$CV342)</f>
        <v>0</v>
      </c>
      <c r="CQ342" s="231">
        <f>SUMIF(GIU!$G$121:$M$121,CQ$178,GIU!$AM18:$AS18)+SUMIF($CS$178:$CV$178,CQ$178,$CS342:$CV342)</f>
        <v>0</v>
      </c>
      <c r="CR342" s="521">
        <f>GIU!AU18</f>
        <v>0</v>
      </c>
      <c r="CS342" s="228">
        <f>GIU!AV18</f>
        <v>0</v>
      </c>
      <c r="CT342" s="229">
        <f>GIU!AW18</f>
        <v>0</v>
      </c>
      <c r="CU342" s="230">
        <f>GIU!AX18</f>
        <v>0</v>
      </c>
      <c r="CV342" s="231">
        <f>GIU!AY18</f>
        <v>0</v>
      </c>
      <c r="CW342" s="521">
        <f>SUM(GIU!AU18:AY18)</f>
        <v>0</v>
      </c>
      <c r="CX342" s="521">
        <f>GIU!AK18</f>
        <v>0</v>
      </c>
      <c r="CY342" s="2"/>
    </row>
    <row r="343" spans="1:103" ht="14.25" hidden="1" customHeight="1" x14ac:dyDescent="0.2">
      <c r="A343" s="2"/>
      <c r="B343" s="105">
        <f t="shared" si="74"/>
        <v>45455</v>
      </c>
      <c r="C343" s="146">
        <f>IF(AND(E343&gt;(E$562-1),E343&lt;(I$562+1)),W$551,IF(ISERROR(HLOOKUP(E343,$E$555:$L$555,1,FALSE)),HLOOKUP(WEEKDAY(E343,2),IMPOSTAZIONI!$C$52:$P$57,6,FALSE),$W$550))</f>
        <v>0</v>
      </c>
      <c r="D343" s="71" t="str">
        <f t="shared" si="75"/>
        <v/>
      </c>
      <c r="E343" s="2258">
        <f t="shared" si="80"/>
        <v>45455</v>
      </c>
      <c r="F343" s="2259"/>
      <c r="G343" s="2228" t="str">
        <f>GIU!E19</f>
        <v xml:space="preserve">disattivato  </v>
      </c>
      <c r="H343" s="2229"/>
      <c r="I343" s="2230"/>
      <c r="J343" s="262" t="str">
        <f t="shared" si="65"/>
        <v/>
      </c>
      <c r="K343" s="263"/>
      <c r="L343" s="2217">
        <f t="shared" si="81"/>
        <v>24</v>
      </c>
      <c r="M343" s="2218"/>
      <c r="N343" s="261"/>
      <c r="O343" s="261"/>
      <c r="P343" s="261"/>
      <c r="Q343" s="2219">
        <f t="shared" si="76"/>
        <v>45455</v>
      </c>
      <c r="R343" s="2219"/>
      <c r="S343" s="261"/>
      <c r="T343" s="1173">
        <f t="shared" si="66"/>
        <v>1</v>
      </c>
      <c r="U343" s="261"/>
      <c r="V343" s="261"/>
      <c r="W343" s="261"/>
      <c r="X343" s="261"/>
      <c r="Y343" s="261"/>
      <c r="Z343" s="261"/>
      <c r="AA343" s="261"/>
      <c r="AB343" s="261"/>
      <c r="AC343" s="261"/>
      <c r="AD343" s="261"/>
      <c r="AE343" s="261"/>
      <c r="AF343" s="261"/>
      <c r="AG343" s="1173">
        <f t="shared" si="77"/>
        <v>0</v>
      </c>
      <c r="AH343" s="61" t="str">
        <f t="shared" si="78"/>
        <v/>
      </c>
      <c r="AI343" s="89" t="e">
        <f t="shared" si="79"/>
        <v>#N/A</v>
      </c>
      <c r="AJ343" s="2"/>
      <c r="AK343" s="61">
        <f>IF(G343=G$547,0,IF(OR(G343&lt;&gt;0,CH343&lt;&gt;0,C343="L"),COUNTIF(AK$180:AK342,"&gt;0")+1,0))</f>
        <v>0</v>
      </c>
      <c r="AL343" s="61" t="str">
        <f t="shared" si="67"/>
        <v/>
      </c>
      <c r="AM343" s="61" t="e">
        <f t="shared" si="68"/>
        <v>#N/A</v>
      </c>
      <c r="AN343" s="89" t="e">
        <f t="shared" si="69"/>
        <v>#N/A</v>
      </c>
      <c r="AO343" s="230">
        <f>SUM(GIU!X19:AD19)-BD343+AY343</f>
        <v>0</v>
      </c>
      <c r="AP343" s="228">
        <f>SUMIF(GIU!$G$121:$M$121,AP$178,GIU!$P19:$V19)+SUMIF($AZ$178:$BC$178,AP$178,$AZ343:$BC343)</f>
        <v>0</v>
      </c>
      <c r="AQ343" s="229">
        <f>SUMIF(GIU!$G$121:$M$121,AQ$178,GIU!$P19:$V19)+SUMIF($AZ$178:$BC$178,AQ$178,$AZ343:$BC343)</f>
        <v>0</v>
      </c>
      <c r="AR343" s="230">
        <f>SUMIF(GIU!$G$121:$M$121,AR$178,GIU!$P19:$V19)+SUMIF($AZ$178:$BC$178,AR$178,$AZ343:$BC343)</f>
        <v>0</v>
      </c>
      <c r="AS343" s="230">
        <f>SUMIF(GIU!$G$121:$M$121,AS$178,GIU!$P19:$V19)+SUMIF($AZ$178:$BC$178,AS$178,$AZ343:$BC343)</f>
        <v>0</v>
      </c>
      <c r="AT343" s="230">
        <f>SUMIF(GIU!$G$121:$M$121,AT$178,GIU!$P19:$V19)+SUMIF($AZ$178:$BC$178,AT$178,$AZ343:$BC343)</f>
        <v>0</v>
      </c>
      <c r="AU343" s="230">
        <f>SUMIF(GIU!$G$121:$M$121,AU$178,GIU!$P19:$V19)+SUMIF($AZ$178:$BC$178,AU$178,$AZ343:$BC343)</f>
        <v>0</v>
      </c>
      <c r="AV343" s="230">
        <f>SUMIF(GIU!$G$121:$M$121,AV$178,GIU!$P19:$V19)+SUMIF($AZ$178:$BC$178,AV$178,$AZ343:$BC343)</f>
        <v>0</v>
      </c>
      <c r="AW343" s="230">
        <f>SUMIF(GIU!$G$121:$M$121,AW$178,GIU!$P19:$V19)+SUMIF($AZ$178:$BC$178,AW$178,$AZ343:$BC343)</f>
        <v>0</v>
      </c>
      <c r="AX343" s="231">
        <f>SUMIF(GIU!$G$121:$M$121,AX$178,GIU!$P19:$V19)+SUMIF($AZ$178:$BC$178,AX$178,$AZ343:$BC343)</f>
        <v>0</v>
      </c>
      <c r="AY343" s="232">
        <f>GIU!AF19</f>
        <v>0</v>
      </c>
      <c r="AZ343" s="228">
        <f>GIU!AG19</f>
        <v>0</v>
      </c>
      <c r="BA343" s="229">
        <f>GIU!AH19</f>
        <v>0</v>
      </c>
      <c r="BB343" s="230">
        <f>GIU!AI19</f>
        <v>0</v>
      </c>
      <c r="BC343" s="231">
        <f>GIU!AJ19</f>
        <v>0</v>
      </c>
      <c r="BD343" s="228">
        <f>SUMIF(GIU!$G$120:$M$120,"&gt;0",GIU!$X19:$AD19)</f>
        <v>0</v>
      </c>
      <c r="BE343" s="696"/>
      <c r="BF343" s="228">
        <f>SUMIF(GIU!$BA$6:$BG$6,BF$177,GIU!$BA19:$BG19)</f>
        <v>0</v>
      </c>
      <c r="BG343" s="229">
        <f>SUMIF(GIU!$BA$6:$BG$6,BG$177,GIU!$BA19:$BG19)</f>
        <v>0</v>
      </c>
      <c r="BH343" s="229">
        <f>SUMIF(GIU!$BA$6:$BG$6,BH$177,GIU!$BA19:$BG19)</f>
        <v>0</v>
      </c>
      <c r="BI343" s="229">
        <f>SUMIF(GIU!$BA$6:$BG$6,BI$177,GIU!$BA19:$BG19)</f>
        <v>0</v>
      </c>
      <c r="BJ343" s="229">
        <f>SUMIF(GIU!$BA$6:$BG$6,BJ$177,GIU!$BA19:$BG19)</f>
        <v>0</v>
      </c>
      <c r="BK343" s="229">
        <f>SUMIF(GIU!$BA$6:$BG$6,BK$177,GIU!$BA19:$BG19)</f>
        <v>0</v>
      </c>
      <c r="BL343" s="229">
        <f>SUMIF(GIU!$BA$6:$BG$6,BL$177,GIU!$BA19:$BG19)</f>
        <v>0</v>
      </c>
      <c r="BM343" s="229">
        <f>SUMIF(GIU!$BA$6:$BG$6,BM$177,GIU!$BA19:$BG19)</f>
        <v>0</v>
      </c>
      <c r="BN343" s="229">
        <f>SUMIF(GIU!$BA$6:$BG$6,BN$177,GIU!$BA19:$BG19)</f>
        <v>0</v>
      </c>
      <c r="BO343" s="231">
        <f>SUMIF(GIU!$BA$6:$BG$6,BO$177,GIU!$BA19:$BG19)</f>
        <v>0</v>
      </c>
      <c r="BP343" s="231">
        <f>SUMIF(GIU!$BA$6:$BG$6,BP$177,GIU!$BA19:$BG19)</f>
        <v>0</v>
      </c>
      <c r="BQ343" s="252"/>
      <c r="BR343" s="228">
        <f>SUMIF(GIU!$BA$5:$BG$5,BR$177,GIU!$BA19:$BG19)</f>
        <v>0</v>
      </c>
      <c r="BS343" s="229">
        <f>SUMIF(GIU!$BA$5:$BG$5,BS$177,GIU!$BA19:$BG19)</f>
        <v>0</v>
      </c>
      <c r="BT343" s="229">
        <f>SUMIF(GIU!$BA$5:$BG$5,BT$177,GIU!$BA19:$BG19)</f>
        <v>0</v>
      </c>
      <c r="BU343" s="229">
        <f>SUMIF(GIU!$BA$5:$BG$5,BU$177,GIU!$BA19:$BG19)</f>
        <v>0</v>
      </c>
      <c r="BV343" s="229">
        <f>SUMIF(GIU!$BA$5:$BG$5,BV$177,GIU!$BA19:$BG19)</f>
        <v>0</v>
      </c>
      <c r="BW343" s="229">
        <f>SUMIF(GIU!$BA$5:$BG$5,BW$177,GIU!$BA19:$BG19)</f>
        <v>0</v>
      </c>
      <c r="BX343" s="230">
        <f>SUMIF(GIU!$BA$5:$BG$5,BX$177,GIU!$BA19:$BG19)</f>
        <v>0</v>
      </c>
      <c r="BY343" s="998">
        <f>SUMIF(GIU!$BA$5:$BG$5,BY$177,GIU!$BA19:$BG19)</f>
        <v>0</v>
      </c>
      <c r="CB343" s="252"/>
      <c r="CC343" s="61" t="e">
        <f t="shared" si="70"/>
        <v>#N/A</v>
      </c>
      <c r="CD343" s="61">
        <f t="shared" si="71"/>
        <v>0</v>
      </c>
      <c r="CE343" s="105" t="str">
        <f t="shared" si="64"/>
        <v/>
      </c>
      <c r="CF343" s="61" t="e">
        <f t="shared" si="72"/>
        <v>#N/A</v>
      </c>
      <c r="CG343" s="61" t="e">
        <f t="shared" si="73"/>
        <v>#N/A</v>
      </c>
      <c r="CH343" s="521">
        <f>GIU!AL19-CW343+CR343</f>
        <v>0</v>
      </c>
      <c r="CI343" s="228">
        <f>SUMIF(GIU!$G$121:$M$121,CI$178,GIU!$AM19:$AS19)+SUMIF($CS$178:$CV$178,CI$178,$CS343:$CV343)</f>
        <v>0</v>
      </c>
      <c r="CJ343" s="229">
        <f>SUMIF(GIU!$G$121:$M$121,CJ$178,GIU!$AM19:$AS19)+SUMIF($CS$178:$CV$178,CJ$178,$CS343:$CV343)</f>
        <v>0</v>
      </c>
      <c r="CK343" s="230">
        <f>SUMIF(GIU!$G$121:$M$121,CK$178,GIU!$AM19:$AS19)+SUMIF($CS$178:$CV$178,CK$178,$CS343:$CV343)</f>
        <v>0</v>
      </c>
      <c r="CL343" s="230">
        <f>SUMIF(GIU!$G$121:$M$121,CL$178,GIU!$AM19:$AS19)+SUMIF($CS$178:$CV$178,CL$178,$CS343:$CV343)</f>
        <v>0</v>
      </c>
      <c r="CM343" s="230">
        <f>SUMIF(GIU!$G$121:$M$121,CM$178,GIU!$AM19:$AS19)+SUMIF($CS$178:$CV$178,CM$178,$CS343:$CV343)</f>
        <v>0</v>
      </c>
      <c r="CN343" s="230">
        <f>SUMIF(GIU!$G$121:$M$121,CN$178,GIU!$AM19:$AS19)+SUMIF($CS$178:$CV$178,CN$178,$CS343:$CV343)</f>
        <v>0</v>
      </c>
      <c r="CO343" s="230">
        <f>SUMIF(GIU!$G$121:$M$121,CO$178,GIU!$AM19:$AS19)+SUMIF($CS$178:$CV$178,CO$178,$CS343:$CV343)</f>
        <v>0</v>
      </c>
      <c r="CP343" s="230">
        <f>SUMIF(GIU!$G$121:$M$121,CP$178,GIU!$AM19:$AS19)+SUMIF($CS$178:$CV$178,CP$178,$CS343:$CV343)</f>
        <v>0</v>
      </c>
      <c r="CQ343" s="231">
        <f>SUMIF(GIU!$G$121:$M$121,CQ$178,GIU!$AM19:$AS19)+SUMIF($CS$178:$CV$178,CQ$178,$CS343:$CV343)</f>
        <v>0</v>
      </c>
      <c r="CR343" s="521">
        <f>GIU!AU19</f>
        <v>0</v>
      </c>
      <c r="CS343" s="228">
        <f>GIU!AV19</f>
        <v>0</v>
      </c>
      <c r="CT343" s="229">
        <f>GIU!AW19</f>
        <v>0</v>
      </c>
      <c r="CU343" s="230">
        <f>GIU!AX19</f>
        <v>0</v>
      </c>
      <c r="CV343" s="231">
        <f>GIU!AY19</f>
        <v>0</v>
      </c>
      <c r="CW343" s="521">
        <f>SUM(GIU!AU19:AY19)</f>
        <v>0</v>
      </c>
      <c r="CX343" s="521">
        <f>GIU!AK19</f>
        <v>0</v>
      </c>
      <c r="CY343" s="2"/>
    </row>
    <row r="344" spans="1:103" ht="14.25" hidden="1" customHeight="1" x14ac:dyDescent="0.2">
      <c r="A344" s="2"/>
      <c r="B344" s="105">
        <f t="shared" si="74"/>
        <v>45456</v>
      </c>
      <c r="C344" s="146">
        <f>IF(AND(E344&gt;(E$562-1),E344&lt;(I$562+1)),W$551,IF(ISERROR(HLOOKUP(E344,$E$555:$L$555,1,FALSE)),HLOOKUP(WEEKDAY(E344,2),IMPOSTAZIONI!$C$52:$P$57,6,FALSE),$W$550))</f>
        <v>0</v>
      </c>
      <c r="D344" s="71" t="str">
        <f t="shared" si="75"/>
        <v/>
      </c>
      <c r="E344" s="2258">
        <f t="shared" si="80"/>
        <v>45456</v>
      </c>
      <c r="F344" s="2259"/>
      <c r="G344" s="2228" t="str">
        <f>GIU!E20</f>
        <v xml:space="preserve">disattivato  </v>
      </c>
      <c r="H344" s="2229"/>
      <c r="I344" s="2230"/>
      <c r="J344" s="262" t="str">
        <f t="shared" si="65"/>
        <v/>
      </c>
      <c r="K344" s="263"/>
      <c r="L344" s="2217">
        <f t="shared" si="81"/>
        <v>24</v>
      </c>
      <c r="M344" s="2218"/>
      <c r="N344" s="261"/>
      <c r="O344" s="261"/>
      <c r="P344" s="261"/>
      <c r="Q344" s="2219">
        <f t="shared" si="76"/>
        <v>45456</v>
      </c>
      <c r="R344" s="2219"/>
      <c r="S344" s="261"/>
      <c r="T344" s="1173">
        <f t="shared" si="66"/>
        <v>1</v>
      </c>
      <c r="U344" s="261"/>
      <c r="V344" s="261"/>
      <c r="W344" s="261"/>
      <c r="X344" s="261"/>
      <c r="Y344" s="261"/>
      <c r="Z344" s="261"/>
      <c r="AA344" s="261"/>
      <c r="AB344" s="261"/>
      <c r="AC344" s="261"/>
      <c r="AD344" s="261"/>
      <c r="AE344" s="261"/>
      <c r="AF344" s="261"/>
      <c r="AG344" s="1173">
        <f t="shared" si="77"/>
        <v>0</v>
      </c>
      <c r="AH344" s="61" t="str">
        <f t="shared" si="78"/>
        <v/>
      </c>
      <c r="AI344" s="89" t="e">
        <f t="shared" si="79"/>
        <v>#N/A</v>
      </c>
      <c r="AJ344" s="2"/>
      <c r="AK344" s="61">
        <f>IF(G344=G$547,0,IF(OR(G344&lt;&gt;0,CH344&lt;&gt;0,C344="L"),COUNTIF(AK$180:AK343,"&gt;0")+1,0))</f>
        <v>0</v>
      </c>
      <c r="AL344" s="61" t="str">
        <f t="shared" si="67"/>
        <v/>
      </c>
      <c r="AM344" s="61" t="e">
        <f t="shared" si="68"/>
        <v>#N/A</v>
      </c>
      <c r="AN344" s="89" t="e">
        <f t="shared" si="69"/>
        <v>#N/A</v>
      </c>
      <c r="AO344" s="230">
        <f>SUM(GIU!X20:AD20)-BD344+AY344</f>
        <v>0</v>
      </c>
      <c r="AP344" s="228">
        <f>SUMIF(GIU!$G$121:$M$121,AP$178,GIU!$P20:$V20)+SUMIF($AZ$178:$BC$178,AP$178,$AZ344:$BC344)</f>
        <v>0</v>
      </c>
      <c r="AQ344" s="229">
        <f>SUMIF(GIU!$G$121:$M$121,AQ$178,GIU!$P20:$V20)+SUMIF($AZ$178:$BC$178,AQ$178,$AZ344:$BC344)</f>
        <v>0</v>
      </c>
      <c r="AR344" s="230">
        <f>SUMIF(GIU!$G$121:$M$121,AR$178,GIU!$P20:$V20)+SUMIF($AZ$178:$BC$178,AR$178,$AZ344:$BC344)</f>
        <v>0</v>
      </c>
      <c r="AS344" s="230">
        <f>SUMIF(GIU!$G$121:$M$121,AS$178,GIU!$P20:$V20)+SUMIF($AZ$178:$BC$178,AS$178,$AZ344:$BC344)</f>
        <v>0</v>
      </c>
      <c r="AT344" s="230">
        <f>SUMIF(GIU!$G$121:$M$121,AT$178,GIU!$P20:$V20)+SUMIF($AZ$178:$BC$178,AT$178,$AZ344:$BC344)</f>
        <v>0</v>
      </c>
      <c r="AU344" s="230">
        <f>SUMIF(GIU!$G$121:$M$121,AU$178,GIU!$P20:$V20)+SUMIF($AZ$178:$BC$178,AU$178,$AZ344:$BC344)</f>
        <v>0</v>
      </c>
      <c r="AV344" s="230">
        <f>SUMIF(GIU!$G$121:$M$121,AV$178,GIU!$P20:$V20)+SUMIF($AZ$178:$BC$178,AV$178,$AZ344:$BC344)</f>
        <v>0</v>
      </c>
      <c r="AW344" s="230">
        <f>SUMIF(GIU!$G$121:$M$121,AW$178,GIU!$P20:$V20)+SUMIF($AZ$178:$BC$178,AW$178,$AZ344:$BC344)</f>
        <v>0</v>
      </c>
      <c r="AX344" s="231">
        <f>SUMIF(GIU!$G$121:$M$121,AX$178,GIU!$P20:$V20)+SUMIF($AZ$178:$BC$178,AX$178,$AZ344:$BC344)</f>
        <v>0</v>
      </c>
      <c r="AY344" s="232">
        <f>GIU!AF20</f>
        <v>0</v>
      </c>
      <c r="AZ344" s="228">
        <f>GIU!AG20</f>
        <v>0</v>
      </c>
      <c r="BA344" s="229">
        <f>GIU!AH20</f>
        <v>0</v>
      </c>
      <c r="BB344" s="230">
        <f>GIU!AI20</f>
        <v>0</v>
      </c>
      <c r="BC344" s="231">
        <f>GIU!AJ20</f>
        <v>0</v>
      </c>
      <c r="BD344" s="228">
        <f>SUMIF(GIU!$G$120:$M$120,"&gt;0",GIU!$X20:$AD20)</f>
        <v>0</v>
      </c>
      <c r="BE344" s="696"/>
      <c r="BF344" s="228">
        <f>SUMIF(GIU!$BA$6:$BG$6,BF$177,GIU!$BA20:$BG20)</f>
        <v>0</v>
      </c>
      <c r="BG344" s="229">
        <f>SUMIF(GIU!$BA$6:$BG$6,BG$177,GIU!$BA20:$BG20)</f>
        <v>0</v>
      </c>
      <c r="BH344" s="229">
        <f>SUMIF(GIU!$BA$6:$BG$6,BH$177,GIU!$BA20:$BG20)</f>
        <v>0</v>
      </c>
      <c r="BI344" s="229">
        <f>SUMIF(GIU!$BA$6:$BG$6,BI$177,GIU!$BA20:$BG20)</f>
        <v>0</v>
      </c>
      <c r="BJ344" s="229">
        <f>SUMIF(GIU!$BA$6:$BG$6,BJ$177,GIU!$BA20:$BG20)</f>
        <v>0</v>
      </c>
      <c r="BK344" s="229">
        <f>SUMIF(GIU!$BA$6:$BG$6,BK$177,GIU!$BA20:$BG20)</f>
        <v>0</v>
      </c>
      <c r="BL344" s="229">
        <f>SUMIF(GIU!$BA$6:$BG$6,BL$177,GIU!$BA20:$BG20)</f>
        <v>0</v>
      </c>
      <c r="BM344" s="229">
        <f>SUMIF(GIU!$BA$6:$BG$6,BM$177,GIU!$BA20:$BG20)</f>
        <v>0</v>
      </c>
      <c r="BN344" s="229">
        <f>SUMIF(GIU!$BA$6:$BG$6,BN$177,GIU!$BA20:$BG20)</f>
        <v>0</v>
      </c>
      <c r="BO344" s="231">
        <f>SUMIF(GIU!$BA$6:$BG$6,BO$177,GIU!$BA20:$BG20)</f>
        <v>0</v>
      </c>
      <c r="BP344" s="231">
        <f>SUMIF(GIU!$BA$6:$BG$6,BP$177,GIU!$BA20:$BG20)</f>
        <v>0</v>
      </c>
      <c r="BQ344" s="252"/>
      <c r="BR344" s="228">
        <f>SUMIF(GIU!$BA$5:$BG$5,BR$177,GIU!$BA20:$BG20)</f>
        <v>0</v>
      </c>
      <c r="BS344" s="229">
        <f>SUMIF(GIU!$BA$5:$BG$5,BS$177,GIU!$BA20:$BG20)</f>
        <v>0</v>
      </c>
      <c r="BT344" s="229">
        <f>SUMIF(GIU!$BA$5:$BG$5,BT$177,GIU!$BA20:$BG20)</f>
        <v>0</v>
      </c>
      <c r="BU344" s="229">
        <f>SUMIF(GIU!$BA$5:$BG$5,BU$177,GIU!$BA20:$BG20)</f>
        <v>0</v>
      </c>
      <c r="BV344" s="229">
        <f>SUMIF(GIU!$BA$5:$BG$5,BV$177,GIU!$BA20:$BG20)</f>
        <v>0</v>
      </c>
      <c r="BW344" s="229">
        <f>SUMIF(GIU!$BA$5:$BG$5,BW$177,GIU!$BA20:$BG20)</f>
        <v>0</v>
      </c>
      <c r="BX344" s="230">
        <f>SUMIF(GIU!$BA$5:$BG$5,BX$177,GIU!$BA20:$BG20)</f>
        <v>0</v>
      </c>
      <c r="BY344" s="998">
        <f>SUMIF(GIU!$BA$5:$BG$5,BY$177,GIU!$BA20:$BG20)</f>
        <v>0</v>
      </c>
      <c r="CB344" s="252"/>
      <c r="CC344" s="61" t="e">
        <f t="shared" si="70"/>
        <v>#N/A</v>
      </c>
      <c r="CD344" s="61">
        <f t="shared" si="71"/>
        <v>0</v>
      </c>
      <c r="CE344" s="105" t="str">
        <f t="shared" si="64"/>
        <v/>
      </c>
      <c r="CF344" s="61" t="e">
        <f t="shared" si="72"/>
        <v>#N/A</v>
      </c>
      <c r="CG344" s="61" t="e">
        <f t="shared" si="73"/>
        <v>#N/A</v>
      </c>
      <c r="CH344" s="521">
        <f>GIU!AL20-CW344+CR344</f>
        <v>0</v>
      </c>
      <c r="CI344" s="228">
        <f>SUMIF(GIU!$G$121:$M$121,CI$178,GIU!$AM20:$AS20)+SUMIF($CS$178:$CV$178,CI$178,$CS344:$CV344)</f>
        <v>0</v>
      </c>
      <c r="CJ344" s="229">
        <f>SUMIF(GIU!$G$121:$M$121,CJ$178,GIU!$AM20:$AS20)+SUMIF($CS$178:$CV$178,CJ$178,$CS344:$CV344)</f>
        <v>0</v>
      </c>
      <c r="CK344" s="230">
        <f>SUMIF(GIU!$G$121:$M$121,CK$178,GIU!$AM20:$AS20)+SUMIF($CS$178:$CV$178,CK$178,$CS344:$CV344)</f>
        <v>0</v>
      </c>
      <c r="CL344" s="230">
        <f>SUMIF(GIU!$G$121:$M$121,CL$178,GIU!$AM20:$AS20)+SUMIF($CS$178:$CV$178,CL$178,$CS344:$CV344)</f>
        <v>0</v>
      </c>
      <c r="CM344" s="230">
        <f>SUMIF(GIU!$G$121:$M$121,CM$178,GIU!$AM20:$AS20)+SUMIF($CS$178:$CV$178,CM$178,$CS344:$CV344)</f>
        <v>0</v>
      </c>
      <c r="CN344" s="230">
        <f>SUMIF(GIU!$G$121:$M$121,CN$178,GIU!$AM20:$AS20)+SUMIF($CS$178:$CV$178,CN$178,$CS344:$CV344)</f>
        <v>0</v>
      </c>
      <c r="CO344" s="230">
        <f>SUMIF(GIU!$G$121:$M$121,CO$178,GIU!$AM20:$AS20)+SUMIF($CS$178:$CV$178,CO$178,$CS344:$CV344)</f>
        <v>0</v>
      </c>
      <c r="CP344" s="230">
        <f>SUMIF(GIU!$G$121:$M$121,CP$178,GIU!$AM20:$AS20)+SUMIF($CS$178:$CV$178,CP$178,$CS344:$CV344)</f>
        <v>0</v>
      </c>
      <c r="CQ344" s="231">
        <f>SUMIF(GIU!$G$121:$M$121,CQ$178,GIU!$AM20:$AS20)+SUMIF($CS$178:$CV$178,CQ$178,$CS344:$CV344)</f>
        <v>0</v>
      </c>
      <c r="CR344" s="521">
        <f>GIU!AU20</f>
        <v>0</v>
      </c>
      <c r="CS344" s="228">
        <f>GIU!AV20</f>
        <v>0</v>
      </c>
      <c r="CT344" s="229">
        <f>GIU!AW20</f>
        <v>0</v>
      </c>
      <c r="CU344" s="230">
        <f>GIU!AX20</f>
        <v>0</v>
      </c>
      <c r="CV344" s="231">
        <f>GIU!AY20</f>
        <v>0</v>
      </c>
      <c r="CW344" s="521">
        <f>SUM(GIU!AU20:AY20)</f>
        <v>0</v>
      </c>
      <c r="CX344" s="521">
        <f>GIU!AK20</f>
        <v>0</v>
      </c>
      <c r="CY344" s="2"/>
    </row>
    <row r="345" spans="1:103" ht="14.25" hidden="1" customHeight="1" x14ac:dyDescent="0.2">
      <c r="A345" s="2"/>
      <c r="B345" s="105">
        <f t="shared" si="74"/>
        <v>45457</v>
      </c>
      <c r="C345" s="146">
        <f>IF(AND(E345&gt;(E$562-1),E345&lt;(I$562+1)),W$551,IF(ISERROR(HLOOKUP(E345,$E$555:$L$555,1,FALSE)),HLOOKUP(WEEKDAY(E345,2),IMPOSTAZIONI!$C$52:$P$57,6,FALSE),$W$550))</f>
        <v>0</v>
      </c>
      <c r="D345" s="71" t="str">
        <f t="shared" si="75"/>
        <v/>
      </c>
      <c r="E345" s="2258">
        <f t="shared" si="80"/>
        <v>45457</v>
      </c>
      <c r="F345" s="2259"/>
      <c r="G345" s="2228" t="str">
        <f>GIU!E21</f>
        <v xml:space="preserve">disattivato  </v>
      </c>
      <c r="H345" s="2229"/>
      <c r="I345" s="2230"/>
      <c r="J345" s="262" t="str">
        <f t="shared" si="65"/>
        <v/>
      </c>
      <c r="K345" s="263"/>
      <c r="L345" s="2217">
        <f t="shared" si="81"/>
        <v>24</v>
      </c>
      <c r="M345" s="2218"/>
      <c r="N345" s="261"/>
      <c r="O345" s="261"/>
      <c r="P345" s="261"/>
      <c r="Q345" s="2219">
        <f t="shared" si="76"/>
        <v>45457</v>
      </c>
      <c r="R345" s="2219"/>
      <c r="S345" s="261"/>
      <c r="T345" s="1173">
        <f t="shared" si="66"/>
        <v>1</v>
      </c>
      <c r="U345" s="261"/>
      <c r="V345" s="261"/>
      <c r="W345" s="261"/>
      <c r="X345" s="261"/>
      <c r="Y345" s="261"/>
      <c r="Z345" s="261"/>
      <c r="AA345" s="261"/>
      <c r="AB345" s="261"/>
      <c r="AC345" s="261"/>
      <c r="AD345" s="261"/>
      <c r="AE345" s="261"/>
      <c r="AF345" s="261"/>
      <c r="AG345" s="1173">
        <f t="shared" si="77"/>
        <v>0</v>
      </c>
      <c r="AH345" s="61" t="str">
        <f t="shared" si="78"/>
        <v/>
      </c>
      <c r="AI345" s="89" t="e">
        <f t="shared" si="79"/>
        <v>#N/A</v>
      </c>
      <c r="AJ345" s="2"/>
      <c r="AK345" s="61">
        <f>IF(G345=G$547,0,IF(OR(G345&lt;&gt;0,CH345&lt;&gt;0,C345="L"),COUNTIF(AK$180:AK344,"&gt;0")+1,0))</f>
        <v>0</v>
      </c>
      <c r="AL345" s="61" t="str">
        <f t="shared" si="67"/>
        <v/>
      </c>
      <c r="AM345" s="61" t="e">
        <f t="shared" si="68"/>
        <v>#N/A</v>
      </c>
      <c r="AN345" s="89" t="e">
        <f t="shared" si="69"/>
        <v>#N/A</v>
      </c>
      <c r="AO345" s="230">
        <f>SUM(GIU!X21:AD21)-BD345+AY345</f>
        <v>0</v>
      </c>
      <c r="AP345" s="228">
        <f>SUMIF(GIU!$G$121:$M$121,AP$178,GIU!$P21:$V21)+SUMIF($AZ$178:$BC$178,AP$178,$AZ345:$BC345)</f>
        <v>0</v>
      </c>
      <c r="AQ345" s="229">
        <f>SUMIF(GIU!$G$121:$M$121,AQ$178,GIU!$P21:$V21)+SUMIF($AZ$178:$BC$178,AQ$178,$AZ345:$BC345)</f>
        <v>0</v>
      </c>
      <c r="AR345" s="230">
        <f>SUMIF(GIU!$G$121:$M$121,AR$178,GIU!$P21:$V21)+SUMIF($AZ$178:$BC$178,AR$178,$AZ345:$BC345)</f>
        <v>0</v>
      </c>
      <c r="AS345" s="230">
        <f>SUMIF(GIU!$G$121:$M$121,AS$178,GIU!$P21:$V21)+SUMIF($AZ$178:$BC$178,AS$178,$AZ345:$BC345)</f>
        <v>0</v>
      </c>
      <c r="AT345" s="230">
        <f>SUMIF(GIU!$G$121:$M$121,AT$178,GIU!$P21:$V21)+SUMIF($AZ$178:$BC$178,AT$178,$AZ345:$BC345)</f>
        <v>0</v>
      </c>
      <c r="AU345" s="230">
        <f>SUMIF(GIU!$G$121:$M$121,AU$178,GIU!$P21:$V21)+SUMIF($AZ$178:$BC$178,AU$178,$AZ345:$BC345)</f>
        <v>0</v>
      </c>
      <c r="AV345" s="230">
        <f>SUMIF(GIU!$G$121:$M$121,AV$178,GIU!$P21:$V21)+SUMIF($AZ$178:$BC$178,AV$178,$AZ345:$BC345)</f>
        <v>0</v>
      </c>
      <c r="AW345" s="230">
        <f>SUMIF(GIU!$G$121:$M$121,AW$178,GIU!$P21:$V21)+SUMIF($AZ$178:$BC$178,AW$178,$AZ345:$BC345)</f>
        <v>0</v>
      </c>
      <c r="AX345" s="231">
        <f>SUMIF(GIU!$G$121:$M$121,AX$178,GIU!$P21:$V21)+SUMIF($AZ$178:$BC$178,AX$178,$AZ345:$BC345)</f>
        <v>0</v>
      </c>
      <c r="AY345" s="232">
        <f>GIU!AF21</f>
        <v>0</v>
      </c>
      <c r="AZ345" s="228">
        <f>GIU!AG21</f>
        <v>0</v>
      </c>
      <c r="BA345" s="229">
        <f>GIU!AH21</f>
        <v>0</v>
      </c>
      <c r="BB345" s="230">
        <f>GIU!AI21</f>
        <v>0</v>
      </c>
      <c r="BC345" s="231">
        <f>GIU!AJ21</f>
        <v>0</v>
      </c>
      <c r="BD345" s="228">
        <f>SUMIF(GIU!$G$120:$M$120,"&gt;0",GIU!$X21:$AD21)</f>
        <v>0</v>
      </c>
      <c r="BE345" s="696"/>
      <c r="BF345" s="228">
        <f>SUMIF(GIU!$BA$6:$BG$6,BF$177,GIU!$BA21:$BG21)</f>
        <v>0</v>
      </c>
      <c r="BG345" s="229">
        <f>SUMIF(GIU!$BA$6:$BG$6,BG$177,GIU!$BA21:$BG21)</f>
        <v>0</v>
      </c>
      <c r="BH345" s="229">
        <f>SUMIF(GIU!$BA$6:$BG$6,BH$177,GIU!$BA21:$BG21)</f>
        <v>0</v>
      </c>
      <c r="BI345" s="229">
        <f>SUMIF(GIU!$BA$6:$BG$6,BI$177,GIU!$BA21:$BG21)</f>
        <v>0</v>
      </c>
      <c r="BJ345" s="229">
        <f>SUMIF(GIU!$BA$6:$BG$6,BJ$177,GIU!$BA21:$BG21)</f>
        <v>0</v>
      </c>
      <c r="BK345" s="229">
        <f>SUMIF(GIU!$BA$6:$BG$6,BK$177,GIU!$BA21:$BG21)</f>
        <v>0</v>
      </c>
      <c r="BL345" s="229">
        <f>SUMIF(GIU!$BA$6:$BG$6,BL$177,GIU!$BA21:$BG21)</f>
        <v>0</v>
      </c>
      <c r="BM345" s="229">
        <f>SUMIF(GIU!$BA$6:$BG$6,BM$177,GIU!$BA21:$BG21)</f>
        <v>0</v>
      </c>
      <c r="BN345" s="229">
        <f>SUMIF(GIU!$BA$6:$BG$6,BN$177,GIU!$BA21:$BG21)</f>
        <v>0</v>
      </c>
      <c r="BO345" s="231">
        <f>SUMIF(GIU!$BA$6:$BG$6,BO$177,GIU!$BA21:$BG21)</f>
        <v>0</v>
      </c>
      <c r="BP345" s="231">
        <f>SUMIF(GIU!$BA$6:$BG$6,BP$177,GIU!$BA21:$BG21)</f>
        <v>0</v>
      </c>
      <c r="BQ345" s="252"/>
      <c r="BR345" s="228">
        <f>SUMIF(GIU!$BA$5:$BG$5,BR$177,GIU!$BA21:$BG21)</f>
        <v>0</v>
      </c>
      <c r="BS345" s="229">
        <f>SUMIF(GIU!$BA$5:$BG$5,BS$177,GIU!$BA21:$BG21)</f>
        <v>0</v>
      </c>
      <c r="BT345" s="229">
        <f>SUMIF(GIU!$BA$5:$BG$5,BT$177,GIU!$BA21:$BG21)</f>
        <v>0</v>
      </c>
      <c r="BU345" s="229">
        <f>SUMIF(GIU!$BA$5:$BG$5,BU$177,GIU!$BA21:$BG21)</f>
        <v>0</v>
      </c>
      <c r="BV345" s="229">
        <f>SUMIF(GIU!$BA$5:$BG$5,BV$177,GIU!$BA21:$BG21)</f>
        <v>0</v>
      </c>
      <c r="BW345" s="229">
        <f>SUMIF(GIU!$BA$5:$BG$5,BW$177,GIU!$BA21:$BG21)</f>
        <v>0</v>
      </c>
      <c r="BX345" s="230">
        <f>SUMIF(GIU!$BA$5:$BG$5,BX$177,GIU!$BA21:$BG21)</f>
        <v>0</v>
      </c>
      <c r="BY345" s="998">
        <f>SUMIF(GIU!$BA$5:$BG$5,BY$177,GIU!$BA21:$BG21)</f>
        <v>0</v>
      </c>
      <c r="CB345" s="252"/>
      <c r="CC345" s="61" t="e">
        <f t="shared" si="70"/>
        <v>#N/A</v>
      </c>
      <c r="CD345" s="61">
        <f t="shared" si="71"/>
        <v>0</v>
      </c>
      <c r="CE345" s="105" t="str">
        <f t="shared" si="64"/>
        <v/>
      </c>
      <c r="CF345" s="61" t="e">
        <f t="shared" si="72"/>
        <v>#N/A</v>
      </c>
      <c r="CG345" s="61" t="e">
        <f t="shared" si="73"/>
        <v>#N/A</v>
      </c>
      <c r="CH345" s="521">
        <f>GIU!AL21-CW345+CR345</f>
        <v>0</v>
      </c>
      <c r="CI345" s="228">
        <f>SUMIF(GIU!$G$121:$M$121,CI$178,GIU!$AM21:$AS21)+SUMIF($CS$178:$CV$178,CI$178,$CS345:$CV345)</f>
        <v>0</v>
      </c>
      <c r="CJ345" s="229">
        <f>SUMIF(GIU!$G$121:$M$121,CJ$178,GIU!$AM21:$AS21)+SUMIF($CS$178:$CV$178,CJ$178,$CS345:$CV345)</f>
        <v>0</v>
      </c>
      <c r="CK345" s="230">
        <f>SUMIF(GIU!$G$121:$M$121,CK$178,GIU!$AM21:$AS21)+SUMIF($CS$178:$CV$178,CK$178,$CS345:$CV345)</f>
        <v>0</v>
      </c>
      <c r="CL345" s="230">
        <f>SUMIF(GIU!$G$121:$M$121,CL$178,GIU!$AM21:$AS21)+SUMIF($CS$178:$CV$178,CL$178,$CS345:$CV345)</f>
        <v>0</v>
      </c>
      <c r="CM345" s="230">
        <f>SUMIF(GIU!$G$121:$M$121,CM$178,GIU!$AM21:$AS21)+SUMIF($CS$178:$CV$178,CM$178,$CS345:$CV345)</f>
        <v>0</v>
      </c>
      <c r="CN345" s="230">
        <f>SUMIF(GIU!$G$121:$M$121,CN$178,GIU!$AM21:$AS21)+SUMIF($CS$178:$CV$178,CN$178,$CS345:$CV345)</f>
        <v>0</v>
      </c>
      <c r="CO345" s="230">
        <f>SUMIF(GIU!$G$121:$M$121,CO$178,GIU!$AM21:$AS21)+SUMIF($CS$178:$CV$178,CO$178,$CS345:$CV345)</f>
        <v>0</v>
      </c>
      <c r="CP345" s="230">
        <f>SUMIF(GIU!$G$121:$M$121,CP$178,GIU!$AM21:$AS21)+SUMIF($CS$178:$CV$178,CP$178,$CS345:$CV345)</f>
        <v>0</v>
      </c>
      <c r="CQ345" s="231">
        <f>SUMIF(GIU!$G$121:$M$121,CQ$178,GIU!$AM21:$AS21)+SUMIF($CS$178:$CV$178,CQ$178,$CS345:$CV345)</f>
        <v>0</v>
      </c>
      <c r="CR345" s="521">
        <f>GIU!AU21</f>
        <v>0</v>
      </c>
      <c r="CS345" s="228">
        <f>GIU!AV21</f>
        <v>0</v>
      </c>
      <c r="CT345" s="229">
        <f>GIU!AW21</f>
        <v>0</v>
      </c>
      <c r="CU345" s="230">
        <f>GIU!AX21</f>
        <v>0</v>
      </c>
      <c r="CV345" s="231">
        <f>GIU!AY21</f>
        <v>0</v>
      </c>
      <c r="CW345" s="521">
        <f>SUM(GIU!AU21:AY21)</f>
        <v>0</v>
      </c>
      <c r="CX345" s="521">
        <f>GIU!AK21</f>
        <v>0</v>
      </c>
      <c r="CY345" s="2"/>
    </row>
    <row r="346" spans="1:103" ht="14.25" hidden="1" customHeight="1" x14ac:dyDescent="0.2">
      <c r="A346" s="2"/>
      <c r="B346" s="105">
        <f t="shared" si="74"/>
        <v>45458</v>
      </c>
      <c r="C346" s="146">
        <f>IF(AND(E346&gt;(E$562-1),E346&lt;(I$562+1)),W$551,IF(ISERROR(HLOOKUP(E346,$E$555:$L$555,1,FALSE)),HLOOKUP(WEEKDAY(E346,2),IMPOSTAZIONI!$C$52:$P$57,6,FALSE),$W$550))</f>
        <v>0</v>
      </c>
      <c r="D346" s="71" t="str">
        <f t="shared" si="75"/>
        <v/>
      </c>
      <c r="E346" s="2258">
        <f t="shared" si="80"/>
        <v>45458</v>
      </c>
      <c r="F346" s="2259"/>
      <c r="G346" s="2228" t="str">
        <f>GIU!E22</f>
        <v xml:space="preserve">disattivato  </v>
      </c>
      <c r="H346" s="2229"/>
      <c r="I346" s="2230"/>
      <c r="J346" s="262" t="str">
        <f t="shared" si="65"/>
        <v/>
      </c>
      <c r="K346" s="263"/>
      <c r="L346" s="2217">
        <f t="shared" si="81"/>
        <v>24</v>
      </c>
      <c r="M346" s="2218"/>
      <c r="N346" s="261"/>
      <c r="O346" s="261"/>
      <c r="P346" s="261"/>
      <c r="Q346" s="2219">
        <f t="shared" si="76"/>
        <v>45458</v>
      </c>
      <c r="R346" s="2219"/>
      <c r="S346" s="261"/>
      <c r="T346" s="1173">
        <f t="shared" si="66"/>
        <v>1</v>
      </c>
      <c r="U346" s="261"/>
      <c r="V346" s="261"/>
      <c r="W346" s="261"/>
      <c r="X346" s="261"/>
      <c r="Y346" s="261"/>
      <c r="Z346" s="261"/>
      <c r="AA346" s="261"/>
      <c r="AB346" s="261"/>
      <c r="AC346" s="261"/>
      <c r="AD346" s="261"/>
      <c r="AE346" s="261"/>
      <c r="AF346" s="261"/>
      <c r="AG346" s="1173">
        <f t="shared" si="77"/>
        <v>0</v>
      </c>
      <c r="AH346" s="61" t="str">
        <f t="shared" si="78"/>
        <v/>
      </c>
      <c r="AI346" s="89" t="e">
        <f t="shared" si="79"/>
        <v>#N/A</v>
      </c>
      <c r="AJ346" s="2"/>
      <c r="AK346" s="61">
        <f>IF(G346=G$547,0,IF(OR(G346&lt;&gt;0,CH346&lt;&gt;0,C346="L"),COUNTIF(AK$180:AK345,"&gt;0")+1,0))</f>
        <v>0</v>
      </c>
      <c r="AL346" s="61" t="str">
        <f t="shared" si="67"/>
        <v/>
      </c>
      <c r="AM346" s="61" t="e">
        <f t="shared" si="68"/>
        <v>#N/A</v>
      </c>
      <c r="AN346" s="89" t="e">
        <f t="shared" si="69"/>
        <v>#N/A</v>
      </c>
      <c r="AO346" s="230">
        <f>SUM(GIU!X22:AD22)-BD346+AY346</f>
        <v>0</v>
      </c>
      <c r="AP346" s="228">
        <f>SUMIF(GIU!$G$121:$M$121,AP$178,GIU!$P22:$V22)+SUMIF($AZ$178:$BC$178,AP$178,$AZ346:$BC346)</f>
        <v>0</v>
      </c>
      <c r="AQ346" s="229">
        <f>SUMIF(GIU!$G$121:$M$121,AQ$178,GIU!$P22:$V22)+SUMIF($AZ$178:$BC$178,AQ$178,$AZ346:$BC346)</f>
        <v>0</v>
      </c>
      <c r="AR346" s="230">
        <f>SUMIF(GIU!$G$121:$M$121,AR$178,GIU!$P22:$V22)+SUMIF($AZ$178:$BC$178,AR$178,$AZ346:$BC346)</f>
        <v>0</v>
      </c>
      <c r="AS346" s="230">
        <f>SUMIF(GIU!$G$121:$M$121,AS$178,GIU!$P22:$V22)+SUMIF($AZ$178:$BC$178,AS$178,$AZ346:$BC346)</f>
        <v>0</v>
      </c>
      <c r="AT346" s="230">
        <f>SUMIF(GIU!$G$121:$M$121,AT$178,GIU!$P22:$V22)+SUMIF($AZ$178:$BC$178,AT$178,$AZ346:$BC346)</f>
        <v>0</v>
      </c>
      <c r="AU346" s="230">
        <f>SUMIF(GIU!$G$121:$M$121,AU$178,GIU!$P22:$V22)+SUMIF($AZ$178:$BC$178,AU$178,$AZ346:$BC346)</f>
        <v>0</v>
      </c>
      <c r="AV346" s="230">
        <f>SUMIF(GIU!$G$121:$M$121,AV$178,GIU!$P22:$V22)+SUMIF($AZ$178:$BC$178,AV$178,$AZ346:$BC346)</f>
        <v>0</v>
      </c>
      <c r="AW346" s="230">
        <f>SUMIF(GIU!$G$121:$M$121,AW$178,GIU!$P22:$V22)+SUMIF($AZ$178:$BC$178,AW$178,$AZ346:$BC346)</f>
        <v>0</v>
      </c>
      <c r="AX346" s="231">
        <f>SUMIF(GIU!$G$121:$M$121,AX$178,GIU!$P22:$V22)+SUMIF($AZ$178:$BC$178,AX$178,$AZ346:$BC346)</f>
        <v>0</v>
      </c>
      <c r="AY346" s="232">
        <f>GIU!AF22</f>
        <v>0</v>
      </c>
      <c r="AZ346" s="228">
        <f>GIU!AG22</f>
        <v>0</v>
      </c>
      <c r="BA346" s="229">
        <f>GIU!AH22</f>
        <v>0</v>
      </c>
      <c r="BB346" s="230">
        <f>GIU!AI22</f>
        <v>0</v>
      </c>
      <c r="BC346" s="231">
        <f>GIU!AJ22</f>
        <v>0</v>
      </c>
      <c r="BD346" s="228">
        <f>SUMIF(GIU!$G$120:$M$120,"&gt;0",GIU!$X22:$AD22)</f>
        <v>0</v>
      </c>
      <c r="BE346" s="696"/>
      <c r="BF346" s="228">
        <f>SUMIF(GIU!$BA$6:$BG$6,BF$177,GIU!$BA22:$BG22)</f>
        <v>0</v>
      </c>
      <c r="BG346" s="229">
        <f>SUMIF(GIU!$BA$6:$BG$6,BG$177,GIU!$BA22:$BG22)</f>
        <v>0</v>
      </c>
      <c r="BH346" s="229">
        <f>SUMIF(GIU!$BA$6:$BG$6,BH$177,GIU!$BA22:$BG22)</f>
        <v>0</v>
      </c>
      <c r="BI346" s="229">
        <f>SUMIF(GIU!$BA$6:$BG$6,BI$177,GIU!$BA22:$BG22)</f>
        <v>0</v>
      </c>
      <c r="BJ346" s="229">
        <f>SUMIF(GIU!$BA$6:$BG$6,BJ$177,GIU!$BA22:$BG22)</f>
        <v>0</v>
      </c>
      <c r="BK346" s="229">
        <f>SUMIF(GIU!$BA$6:$BG$6,BK$177,GIU!$BA22:$BG22)</f>
        <v>0</v>
      </c>
      <c r="BL346" s="229">
        <f>SUMIF(GIU!$BA$6:$BG$6,BL$177,GIU!$BA22:$BG22)</f>
        <v>0</v>
      </c>
      <c r="BM346" s="229">
        <f>SUMIF(GIU!$BA$6:$BG$6,BM$177,GIU!$BA22:$BG22)</f>
        <v>0</v>
      </c>
      <c r="BN346" s="229">
        <f>SUMIF(GIU!$BA$6:$BG$6,BN$177,GIU!$BA22:$BG22)</f>
        <v>0</v>
      </c>
      <c r="BO346" s="231">
        <f>SUMIF(GIU!$BA$6:$BG$6,BO$177,GIU!$BA22:$BG22)</f>
        <v>0</v>
      </c>
      <c r="BP346" s="231">
        <f>SUMIF(GIU!$BA$6:$BG$6,BP$177,GIU!$BA22:$BG22)</f>
        <v>0</v>
      </c>
      <c r="BQ346" s="252"/>
      <c r="BR346" s="228">
        <f>SUMIF(GIU!$BA$5:$BG$5,BR$177,GIU!$BA22:$BG22)</f>
        <v>0</v>
      </c>
      <c r="BS346" s="229">
        <f>SUMIF(GIU!$BA$5:$BG$5,BS$177,GIU!$BA22:$BG22)</f>
        <v>0</v>
      </c>
      <c r="BT346" s="229">
        <f>SUMIF(GIU!$BA$5:$BG$5,BT$177,GIU!$BA22:$BG22)</f>
        <v>0</v>
      </c>
      <c r="BU346" s="229">
        <f>SUMIF(GIU!$BA$5:$BG$5,BU$177,GIU!$BA22:$BG22)</f>
        <v>0</v>
      </c>
      <c r="BV346" s="229">
        <f>SUMIF(GIU!$BA$5:$BG$5,BV$177,GIU!$BA22:$BG22)</f>
        <v>0</v>
      </c>
      <c r="BW346" s="229">
        <f>SUMIF(GIU!$BA$5:$BG$5,BW$177,GIU!$BA22:$BG22)</f>
        <v>0</v>
      </c>
      <c r="BX346" s="230">
        <f>SUMIF(GIU!$BA$5:$BG$5,BX$177,GIU!$BA22:$BG22)</f>
        <v>0</v>
      </c>
      <c r="BY346" s="998">
        <f>SUMIF(GIU!$BA$5:$BG$5,BY$177,GIU!$BA22:$BG22)</f>
        <v>0</v>
      </c>
      <c r="CB346" s="252"/>
      <c r="CC346" s="61" t="e">
        <f t="shared" si="70"/>
        <v>#N/A</v>
      </c>
      <c r="CD346" s="61">
        <f t="shared" si="71"/>
        <v>0</v>
      </c>
      <c r="CE346" s="105" t="str">
        <f t="shared" si="64"/>
        <v/>
      </c>
      <c r="CF346" s="61" t="e">
        <f t="shared" si="72"/>
        <v>#N/A</v>
      </c>
      <c r="CG346" s="61" t="e">
        <f t="shared" si="73"/>
        <v>#N/A</v>
      </c>
      <c r="CH346" s="521">
        <f>GIU!AL22-CW346+CR346</f>
        <v>0</v>
      </c>
      <c r="CI346" s="228">
        <f>SUMIF(GIU!$G$121:$M$121,CI$178,GIU!$AM22:$AS22)+SUMIF($CS$178:$CV$178,CI$178,$CS346:$CV346)</f>
        <v>0</v>
      </c>
      <c r="CJ346" s="229">
        <f>SUMIF(GIU!$G$121:$M$121,CJ$178,GIU!$AM22:$AS22)+SUMIF($CS$178:$CV$178,CJ$178,$CS346:$CV346)</f>
        <v>0</v>
      </c>
      <c r="CK346" s="230">
        <f>SUMIF(GIU!$G$121:$M$121,CK$178,GIU!$AM22:$AS22)+SUMIF($CS$178:$CV$178,CK$178,$CS346:$CV346)</f>
        <v>0</v>
      </c>
      <c r="CL346" s="230">
        <f>SUMIF(GIU!$G$121:$M$121,CL$178,GIU!$AM22:$AS22)+SUMIF($CS$178:$CV$178,CL$178,$CS346:$CV346)</f>
        <v>0</v>
      </c>
      <c r="CM346" s="230">
        <f>SUMIF(GIU!$G$121:$M$121,CM$178,GIU!$AM22:$AS22)+SUMIF($CS$178:$CV$178,CM$178,$CS346:$CV346)</f>
        <v>0</v>
      </c>
      <c r="CN346" s="230">
        <f>SUMIF(GIU!$G$121:$M$121,CN$178,GIU!$AM22:$AS22)+SUMIF($CS$178:$CV$178,CN$178,$CS346:$CV346)</f>
        <v>0</v>
      </c>
      <c r="CO346" s="230">
        <f>SUMIF(GIU!$G$121:$M$121,CO$178,GIU!$AM22:$AS22)+SUMIF($CS$178:$CV$178,CO$178,$CS346:$CV346)</f>
        <v>0</v>
      </c>
      <c r="CP346" s="230">
        <f>SUMIF(GIU!$G$121:$M$121,CP$178,GIU!$AM22:$AS22)+SUMIF($CS$178:$CV$178,CP$178,$CS346:$CV346)</f>
        <v>0</v>
      </c>
      <c r="CQ346" s="231">
        <f>SUMIF(GIU!$G$121:$M$121,CQ$178,GIU!$AM22:$AS22)+SUMIF($CS$178:$CV$178,CQ$178,$CS346:$CV346)</f>
        <v>0</v>
      </c>
      <c r="CR346" s="521">
        <f>GIU!AU22</f>
        <v>0</v>
      </c>
      <c r="CS346" s="228">
        <f>GIU!AV22</f>
        <v>0</v>
      </c>
      <c r="CT346" s="229">
        <f>GIU!AW22</f>
        <v>0</v>
      </c>
      <c r="CU346" s="230">
        <f>GIU!AX22</f>
        <v>0</v>
      </c>
      <c r="CV346" s="231">
        <f>GIU!AY22</f>
        <v>0</v>
      </c>
      <c r="CW346" s="521">
        <f>SUM(GIU!AU22:AY22)</f>
        <v>0</v>
      </c>
      <c r="CX346" s="521">
        <f>GIU!AK22</f>
        <v>0</v>
      </c>
      <c r="CY346" s="2"/>
    </row>
    <row r="347" spans="1:103" ht="14.25" hidden="1" customHeight="1" x14ac:dyDescent="0.2">
      <c r="A347" s="2"/>
      <c r="B347" s="105">
        <f t="shared" si="74"/>
        <v>45459</v>
      </c>
      <c r="C347" s="146">
        <f>IF(AND(E347&gt;(E$562-1),E347&lt;(I$562+1)),W$551,IF(ISERROR(HLOOKUP(E347,$E$555:$L$555,1,FALSE)),HLOOKUP(WEEKDAY(E347,2),IMPOSTAZIONI!$C$52:$P$57,6,FALSE),$W$550))</f>
        <v>0</v>
      </c>
      <c r="D347" s="71" t="str">
        <f t="shared" si="75"/>
        <v/>
      </c>
      <c r="E347" s="2258">
        <f t="shared" si="80"/>
        <v>45459</v>
      </c>
      <c r="F347" s="2259"/>
      <c r="G347" s="2228" t="str">
        <f>GIU!E23</f>
        <v xml:space="preserve">disattivato  </v>
      </c>
      <c r="H347" s="2229"/>
      <c r="I347" s="2230"/>
      <c r="J347" s="262" t="str">
        <f t="shared" si="65"/>
        <v/>
      </c>
      <c r="K347" s="263"/>
      <c r="L347" s="2220">
        <f t="shared" si="81"/>
        <v>24</v>
      </c>
      <c r="M347" s="2221"/>
      <c r="N347" s="261"/>
      <c r="O347" s="261"/>
      <c r="P347" s="261"/>
      <c r="Q347" s="2219">
        <f t="shared" si="76"/>
        <v>45459</v>
      </c>
      <c r="R347" s="2219"/>
      <c r="S347" s="261"/>
      <c r="T347" s="1173">
        <f t="shared" si="66"/>
        <v>1</v>
      </c>
      <c r="U347" s="261"/>
      <c r="V347" s="261"/>
      <c r="W347" s="261"/>
      <c r="X347" s="261"/>
      <c r="Y347" s="261"/>
      <c r="Z347" s="261"/>
      <c r="AA347" s="261"/>
      <c r="AB347" s="261"/>
      <c r="AC347" s="261"/>
      <c r="AD347" s="261"/>
      <c r="AE347" s="261"/>
      <c r="AF347" s="261"/>
      <c r="AG347" s="1173">
        <f t="shared" si="77"/>
        <v>0</v>
      </c>
      <c r="AH347" s="61" t="str">
        <f t="shared" si="78"/>
        <v/>
      </c>
      <c r="AI347" s="89" t="e">
        <f t="shared" si="79"/>
        <v>#N/A</v>
      </c>
      <c r="AJ347" s="2"/>
      <c r="AK347" s="61">
        <f>IF(G347=G$547,0,IF(OR(G347&lt;&gt;0,CH347&lt;&gt;0,C347="L"),COUNTIF(AK$180:AK346,"&gt;0")+1,0))</f>
        <v>0</v>
      </c>
      <c r="AL347" s="61" t="str">
        <f t="shared" si="67"/>
        <v/>
      </c>
      <c r="AM347" s="61" t="e">
        <f t="shared" si="68"/>
        <v>#N/A</v>
      </c>
      <c r="AN347" s="89" t="e">
        <f t="shared" si="69"/>
        <v>#N/A</v>
      </c>
      <c r="AO347" s="230">
        <f>SUM(GIU!X23:AD23)-BD347+AY347</f>
        <v>0</v>
      </c>
      <c r="AP347" s="228">
        <f>SUMIF(GIU!$G$121:$M$121,AP$178,GIU!$P23:$V23)+SUMIF($AZ$178:$BC$178,AP$178,$AZ347:$BC347)</f>
        <v>0</v>
      </c>
      <c r="AQ347" s="229">
        <f>SUMIF(GIU!$G$121:$M$121,AQ$178,GIU!$P23:$V23)+SUMIF($AZ$178:$BC$178,AQ$178,$AZ347:$BC347)</f>
        <v>0</v>
      </c>
      <c r="AR347" s="230">
        <f>SUMIF(GIU!$G$121:$M$121,AR$178,GIU!$P23:$V23)+SUMIF($AZ$178:$BC$178,AR$178,$AZ347:$BC347)</f>
        <v>0</v>
      </c>
      <c r="AS347" s="230">
        <f>SUMIF(GIU!$G$121:$M$121,AS$178,GIU!$P23:$V23)+SUMIF($AZ$178:$BC$178,AS$178,$AZ347:$BC347)</f>
        <v>0</v>
      </c>
      <c r="AT347" s="230">
        <f>SUMIF(GIU!$G$121:$M$121,AT$178,GIU!$P23:$V23)+SUMIF($AZ$178:$BC$178,AT$178,$AZ347:$BC347)</f>
        <v>0</v>
      </c>
      <c r="AU347" s="230">
        <f>SUMIF(GIU!$G$121:$M$121,AU$178,GIU!$P23:$V23)+SUMIF($AZ$178:$BC$178,AU$178,$AZ347:$BC347)</f>
        <v>0</v>
      </c>
      <c r="AV347" s="230">
        <f>SUMIF(GIU!$G$121:$M$121,AV$178,GIU!$P23:$V23)+SUMIF($AZ$178:$BC$178,AV$178,$AZ347:$BC347)</f>
        <v>0</v>
      </c>
      <c r="AW347" s="230">
        <f>SUMIF(GIU!$G$121:$M$121,AW$178,GIU!$P23:$V23)+SUMIF($AZ$178:$BC$178,AW$178,$AZ347:$BC347)</f>
        <v>0</v>
      </c>
      <c r="AX347" s="231">
        <f>SUMIF(GIU!$G$121:$M$121,AX$178,GIU!$P23:$V23)+SUMIF($AZ$178:$BC$178,AX$178,$AZ347:$BC347)</f>
        <v>0</v>
      </c>
      <c r="AY347" s="232">
        <f>GIU!AF23</f>
        <v>0</v>
      </c>
      <c r="AZ347" s="228">
        <f>GIU!AG23</f>
        <v>0</v>
      </c>
      <c r="BA347" s="229">
        <f>GIU!AH23</f>
        <v>0</v>
      </c>
      <c r="BB347" s="230">
        <f>GIU!AI23</f>
        <v>0</v>
      </c>
      <c r="BC347" s="231">
        <f>GIU!AJ23</f>
        <v>0</v>
      </c>
      <c r="BD347" s="228">
        <f>SUMIF(GIU!$G$120:$M$120,"&gt;0",GIU!$X23:$AD23)</f>
        <v>0</v>
      </c>
      <c r="BE347" s="696"/>
      <c r="BF347" s="228">
        <f>SUMIF(GIU!$BA$6:$BG$6,BF$177,GIU!$BA23:$BG23)</f>
        <v>0</v>
      </c>
      <c r="BG347" s="229">
        <f>SUMIF(GIU!$BA$6:$BG$6,BG$177,GIU!$BA23:$BG23)</f>
        <v>0</v>
      </c>
      <c r="BH347" s="229">
        <f>SUMIF(GIU!$BA$6:$BG$6,BH$177,GIU!$BA23:$BG23)</f>
        <v>0</v>
      </c>
      <c r="BI347" s="229">
        <f>SUMIF(GIU!$BA$6:$BG$6,BI$177,GIU!$BA23:$BG23)</f>
        <v>0</v>
      </c>
      <c r="BJ347" s="229">
        <f>SUMIF(GIU!$BA$6:$BG$6,BJ$177,GIU!$BA23:$BG23)</f>
        <v>0</v>
      </c>
      <c r="BK347" s="229">
        <f>SUMIF(GIU!$BA$6:$BG$6,BK$177,GIU!$BA23:$BG23)</f>
        <v>0</v>
      </c>
      <c r="BL347" s="229">
        <f>SUMIF(GIU!$BA$6:$BG$6,BL$177,GIU!$BA23:$BG23)</f>
        <v>0</v>
      </c>
      <c r="BM347" s="229">
        <f>SUMIF(GIU!$BA$6:$BG$6,BM$177,GIU!$BA23:$BG23)</f>
        <v>0</v>
      </c>
      <c r="BN347" s="229">
        <f>SUMIF(GIU!$BA$6:$BG$6,BN$177,GIU!$BA23:$BG23)</f>
        <v>0</v>
      </c>
      <c r="BO347" s="231">
        <f>SUMIF(GIU!$BA$6:$BG$6,BO$177,GIU!$BA23:$BG23)</f>
        <v>0</v>
      </c>
      <c r="BP347" s="231">
        <f>SUMIF(GIU!$BA$6:$BG$6,BP$177,GIU!$BA23:$BG23)</f>
        <v>0</v>
      </c>
      <c r="BQ347" s="252"/>
      <c r="BR347" s="228">
        <f>SUMIF(GIU!$BA$5:$BG$5,BR$177,GIU!$BA23:$BG23)</f>
        <v>0</v>
      </c>
      <c r="BS347" s="229">
        <f>SUMIF(GIU!$BA$5:$BG$5,BS$177,GIU!$BA23:$BG23)</f>
        <v>0</v>
      </c>
      <c r="BT347" s="229">
        <f>SUMIF(GIU!$BA$5:$BG$5,BT$177,GIU!$BA23:$BG23)</f>
        <v>0</v>
      </c>
      <c r="BU347" s="229">
        <f>SUMIF(GIU!$BA$5:$BG$5,BU$177,GIU!$BA23:$BG23)</f>
        <v>0</v>
      </c>
      <c r="BV347" s="229">
        <f>SUMIF(GIU!$BA$5:$BG$5,BV$177,GIU!$BA23:$BG23)</f>
        <v>0</v>
      </c>
      <c r="BW347" s="229">
        <f>SUMIF(GIU!$BA$5:$BG$5,BW$177,GIU!$BA23:$BG23)</f>
        <v>0</v>
      </c>
      <c r="BX347" s="230">
        <f>SUMIF(GIU!$BA$5:$BG$5,BX$177,GIU!$BA23:$BG23)</f>
        <v>0</v>
      </c>
      <c r="BY347" s="998">
        <f>SUMIF(GIU!$BA$5:$BG$5,BY$177,GIU!$BA23:$BG23)</f>
        <v>0</v>
      </c>
      <c r="CB347" s="252"/>
      <c r="CC347" s="61" t="e">
        <f t="shared" si="70"/>
        <v>#N/A</v>
      </c>
      <c r="CD347" s="61">
        <f t="shared" si="71"/>
        <v>0</v>
      </c>
      <c r="CE347" s="105" t="str">
        <f t="shared" si="64"/>
        <v/>
      </c>
      <c r="CF347" s="61" t="e">
        <f t="shared" si="72"/>
        <v>#N/A</v>
      </c>
      <c r="CG347" s="61" t="e">
        <f t="shared" si="73"/>
        <v>#N/A</v>
      </c>
      <c r="CH347" s="521">
        <f>GIU!AL23-CW347+CR347</f>
        <v>0</v>
      </c>
      <c r="CI347" s="228">
        <f>SUMIF(GIU!$G$121:$M$121,CI$178,GIU!$AM23:$AS23)+SUMIF($CS$178:$CV$178,CI$178,$CS347:$CV347)</f>
        <v>0</v>
      </c>
      <c r="CJ347" s="229">
        <f>SUMIF(GIU!$G$121:$M$121,CJ$178,GIU!$AM23:$AS23)+SUMIF($CS$178:$CV$178,CJ$178,$CS347:$CV347)</f>
        <v>0</v>
      </c>
      <c r="CK347" s="230">
        <f>SUMIF(GIU!$G$121:$M$121,CK$178,GIU!$AM23:$AS23)+SUMIF($CS$178:$CV$178,CK$178,$CS347:$CV347)</f>
        <v>0</v>
      </c>
      <c r="CL347" s="230">
        <f>SUMIF(GIU!$G$121:$M$121,CL$178,GIU!$AM23:$AS23)+SUMIF($CS$178:$CV$178,CL$178,$CS347:$CV347)</f>
        <v>0</v>
      </c>
      <c r="CM347" s="230">
        <f>SUMIF(GIU!$G$121:$M$121,CM$178,GIU!$AM23:$AS23)+SUMIF($CS$178:$CV$178,CM$178,$CS347:$CV347)</f>
        <v>0</v>
      </c>
      <c r="CN347" s="230">
        <f>SUMIF(GIU!$G$121:$M$121,CN$178,GIU!$AM23:$AS23)+SUMIF($CS$178:$CV$178,CN$178,$CS347:$CV347)</f>
        <v>0</v>
      </c>
      <c r="CO347" s="230">
        <f>SUMIF(GIU!$G$121:$M$121,CO$178,GIU!$AM23:$AS23)+SUMIF($CS$178:$CV$178,CO$178,$CS347:$CV347)</f>
        <v>0</v>
      </c>
      <c r="CP347" s="230">
        <f>SUMIF(GIU!$G$121:$M$121,CP$178,GIU!$AM23:$AS23)+SUMIF($CS$178:$CV$178,CP$178,$CS347:$CV347)</f>
        <v>0</v>
      </c>
      <c r="CQ347" s="231">
        <f>SUMIF(GIU!$G$121:$M$121,CQ$178,GIU!$AM23:$AS23)+SUMIF($CS$178:$CV$178,CQ$178,$CS347:$CV347)</f>
        <v>0</v>
      </c>
      <c r="CR347" s="521">
        <f>GIU!AU23</f>
        <v>0</v>
      </c>
      <c r="CS347" s="228">
        <f>GIU!AV23</f>
        <v>0</v>
      </c>
      <c r="CT347" s="229">
        <f>GIU!AW23</f>
        <v>0</v>
      </c>
      <c r="CU347" s="230">
        <f>GIU!AX23</f>
        <v>0</v>
      </c>
      <c r="CV347" s="231">
        <f>GIU!AY23</f>
        <v>0</v>
      </c>
      <c r="CW347" s="521">
        <f>SUM(GIU!AU23:AY23)</f>
        <v>0</v>
      </c>
      <c r="CX347" s="521">
        <f>GIU!AK23</f>
        <v>0</v>
      </c>
      <c r="CY347" s="2"/>
    </row>
    <row r="348" spans="1:103" ht="14.25" hidden="1" customHeight="1" x14ac:dyDescent="0.2">
      <c r="A348" s="2"/>
      <c r="B348" s="105">
        <f t="shared" si="74"/>
        <v>45460</v>
      </c>
      <c r="C348" s="146">
        <f>IF(AND(E348&gt;(E$562-1),E348&lt;(I$562+1)),W$551,IF(ISERROR(HLOOKUP(E348,$E$555:$L$555,1,FALSE)),HLOOKUP(WEEKDAY(E348,2),IMPOSTAZIONI!$C$52:$P$57,6,FALSE),$W$550))</f>
        <v>0</v>
      </c>
      <c r="D348" s="71" t="str">
        <f t="shared" si="75"/>
        <v/>
      </c>
      <c r="E348" s="2258">
        <f t="shared" si="80"/>
        <v>45460</v>
      </c>
      <c r="F348" s="2259"/>
      <c r="G348" s="2228" t="str">
        <f>GIU!E24</f>
        <v xml:space="preserve">disattivato  </v>
      </c>
      <c r="H348" s="2229"/>
      <c r="I348" s="2230"/>
      <c r="J348" s="262" t="str">
        <f t="shared" si="65"/>
        <v/>
      </c>
      <c r="K348" s="263"/>
      <c r="L348" s="2222">
        <f t="shared" si="81"/>
        <v>25</v>
      </c>
      <c r="M348" s="2223"/>
      <c r="N348" s="261"/>
      <c r="O348" s="261"/>
      <c r="P348" s="261"/>
      <c r="Q348" s="2219">
        <f t="shared" si="76"/>
        <v>45460</v>
      </c>
      <c r="R348" s="2219"/>
      <c r="S348" s="261"/>
      <c r="T348" s="1173">
        <f t="shared" si="66"/>
        <v>1</v>
      </c>
      <c r="U348" s="261"/>
      <c r="V348" s="261"/>
      <c r="W348" s="261"/>
      <c r="X348" s="261"/>
      <c r="Y348" s="261"/>
      <c r="Z348" s="261"/>
      <c r="AA348" s="261"/>
      <c r="AB348" s="261"/>
      <c r="AC348" s="261"/>
      <c r="AD348" s="261"/>
      <c r="AE348" s="261"/>
      <c r="AF348" s="261"/>
      <c r="AG348" s="1173">
        <f t="shared" si="77"/>
        <v>0</v>
      </c>
      <c r="AH348" s="61" t="str">
        <f t="shared" si="78"/>
        <v/>
      </c>
      <c r="AI348" s="89" t="e">
        <f t="shared" si="79"/>
        <v>#N/A</v>
      </c>
      <c r="AJ348" s="2"/>
      <c r="AK348" s="61">
        <f>IF(G348=G$547,0,IF(OR(G348&lt;&gt;0,CH348&lt;&gt;0,C348="L"),COUNTIF(AK$180:AK347,"&gt;0")+1,0))</f>
        <v>0</v>
      </c>
      <c r="AL348" s="61" t="str">
        <f t="shared" si="67"/>
        <v/>
      </c>
      <c r="AM348" s="61" t="e">
        <f t="shared" si="68"/>
        <v>#N/A</v>
      </c>
      <c r="AN348" s="89" t="e">
        <f t="shared" si="69"/>
        <v>#N/A</v>
      </c>
      <c r="AO348" s="230">
        <f>SUM(GIU!X24:AD24)-BD348+AY348</f>
        <v>0</v>
      </c>
      <c r="AP348" s="228">
        <f>SUMIF(GIU!$G$121:$M$121,AP$178,GIU!$P24:$V24)+SUMIF($AZ$178:$BC$178,AP$178,$AZ348:$BC348)</f>
        <v>0</v>
      </c>
      <c r="AQ348" s="229">
        <f>SUMIF(GIU!$G$121:$M$121,AQ$178,GIU!$P24:$V24)+SUMIF($AZ$178:$BC$178,AQ$178,$AZ348:$BC348)</f>
        <v>0</v>
      </c>
      <c r="AR348" s="230">
        <f>SUMIF(GIU!$G$121:$M$121,AR$178,GIU!$P24:$V24)+SUMIF($AZ$178:$BC$178,AR$178,$AZ348:$BC348)</f>
        <v>0</v>
      </c>
      <c r="AS348" s="230">
        <f>SUMIF(GIU!$G$121:$M$121,AS$178,GIU!$P24:$V24)+SUMIF($AZ$178:$BC$178,AS$178,$AZ348:$BC348)</f>
        <v>0</v>
      </c>
      <c r="AT348" s="230">
        <f>SUMIF(GIU!$G$121:$M$121,AT$178,GIU!$P24:$V24)+SUMIF($AZ$178:$BC$178,AT$178,$AZ348:$BC348)</f>
        <v>0</v>
      </c>
      <c r="AU348" s="230">
        <f>SUMIF(GIU!$G$121:$M$121,AU$178,GIU!$P24:$V24)+SUMIF($AZ$178:$BC$178,AU$178,$AZ348:$BC348)</f>
        <v>0</v>
      </c>
      <c r="AV348" s="230">
        <f>SUMIF(GIU!$G$121:$M$121,AV$178,GIU!$P24:$V24)+SUMIF($AZ$178:$BC$178,AV$178,$AZ348:$BC348)</f>
        <v>0</v>
      </c>
      <c r="AW348" s="230">
        <f>SUMIF(GIU!$G$121:$M$121,AW$178,GIU!$P24:$V24)+SUMIF($AZ$178:$BC$178,AW$178,$AZ348:$BC348)</f>
        <v>0</v>
      </c>
      <c r="AX348" s="231">
        <f>SUMIF(GIU!$G$121:$M$121,AX$178,GIU!$P24:$V24)+SUMIF($AZ$178:$BC$178,AX$178,$AZ348:$BC348)</f>
        <v>0</v>
      </c>
      <c r="AY348" s="232">
        <f>GIU!AF24</f>
        <v>0</v>
      </c>
      <c r="AZ348" s="228">
        <f>GIU!AG24</f>
        <v>0</v>
      </c>
      <c r="BA348" s="229">
        <f>GIU!AH24</f>
        <v>0</v>
      </c>
      <c r="BB348" s="230">
        <f>GIU!AI24</f>
        <v>0</v>
      </c>
      <c r="BC348" s="231">
        <f>GIU!AJ24</f>
        <v>0</v>
      </c>
      <c r="BD348" s="228">
        <f>SUMIF(GIU!$G$120:$M$120,"&gt;0",GIU!$X24:$AD24)</f>
        <v>0</v>
      </c>
      <c r="BE348" s="696"/>
      <c r="BF348" s="228">
        <f>SUMIF(GIU!$BA$6:$BG$6,BF$177,GIU!$BA24:$BG24)</f>
        <v>0</v>
      </c>
      <c r="BG348" s="229">
        <f>SUMIF(GIU!$BA$6:$BG$6,BG$177,GIU!$BA24:$BG24)</f>
        <v>0</v>
      </c>
      <c r="BH348" s="229">
        <f>SUMIF(GIU!$BA$6:$BG$6,BH$177,GIU!$BA24:$BG24)</f>
        <v>0</v>
      </c>
      <c r="BI348" s="229">
        <f>SUMIF(GIU!$BA$6:$BG$6,BI$177,GIU!$BA24:$BG24)</f>
        <v>0</v>
      </c>
      <c r="BJ348" s="229">
        <f>SUMIF(GIU!$BA$6:$BG$6,BJ$177,GIU!$BA24:$BG24)</f>
        <v>0</v>
      </c>
      <c r="BK348" s="229">
        <f>SUMIF(GIU!$BA$6:$BG$6,BK$177,GIU!$BA24:$BG24)</f>
        <v>0</v>
      </c>
      <c r="BL348" s="229">
        <f>SUMIF(GIU!$BA$6:$BG$6,BL$177,GIU!$BA24:$BG24)</f>
        <v>0</v>
      </c>
      <c r="BM348" s="229">
        <f>SUMIF(GIU!$BA$6:$BG$6,BM$177,GIU!$BA24:$BG24)</f>
        <v>0</v>
      </c>
      <c r="BN348" s="229">
        <f>SUMIF(GIU!$BA$6:$BG$6,BN$177,GIU!$BA24:$BG24)</f>
        <v>0</v>
      </c>
      <c r="BO348" s="231">
        <f>SUMIF(GIU!$BA$6:$BG$6,BO$177,GIU!$BA24:$BG24)</f>
        <v>0</v>
      </c>
      <c r="BP348" s="231">
        <f>SUMIF(GIU!$BA$6:$BG$6,BP$177,GIU!$BA24:$BG24)</f>
        <v>0</v>
      </c>
      <c r="BQ348" s="252"/>
      <c r="BR348" s="228">
        <f>SUMIF(GIU!$BA$5:$BG$5,BR$177,GIU!$BA24:$BG24)</f>
        <v>0</v>
      </c>
      <c r="BS348" s="229">
        <f>SUMIF(GIU!$BA$5:$BG$5,BS$177,GIU!$BA24:$BG24)</f>
        <v>0</v>
      </c>
      <c r="BT348" s="229">
        <f>SUMIF(GIU!$BA$5:$BG$5,BT$177,GIU!$BA24:$BG24)</f>
        <v>0</v>
      </c>
      <c r="BU348" s="229">
        <f>SUMIF(GIU!$BA$5:$BG$5,BU$177,GIU!$BA24:$BG24)</f>
        <v>0</v>
      </c>
      <c r="BV348" s="229">
        <f>SUMIF(GIU!$BA$5:$BG$5,BV$177,GIU!$BA24:$BG24)</f>
        <v>0</v>
      </c>
      <c r="BW348" s="229">
        <f>SUMIF(GIU!$BA$5:$BG$5,BW$177,GIU!$BA24:$BG24)</f>
        <v>0</v>
      </c>
      <c r="BX348" s="230">
        <f>SUMIF(GIU!$BA$5:$BG$5,BX$177,GIU!$BA24:$BG24)</f>
        <v>0</v>
      </c>
      <c r="BY348" s="998">
        <f>SUMIF(GIU!$BA$5:$BG$5,BY$177,GIU!$BA24:$BG24)</f>
        <v>0</v>
      </c>
      <c r="CB348" s="252"/>
      <c r="CC348" s="61" t="e">
        <f t="shared" si="70"/>
        <v>#N/A</v>
      </c>
      <c r="CD348" s="61">
        <f t="shared" si="71"/>
        <v>0</v>
      </c>
      <c r="CE348" s="105" t="str">
        <f t="shared" si="64"/>
        <v/>
      </c>
      <c r="CF348" s="61" t="e">
        <f t="shared" si="72"/>
        <v>#N/A</v>
      </c>
      <c r="CG348" s="61" t="e">
        <f t="shared" si="73"/>
        <v>#N/A</v>
      </c>
      <c r="CH348" s="521">
        <f>GIU!AL24-CW348+CR348</f>
        <v>0</v>
      </c>
      <c r="CI348" s="228">
        <f>SUMIF(GIU!$G$121:$M$121,CI$178,GIU!$AM24:$AS24)+SUMIF($CS$178:$CV$178,CI$178,$CS348:$CV348)</f>
        <v>0</v>
      </c>
      <c r="CJ348" s="229">
        <f>SUMIF(GIU!$G$121:$M$121,CJ$178,GIU!$AM24:$AS24)+SUMIF($CS$178:$CV$178,CJ$178,$CS348:$CV348)</f>
        <v>0</v>
      </c>
      <c r="CK348" s="230">
        <f>SUMIF(GIU!$G$121:$M$121,CK$178,GIU!$AM24:$AS24)+SUMIF($CS$178:$CV$178,CK$178,$CS348:$CV348)</f>
        <v>0</v>
      </c>
      <c r="CL348" s="230">
        <f>SUMIF(GIU!$G$121:$M$121,CL$178,GIU!$AM24:$AS24)+SUMIF($CS$178:$CV$178,CL$178,$CS348:$CV348)</f>
        <v>0</v>
      </c>
      <c r="CM348" s="230">
        <f>SUMIF(GIU!$G$121:$M$121,CM$178,GIU!$AM24:$AS24)+SUMIF($CS$178:$CV$178,CM$178,$CS348:$CV348)</f>
        <v>0</v>
      </c>
      <c r="CN348" s="230">
        <f>SUMIF(GIU!$G$121:$M$121,CN$178,GIU!$AM24:$AS24)+SUMIF($CS$178:$CV$178,CN$178,$CS348:$CV348)</f>
        <v>0</v>
      </c>
      <c r="CO348" s="230">
        <f>SUMIF(GIU!$G$121:$M$121,CO$178,GIU!$AM24:$AS24)+SUMIF($CS$178:$CV$178,CO$178,$CS348:$CV348)</f>
        <v>0</v>
      </c>
      <c r="CP348" s="230">
        <f>SUMIF(GIU!$G$121:$M$121,CP$178,GIU!$AM24:$AS24)+SUMIF($CS$178:$CV$178,CP$178,$CS348:$CV348)</f>
        <v>0</v>
      </c>
      <c r="CQ348" s="231">
        <f>SUMIF(GIU!$G$121:$M$121,CQ$178,GIU!$AM24:$AS24)+SUMIF($CS$178:$CV$178,CQ$178,$CS348:$CV348)</f>
        <v>0</v>
      </c>
      <c r="CR348" s="521">
        <f>GIU!AU24</f>
        <v>0</v>
      </c>
      <c r="CS348" s="228">
        <f>GIU!AV24</f>
        <v>0</v>
      </c>
      <c r="CT348" s="229">
        <f>GIU!AW24</f>
        <v>0</v>
      </c>
      <c r="CU348" s="230">
        <f>GIU!AX24</f>
        <v>0</v>
      </c>
      <c r="CV348" s="231">
        <f>GIU!AY24</f>
        <v>0</v>
      </c>
      <c r="CW348" s="521">
        <f>SUM(GIU!AU24:AY24)</f>
        <v>0</v>
      </c>
      <c r="CX348" s="521">
        <f>GIU!AK24</f>
        <v>0</v>
      </c>
      <c r="CY348" s="2"/>
    </row>
    <row r="349" spans="1:103" ht="14.25" hidden="1" customHeight="1" x14ac:dyDescent="0.2">
      <c r="A349" s="2"/>
      <c r="B349" s="105">
        <f t="shared" si="74"/>
        <v>45461</v>
      </c>
      <c r="C349" s="146">
        <f>IF(AND(E349&gt;(E$562-1),E349&lt;(I$562+1)),W$551,IF(ISERROR(HLOOKUP(E349,$E$555:$L$555,1,FALSE)),HLOOKUP(WEEKDAY(E349,2),IMPOSTAZIONI!$C$52:$P$57,6,FALSE),$W$550))</f>
        <v>0</v>
      </c>
      <c r="D349" s="71" t="str">
        <f t="shared" si="75"/>
        <v/>
      </c>
      <c r="E349" s="2258">
        <f t="shared" si="80"/>
        <v>45461</v>
      </c>
      <c r="F349" s="2259"/>
      <c r="G349" s="2228" t="str">
        <f>GIU!E25</f>
        <v xml:space="preserve">disattivato  </v>
      </c>
      <c r="H349" s="2229"/>
      <c r="I349" s="2230"/>
      <c r="J349" s="262" t="str">
        <f t="shared" si="65"/>
        <v/>
      </c>
      <c r="K349" s="263"/>
      <c r="L349" s="2217">
        <f t="shared" si="81"/>
        <v>25</v>
      </c>
      <c r="M349" s="2218"/>
      <c r="N349" s="261"/>
      <c r="O349" s="261"/>
      <c r="P349" s="261"/>
      <c r="Q349" s="2219">
        <f t="shared" si="76"/>
        <v>45461</v>
      </c>
      <c r="R349" s="2219"/>
      <c r="S349" s="261"/>
      <c r="T349" s="1173">
        <f t="shared" si="66"/>
        <v>1</v>
      </c>
      <c r="U349" s="261"/>
      <c r="V349" s="261"/>
      <c r="W349" s="261"/>
      <c r="X349" s="261"/>
      <c r="Y349" s="261"/>
      <c r="Z349" s="261"/>
      <c r="AA349" s="261"/>
      <c r="AB349" s="261"/>
      <c r="AC349" s="261"/>
      <c r="AD349" s="261"/>
      <c r="AE349" s="261"/>
      <c r="AF349" s="261"/>
      <c r="AG349" s="1173">
        <f t="shared" si="77"/>
        <v>0</v>
      </c>
      <c r="AH349" s="61" t="str">
        <f t="shared" si="78"/>
        <v/>
      </c>
      <c r="AI349" s="89" t="e">
        <f t="shared" si="79"/>
        <v>#N/A</v>
      </c>
      <c r="AJ349" s="2"/>
      <c r="AK349" s="61">
        <f>IF(G349=G$547,0,IF(OR(G349&lt;&gt;0,CH349&lt;&gt;0,C349="L"),COUNTIF(AK$180:AK348,"&gt;0")+1,0))</f>
        <v>0</v>
      </c>
      <c r="AL349" s="61" t="str">
        <f t="shared" si="67"/>
        <v/>
      </c>
      <c r="AM349" s="61" t="e">
        <f t="shared" si="68"/>
        <v>#N/A</v>
      </c>
      <c r="AN349" s="89" t="e">
        <f t="shared" si="69"/>
        <v>#N/A</v>
      </c>
      <c r="AO349" s="230">
        <f>SUM(GIU!X25:AD25)-BD349+AY349</f>
        <v>0</v>
      </c>
      <c r="AP349" s="228">
        <f>SUMIF(GIU!$G$121:$M$121,AP$178,GIU!$P25:$V25)+SUMIF($AZ$178:$BC$178,AP$178,$AZ349:$BC349)</f>
        <v>0</v>
      </c>
      <c r="AQ349" s="229">
        <f>SUMIF(GIU!$G$121:$M$121,AQ$178,GIU!$P25:$V25)+SUMIF($AZ$178:$BC$178,AQ$178,$AZ349:$BC349)</f>
        <v>0</v>
      </c>
      <c r="AR349" s="230">
        <f>SUMIF(GIU!$G$121:$M$121,AR$178,GIU!$P25:$V25)+SUMIF($AZ$178:$BC$178,AR$178,$AZ349:$BC349)</f>
        <v>0</v>
      </c>
      <c r="AS349" s="230">
        <f>SUMIF(GIU!$G$121:$M$121,AS$178,GIU!$P25:$V25)+SUMIF($AZ$178:$BC$178,AS$178,$AZ349:$BC349)</f>
        <v>0</v>
      </c>
      <c r="AT349" s="230">
        <f>SUMIF(GIU!$G$121:$M$121,AT$178,GIU!$P25:$V25)+SUMIF($AZ$178:$BC$178,AT$178,$AZ349:$BC349)</f>
        <v>0</v>
      </c>
      <c r="AU349" s="230">
        <f>SUMIF(GIU!$G$121:$M$121,AU$178,GIU!$P25:$V25)+SUMIF($AZ$178:$BC$178,AU$178,$AZ349:$BC349)</f>
        <v>0</v>
      </c>
      <c r="AV349" s="230">
        <f>SUMIF(GIU!$G$121:$M$121,AV$178,GIU!$P25:$V25)+SUMIF($AZ$178:$BC$178,AV$178,$AZ349:$BC349)</f>
        <v>0</v>
      </c>
      <c r="AW349" s="230">
        <f>SUMIF(GIU!$G$121:$M$121,AW$178,GIU!$P25:$V25)+SUMIF($AZ$178:$BC$178,AW$178,$AZ349:$BC349)</f>
        <v>0</v>
      </c>
      <c r="AX349" s="231">
        <f>SUMIF(GIU!$G$121:$M$121,AX$178,GIU!$P25:$V25)+SUMIF($AZ$178:$BC$178,AX$178,$AZ349:$BC349)</f>
        <v>0</v>
      </c>
      <c r="AY349" s="232">
        <f>GIU!AF25</f>
        <v>0</v>
      </c>
      <c r="AZ349" s="228">
        <f>GIU!AG25</f>
        <v>0</v>
      </c>
      <c r="BA349" s="229">
        <f>GIU!AH25</f>
        <v>0</v>
      </c>
      <c r="BB349" s="230">
        <f>GIU!AI25</f>
        <v>0</v>
      </c>
      <c r="BC349" s="231">
        <f>GIU!AJ25</f>
        <v>0</v>
      </c>
      <c r="BD349" s="228">
        <f>SUMIF(GIU!$G$120:$M$120,"&gt;0",GIU!$X25:$AD25)</f>
        <v>0</v>
      </c>
      <c r="BE349" s="696"/>
      <c r="BF349" s="228">
        <f>SUMIF(GIU!$BA$6:$BG$6,BF$177,GIU!$BA25:$BG25)</f>
        <v>0</v>
      </c>
      <c r="BG349" s="229">
        <f>SUMIF(GIU!$BA$6:$BG$6,BG$177,GIU!$BA25:$BG25)</f>
        <v>0</v>
      </c>
      <c r="BH349" s="229">
        <f>SUMIF(GIU!$BA$6:$BG$6,BH$177,GIU!$BA25:$BG25)</f>
        <v>0</v>
      </c>
      <c r="BI349" s="229">
        <f>SUMIF(GIU!$BA$6:$BG$6,BI$177,GIU!$BA25:$BG25)</f>
        <v>0</v>
      </c>
      <c r="BJ349" s="229">
        <f>SUMIF(GIU!$BA$6:$BG$6,BJ$177,GIU!$BA25:$BG25)</f>
        <v>0</v>
      </c>
      <c r="BK349" s="229">
        <f>SUMIF(GIU!$BA$6:$BG$6,BK$177,GIU!$BA25:$BG25)</f>
        <v>0</v>
      </c>
      <c r="BL349" s="229">
        <f>SUMIF(GIU!$BA$6:$BG$6,BL$177,GIU!$BA25:$BG25)</f>
        <v>0</v>
      </c>
      <c r="BM349" s="229">
        <f>SUMIF(GIU!$BA$6:$BG$6,BM$177,GIU!$BA25:$BG25)</f>
        <v>0</v>
      </c>
      <c r="BN349" s="229">
        <f>SUMIF(GIU!$BA$6:$BG$6,BN$177,GIU!$BA25:$BG25)</f>
        <v>0</v>
      </c>
      <c r="BO349" s="231">
        <f>SUMIF(GIU!$BA$6:$BG$6,BO$177,GIU!$BA25:$BG25)</f>
        <v>0</v>
      </c>
      <c r="BP349" s="231">
        <f>SUMIF(GIU!$BA$6:$BG$6,BP$177,GIU!$BA25:$BG25)</f>
        <v>0</v>
      </c>
      <c r="BQ349" s="252"/>
      <c r="BR349" s="228">
        <f>SUMIF(GIU!$BA$5:$BG$5,BR$177,GIU!$BA25:$BG25)</f>
        <v>0</v>
      </c>
      <c r="BS349" s="229">
        <f>SUMIF(GIU!$BA$5:$BG$5,BS$177,GIU!$BA25:$BG25)</f>
        <v>0</v>
      </c>
      <c r="BT349" s="229">
        <f>SUMIF(GIU!$BA$5:$BG$5,BT$177,GIU!$BA25:$BG25)</f>
        <v>0</v>
      </c>
      <c r="BU349" s="229">
        <f>SUMIF(GIU!$BA$5:$BG$5,BU$177,GIU!$BA25:$BG25)</f>
        <v>0</v>
      </c>
      <c r="BV349" s="229">
        <f>SUMIF(GIU!$BA$5:$BG$5,BV$177,GIU!$BA25:$BG25)</f>
        <v>0</v>
      </c>
      <c r="BW349" s="229">
        <f>SUMIF(GIU!$BA$5:$BG$5,BW$177,GIU!$BA25:$BG25)</f>
        <v>0</v>
      </c>
      <c r="BX349" s="230">
        <f>SUMIF(GIU!$BA$5:$BG$5,BX$177,GIU!$BA25:$BG25)</f>
        <v>0</v>
      </c>
      <c r="BY349" s="998">
        <f>SUMIF(GIU!$BA$5:$BG$5,BY$177,GIU!$BA25:$BG25)</f>
        <v>0</v>
      </c>
      <c r="CB349" s="252"/>
      <c r="CC349" s="61" t="e">
        <f t="shared" si="70"/>
        <v>#N/A</v>
      </c>
      <c r="CD349" s="61">
        <f t="shared" si="71"/>
        <v>0</v>
      </c>
      <c r="CE349" s="105" t="str">
        <f t="shared" si="64"/>
        <v/>
      </c>
      <c r="CF349" s="61" t="e">
        <f t="shared" si="72"/>
        <v>#N/A</v>
      </c>
      <c r="CG349" s="61" t="e">
        <f t="shared" si="73"/>
        <v>#N/A</v>
      </c>
      <c r="CH349" s="521">
        <f>GIU!AL25-CW349+CR349</f>
        <v>0</v>
      </c>
      <c r="CI349" s="228">
        <f>SUMIF(GIU!$G$121:$M$121,CI$178,GIU!$AM25:$AS25)+SUMIF($CS$178:$CV$178,CI$178,$CS349:$CV349)</f>
        <v>0</v>
      </c>
      <c r="CJ349" s="229">
        <f>SUMIF(GIU!$G$121:$M$121,CJ$178,GIU!$AM25:$AS25)+SUMIF($CS$178:$CV$178,CJ$178,$CS349:$CV349)</f>
        <v>0</v>
      </c>
      <c r="CK349" s="230">
        <f>SUMIF(GIU!$G$121:$M$121,CK$178,GIU!$AM25:$AS25)+SUMIF($CS$178:$CV$178,CK$178,$CS349:$CV349)</f>
        <v>0</v>
      </c>
      <c r="CL349" s="230">
        <f>SUMIF(GIU!$G$121:$M$121,CL$178,GIU!$AM25:$AS25)+SUMIF($CS$178:$CV$178,CL$178,$CS349:$CV349)</f>
        <v>0</v>
      </c>
      <c r="CM349" s="230">
        <f>SUMIF(GIU!$G$121:$M$121,CM$178,GIU!$AM25:$AS25)+SUMIF($CS$178:$CV$178,CM$178,$CS349:$CV349)</f>
        <v>0</v>
      </c>
      <c r="CN349" s="230">
        <f>SUMIF(GIU!$G$121:$M$121,CN$178,GIU!$AM25:$AS25)+SUMIF($CS$178:$CV$178,CN$178,$CS349:$CV349)</f>
        <v>0</v>
      </c>
      <c r="CO349" s="230">
        <f>SUMIF(GIU!$G$121:$M$121,CO$178,GIU!$AM25:$AS25)+SUMIF($CS$178:$CV$178,CO$178,$CS349:$CV349)</f>
        <v>0</v>
      </c>
      <c r="CP349" s="230">
        <f>SUMIF(GIU!$G$121:$M$121,CP$178,GIU!$AM25:$AS25)+SUMIF($CS$178:$CV$178,CP$178,$CS349:$CV349)</f>
        <v>0</v>
      </c>
      <c r="CQ349" s="231">
        <f>SUMIF(GIU!$G$121:$M$121,CQ$178,GIU!$AM25:$AS25)+SUMIF($CS$178:$CV$178,CQ$178,$CS349:$CV349)</f>
        <v>0</v>
      </c>
      <c r="CR349" s="521">
        <f>GIU!AU25</f>
        <v>0</v>
      </c>
      <c r="CS349" s="228">
        <f>GIU!AV25</f>
        <v>0</v>
      </c>
      <c r="CT349" s="229">
        <f>GIU!AW25</f>
        <v>0</v>
      </c>
      <c r="CU349" s="230">
        <f>GIU!AX25</f>
        <v>0</v>
      </c>
      <c r="CV349" s="231">
        <f>GIU!AY25</f>
        <v>0</v>
      </c>
      <c r="CW349" s="521">
        <f>SUM(GIU!AU25:AY25)</f>
        <v>0</v>
      </c>
      <c r="CX349" s="521">
        <f>GIU!AK25</f>
        <v>0</v>
      </c>
      <c r="CY349" s="2"/>
    </row>
    <row r="350" spans="1:103" ht="14.25" hidden="1" customHeight="1" x14ac:dyDescent="0.2">
      <c r="A350" s="2"/>
      <c r="B350" s="105">
        <f t="shared" si="74"/>
        <v>45462</v>
      </c>
      <c r="C350" s="146">
        <f>IF(AND(E350&gt;(E$562-1),E350&lt;(I$562+1)),W$551,IF(ISERROR(HLOOKUP(E350,$E$555:$L$555,1,FALSE)),HLOOKUP(WEEKDAY(E350,2),IMPOSTAZIONI!$C$52:$P$57,6,FALSE),$W$550))</f>
        <v>0</v>
      </c>
      <c r="D350" s="71" t="str">
        <f t="shared" si="75"/>
        <v/>
      </c>
      <c r="E350" s="2258">
        <f t="shared" si="80"/>
        <v>45462</v>
      </c>
      <c r="F350" s="2259"/>
      <c r="G350" s="2228" t="str">
        <f>GIU!E26</f>
        <v xml:space="preserve">disattivato  </v>
      </c>
      <c r="H350" s="2229"/>
      <c r="I350" s="2230"/>
      <c r="J350" s="262" t="str">
        <f t="shared" si="65"/>
        <v/>
      </c>
      <c r="K350" s="263"/>
      <c r="L350" s="2217">
        <f t="shared" si="81"/>
        <v>25</v>
      </c>
      <c r="M350" s="2218"/>
      <c r="N350" s="261"/>
      <c r="O350" s="261"/>
      <c r="P350" s="261"/>
      <c r="Q350" s="2219">
        <f t="shared" si="76"/>
        <v>45462</v>
      </c>
      <c r="R350" s="2219"/>
      <c r="S350" s="261"/>
      <c r="T350" s="1173">
        <f t="shared" si="66"/>
        <v>1</v>
      </c>
      <c r="U350" s="261"/>
      <c r="V350" s="261"/>
      <c r="W350" s="261"/>
      <c r="X350" s="261"/>
      <c r="Y350" s="261"/>
      <c r="Z350" s="261"/>
      <c r="AA350" s="261"/>
      <c r="AB350" s="261"/>
      <c r="AC350" s="261"/>
      <c r="AD350" s="261"/>
      <c r="AE350" s="261"/>
      <c r="AF350" s="261"/>
      <c r="AG350" s="1173">
        <f t="shared" si="77"/>
        <v>0</v>
      </c>
      <c r="AH350" s="61" t="str">
        <f t="shared" si="78"/>
        <v/>
      </c>
      <c r="AI350" s="89" t="e">
        <f t="shared" si="79"/>
        <v>#N/A</v>
      </c>
      <c r="AJ350" s="2"/>
      <c r="AK350" s="61">
        <f>IF(G350=G$547,0,IF(OR(G350&lt;&gt;0,CH350&lt;&gt;0,C350="L"),COUNTIF(AK$180:AK349,"&gt;0")+1,0))</f>
        <v>0</v>
      </c>
      <c r="AL350" s="61" t="str">
        <f t="shared" si="67"/>
        <v/>
      </c>
      <c r="AM350" s="61" t="e">
        <f t="shared" si="68"/>
        <v>#N/A</v>
      </c>
      <c r="AN350" s="89" t="e">
        <f t="shared" si="69"/>
        <v>#N/A</v>
      </c>
      <c r="AO350" s="230">
        <f>SUM(GIU!X26:AD26)-BD350+AY350</f>
        <v>0</v>
      </c>
      <c r="AP350" s="228">
        <f>SUMIF(GIU!$G$121:$M$121,AP$178,GIU!$P26:$V26)+SUMIF($AZ$178:$BC$178,AP$178,$AZ350:$BC350)</f>
        <v>0</v>
      </c>
      <c r="AQ350" s="229">
        <f>SUMIF(GIU!$G$121:$M$121,AQ$178,GIU!$P26:$V26)+SUMIF($AZ$178:$BC$178,AQ$178,$AZ350:$BC350)</f>
        <v>0</v>
      </c>
      <c r="AR350" s="230">
        <f>SUMIF(GIU!$G$121:$M$121,AR$178,GIU!$P26:$V26)+SUMIF($AZ$178:$BC$178,AR$178,$AZ350:$BC350)</f>
        <v>0</v>
      </c>
      <c r="AS350" s="230">
        <f>SUMIF(GIU!$G$121:$M$121,AS$178,GIU!$P26:$V26)+SUMIF($AZ$178:$BC$178,AS$178,$AZ350:$BC350)</f>
        <v>0</v>
      </c>
      <c r="AT350" s="230">
        <f>SUMIF(GIU!$G$121:$M$121,AT$178,GIU!$P26:$V26)+SUMIF($AZ$178:$BC$178,AT$178,$AZ350:$BC350)</f>
        <v>0</v>
      </c>
      <c r="AU350" s="230">
        <f>SUMIF(GIU!$G$121:$M$121,AU$178,GIU!$P26:$V26)+SUMIF($AZ$178:$BC$178,AU$178,$AZ350:$BC350)</f>
        <v>0</v>
      </c>
      <c r="AV350" s="230">
        <f>SUMIF(GIU!$G$121:$M$121,AV$178,GIU!$P26:$V26)+SUMIF($AZ$178:$BC$178,AV$178,$AZ350:$BC350)</f>
        <v>0</v>
      </c>
      <c r="AW350" s="230">
        <f>SUMIF(GIU!$G$121:$M$121,AW$178,GIU!$P26:$V26)+SUMIF($AZ$178:$BC$178,AW$178,$AZ350:$BC350)</f>
        <v>0</v>
      </c>
      <c r="AX350" s="231">
        <f>SUMIF(GIU!$G$121:$M$121,AX$178,GIU!$P26:$V26)+SUMIF($AZ$178:$BC$178,AX$178,$AZ350:$BC350)</f>
        <v>0</v>
      </c>
      <c r="AY350" s="232">
        <f>GIU!AF26</f>
        <v>0</v>
      </c>
      <c r="AZ350" s="228">
        <f>GIU!AG26</f>
        <v>0</v>
      </c>
      <c r="BA350" s="229">
        <f>GIU!AH26</f>
        <v>0</v>
      </c>
      <c r="BB350" s="230">
        <f>GIU!AI26</f>
        <v>0</v>
      </c>
      <c r="BC350" s="231">
        <f>GIU!AJ26</f>
        <v>0</v>
      </c>
      <c r="BD350" s="228">
        <f>SUMIF(GIU!$G$120:$M$120,"&gt;0",GIU!$X26:$AD26)</f>
        <v>0</v>
      </c>
      <c r="BE350" s="696"/>
      <c r="BF350" s="228">
        <f>SUMIF(GIU!$BA$6:$BG$6,BF$177,GIU!$BA26:$BG26)</f>
        <v>0</v>
      </c>
      <c r="BG350" s="229">
        <f>SUMIF(GIU!$BA$6:$BG$6,BG$177,GIU!$BA26:$BG26)</f>
        <v>0</v>
      </c>
      <c r="BH350" s="229">
        <f>SUMIF(GIU!$BA$6:$BG$6,BH$177,GIU!$BA26:$BG26)</f>
        <v>0</v>
      </c>
      <c r="BI350" s="229">
        <f>SUMIF(GIU!$BA$6:$BG$6,BI$177,GIU!$BA26:$BG26)</f>
        <v>0</v>
      </c>
      <c r="BJ350" s="229">
        <f>SUMIF(GIU!$BA$6:$BG$6,BJ$177,GIU!$BA26:$BG26)</f>
        <v>0</v>
      </c>
      <c r="BK350" s="229">
        <f>SUMIF(GIU!$BA$6:$BG$6,BK$177,GIU!$BA26:$BG26)</f>
        <v>0</v>
      </c>
      <c r="BL350" s="229">
        <f>SUMIF(GIU!$BA$6:$BG$6,BL$177,GIU!$BA26:$BG26)</f>
        <v>0</v>
      </c>
      <c r="BM350" s="229">
        <f>SUMIF(GIU!$BA$6:$BG$6,BM$177,GIU!$BA26:$BG26)</f>
        <v>0</v>
      </c>
      <c r="BN350" s="229">
        <f>SUMIF(GIU!$BA$6:$BG$6,BN$177,GIU!$BA26:$BG26)</f>
        <v>0</v>
      </c>
      <c r="BO350" s="231">
        <f>SUMIF(GIU!$BA$6:$BG$6,BO$177,GIU!$BA26:$BG26)</f>
        <v>0</v>
      </c>
      <c r="BP350" s="231">
        <f>SUMIF(GIU!$BA$6:$BG$6,BP$177,GIU!$BA26:$BG26)</f>
        <v>0</v>
      </c>
      <c r="BQ350" s="252"/>
      <c r="BR350" s="228">
        <f>SUMIF(GIU!$BA$5:$BG$5,BR$177,GIU!$BA26:$BG26)</f>
        <v>0</v>
      </c>
      <c r="BS350" s="229">
        <f>SUMIF(GIU!$BA$5:$BG$5,BS$177,GIU!$BA26:$BG26)</f>
        <v>0</v>
      </c>
      <c r="BT350" s="229">
        <f>SUMIF(GIU!$BA$5:$BG$5,BT$177,GIU!$BA26:$BG26)</f>
        <v>0</v>
      </c>
      <c r="BU350" s="229">
        <f>SUMIF(GIU!$BA$5:$BG$5,BU$177,GIU!$BA26:$BG26)</f>
        <v>0</v>
      </c>
      <c r="BV350" s="229">
        <f>SUMIF(GIU!$BA$5:$BG$5,BV$177,GIU!$BA26:$BG26)</f>
        <v>0</v>
      </c>
      <c r="BW350" s="229">
        <f>SUMIF(GIU!$BA$5:$BG$5,BW$177,GIU!$BA26:$BG26)</f>
        <v>0</v>
      </c>
      <c r="BX350" s="230">
        <f>SUMIF(GIU!$BA$5:$BG$5,BX$177,GIU!$BA26:$BG26)</f>
        <v>0</v>
      </c>
      <c r="BY350" s="998">
        <f>SUMIF(GIU!$BA$5:$BG$5,BY$177,GIU!$BA26:$BG26)</f>
        <v>0</v>
      </c>
      <c r="CB350" s="252"/>
      <c r="CC350" s="61" t="e">
        <f t="shared" si="70"/>
        <v>#N/A</v>
      </c>
      <c r="CD350" s="61">
        <f t="shared" si="71"/>
        <v>0</v>
      </c>
      <c r="CE350" s="105" t="str">
        <f t="shared" si="64"/>
        <v/>
      </c>
      <c r="CF350" s="61" t="e">
        <f t="shared" si="72"/>
        <v>#N/A</v>
      </c>
      <c r="CG350" s="61" t="e">
        <f t="shared" si="73"/>
        <v>#N/A</v>
      </c>
      <c r="CH350" s="521">
        <f>GIU!AL26-CW350+CR350</f>
        <v>0</v>
      </c>
      <c r="CI350" s="228">
        <f>SUMIF(GIU!$G$121:$M$121,CI$178,GIU!$AM26:$AS26)+SUMIF($CS$178:$CV$178,CI$178,$CS350:$CV350)</f>
        <v>0</v>
      </c>
      <c r="CJ350" s="229">
        <f>SUMIF(GIU!$G$121:$M$121,CJ$178,GIU!$AM26:$AS26)+SUMIF($CS$178:$CV$178,CJ$178,$CS350:$CV350)</f>
        <v>0</v>
      </c>
      <c r="CK350" s="230">
        <f>SUMIF(GIU!$G$121:$M$121,CK$178,GIU!$AM26:$AS26)+SUMIF($CS$178:$CV$178,CK$178,$CS350:$CV350)</f>
        <v>0</v>
      </c>
      <c r="CL350" s="230">
        <f>SUMIF(GIU!$G$121:$M$121,CL$178,GIU!$AM26:$AS26)+SUMIF($CS$178:$CV$178,CL$178,$CS350:$CV350)</f>
        <v>0</v>
      </c>
      <c r="CM350" s="230">
        <f>SUMIF(GIU!$G$121:$M$121,CM$178,GIU!$AM26:$AS26)+SUMIF($CS$178:$CV$178,CM$178,$CS350:$CV350)</f>
        <v>0</v>
      </c>
      <c r="CN350" s="230">
        <f>SUMIF(GIU!$G$121:$M$121,CN$178,GIU!$AM26:$AS26)+SUMIF($CS$178:$CV$178,CN$178,$CS350:$CV350)</f>
        <v>0</v>
      </c>
      <c r="CO350" s="230">
        <f>SUMIF(GIU!$G$121:$M$121,CO$178,GIU!$AM26:$AS26)+SUMIF($CS$178:$CV$178,CO$178,$CS350:$CV350)</f>
        <v>0</v>
      </c>
      <c r="CP350" s="230">
        <f>SUMIF(GIU!$G$121:$M$121,CP$178,GIU!$AM26:$AS26)+SUMIF($CS$178:$CV$178,CP$178,$CS350:$CV350)</f>
        <v>0</v>
      </c>
      <c r="CQ350" s="231">
        <f>SUMIF(GIU!$G$121:$M$121,CQ$178,GIU!$AM26:$AS26)+SUMIF($CS$178:$CV$178,CQ$178,$CS350:$CV350)</f>
        <v>0</v>
      </c>
      <c r="CR350" s="521">
        <f>GIU!AU26</f>
        <v>0</v>
      </c>
      <c r="CS350" s="228">
        <f>GIU!AV26</f>
        <v>0</v>
      </c>
      <c r="CT350" s="229">
        <f>GIU!AW26</f>
        <v>0</v>
      </c>
      <c r="CU350" s="230">
        <f>GIU!AX26</f>
        <v>0</v>
      </c>
      <c r="CV350" s="231">
        <f>GIU!AY26</f>
        <v>0</v>
      </c>
      <c r="CW350" s="521">
        <f>SUM(GIU!AU26:AY26)</f>
        <v>0</v>
      </c>
      <c r="CX350" s="521">
        <f>GIU!AK26</f>
        <v>0</v>
      </c>
      <c r="CY350" s="2"/>
    </row>
    <row r="351" spans="1:103" ht="14.25" hidden="1" customHeight="1" x14ac:dyDescent="0.2">
      <c r="A351" s="2"/>
      <c r="B351" s="105">
        <f t="shared" si="74"/>
        <v>45463</v>
      </c>
      <c r="C351" s="146">
        <f>IF(AND(E351&gt;(E$562-1),E351&lt;(I$562+1)),W$551,IF(ISERROR(HLOOKUP(E351,$E$555:$L$555,1,FALSE)),HLOOKUP(WEEKDAY(E351,2),IMPOSTAZIONI!$C$52:$P$57,6,FALSE),$W$550))</f>
        <v>0</v>
      </c>
      <c r="D351" s="71" t="str">
        <f t="shared" si="75"/>
        <v/>
      </c>
      <c r="E351" s="2258">
        <f t="shared" si="80"/>
        <v>45463</v>
      </c>
      <c r="F351" s="2259"/>
      <c r="G351" s="2228" t="str">
        <f>GIU!E27</f>
        <v xml:space="preserve">disattivato  </v>
      </c>
      <c r="H351" s="2229"/>
      <c r="I351" s="2230"/>
      <c r="J351" s="262" t="str">
        <f t="shared" si="65"/>
        <v/>
      </c>
      <c r="K351" s="263"/>
      <c r="L351" s="2217">
        <f t="shared" si="81"/>
        <v>25</v>
      </c>
      <c r="M351" s="2218"/>
      <c r="N351" s="261"/>
      <c r="O351" s="261"/>
      <c r="P351" s="261"/>
      <c r="Q351" s="2219">
        <f t="shared" si="76"/>
        <v>45463</v>
      </c>
      <c r="R351" s="2219"/>
      <c r="S351" s="261"/>
      <c r="T351" s="1173">
        <f t="shared" si="66"/>
        <v>1</v>
      </c>
      <c r="U351" s="261"/>
      <c r="V351" s="261"/>
      <c r="W351" s="261"/>
      <c r="X351" s="261"/>
      <c r="Y351" s="261"/>
      <c r="Z351" s="261"/>
      <c r="AA351" s="261"/>
      <c r="AB351" s="261"/>
      <c r="AC351" s="261"/>
      <c r="AD351" s="261"/>
      <c r="AE351" s="261"/>
      <c r="AF351" s="261"/>
      <c r="AG351" s="1173">
        <f t="shared" si="77"/>
        <v>0</v>
      </c>
      <c r="AH351" s="61" t="str">
        <f t="shared" si="78"/>
        <v/>
      </c>
      <c r="AI351" s="89" t="e">
        <f t="shared" si="79"/>
        <v>#N/A</v>
      </c>
      <c r="AJ351" s="2"/>
      <c r="AK351" s="61">
        <f>IF(G351=G$547,0,IF(OR(G351&lt;&gt;0,CH351&lt;&gt;0,C351="L"),COUNTIF(AK$180:AK350,"&gt;0")+1,0))</f>
        <v>0</v>
      </c>
      <c r="AL351" s="61" t="str">
        <f t="shared" si="67"/>
        <v/>
      </c>
      <c r="AM351" s="61" t="e">
        <f t="shared" si="68"/>
        <v>#N/A</v>
      </c>
      <c r="AN351" s="89" t="e">
        <f t="shared" si="69"/>
        <v>#N/A</v>
      </c>
      <c r="AO351" s="230">
        <f>SUM(GIU!X27:AD27)-BD351+AY351</f>
        <v>0</v>
      </c>
      <c r="AP351" s="228">
        <f>SUMIF(GIU!$G$121:$M$121,AP$178,GIU!$P27:$V27)+SUMIF($AZ$178:$BC$178,AP$178,$AZ351:$BC351)</f>
        <v>0</v>
      </c>
      <c r="AQ351" s="229">
        <f>SUMIF(GIU!$G$121:$M$121,AQ$178,GIU!$P27:$V27)+SUMIF($AZ$178:$BC$178,AQ$178,$AZ351:$BC351)</f>
        <v>0</v>
      </c>
      <c r="AR351" s="230">
        <f>SUMIF(GIU!$G$121:$M$121,AR$178,GIU!$P27:$V27)+SUMIF($AZ$178:$BC$178,AR$178,$AZ351:$BC351)</f>
        <v>0</v>
      </c>
      <c r="AS351" s="230">
        <f>SUMIF(GIU!$G$121:$M$121,AS$178,GIU!$P27:$V27)+SUMIF($AZ$178:$BC$178,AS$178,$AZ351:$BC351)</f>
        <v>0</v>
      </c>
      <c r="AT351" s="230">
        <f>SUMIF(GIU!$G$121:$M$121,AT$178,GIU!$P27:$V27)+SUMIF($AZ$178:$BC$178,AT$178,$AZ351:$BC351)</f>
        <v>0</v>
      </c>
      <c r="AU351" s="230">
        <f>SUMIF(GIU!$G$121:$M$121,AU$178,GIU!$P27:$V27)+SUMIF($AZ$178:$BC$178,AU$178,$AZ351:$BC351)</f>
        <v>0</v>
      </c>
      <c r="AV351" s="230">
        <f>SUMIF(GIU!$G$121:$M$121,AV$178,GIU!$P27:$V27)+SUMIF($AZ$178:$BC$178,AV$178,$AZ351:$BC351)</f>
        <v>0</v>
      </c>
      <c r="AW351" s="230">
        <f>SUMIF(GIU!$G$121:$M$121,AW$178,GIU!$P27:$V27)+SUMIF($AZ$178:$BC$178,AW$178,$AZ351:$BC351)</f>
        <v>0</v>
      </c>
      <c r="AX351" s="231">
        <f>SUMIF(GIU!$G$121:$M$121,AX$178,GIU!$P27:$V27)+SUMIF($AZ$178:$BC$178,AX$178,$AZ351:$BC351)</f>
        <v>0</v>
      </c>
      <c r="AY351" s="232">
        <f>GIU!AF27</f>
        <v>0</v>
      </c>
      <c r="AZ351" s="228">
        <f>GIU!AG27</f>
        <v>0</v>
      </c>
      <c r="BA351" s="229">
        <f>GIU!AH27</f>
        <v>0</v>
      </c>
      <c r="BB351" s="230">
        <f>GIU!AI27</f>
        <v>0</v>
      </c>
      <c r="BC351" s="231">
        <f>GIU!AJ27</f>
        <v>0</v>
      </c>
      <c r="BD351" s="228">
        <f>SUMIF(GIU!$G$120:$M$120,"&gt;0",GIU!$X27:$AD27)</f>
        <v>0</v>
      </c>
      <c r="BE351" s="696"/>
      <c r="BF351" s="228">
        <f>SUMIF(GIU!$BA$6:$BG$6,BF$177,GIU!$BA27:$BG27)</f>
        <v>0</v>
      </c>
      <c r="BG351" s="229">
        <f>SUMIF(GIU!$BA$6:$BG$6,BG$177,GIU!$BA27:$BG27)</f>
        <v>0</v>
      </c>
      <c r="BH351" s="229">
        <f>SUMIF(GIU!$BA$6:$BG$6,BH$177,GIU!$BA27:$BG27)</f>
        <v>0</v>
      </c>
      <c r="BI351" s="229">
        <f>SUMIF(GIU!$BA$6:$BG$6,BI$177,GIU!$BA27:$BG27)</f>
        <v>0</v>
      </c>
      <c r="BJ351" s="229">
        <f>SUMIF(GIU!$BA$6:$BG$6,BJ$177,GIU!$BA27:$BG27)</f>
        <v>0</v>
      </c>
      <c r="BK351" s="229">
        <f>SUMIF(GIU!$BA$6:$BG$6,BK$177,GIU!$BA27:$BG27)</f>
        <v>0</v>
      </c>
      <c r="BL351" s="229">
        <f>SUMIF(GIU!$BA$6:$BG$6,BL$177,GIU!$BA27:$BG27)</f>
        <v>0</v>
      </c>
      <c r="BM351" s="229">
        <f>SUMIF(GIU!$BA$6:$BG$6,BM$177,GIU!$BA27:$BG27)</f>
        <v>0</v>
      </c>
      <c r="BN351" s="229">
        <f>SUMIF(GIU!$BA$6:$BG$6,BN$177,GIU!$BA27:$BG27)</f>
        <v>0</v>
      </c>
      <c r="BO351" s="231">
        <f>SUMIF(GIU!$BA$6:$BG$6,BO$177,GIU!$BA27:$BG27)</f>
        <v>0</v>
      </c>
      <c r="BP351" s="231">
        <f>SUMIF(GIU!$BA$6:$BG$6,BP$177,GIU!$BA27:$BG27)</f>
        <v>0</v>
      </c>
      <c r="BQ351" s="252"/>
      <c r="BR351" s="228">
        <f>SUMIF(GIU!$BA$5:$BG$5,BR$177,GIU!$BA27:$BG27)</f>
        <v>0</v>
      </c>
      <c r="BS351" s="229">
        <f>SUMIF(GIU!$BA$5:$BG$5,BS$177,GIU!$BA27:$BG27)</f>
        <v>0</v>
      </c>
      <c r="BT351" s="229">
        <f>SUMIF(GIU!$BA$5:$BG$5,BT$177,GIU!$BA27:$BG27)</f>
        <v>0</v>
      </c>
      <c r="BU351" s="229">
        <f>SUMIF(GIU!$BA$5:$BG$5,BU$177,GIU!$BA27:$BG27)</f>
        <v>0</v>
      </c>
      <c r="BV351" s="229">
        <f>SUMIF(GIU!$BA$5:$BG$5,BV$177,GIU!$BA27:$BG27)</f>
        <v>0</v>
      </c>
      <c r="BW351" s="229">
        <f>SUMIF(GIU!$BA$5:$BG$5,BW$177,GIU!$BA27:$BG27)</f>
        <v>0</v>
      </c>
      <c r="BX351" s="230">
        <f>SUMIF(GIU!$BA$5:$BG$5,BX$177,GIU!$BA27:$BG27)</f>
        <v>0</v>
      </c>
      <c r="BY351" s="998">
        <f>SUMIF(GIU!$BA$5:$BG$5,BY$177,GIU!$BA27:$BG27)</f>
        <v>0</v>
      </c>
      <c r="CB351" s="252"/>
      <c r="CC351" s="61" t="e">
        <f t="shared" si="70"/>
        <v>#N/A</v>
      </c>
      <c r="CD351" s="61">
        <f t="shared" si="71"/>
        <v>0</v>
      </c>
      <c r="CE351" s="105" t="str">
        <f t="shared" si="64"/>
        <v/>
      </c>
      <c r="CF351" s="61" t="e">
        <f t="shared" si="72"/>
        <v>#N/A</v>
      </c>
      <c r="CG351" s="61" t="e">
        <f t="shared" si="73"/>
        <v>#N/A</v>
      </c>
      <c r="CH351" s="521">
        <f>GIU!AL27-CW351+CR351</f>
        <v>0</v>
      </c>
      <c r="CI351" s="228">
        <f>SUMIF(GIU!$G$121:$M$121,CI$178,GIU!$AM27:$AS27)+SUMIF($CS$178:$CV$178,CI$178,$CS351:$CV351)</f>
        <v>0</v>
      </c>
      <c r="CJ351" s="229">
        <f>SUMIF(GIU!$G$121:$M$121,CJ$178,GIU!$AM27:$AS27)+SUMIF($CS$178:$CV$178,CJ$178,$CS351:$CV351)</f>
        <v>0</v>
      </c>
      <c r="CK351" s="230">
        <f>SUMIF(GIU!$G$121:$M$121,CK$178,GIU!$AM27:$AS27)+SUMIF($CS$178:$CV$178,CK$178,$CS351:$CV351)</f>
        <v>0</v>
      </c>
      <c r="CL351" s="230">
        <f>SUMIF(GIU!$G$121:$M$121,CL$178,GIU!$AM27:$AS27)+SUMIF($CS$178:$CV$178,CL$178,$CS351:$CV351)</f>
        <v>0</v>
      </c>
      <c r="CM351" s="230">
        <f>SUMIF(GIU!$G$121:$M$121,CM$178,GIU!$AM27:$AS27)+SUMIF($CS$178:$CV$178,CM$178,$CS351:$CV351)</f>
        <v>0</v>
      </c>
      <c r="CN351" s="230">
        <f>SUMIF(GIU!$G$121:$M$121,CN$178,GIU!$AM27:$AS27)+SUMIF($CS$178:$CV$178,CN$178,$CS351:$CV351)</f>
        <v>0</v>
      </c>
      <c r="CO351" s="230">
        <f>SUMIF(GIU!$G$121:$M$121,CO$178,GIU!$AM27:$AS27)+SUMIF($CS$178:$CV$178,CO$178,$CS351:$CV351)</f>
        <v>0</v>
      </c>
      <c r="CP351" s="230">
        <f>SUMIF(GIU!$G$121:$M$121,CP$178,GIU!$AM27:$AS27)+SUMIF($CS$178:$CV$178,CP$178,$CS351:$CV351)</f>
        <v>0</v>
      </c>
      <c r="CQ351" s="231">
        <f>SUMIF(GIU!$G$121:$M$121,CQ$178,GIU!$AM27:$AS27)+SUMIF($CS$178:$CV$178,CQ$178,$CS351:$CV351)</f>
        <v>0</v>
      </c>
      <c r="CR351" s="521">
        <f>GIU!AU27</f>
        <v>0</v>
      </c>
      <c r="CS351" s="228">
        <f>GIU!AV27</f>
        <v>0</v>
      </c>
      <c r="CT351" s="229">
        <f>GIU!AW27</f>
        <v>0</v>
      </c>
      <c r="CU351" s="230">
        <f>GIU!AX27</f>
        <v>0</v>
      </c>
      <c r="CV351" s="231">
        <f>GIU!AY27</f>
        <v>0</v>
      </c>
      <c r="CW351" s="521">
        <f>SUM(GIU!AU27:AY27)</f>
        <v>0</v>
      </c>
      <c r="CX351" s="521">
        <f>GIU!AK27</f>
        <v>0</v>
      </c>
      <c r="CY351" s="2"/>
    </row>
    <row r="352" spans="1:103" ht="14.25" hidden="1" customHeight="1" x14ac:dyDescent="0.2">
      <c r="A352" s="2"/>
      <c r="B352" s="105">
        <f t="shared" si="74"/>
        <v>45464</v>
      </c>
      <c r="C352" s="146">
        <f>IF(AND(E352&gt;(E$562-1),E352&lt;(I$562+1)),W$551,IF(ISERROR(HLOOKUP(E352,$E$555:$L$555,1,FALSE)),HLOOKUP(WEEKDAY(E352,2),IMPOSTAZIONI!$C$52:$P$57,6,FALSE),$W$550))</f>
        <v>0</v>
      </c>
      <c r="D352" s="71" t="str">
        <f t="shared" si="75"/>
        <v/>
      </c>
      <c r="E352" s="2258">
        <f t="shared" si="80"/>
        <v>45464</v>
      </c>
      <c r="F352" s="2259"/>
      <c r="G352" s="2228" t="str">
        <f>GIU!E28</f>
        <v xml:space="preserve">disattivato  </v>
      </c>
      <c r="H352" s="2229"/>
      <c r="I352" s="2230"/>
      <c r="J352" s="262" t="str">
        <f t="shared" si="65"/>
        <v/>
      </c>
      <c r="K352" s="263"/>
      <c r="L352" s="2217">
        <f t="shared" si="81"/>
        <v>25</v>
      </c>
      <c r="M352" s="2218"/>
      <c r="N352" s="261"/>
      <c r="O352" s="261"/>
      <c r="P352" s="261"/>
      <c r="Q352" s="2219">
        <f t="shared" si="76"/>
        <v>45464</v>
      </c>
      <c r="R352" s="2219"/>
      <c r="S352" s="261"/>
      <c r="T352" s="1173">
        <f t="shared" si="66"/>
        <v>1</v>
      </c>
      <c r="U352" s="261"/>
      <c r="V352" s="261"/>
      <c r="W352" s="261"/>
      <c r="X352" s="261"/>
      <c r="Y352" s="261"/>
      <c r="Z352" s="261"/>
      <c r="AA352" s="261"/>
      <c r="AB352" s="261"/>
      <c r="AC352" s="261"/>
      <c r="AD352" s="261"/>
      <c r="AE352" s="261"/>
      <c r="AF352" s="261"/>
      <c r="AG352" s="1173">
        <f t="shared" si="77"/>
        <v>0</v>
      </c>
      <c r="AH352" s="61" t="str">
        <f t="shared" si="78"/>
        <v/>
      </c>
      <c r="AI352" s="89" t="e">
        <f t="shared" si="79"/>
        <v>#N/A</v>
      </c>
      <c r="AJ352" s="2"/>
      <c r="AK352" s="61">
        <f>IF(G352=G$547,0,IF(OR(G352&lt;&gt;0,CH352&lt;&gt;0,C352="L"),COUNTIF(AK$180:AK351,"&gt;0")+1,0))</f>
        <v>0</v>
      </c>
      <c r="AL352" s="61" t="str">
        <f t="shared" si="67"/>
        <v/>
      </c>
      <c r="AM352" s="61" t="e">
        <f t="shared" si="68"/>
        <v>#N/A</v>
      </c>
      <c r="AN352" s="89" t="e">
        <f t="shared" si="69"/>
        <v>#N/A</v>
      </c>
      <c r="AO352" s="230">
        <f>SUM(GIU!X28:AD28)-BD352+AY352</f>
        <v>0</v>
      </c>
      <c r="AP352" s="228">
        <f>SUMIF(GIU!$G$121:$M$121,AP$178,GIU!$P28:$V28)+SUMIF($AZ$178:$BC$178,AP$178,$AZ352:$BC352)</f>
        <v>0</v>
      </c>
      <c r="AQ352" s="229">
        <f>SUMIF(GIU!$G$121:$M$121,AQ$178,GIU!$P28:$V28)+SUMIF($AZ$178:$BC$178,AQ$178,$AZ352:$BC352)</f>
        <v>0</v>
      </c>
      <c r="AR352" s="230">
        <f>SUMIF(GIU!$G$121:$M$121,AR$178,GIU!$P28:$V28)+SUMIF($AZ$178:$BC$178,AR$178,$AZ352:$BC352)</f>
        <v>0</v>
      </c>
      <c r="AS352" s="230">
        <f>SUMIF(GIU!$G$121:$M$121,AS$178,GIU!$P28:$V28)+SUMIF($AZ$178:$BC$178,AS$178,$AZ352:$BC352)</f>
        <v>0</v>
      </c>
      <c r="AT352" s="230">
        <f>SUMIF(GIU!$G$121:$M$121,AT$178,GIU!$P28:$V28)+SUMIF($AZ$178:$BC$178,AT$178,$AZ352:$BC352)</f>
        <v>0</v>
      </c>
      <c r="AU352" s="230">
        <f>SUMIF(GIU!$G$121:$M$121,AU$178,GIU!$P28:$V28)+SUMIF($AZ$178:$BC$178,AU$178,$AZ352:$BC352)</f>
        <v>0</v>
      </c>
      <c r="AV352" s="230">
        <f>SUMIF(GIU!$G$121:$M$121,AV$178,GIU!$P28:$V28)+SUMIF($AZ$178:$BC$178,AV$178,$AZ352:$BC352)</f>
        <v>0</v>
      </c>
      <c r="AW352" s="230">
        <f>SUMIF(GIU!$G$121:$M$121,AW$178,GIU!$P28:$V28)+SUMIF($AZ$178:$BC$178,AW$178,$AZ352:$BC352)</f>
        <v>0</v>
      </c>
      <c r="AX352" s="231">
        <f>SUMIF(GIU!$G$121:$M$121,AX$178,GIU!$P28:$V28)+SUMIF($AZ$178:$BC$178,AX$178,$AZ352:$BC352)</f>
        <v>0</v>
      </c>
      <c r="AY352" s="232">
        <f>GIU!AF28</f>
        <v>0</v>
      </c>
      <c r="AZ352" s="228">
        <f>GIU!AG28</f>
        <v>0</v>
      </c>
      <c r="BA352" s="229">
        <f>GIU!AH28</f>
        <v>0</v>
      </c>
      <c r="BB352" s="230">
        <f>GIU!AI28</f>
        <v>0</v>
      </c>
      <c r="BC352" s="231">
        <f>GIU!AJ28</f>
        <v>0</v>
      </c>
      <c r="BD352" s="228">
        <f>SUMIF(GIU!$G$120:$M$120,"&gt;0",GIU!$X28:$AD28)</f>
        <v>0</v>
      </c>
      <c r="BE352" s="696"/>
      <c r="BF352" s="228">
        <f>SUMIF(GIU!$BA$6:$BG$6,BF$177,GIU!$BA28:$BG28)</f>
        <v>0</v>
      </c>
      <c r="BG352" s="229">
        <f>SUMIF(GIU!$BA$6:$BG$6,BG$177,GIU!$BA28:$BG28)</f>
        <v>0</v>
      </c>
      <c r="BH352" s="229">
        <f>SUMIF(GIU!$BA$6:$BG$6,BH$177,GIU!$BA28:$BG28)</f>
        <v>0</v>
      </c>
      <c r="BI352" s="229">
        <f>SUMIF(GIU!$BA$6:$BG$6,BI$177,GIU!$BA28:$BG28)</f>
        <v>0</v>
      </c>
      <c r="BJ352" s="229">
        <f>SUMIF(GIU!$BA$6:$BG$6,BJ$177,GIU!$BA28:$BG28)</f>
        <v>0</v>
      </c>
      <c r="BK352" s="229">
        <f>SUMIF(GIU!$BA$6:$BG$6,BK$177,GIU!$BA28:$BG28)</f>
        <v>0</v>
      </c>
      <c r="BL352" s="229">
        <f>SUMIF(GIU!$BA$6:$BG$6,BL$177,GIU!$BA28:$BG28)</f>
        <v>0</v>
      </c>
      <c r="BM352" s="229">
        <f>SUMIF(GIU!$BA$6:$BG$6,BM$177,GIU!$BA28:$BG28)</f>
        <v>0</v>
      </c>
      <c r="BN352" s="229">
        <f>SUMIF(GIU!$BA$6:$BG$6,BN$177,GIU!$BA28:$BG28)</f>
        <v>0</v>
      </c>
      <c r="BO352" s="231">
        <f>SUMIF(GIU!$BA$6:$BG$6,BO$177,GIU!$BA28:$BG28)</f>
        <v>0</v>
      </c>
      <c r="BP352" s="231">
        <f>SUMIF(GIU!$BA$6:$BG$6,BP$177,GIU!$BA28:$BG28)</f>
        <v>0</v>
      </c>
      <c r="BQ352" s="252"/>
      <c r="BR352" s="228">
        <f>SUMIF(GIU!$BA$5:$BG$5,BR$177,GIU!$BA28:$BG28)</f>
        <v>0</v>
      </c>
      <c r="BS352" s="229">
        <f>SUMIF(GIU!$BA$5:$BG$5,BS$177,GIU!$BA28:$BG28)</f>
        <v>0</v>
      </c>
      <c r="BT352" s="229">
        <f>SUMIF(GIU!$BA$5:$BG$5,BT$177,GIU!$BA28:$BG28)</f>
        <v>0</v>
      </c>
      <c r="BU352" s="229">
        <f>SUMIF(GIU!$BA$5:$BG$5,BU$177,GIU!$BA28:$BG28)</f>
        <v>0</v>
      </c>
      <c r="BV352" s="229">
        <f>SUMIF(GIU!$BA$5:$BG$5,BV$177,GIU!$BA28:$BG28)</f>
        <v>0</v>
      </c>
      <c r="BW352" s="229">
        <f>SUMIF(GIU!$BA$5:$BG$5,BW$177,GIU!$BA28:$BG28)</f>
        <v>0</v>
      </c>
      <c r="BX352" s="230">
        <f>SUMIF(GIU!$BA$5:$BG$5,BX$177,GIU!$BA28:$BG28)</f>
        <v>0</v>
      </c>
      <c r="BY352" s="998">
        <f>SUMIF(GIU!$BA$5:$BG$5,BY$177,GIU!$BA28:$BG28)</f>
        <v>0</v>
      </c>
      <c r="CB352" s="252"/>
      <c r="CC352" s="61" t="e">
        <f t="shared" si="70"/>
        <v>#N/A</v>
      </c>
      <c r="CD352" s="61">
        <f t="shared" si="71"/>
        <v>0</v>
      </c>
      <c r="CE352" s="105" t="str">
        <f t="shared" si="64"/>
        <v/>
      </c>
      <c r="CF352" s="61" t="e">
        <f t="shared" si="72"/>
        <v>#N/A</v>
      </c>
      <c r="CG352" s="61" t="e">
        <f t="shared" si="73"/>
        <v>#N/A</v>
      </c>
      <c r="CH352" s="521">
        <f>GIU!AL28-CW352+CR352</f>
        <v>0</v>
      </c>
      <c r="CI352" s="228">
        <f>SUMIF(GIU!$G$121:$M$121,CI$178,GIU!$AM28:$AS28)+SUMIF($CS$178:$CV$178,CI$178,$CS352:$CV352)</f>
        <v>0</v>
      </c>
      <c r="CJ352" s="229">
        <f>SUMIF(GIU!$G$121:$M$121,CJ$178,GIU!$AM28:$AS28)+SUMIF($CS$178:$CV$178,CJ$178,$CS352:$CV352)</f>
        <v>0</v>
      </c>
      <c r="CK352" s="230">
        <f>SUMIF(GIU!$G$121:$M$121,CK$178,GIU!$AM28:$AS28)+SUMIF($CS$178:$CV$178,CK$178,$CS352:$CV352)</f>
        <v>0</v>
      </c>
      <c r="CL352" s="230">
        <f>SUMIF(GIU!$G$121:$M$121,CL$178,GIU!$AM28:$AS28)+SUMIF($CS$178:$CV$178,CL$178,$CS352:$CV352)</f>
        <v>0</v>
      </c>
      <c r="CM352" s="230">
        <f>SUMIF(GIU!$G$121:$M$121,CM$178,GIU!$AM28:$AS28)+SUMIF($CS$178:$CV$178,CM$178,$CS352:$CV352)</f>
        <v>0</v>
      </c>
      <c r="CN352" s="230">
        <f>SUMIF(GIU!$G$121:$M$121,CN$178,GIU!$AM28:$AS28)+SUMIF($CS$178:$CV$178,CN$178,$CS352:$CV352)</f>
        <v>0</v>
      </c>
      <c r="CO352" s="230">
        <f>SUMIF(GIU!$G$121:$M$121,CO$178,GIU!$AM28:$AS28)+SUMIF($CS$178:$CV$178,CO$178,$CS352:$CV352)</f>
        <v>0</v>
      </c>
      <c r="CP352" s="230">
        <f>SUMIF(GIU!$G$121:$M$121,CP$178,GIU!$AM28:$AS28)+SUMIF($CS$178:$CV$178,CP$178,$CS352:$CV352)</f>
        <v>0</v>
      </c>
      <c r="CQ352" s="231">
        <f>SUMIF(GIU!$G$121:$M$121,CQ$178,GIU!$AM28:$AS28)+SUMIF($CS$178:$CV$178,CQ$178,$CS352:$CV352)</f>
        <v>0</v>
      </c>
      <c r="CR352" s="521">
        <f>GIU!AU28</f>
        <v>0</v>
      </c>
      <c r="CS352" s="228">
        <f>GIU!AV28</f>
        <v>0</v>
      </c>
      <c r="CT352" s="229">
        <f>GIU!AW28</f>
        <v>0</v>
      </c>
      <c r="CU352" s="230">
        <f>GIU!AX28</f>
        <v>0</v>
      </c>
      <c r="CV352" s="231">
        <f>GIU!AY28</f>
        <v>0</v>
      </c>
      <c r="CW352" s="521">
        <f>SUM(GIU!AU28:AY28)</f>
        <v>0</v>
      </c>
      <c r="CX352" s="521">
        <f>GIU!AK28</f>
        <v>0</v>
      </c>
      <c r="CY352" s="2"/>
    </row>
    <row r="353" spans="1:103" ht="14.25" hidden="1" customHeight="1" x14ac:dyDescent="0.2">
      <c r="A353" s="2"/>
      <c r="B353" s="105">
        <f t="shared" si="74"/>
        <v>45465</v>
      </c>
      <c r="C353" s="146">
        <f>IF(AND(E353&gt;(E$562-1),E353&lt;(I$562+1)),W$551,IF(ISERROR(HLOOKUP(E353,$E$555:$L$555,1,FALSE)),HLOOKUP(WEEKDAY(E353,2),IMPOSTAZIONI!$C$52:$P$57,6,FALSE),$W$550))</f>
        <v>0</v>
      </c>
      <c r="D353" s="71" t="str">
        <f t="shared" si="75"/>
        <v/>
      </c>
      <c r="E353" s="2258">
        <f t="shared" si="80"/>
        <v>45465</v>
      </c>
      <c r="F353" s="2259"/>
      <c r="G353" s="2228" t="str">
        <f>GIU!E29</f>
        <v xml:space="preserve">disattivato  </v>
      </c>
      <c r="H353" s="2229"/>
      <c r="I353" s="2230"/>
      <c r="J353" s="262" t="str">
        <f t="shared" si="65"/>
        <v/>
      </c>
      <c r="K353" s="263"/>
      <c r="L353" s="2217">
        <f t="shared" si="81"/>
        <v>25</v>
      </c>
      <c r="M353" s="2218"/>
      <c r="N353" s="261"/>
      <c r="O353" s="261"/>
      <c r="P353" s="261"/>
      <c r="Q353" s="2219">
        <f t="shared" si="76"/>
        <v>45465</v>
      </c>
      <c r="R353" s="2219"/>
      <c r="S353" s="261"/>
      <c r="T353" s="1173">
        <f t="shared" si="66"/>
        <v>1</v>
      </c>
      <c r="U353" s="261"/>
      <c r="V353" s="261"/>
      <c r="W353" s="261"/>
      <c r="X353" s="261"/>
      <c r="Y353" s="261"/>
      <c r="Z353" s="261"/>
      <c r="AA353" s="261"/>
      <c r="AB353" s="261"/>
      <c r="AC353" s="261"/>
      <c r="AD353" s="261"/>
      <c r="AE353" s="261"/>
      <c r="AF353" s="261"/>
      <c r="AG353" s="1173">
        <f t="shared" si="77"/>
        <v>0</v>
      </c>
      <c r="AH353" s="61" t="str">
        <f t="shared" si="78"/>
        <v/>
      </c>
      <c r="AI353" s="89" t="e">
        <f t="shared" si="79"/>
        <v>#N/A</v>
      </c>
      <c r="AJ353" s="2"/>
      <c r="AK353" s="61">
        <f>IF(G353=G$547,0,IF(OR(G353&lt;&gt;0,CH353&lt;&gt;0,C353="L"),COUNTIF(AK$180:AK352,"&gt;0")+1,0))</f>
        <v>0</v>
      </c>
      <c r="AL353" s="61" t="str">
        <f t="shared" si="67"/>
        <v/>
      </c>
      <c r="AM353" s="61" t="e">
        <f t="shared" si="68"/>
        <v>#N/A</v>
      </c>
      <c r="AN353" s="89" t="e">
        <f t="shared" si="69"/>
        <v>#N/A</v>
      </c>
      <c r="AO353" s="230">
        <f>SUM(GIU!X29:AD29)-BD353+AY353</f>
        <v>0</v>
      </c>
      <c r="AP353" s="228">
        <f>SUMIF(GIU!$G$121:$M$121,AP$178,GIU!$P29:$V29)+SUMIF($AZ$178:$BC$178,AP$178,$AZ353:$BC353)</f>
        <v>0</v>
      </c>
      <c r="AQ353" s="229">
        <f>SUMIF(GIU!$G$121:$M$121,AQ$178,GIU!$P29:$V29)+SUMIF($AZ$178:$BC$178,AQ$178,$AZ353:$BC353)</f>
        <v>0</v>
      </c>
      <c r="AR353" s="230">
        <f>SUMIF(GIU!$G$121:$M$121,AR$178,GIU!$P29:$V29)+SUMIF($AZ$178:$BC$178,AR$178,$AZ353:$BC353)</f>
        <v>0</v>
      </c>
      <c r="AS353" s="230">
        <f>SUMIF(GIU!$G$121:$M$121,AS$178,GIU!$P29:$V29)+SUMIF($AZ$178:$BC$178,AS$178,$AZ353:$BC353)</f>
        <v>0</v>
      </c>
      <c r="AT353" s="230">
        <f>SUMIF(GIU!$G$121:$M$121,AT$178,GIU!$P29:$V29)+SUMIF($AZ$178:$BC$178,AT$178,$AZ353:$BC353)</f>
        <v>0</v>
      </c>
      <c r="AU353" s="230">
        <f>SUMIF(GIU!$G$121:$M$121,AU$178,GIU!$P29:$V29)+SUMIF($AZ$178:$BC$178,AU$178,$AZ353:$BC353)</f>
        <v>0</v>
      </c>
      <c r="AV353" s="230">
        <f>SUMIF(GIU!$G$121:$M$121,AV$178,GIU!$P29:$V29)+SUMIF($AZ$178:$BC$178,AV$178,$AZ353:$BC353)</f>
        <v>0</v>
      </c>
      <c r="AW353" s="230">
        <f>SUMIF(GIU!$G$121:$M$121,AW$178,GIU!$P29:$V29)+SUMIF($AZ$178:$BC$178,AW$178,$AZ353:$BC353)</f>
        <v>0</v>
      </c>
      <c r="AX353" s="231">
        <f>SUMIF(GIU!$G$121:$M$121,AX$178,GIU!$P29:$V29)+SUMIF($AZ$178:$BC$178,AX$178,$AZ353:$BC353)</f>
        <v>0</v>
      </c>
      <c r="AY353" s="232">
        <f>GIU!AF29</f>
        <v>0</v>
      </c>
      <c r="AZ353" s="228">
        <f>GIU!AG29</f>
        <v>0</v>
      </c>
      <c r="BA353" s="229">
        <f>GIU!AH29</f>
        <v>0</v>
      </c>
      <c r="BB353" s="230">
        <f>GIU!AI29</f>
        <v>0</v>
      </c>
      <c r="BC353" s="231">
        <f>GIU!AJ29</f>
        <v>0</v>
      </c>
      <c r="BD353" s="228">
        <f>SUMIF(GIU!$G$120:$M$120,"&gt;0",GIU!$X29:$AD29)</f>
        <v>0</v>
      </c>
      <c r="BE353" s="696"/>
      <c r="BF353" s="228">
        <f>SUMIF(GIU!$BA$6:$BG$6,BF$177,GIU!$BA29:$BG29)</f>
        <v>0</v>
      </c>
      <c r="BG353" s="229">
        <f>SUMIF(GIU!$BA$6:$BG$6,BG$177,GIU!$BA29:$BG29)</f>
        <v>0</v>
      </c>
      <c r="BH353" s="229">
        <f>SUMIF(GIU!$BA$6:$BG$6,BH$177,GIU!$BA29:$BG29)</f>
        <v>0</v>
      </c>
      <c r="BI353" s="229">
        <f>SUMIF(GIU!$BA$6:$BG$6,BI$177,GIU!$BA29:$BG29)</f>
        <v>0</v>
      </c>
      <c r="BJ353" s="229">
        <f>SUMIF(GIU!$BA$6:$BG$6,BJ$177,GIU!$BA29:$BG29)</f>
        <v>0</v>
      </c>
      <c r="BK353" s="229">
        <f>SUMIF(GIU!$BA$6:$BG$6,BK$177,GIU!$BA29:$BG29)</f>
        <v>0</v>
      </c>
      <c r="BL353" s="229">
        <f>SUMIF(GIU!$BA$6:$BG$6,BL$177,GIU!$BA29:$BG29)</f>
        <v>0</v>
      </c>
      <c r="BM353" s="229">
        <f>SUMIF(GIU!$BA$6:$BG$6,BM$177,GIU!$BA29:$BG29)</f>
        <v>0</v>
      </c>
      <c r="BN353" s="229">
        <f>SUMIF(GIU!$BA$6:$BG$6,BN$177,GIU!$BA29:$BG29)</f>
        <v>0</v>
      </c>
      <c r="BO353" s="231">
        <f>SUMIF(GIU!$BA$6:$BG$6,BO$177,GIU!$BA29:$BG29)</f>
        <v>0</v>
      </c>
      <c r="BP353" s="231">
        <f>SUMIF(GIU!$BA$6:$BG$6,BP$177,GIU!$BA29:$BG29)</f>
        <v>0</v>
      </c>
      <c r="BQ353" s="252"/>
      <c r="BR353" s="228">
        <f>SUMIF(GIU!$BA$5:$BG$5,BR$177,GIU!$BA29:$BG29)</f>
        <v>0</v>
      </c>
      <c r="BS353" s="229">
        <f>SUMIF(GIU!$BA$5:$BG$5,BS$177,GIU!$BA29:$BG29)</f>
        <v>0</v>
      </c>
      <c r="BT353" s="229">
        <f>SUMIF(GIU!$BA$5:$BG$5,BT$177,GIU!$BA29:$BG29)</f>
        <v>0</v>
      </c>
      <c r="BU353" s="229">
        <f>SUMIF(GIU!$BA$5:$BG$5,BU$177,GIU!$BA29:$BG29)</f>
        <v>0</v>
      </c>
      <c r="BV353" s="229">
        <f>SUMIF(GIU!$BA$5:$BG$5,BV$177,GIU!$BA29:$BG29)</f>
        <v>0</v>
      </c>
      <c r="BW353" s="229">
        <f>SUMIF(GIU!$BA$5:$BG$5,BW$177,GIU!$BA29:$BG29)</f>
        <v>0</v>
      </c>
      <c r="BX353" s="230">
        <f>SUMIF(GIU!$BA$5:$BG$5,BX$177,GIU!$BA29:$BG29)</f>
        <v>0</v>
      </c>
      <c r="BY353" s="998">
        <f>SUMIF(GIU!$BA$5:$BG$5,BY$177,GIU!$BA29:$BG29)</f>
        <v>0</v>
      </c>
      <c r="CB353" s="252"/>
      <c r="CC353" s="61" t="e">
        <f t="shared" si="70"/>
        <v>#N/A</v>
      </c>
      <c r="CD353" s="61">
        <f t="shared" si="71"/>
        <v>0</v>
      </c>
      <c r="CE353" s="105" t="str">
        <f t="shared" si="64"/>
        <v/>
      </c>
      <c r="CF353" s="61" t="e">
        <f t="shared" si="72"/>
        <v>#N/A</v>
      </c>
      <c r="CG353" s="61" t="e">
        <f t="shared" si="73"/>
        <v>#N/A</v>
      </c>
      <c r="CH353" s="521">
        <f>GIU!AL29-CW353+CR353</f>
        <v>0</v>
      </c>
      <c r="CI353" s="228">
        <f>SUMIF(GIU!$G$121:$M$121,CI$178,GIU!$AM29:$AS29)+SUMIF($CS$178:$CV$178,CI$178,$CS353:$CV353)</f>
        <v>0</v>
      </c>
      <c r="CJ353" s="229">
        <f>SUMIF(GIU!$G$121:$M$121,CJ$178,GIU!$AM29:$AS29)+SUMIF($CS$178:$CV$178,CJ$178,$CS353:$CV353)</f>
        <v>0</v>
      </c>
      <c r="CK353" s="230">
        <f>SUMIF(GIU!$G$121:$M$121,CK$178,GIU!$AM29:$AS29)+SUMIF($CS$178:$CV$178,CK$178,$CS353:$CV353)</f>
        <v>0</v>
      </c>
      <c r="CL353" s="230">
        <f>SUMIF(GIU!$G$121:$M$121,CL$178,GIU!$AM29:$AS29)+SUMIF($CS$178:$CV$178,CL$178,$CS353:$CV353)</f>
        <v>0</v>
      </c>
      <c r="CM353" s="230">
        <f>SUMIF(GIU!$G$121:$M$121,CM$178,GIU!$AM29:$AS29)+SUMIF($CS$178:$CV$178,CM$178,$CS353:$CV353)</f>
        <v>0</v>
      </c>
      <c r="CN353" s="230">
        <f>SUMIF(GIU!$G$121:$M$121,CN$178,GIU!$AM29:$AS29)+SUMIF($CS$178:$CV$178,CN$178,$CS353:$CV353)</f>
        <v>0</v>
      </c>
      <c r="CO353" s="230">
        <f>SUMIF(GIU!$G$121:$M$121,CO$178,GIU!$AM29:$AS29)+SUMIF($CS$178:$CV$178,CO$178,$CS353:$CV353)</f>
        <v>0</v>
      </c>
      <c r="CP353" s="230">
        <f>SUMIF(GIU!$G$121:$M$121,CP$178,GIU!$AM29:$AS29)+SUMIF($CS$178:$CV$178,CP$178,$CS353:$CV353)</f>
        <v>0</v>
      </c>
      <c r="CQ353" s="231">
        <f>SUMIF(GIU!$G$121:$M$121,CQ$178,GIU!$AM29:$AS29)+SUMIF($CS$178:$CV$178,CQ$178,$CS353:$CV353)</f>
        <v>0</v>
      </c>
      <c r="CR353" s="521">
        <f>GIU!AU29</f>
        <v>0</v>
      </c>
      <c r="CS353" s="228">
        <f>GIU!AV29</f>
        <v>0</v>
      </c>
      <c r="CT353" s="229">
        <f>GIU!AW29</f>
        <v>0</v>
      </c>
      <c r="CU353" s="230">
        <f>GIU!AX29</f>
        <v>0</v>
      </c>
      <c r="CV353" s="231">
        <f>GIU!AY29</f>
        <v>0</v>
      </c>
      <c r="CW353" s="521">
        <f>SUM(GIU!AU29:AY29)</f>
        <v>0</v>
      </c>
      <c r="CX353" s="521">
        <f>GIU!AK29</f>
        <v>0</v>
      </c>
      <c r="CY353" s="2"/>
    </row>
    <row r="354" spans="1:103" ht="14.25" hidden="1" customHeight="1" x14ac:dyDescent="0.2">
      <c r="A354" s="2"/>
      <c r="B354" s="105">
        <f t="shared" si="74"/>
        <v>45466</v>
      </c>
      <c r="C354" s="146">
        <f>IF(AND(E354&gt;(E$562-1),E354&lt;(I$562+1)),W$551,IF(ISERROR(HLOOKUP(E354,$E$555:$L$555,1,FALSE)),HLOOKUP(WEEKDAY(E354,2),IMPOSTAZIONI!$C$52:$P$57,6,FALSE),$W$550))</f>
        <v>0</v>
      </c>
      <c r="D354" s="71" t="str">
        <f t="shared" si="75"/>
        <v/>
      </c>
      <c r="E354" s="2258">
        <f t="shared" si="80"/>
        <v>45466</v>
      </c>
      <c r="F354" s="2259"/>
      <c r="G354" s="2228" t="str">
        <f>GIU!E30</f>
        <v xml:space="preserve">disattivato  </v>
      </c>
      <c r="H354" s="2229"/>
      <c r="I354" s="2230"/>
      <c r="J354" s="262" t="str">
        <f t="shared" si="65"/>
        <v/>
      </c>
      <c r="K354" s="263"/>
      <c r="L354" s="2220">
        <f t="shared" si="81"/>
        <v>25</v>
      </c>
      <c r="M354" s="2221"/>
      <c r="N354" s="261"/>
      <c r="O354" s="261"/>
      <c r="P354" s="261"/>
      <c r="Q354" s="2219">
        <f t="shared" si="76"/>
        <v>45466</v>
      </c>
      <c r="R354" s="2219"/>
      <c r="S354" s="261"/>
      <c r="T354" s="1173">
        <f t="shared" si="66"/>
        <v>1</v>
      </c>
      <c r="U354" s="261"/>
      <c r="V354" s="261"/>
      <c r="W354" s="261"/>
      <c r="X354" s="261"/>
      <c r="Y354" s="261"/>
      <c r="Z354" s="261"/>
      <c r="AA354" s="261"/>
      <c r="AB354" s="261"/>
      <c r="AC354" s="261"/>
      <c r="AD354" s="261"/>
      <c r="AE354" s="261"/>
      <c r="AF354" s="261"/>
      <c r="AG354" s="1173">
        <f t="shared" si="77"/>
        <v>0</v>
      </c>
      <c r="AH354" s="61" t="str">
        <f t="shared" si="78"/>
        <v/>
      </c>
      <c r="AI354" s="89" t="e">
        <f t="shared" si="79"/>
        <v>#N/A</v>
      </c>
      <c r="AJ354" s="2"/>
      <c r="AK354" s="61">
        <f>IF(G354=G$547,0,IF(OR(G354&lt;&gt;0,CH354&lt;&gt;0,C354="L"),COUNTIF(AK$180:AK353,"&gt;0")+1,0))</f>
        <v>0</v>
      </c>
      <c r="AL354" s="61" t="str">
        <f t="shared" si="67"/>
        <v/>
      </c>
      <c r="AM354" s="61" t="e">
        <f t="shared" si="68"/>
        <v>#N/A</v>
      </c>
      <c r="AN354" s="89" t="e">
        <f t="shared" si="69"/>
        <v>#N/A</v>
      </c>
      <c r="AO354" s="230">
        <f>SUM(GIU!X30:AD30)-BD354+AY354</f>
        <v>0</v>
      </c>
      <c r="AP354" s="228">
        <f>SUMIF(GIU!$G$121:$M$121,AP$178,GIU!$P30:$V30)+SUMIF($AZ$178:$BC$178,AP$178,$AZ354:$BC354)</f>
        <v>0</v>
      </c>
      <c r="AQ354" s="229">
        <f>SUMIF(GIU!$G$121:$M$121,AQ$178,GIU!$P30:$V30)+SUMIF($AZ$178:$BC$178,AQ$178,$AZ354:$BC354)</f>
        <v>0</v>
      </c>
      <c r="AR354" s="230">
        <f>SUMIF(GIU!$G$121:$M$121,AR$178,GIU!$P30:$V30)+SUMIF($AZ$178:$BC$178,AR$178,$AZ354:$BC354)</f>
        <v>0</v>
      </c>
      <c r="AS354" s="230">
        <f>SUMIF(GIU!$G$121:$M$121,AS$178,GIU!$P30:$V30)+SUMIF($AZ$178:$BC$178,AS$178,$AZ354:$BC354)</f>
        <v>0</v>
      </c>
      <c r="AT354" s="230">
        <f>SUMIF(GIU!$G$121:$M$121,AT$178,GIU!$P30:$V30)+SUMIF($AZ$178:$BC$178,AT$178,$AZ354:$BC354)</f>
        <v>0</v>
      </c>
      <c r="AU354" s="230">
        <f>SUMIF(GIU!$G$121:$M$121,AU$178,GIU!$P30:$V30)+SUMIF($AZ$178:$BC$178,AU$178,$AZ354:$BC354)</f>
        <v>0</v>
      </c>
      <c r="AV354" s="230">
        <f>SUMIF(GIU!$G$121:$M$121,AV$178,GIU!$P30:$V30)+SUMIF($AZ$178:$BC$178,AV$178,$AZ354:$BC354)</f>
        <v>0</v>
      </c>
      <c r="AW354" s="230">
        <f>SUMIF(GIU!$G$121:$M$121,AW$178,GIU!$P30:$V30)+SUMIF($AZ$178:$BC$178,AW$178,$AZ354:$BC354)</f>
        <v>0</v>
      </c>
      <c r="AX354" s="231">
        <f>SUMIF(GIU!$G$121:$M$121,AX$178,GIU!$P30:$V30)+SUMIF($AZ$178:$BC$178,AX$178,$AZ354:$BC354)</f>
        <v>0</v>
      </c>
      <c r="AY354" s="232">
        <f>GIU!AF30</f>
        <v>0</v>
      </c>
      <c r="AZ354" s="228">
        <f>GIU!AG30</f>
        <v>0</v>
      </c>
      <c r="BA354" s="229">
        <f>GIU!AH30</f>
        <v>0</v>
      </c>
      <c r="BB354" s="230">
        <f>GIU!AI30</f>
        <v>0</v>
      </c>
      <c r="BC354" s="231">
        <f>GIU!AJ30</f>
        <v>0</v>
      </c>
      <c r="BD354" s="228">
        <f>SUMIF(GIU!$G$120:$M$120,"&gt;0",GIU!$X30:$AD30)</f>
        <v>0</v>
      </c>
      <c r="BE354" s="696"/>
      <c r="BF354" s="228">
        <f>SUMIF(GIU!$BA$6:$BG$6,BF$177,GIU!$BA30:$BG30)</f>
        <v>0</v>
      </c>
      <c r="BG354" s="229">
        <f>SUMIF(GIU!$BA$6:$BG$6,BG$177,GIU!$BA30:$BG30)</f>
        <v>0</v>
      </c>
      <c r="BH354" s="229">
        <f>SUMIF(GIU!$BA$6:$BG$6,BH$177,GIU!$BA30:$BG30)</f>
        <v>0</v>
      </c>
      <c r="BI354" s="229">
        <f>SUMIF(GIU!$BA$6:$BG$6,BI$177,GIU!$BA30:$BG30)</f>
        <v>0</v>
      </c>
      <c r="BJ354" s="229">
        <f>SUMIF(GIU!$BA$6:$BG$6,BJ$177,GIU!$BA30:$BG30)</f>
        <v>0</v>
      </c>
      <c r="BK354" s="229">
        <f>SUMIF(GIU!$BA$6:$BG$6,BK$177,GIU!$BA30:$BG30)</f>
        <v>0</v>
      </c>
      <c r="BL354" s="229">
        <f>SUMIF(GIU!$BA$6:$BG$6,BL$177,GIU!$BA30:$BG30)</f>
        <v>0</v>
      </c>
      <c r="BM354" s="229">
        <f>SUMIF(GIU!$BA$6:$BG$6,BM$177,GIU!$BA30:$BG30)</f>
        <v>0</v>
      </c>
      <c r="BN354" s="229">
        <f>SUMIF(GIU!$BA$6:$BG$6,BN$177,GIU!$BA30:$BG30)</f>
        <v>0</v>
      </c>
      <c r="BO354" s="231">
        <f>SUMIF(GIU!$BA$6:$BG$6,BO$177,GIU!$BA30:$BG30)</f>
        <v>0</v>
      </c>
      <c r="BP354" s="231">
        <f>SUMIF(GIU!$BA$6:$BG$6,BP$177,GIU!$BA30:$BG30)</f>
        <v>0</v>
      </c>
      <c r="BQ354" s="252"/>
      <c r="BR354" s="228">
        <f>SUMIF(GIU!$BA$5:$BG$5,BR$177,GIU!$BA30:$BG30)</f>
        <v>0</v>
      </c>
      <c r="BS354" s="229">
        <f>SUMIF(GIU!$BA$5:$BG$5,BS$177,GIU!$BA30:$BG30)</f>
        <v>0</v>
      </c>
      <c r="BT354" s="229">
        <f>SUMIF(GIU!$BA$5:$BG$5,BT$177,GIU!$BA30:$BG30)</f>
        <v>0</v>
      </c>
      <c r="BU354" s="229">
        <f>SUMIF(GIU!$BA$5:$BG$5,BU$177,GIU!$BA30:$BG30)</f>
        <v>0</v>
      </c>
      <c r="BV354" s="229">
        <f>SUMIF(GIU!$BA$5:$BG$5,BV$177,GIU!$BA30:$BG30)</f>
        <v>0</v>
      </c>
      <c r="BW354" s="229">
        <f>SUMIF(GIU!$BA$5:$BG$5,BW$177,GIU!$BA30:$BG30)</f>
        <v>0</v>
      </c>
      <c r="BX354" s="230">
        <f>SUMIF(GIU!$BA$5:$BG$5,BX$177,GIU!$BA30:$BG30)</f>
        <v>0</v>
      </c>
      <c r="BY354" s="998">
        <f>SUMIF(GIU!$BA$5:$BG$5,BY$177,GIU!$BA30:$BG30)</f>
        <v>0</v>
      </c>
      <c r="CB354" s="252"/>
      <c r="CC354" s="61" t="e">
        <f t="shared" si="70"/>
        <v>#N/A</v>
      </c>
      <c r="CD354" s="61">
        <f t="shared" si="71"/>
        <v>0</v>
      </c>
      <c r="CE354" s="105" t="str">
        <f t="shared" si="64"/>
        <v/>
      </c>
      <c r="CF354" s="61" t="e">
        <f t="shared" si="72"/>
        <v>#N/A</v>
      </c>
      <c r="CG354" s="61" t="e">
        <f t="shared" si="73"/>
        <v>#N/A</v>
      </c>
      <c r="CH354" s="521">
        <f>GIU!AL30-CW354+CR354</f>
        <v>0</v>
      </c>
      <c r="CI354" s="228">
        <f>SUMIF(GIU!$G$121:$M$121,CI$178,GIU!$AM30:$AS30)+SUMIF($CS$178:$CV$178,CI$178,$CS354:$CV354)</f>
        <v>0</v>
      </c>
      <c r="CJ354" s="229">
        <f>SUMIF(GIU!$G$121:$M$121,CJ$178,GIU!$AM30:$AS30)+SUMIF($CS$178:$CV$178,CJ$178,$CS354:$CV354)</f>
        <v>0</v>
      </c>
      <c r="CK354" s="230">
        <f>SUMIF(GIU!$G$121:$M$121,CK$178,GIU!$AM30:$AS30)+SUMIF($CS$178:$CV$178,CK$178,$CS354:$CV354)</f>
        <v>0</v>
      </c>
      <c r="CL354" s="230">
        <f>SUMIF(GIU!$G$121:$M$121,CL$178,GIU!$AM30:$AS30)+SUMIF($CS$178:$CV$178,CL$178,$CS354:$CV354)</f>
        <v>0</v>
      </c>
      <c r="CM354" s="230">
        <f>SUMIF(GIU!$G$121:$M$121,CM$178,GIU!$AM30:$AS30)+SUMIF($CS$178:$CV$178,CM$178,$CS354:$CV354)</f>
        <v>0</v>
      </c>
      <c r="CN354" s="230">
        <f>SUMIF(GIU!$G$121:$M$121,CN$178,GIU!$AM30:$AS30)+SUMIF($CS$178:$CV$178,CN$178,$CS354:$CV354)</f>
        <v>0</v>
      </c>
      <c r="CO354" s="230">
        <f>SUMIF(GIU!$G$121:$M$121,CO$178,GIU!$AM30:$AS30)+SUMIF($CS$178:$CV$178,CO$178,$CS354:$CV354)</f>
        <v>0</v>
      </c>
      <c r="CP354" s="230">
        <f>SUMIF(GIU!$G$121:$M$121,CP$178,GIU!$AM30:$AS30)+SUMIF($CS$178:$CV$178,CP$178,$CS354:$CV354)</f>
        <v>0</v>
      </c>
      <c r="CQ354" s="231">
        <f>SUMIF(GIU!$G$121:$M$121,CQ$178,GIU!$AM30:$AS30)+SUMIF($CS$178:$CV$178,CQ$178,$CS354:$CV354)</f>
        <v>0</v>
      </c>
      <c r="CR354" s="521">
        <f>GIU!AU30</f>
        <v>0</v>
      </c>
      <c r="CS354" s="228">
        <f>GIU!AV30</f>
        <v>0</v>
      </c>
      <c r="CT354" s="229">
        <f>GIU!AW30</f>
        <v>0</v>
      </c>
      <c r="CU354" s="230">
        <f>GIU!AX30</f>
        <v>0</v>
      </c>
      <c r="CV354" s="231">
        <f>GIU!AY30</f>
        <v>0</v>
      </c>
      <c r="CW354" s="521">
        <f>SUM(GIU!AU30:AY30)</f>
        <v>0</v>
      </c>
      <c r="CX354" s="521">
        <f>GIU!AK30</f>
        <v>0</v>
      </c>
      <c r="CY354" s="2"/>
    </row>
    <row r="355" spans="1:103" ht="14.25" hidden="1" customHeight="1" x14ac:dyDescent="0.2">
      <c r="A355" s="2"/>
      <c r="B355" s="105">
        <f t="shared" si="74"/>
        <v>45467</v>
      </c>
      <c r="C355" s="146">
        <f>IF(AND(E355&gt;(E$562-1),E355&lt;(I$562+1)),W$551,IF(ISERROR(HLOOKUP(E355,$E$555:$L$555,1,FALSE)),HLOOKUP(WEEKDAY(E355,2),IMPOSTAZIONI!$C$52:$P$57,6,FALSE),$W$550))</f>
        <v>0</v>
      </c>
      <c r="D355" s="71" t="str">
        <f t="shared" si="75"/>
        <v/>
      </c>
      <c r="E355" s="2258">
        <f t="shared" si="80"/>
        <v>45467</v>
      </c>
      <c r="F355" s="2259"/>
      <c r="G355" s="2228" t="str">
        <f>GIU!E31</f>
        <v xml:space="preserve">disattivato  </v>
      </c>
      <c r="H355" s="2229"/>
      <c r="I355" s="2230"/>
      <c r="J355" s="262" t="str">
        <f t="shared" si="65"/>
        <v/>
      </c>
      <c r="K355" s="263"/>
      <c r="L355" s="2222">
        <f t="shared" si="81"/>
        <v>26</v>
      </c>
      <c r="M355" s="2223"/>
      <c r="N355" s="261"/>
      <c r="O355" s="261"/>
      <c r="P355" s="261"/>
      <c r="Q355" s="2219">
        <f t="shared" si="76"/>
        <v>45467</v>
      </c>
      <c r="R355" s="2219"/>
      <c r="S355" s="261"/>
      <c r="T355" s="1173">
        <f t="shared" si="66"/>
        <v>1</v>
      </c>
      <c r="U355" s="261"/>
      <c r="V355" s="261"/>
      <c r="W355" s="261"/>
      <c r="X355" s="261"/>
      <c r="Y355" s="261"/>
      <c r="Z355" s="261"/>
      <c r="AA355" s="261"/>
      <c r="AB355" s="261"/>
      <c r="AC355" s="261"/>
      <c r="AD355" s="261"/>
      <c r="AE355" s="261"/>
      <c r="AF355" s="261"/>
      <c r="AG355" s="1173">
        <f t="shared" si="77"/>
        <v>0</v>
      </c>
      <c r="AH355" s="61" t="str">
        <f t="shared" si="78"/>
        <v/>
      </c>
      <c r="AI355" s="89" t="e">
        <f t="shared" si="79"/>
        <v>#N/A</v>
      </c>
      <c r="AJ355" s="2"/>
      <c r="AK355" s="61">
        <f>IF(G355=G$547,0,IF(OR(G355&lt;&gt;0,CH355&lt;&gt;0,C355="L"),COUNTIF(AK$180:AK354,"&gt;0")+1,0))</f>
        <v>0</v>
      </c>
      <c r="AL355" s="61" t="str">
        <f t="shared" si="67"/>
        <v/>
      </c>
      <c r="AM355" s="61" t="e">
        <f t="shared" si="68"/>
        <v>#N/A</v>
      </c>
      <c r="AN355" s="89" t="e">
        <f t="shared" si="69"/>
        <v>#N/A</v>
      </c>
      <c r="AO355" s="230">
        <f>SUM(GIU!X31:AD31)-BD355+AY355</f>
        <v>0</v>
      </c>
      <c r="AP355" s="228">
        <f>SUMIF(GIU!$G$121:$M$121,AP$178,GIU!$P31:$V31)+SUMIF($AZ$178:$BC$178,AP$178,$AZ355:$BC355)</f>
        <v>0</v>
      </c>
      <c r="AQ355" s="229">
        <f>SUMIF(GIU!$G$121:$M$121,AQ$178,GIU!$P31:$V31)+SUMIF($AZ$178:$BC$178,AQ$178,$AZ355:$BC355)</f>
        <v>0</v>
      </c>
      <c r="AR355" s="230">
        <f>SUMIF(GIU!$G$121:$M$121,AR$178,GIU!$P31:$V31)+SUMIF($AZ$178:$BC$178,AR$178,$AZ355:$BC355)</f>
        <v>0</v>
      </c>
      <c r="AS355" s="230">
        <f>SUMIF(GIU!$G$121:$M$121,AS$178,GIU!$P31:$V31)+SUMIF($AZ$178:$BC$178,AS$178,$AZ355:$BC355)</f>
        <v>0</v>
      </c>
      <c r="AT355" s="230">
        <f>SUMIF(GIU!$G$121:$M$121,AT$178,GIU!$P31:$V31)+SUMIF($AZ$178:$BC$178,AT$178,$AZ355:$BC355)</f>
        <v>0</v>
      </c>
      <c r="AU355" s="230">
        <f>SUMIF(GIU!$G$121:$M$121,AU$178,GIU!$P31:$V31)+SUMIF($AZ$178:$BC$178,AU$178,$AZ355:$BC355)</f>
        <v>0</v>
      </c>
      <c r="AV355" s="230">
        <f>SUMIF(GIU!$G$121:$M$121,AV$178,GIU!$P31:$V31)+SUMIF($AZ$178:$BC$178,AV$178,$AZ355:$BC355)</f>
        <v>0</v>
      </c>
      <c r="AW355" s="230">
        <f>SUMIF(GIU!$G$121:$M$121,AW$178,GIU!$P31:$V31)+SUMIF($AZ$178:$BC$178,AW$178,$AZ355:$BC355)</f>
        <v>0</v>
      </c>
      <c r="AX355" s="231">
        <f>SUMIF(GIU!$G$121:$M$121,AX$178,GIU!$P31:$V31)+SUMIF($AZ$178:$BC$178,AX$178,$AZ355:$BC355)</f>
        <v>0</v>
      </c>
      <c r="AY355" s="232">
        <f>GIU!AF31</f>
        <v>0</v>
      </c>
      <c r="AZ355" s="228">
        <f>GIU!AG31</f>
        <v>0</v>
      </c>
      <c r="BA355" s="229">
        <f>GIU!AH31</f>
        <v>0</v>
      </c>
      <c r="BB355" s="230">
        <f>GIU!AI31</f>
        <v>0</v>
      </c>
      <c r="BC355" s="231">
        <f>GIU!AJ31</f>
        <v>0</v>
      </c>
      <c r="BD355" s="228">
        <f>SUMIF(GIU!$G$120:$M$120,"&gt;0",GIU!$X31:$AD31)</f>
        <v>0</v>
      </c>
      <c r="BE355" s="696"/>
      <c r="BF355" s="228">
        <f>SUMIF(GIU!$BA$6:$BG$6,BF$177,GIU!$BA31:$BG31)</f>
        <v>0</v>
      </c>
      <c r="BG355" s="229">
        <f>SUMIF(GIU!$BA$6:$BG$6,BG$177,GIU!$BA31:$BG31)</f>
        <v>0</v>
      </c>
      <c r="BH355" s="229">
        <f>SUMIF(GIU!$BA$6:$BG$6,BH$177,GIU!$BA31:$BG31)</f>
        <v>0</v>
      </c>
      <c r="BI355" s="229">
        <f>SUMIF(GIU!$BA$6:$BG$6,BI$177,GIU!$BA31:$BG31)</f>
        <v>0</v>
      </c>
      <c r="BJ355" s="229">
        <f>SUMIF(GIU!$BA$6:$BG$6,BJ$177,GIU!$BA31:$BG31)</f>
        <v>0</v>
      </c>
      <c r="BK355" s="229">
        <f>SUMIF(GIU!$BA$6:$BG$6,BK$177,GIU!$BA31:$BG31)</f>
        <v>0</v>
      </c>
      <c r="BL355" s="229">
        <f>SUMIF(GIU!$BA$6:$BG$6,BL$177,GIU!$BA31:$BG31)</f>
        <v>0</v>
      </c>
      <c r="BM355" s="229">
        <f>SUMIF(GIU!$BA$6:$BG$6,BM$177,GIU!$BA31:$BG31)</f>
        <v>0</v>
      </c>
      <c r="BN355" s="229">
        <f>SUMIF(GIU!$BA$6:$BG$6,BN$177,GIU!$BA31:$BG31)</f>
        <v>0</v>
      </c>
      <c r="BO355" s="231">
        <f>SUMIF(GIU!$BA$6:$BG$6,BO$177,GIU!$BA31:$BG31)</f>
        <v>0</v>
      </c>
      <c r="BP355" s="231">
        <f>SUMIF(GIU!$BA$6:$BG$6,BP$177,GIU!$BA31:$BG31)</f>
        <v>0</v>
      </c>
      <c r="BQ355" s="252"/>
      <c r="BR355" s="228">
        <f>SUMIF(GIU!$BA$5:$BG$5,BR$177,GIU!$BA31:$BG31)</f>
        <v>0</v>
      </c>
      <c r="BS355" s="229">
        <f>SUMIF(GIU!$BA$5:$BG$5,BS$177,GIU!$BA31:$BG31)</f>
        <v>0</v>
      </c>
      <c r="BT355" s="229">
        <f>SUMIF(GIU!$BA$5:$BG$5,BT$177,GIU!$BA31:$BG31)</f>
        <v>0</v>
      </c>
      <c r="BU355" s="229">
        <f>SUMIF(GIU!$BA$5:$BG$5,BU$177,GIU!$BA31:$BG31)</f>
        <v>0</v>
      </c>
      <c r="BV355" s="229">
        <f>SUMIF(GIU!$BA$5:$BG$5,BV$177,GIU!$BA31:$BG31)</f>
        <v>0</v>
      </c>
      <c r="BW355" s="229">
        <f>SUMIF(GIU!$BA$5:$BG$5,BW$177,GIU!$BA31:$BG31)</f>
        <v>0</v>
      </c>
      <c r="BX355" s="230">
        <f>SUMIF(GIU!$BA$5:$BG$5,BX$177,GIU!$BA31:$BG31)</f>
        <v>0</v>
      </c>
      <c r="BY355" s="998">
        <f>SUMIF(GIU!$BA$5:$BG$5,BY$177,GIU!$BA31:$BG31)</f>
        <v>0</v>
      </c>
      <c r="CB355" s="252"/>
      <c r="CC355" s="61" t="e">
        <f t="shared" si="70"/>
        <v>#N/A</v>
      </c>
      <c r="CD355" s="61">
        <f t="shared" si="71"/>
        <v>0</v>
      </c>
      <c r="CE355" s="105" t="str">
        <f t="shared" si="64"/>
        <v/>
      </c>
      <c r="CF355" s="61" t="e">
        <f t="shared" si="72"/>
        <v>#N/A</v>
      </c>
      <c r="CG355" s="61" t="e">
        <f t="shared" si="73"/>
        <v>#N/A</v>
      </c>
      <c r="CH355" s="521">
        <f>GIU!AL31-CW355+CR355</f>
        <v>0</v>
      </c>
      <c r="CI355" s="228">
        <f>SUMIF(GIU!$G$121:$M$121,CI$178,GIU!$AM31:$AS31)+SUMIF($CS$178:$CV$178,CI$178,$CS355:$CV355)</f>
        <v>0</v>
      </c>
      <c r="CJ355" s="229">
        <f>SUMIF(GIU!$G$121:$M$121,CJ$178,GIU!$AM31:$AS31)+SUMIF($CS$178:$CV$178,CJ$178,$CS355:$CV355)</f>
        <v>0</v>
      </c>
      <c r="CK355" s="230">
        <f>SUMIF(GIU!$G$121:$M$121,CK$178,GIU!$AM31:$AS31)+SUMIF($CS$178:$CV$178,CK$178,$CS355:$CV355)</f>
        <v>0</v>
      </c>
      <c r="CL355" s="230">
        <f>SUMIF(GIU!$G$121:$M$121,CL$178,GIU!$AM31:$AS31)+SUMIF($CS$178:$CV$178,CL$178,$CS355:$CV355)</f>
        <v>0</v>
      </c>
      <c r="CM355" s="230">
        <f>SUMIF(GIU!$G$121:$M$121,CM$178,GIU!$AM31:$AS31)+SUMIF($CS$178:$CV$178,CM$178,$CS355:$CV355)</f>
        <v>0</v>
      </c>
      <c r="CN355" s="230">
        <f>SUMIF(GIU!$G$121:$M$121,CN$178,GIU!$AM31:$AS31)+SUMIF($CS$178:$CV$178,CN$178,$CS355:$CV355)</f>
        <v>0</v>
      </c>
      <c r="CO355" s="230">
        <f>SUMIF(GIU!$G$121:$M$121,CO$178,GIU!$AM31:$AS31)+SUMIF($CS$178:$CV$178,CO$178,$CS355:$CV355)</f>
        <v>0</v>
      </c>
      <c r="CP355" s="230">
        <f>SUMIF(GIU!$G$121:$M$121,CP$178,GIU!$AM31:$AS31)+SUMIF($CS$178:$CV$178,CP$178,$CS355:$CV355)</f>
        <v>0</v>
      </c>
      <c r="CQ355" s="231">
        <f>SUMIF(GIU!$G$121:$M$121,CQ$178,GIU!$AM31:$AS31)+SUMIF($CS$178:$CV$178,CQ$178,$CS355:$CV355)</f>
        <v>0</v>
      </c>
      <c r="CR355" s="521">
        <f>GIU!AU31</f>
        <v>0</v>
      </c>
      <c r="CS355" s="228">
        <f>GIU!AV31</f>
        <v>0</v>
      </c>
      <c r="CT355" s="229">
        <f>GIU!AW31</f>
        <v>0</v>
      </c>
      <c r="CU355" s="230">
        <f>GIU!AX31</f>
        <v>0</v>
      </c>
      <c r="CV355" s="231">
        <f>GIU!AY31</f>
        <v>0</v>
      </c>
      <c r="CW355" s="521">
        <f>SUM(GIU!AU31:AY31)</f>
        <v>0</v>
      </c>
      <c r="CX355" s="521">
        <f>GIU!AK31</f>
        <v>0</v>
      </c>
      <c r="CY355" s="2"/>
    </row>
    <row r="356" spans="1:103" ht="14.25" hidden="1" customHeight="1" x14ac:dyDescent="0.2">
      <c r="A356" s="2"/>
      <c r="B356" s="105">
        <f t="shared" si="74"/>
        <v>45468</v>
      </c>
      <c r="C356" s="146">
        <f>IF(AND(E356&gt;(E$562-1),E356&lt;(I$562+1)),W$551,IF(ISERROR(HLOOKUP(E356,$E$555:$L$555,1,FALSE)),HLOOKUP(WEEKDAY(E356,2),IMPOSTAZIONI!$C$52:$P$57,6,FALSE),$W$550))</f>
        <v>0</v>
      </c>
      <c r="D356" s="71" t="str">
        <f t="shared" si="75"/>
        <v/>
      </c>
      <c r="E356" s="2258">
        <f t="shared" si="80"/>
        <v>45468</v>
      </c>
      <c r="F356" s="2259"/>
      <c r="G356" s="2228" t="str">
        <f>GIU!E32</f>
        <v xml:space="preserve">disattivato  </v>
      </c>
      <c r="H356" s="2229"/>
      <c r="I356" s="2230"/>
      <c r="J356" s="262" t="str">
        <f t="shared" si="65"/>
        <v/>
      </c>
      <c r="K356" s="263"/>
      <c r="L356" s="2217">
        <f t="shared" si="81"/>
        <v>26</v>
      </c>
      <c r="M356" s="2218"/>
      <c r="N356" s="261"/>
      <c r="O356" s="261"/>
      <c r="P356" s="261"/>
      <c r="Q356" s="2219">
        <f t="shared" si="76"/>
        <v>45468</v>
      </c>
      <c r="R356" s="2219"/>
      <c r="S356" s="261"/>
      <c r="T356" s="1173">
        <f t="shared" si="66"/>
        <v>1</v>
      </c>
      <c r="U356" s="261"/>
      <c r="V356" s="261"/>
      <c r="W356" s="261"/>
      <c r="X356" s="261"/>
      <c r="Y356" s="261"/>
      <c r="Z356" s="261"/>
      <c r="AA356" s="261"/>
      <c r="AB356" s="261"/>
      <c r="AC356" s="261"/>
      <c r="AD356" s="261"/>
      <c r="AE356" s="261"/>
      <c r="AF356" s="261"/>
      <c r="AG356" s="1173">
        <f t="shared" si="77"/>
        <v>0</v>
      </c>
      <c r="AH356" s="61" t="str">
        <f t="shared" si="78"/>
        <v/>
      </c>
      <c r="AI356" s="89" t="e">
        <f t="shared" si="79"/>
        <v>#N/A</v>
      </c>
      <c r="AJ356" s="2"/>
      <c r="AK356" s="61">
        <f>IF(G356=G$547,0,IF(OR(G356&lt;&gt;0,CH356&lt;&gt;0,C356="L"),COUNTIF(AK$180:AK355,"&gt;0")+1,0))</f>
        <v>0</v>
      </c>
      <c r="AL356" s="61" t="str">
        <f t="shared" si="67"/>
        <v/>
      </c>
      <c r="AM356" s="61" t="e">
        <f t="shared" si="68"/>
        <v>#N/A</v>
      </c>
      <c r="AN356" s="89" t="e">
        <f t="shared" si="69"/>
        <v>#N/A</v>
      </c>
      <c r="AO356" s="230">
        <f>SUM(GIU!X32:AD32)-BD356+AY356</f>
        <v>0</v>
      </c>
      <c r="AP356" s="228">
        <f>SUMIF(GIU!$G$121:$M$121,AP$178,GIU!$P32:$V32)+SUMIF($AZ$178:$BC$178,AP$178,$AZ356:$BC356)</f>
        <v>0</v>
      </c>
      <c r="AQ356" s="229">
        <f>SUMIF(GIU!$G$121:$M$121,AQ$178,GIU!$P32:$V32)+SUMIF($AZ$178:$BC$178,AQ$178,$AZ356:$BC356)</f>
        <v>0</v>
      </c>
      <c r="AR356" s="230">
        <f>SUMIF(GIU!$G$121:$M$121,AR$178,GIU!$P32:$V32)+SUMIF($AZ$178:$BC$178,AR$178,$AZ356:$BC356)</f>
        <v>0</v>
      </c>
      <c r="AS356" s="230">
        <f>SUMIF(GIU!$G$121:$M$121,AS$178,GIU!$P32:$V32)+SUMIF($AZ$178:$BC$178,AS$178,$AZ356:$BC356)</f>
        <v>0</v>
      </c>
      <c r="AT356" s="230">
        <f>SUMIF(GIU!$G$121:$M$121,AT$178,GIU!$P32:$V32)+SUMIF($AZ$178:$BC$178,AT$178,$AZ356:$BC356)</f>
        <v>0</v>
      </c>
      <c r="AU356" s="230">
        <f>SUMIF(GIU!$G$121:$M$121,AU$178,GIU!$P32:$V32)+SUMIF($AZ$178:$BC$178,AU$178,$AZ356:$BC356)</f>
        <v>0</v>
      </c>
      <c r="AV356" s="230">
        <f>SUMIF(GIU!$G$121:$M$121,AV$178,GIU!$P32:$V32)+SUMIF($AZ$178:$BC$178,AV$178,$AZ356:$BC356)</f>
        <v>0</v>
      </c>
      <c r="AW356" s="230">
        <f>SUMIF(GIU!$G$121:$M$121,AW$178,GIU!$P32:$V32)+SUMIF($AZ$178:$BC$178,AW$178,$AZ356:$BC356)</f>
        <v>0</v>
      </c>
      <c r="AX356" s="231">
        <f>SUMIF(GIU!$G$121:$M$121,AX$178,GIU!$P32:$V32)+SUMIF($AZ$178:$BC$178,AX$178,$AZ356:$BC356)</f>
        <v>0</v>
      </c>
      <c r="AY356" s="232">
        <f>GIU!AF32</f>
        <v>0</v>
      </c>
      <c r="AZ356" s="228">
        <f>GIU!AG32</f>
        <v>0</v>
      </c>
      <c r="BA356" s="229">
        <f>GIU!AH32</f>
        <v>0</v>
      </c>
      <c r="BB356" s="230">
        <f>GIU!AI32</f>
        <v>0</v>
      </c>
      <c r="BC356" s="231">
        <f>GIU!AJ32</f>
        <v>0</v>
      </c>
      <c r="BD356" s="228">
        <f>SUMIF(GIU!$G$120:$M$120,"&gt;0",GIU!$X32:$AD32)</f>
        <v>0</v>
      </c>
      <c r="BE356" s="696"/>
      <c r="BF356" s="228">
        <f>SUMIF(GIU!$BA$6:$BG$6,BF$177,GIU!$BA32:$BG32)</f>
        <v>0</v>
      </c>
      <c r="BG356" s="229">
        <f>SUMIF(GIU!$BA$6:$BG$6,BG$177,GIU!$BA32:$BG32)</f>
        <v>0</v>
      </c>
      <c r="BH356" s="229">
        <f>SUMIF(GIU!$BA$6:$BG$6,BH$177,GIU!$BA32:$BG32)</f>
        <v>0</v>
      </c>
      <c r="BI356" s="229">
        <f>SUMIF(GIU!$BA$6:$BG$6,BI$177,GIU!$BA32:$BG32)</f>
        <v>0</v>
      </c>
      <c r="BJ356" s="229">
        <f>SUMIF(GIU!$BA$6:$BG$6,BJ$177,GIU!$BA32:$BG32)</f>
        <v>0</v>
      </c>
      <c r="BK356" s="229">
        <f>SUMIF(GIU!$BA$6:$BG$6,BK$177,GIU!$BA32:$BG32)</f>
        <v>0</v>
      </c>
      <c r="BL356" s="229">
        <f>SUMIF(GIU!$BA$6:$BG$6,BL$177,GIU!$BA32:$BG32)</f>
        <v>0</v>
      </c>
      <c r="BM356" s="229">
        <f>SUMIF(GIU!$BA$6:$BG$6,BM$177,GIU!$BA32:$BG32)</f>
        <v>0</v>
      </c>
      <c r="BN356" s="229">
        <f>SUMIF(GIU!$BA$6:$BG$6,BN$177,GIU!$BA32:$BG32)</f>
        <v>0</v>
      </c>
      <c r="BO356" s="231">
        <f>SUMIF(GIU!$BA$6:$BG$6,BO$177,GIU!$BA32:$BG32)</f>
        <v>0</v>
      </c>
      <c r="BP356" s="231">
        <f>SUMIF(GIU!$BA$6:$BG$6,BP$177,GIU!$BA32:$BG32)</f>
        <v>0</v>
      </c>
      <c r="BQ356" s="252"/>
      <c r="BR356" s="228">
        <f>SUMIF(GIU!$BA$5:$BG$5,BR$177,GIU!$BA32:$BG32)</f>
        <v>0</v>
      </c>
      <c r="BS356" s="229">
        <f>SUMIF(GIU!$BA$5:$BG$5,BS$177,GIU!$BA32:$BG32)</f>
        <v>0</v>
      </c>
      <c r="BT356" s="229">
        <f>SUMIF(GIU!$BA$5:$BG$5,BT$177,GIU!$BA32:$BG32)</f>
        <v>0</v>
      </c>
      <c r="BU356" s="229">
        <f>SUMIF(GIU!$BA$5:$BG$5,BU$177,GIU!$BA32:$BG32)</f>
        <v>0</v>
      </c>
      <c r="BV356" s="229">
        <f>SUMIF(GIU!$BA$5:$BG$5,BV$177,GIU!$BA32:$BG32)</f>
        <v>0</v>
      </c>
      <c r="BW356" s="229">
        <f>SUMIF(GIU!$BA$5:$BG$5,BW$177,GIU!$BA32:$BG32)</f>
        <v>0</v>
      </c>
      <c r="BX356" s="230">
        <f>SUMIF(GIU!$BA$5:$BG$5,BX$177,GIU!$BA32:$BG32)</f>
        <v>0</v>
      </c>
      <c r="BY356" s="998">
        <f>SUMIF(GIU!$BA$5:$BG$5,BY$177,GIU!$BA32:$BG32)</f>
        <v>0</v>
      </c>
      <c r="CB356" s="252"/>
      <c r="CC356" s="61" t="e">
        <f t="shared" si="70"/>
        <v>#N/A</v>
      </c>
      <c r="CD356" s="61">
        <f t="shared" si="71"/>
        <v>0</v>
      </c>
      <c r="CE356" s="105" t="str">
        <f t="shared" si="64"/>
        <v/>
      </c>
      <c r="CF356" s="61" t="e">
        <f t="shared" si="72"/>
        <v>#N/A</v>
      </c>
      <c r="CG356" s="61" t="e">
        <f t="shared" si="73"/>
        <v>#N/A</v>
      </c>
      <c r="CH356" s="521">
        <f>GIU!AL32-CW356+CR356</f>
        <v>0</v>
      </c>
      <c r="CI356" s="228">
        <f>SUMIF(GIU!$G$121:$M$121,CI$178,GIU!$AM32:$AS32)+SUMIF($CS$178:$CV$178,CI$178,$CS356:$CV356)</f>
        <v>0</v>
      </c>
      <c r="CJ356" s="229">
        <f>SUMIF(GIU!$G$121:$M$121,CJ$178,GIU!$AM32:$AS32)+SUMIF($CS$178:$CV$178,CJ$178,$CS356:$CV356)</f>
        <v>0</v>
      </c>
      <c r="CK356" s="230">
        <f>SUMIF(GIU!$G$121:$M$121,CK$178,GIU!$AM32:$AS32)+SUMIF($CS$178:$CV$178,CK$178,$CS356:$CV356)</f>
        <v>0</v>
      </c>
      <c r="CL356" s="230">
        <f>SUMIF(GIU!$G$121:$M$121,CL$178,GIU!$AM32:$AS32)+SUMIF($CS$178:$CV$178,CL$178,$CS356:$CV356)</f>
        <v>0</v>
      </c>
      <c r="CM356" s="230">
        <f>SUMIF(GIU!$G$121:$M$121,CM$178,GIU!$AM32:$AS32)+SUMIF($CS$178:$CV$178,CM$178,$CS356:$CV356)</f>
        <v>0</v>
      </c>
      <c r="CN356" s="230">
        <f>SUMIF(GIU!$G$121:$M$121,CN$178,GIU!$AM32:$AS32)+SUMIF($CS$178:$CV$178,CN$178,$CS356:$CV356)</f>
        <v>0</v>
      </c>
      <c r="CO356" s="230">
        <f>SUMIF(GIU!$G$121:$M$121,CO$178,GIU!$AM32:$AS32)+SUMIF($CS$178:$CV$178,CO$178,$CS356:$CV356)</f>
        <v>0</v>
      </c>
      <c r="CP356" s="230">
        <f>SUMIF(GIU!$G$121:$M$121,CP$178,GIU!$AM32:$AS32)+SUMIF($CS$178:$CV$178,CP$178,$CS356:$CV356)</f>
        <v>0</v>
      </c>
      <c r="CQ356" s="231">
        <f>SUMIF(GIU!$G$121:$M$121,CQ$178,GIU!$AM32:$AS32)+SUMIF($CS$178:$CV$178,CQ$178,$CS356:$CV356)</f>
        <v>0</v>
      </c>
      <c r="CR356" s="521">
        <f>GIU!AU32</f>
        <v>0</v>
      </c>
      <c r="CS356" s="228">
        <f>GIU!AV32</f>
        <v>0</v>
      </c>
      <c r="CT356" s="229">
        <f>GIU!AW32</f>
        <v>0</v>
      </c>
      <c r="CU356" s="230">
        <f>GIU!AX32</f>
        <v>0</v>
      </c>
      <c r="CV356" s="231">
        <f>GIU!AY32</f>
        <v>0</v>
      </c>
      <c r="CW356" s="521">
        <f>SUM(GIU!AU32:AY32)</f>
        <v>0</v>
      </c>
      <c r="CX356" s="521">
        <f>GIU!AK32</f>
        <v>0</v>
      </c>
      <c r="CY356" s="2"/>
    </row>
    <row r="357" spans="1:103" ht="14.25" hidden="1" customHeight="1" x14ac:dyDescent="0.2">
      <c r="A357" s="2"/>
      <c r="B357" s="105">
        <f t="shared" si="74"/>
        <v>45469</v>
      </c>
      <c r="C357" s="146">
        <f>IF(AND(E357&gt;(E$562-1),E357&lt;(I$562+1)),W$551,IF(ISERROR(HLOOKUP(E357,$E$555:$L$555,1,FALSE)),HLOOKUP(WEEKDAY(E357,2),IMPOSTAZIONI!$C$52:$P$57,6,FALSE),$W$550))</f>
        <v>0</v>
      </c>
      <c r="D357" s="71" t="str">
        <f t="shared" si="75"/>
        <v/>
      </c>
      <c r="E357" s="2258">
        <f t="shared" si="80"/>
        <v>45469</v>
      </c>
      <c r="F357" s="2259"/>
      <c r="G357" s="2228" t="str">
        <f>GIU!E33</f>
        <v xml:space="preserve">disattivato  </v>
      </c>
      <c r="H357" s="2229"/>
      <c r="I357" s="2230"/>
      <c r="J357" s="262" t="str">
        <f t="shared" si="65"/>
        <v/>
      </c>
      <c r="K357" s="263"/>
      <c r="L357" s="2217">
        <f t="shared" si="81"/>
        <v>26</v>
      </c>
      <c r="M357" s="2218"/>
      <c r="N357" s="261"/>
      <c r="O357" s="261"/>
      <c r="P357" s="261"/>
      <c r="Q357" s="2219">
        <f t="shared" si="76"/>
        <v>45469</v>
      </c>
      <c r="R357" s="2219"/>
      <c r="S357" s="261"/>
      <c r="T357" s="1173">
        <f t="shared" si="66"/>
        <v>1</v>
      </c>
      <c r="U357" s="261"/>
      <c r="V357" s="261"/>
      <c r="W357" s="261"/>
      <c r="X357" s="261"/>
      <c r="Y357" s="261"/>
      <c r="Z357" s="261"/>
      <c r="AA357" s="261"/>
      <c r="AB357" s="261"/>
      <c r="AC357" s="261"/>
      <c r="AD357" s="261"/>
      <c r="AE357" s="261"/>
      <c r="AF357" s="261"/>
      <c r="AG357" s="1173">
        <f t="shared" si="77"/>
        <v>0</v>
      </c>
      <c r="AH357" s="61" t="str">
        <f t="shared" si="78"/>
        <v/>
      </c>
      <c r="AI357" s="89" t="e">
        <f t="shared" si="79"/>
        <v>#N/A</v>
      </c>
      <c r="AJ357" s="2"/>
      <c r="AK357" s="61">
        <f>IF(G357=G$547,0,IF(OR(G357&lt;&gt;0,CH357&lt;&gt;0,C357="L"),COUNTIF(AK$180:AK356,"&gt;0")+1,0))</f>
        <v>0</v>
      </c>
      <c r="AL357" s="61" t="str">
        <f t="shared" si="67"/>
        <v/>
      </c>
      <c r="AM357" s="61" t="e">
        <f t="shared" si="68"/>
        <v>#N/A</v>
      </c>
      <c r="AN357" s="89" t="e">
        <f t="shared" si="69"/>
        <v>#N/A</v>
      </c>
      <c r="AO357" s="230">
        <f>SUM(GIU!X33:AD33)-BD357+AY357</f>
        <v>0</v>
      </c>
      <c r="AP357" s="228">
        <f>SUMIF(GIU!$G$121:$M$121,AP$178,GIU!$P33:$V33)+SUMIF($AZ$178:$BC$178,AP$178,$AZ357:$BC357)</f>
        <v>0</v>
      </c>
      <c r="AQ357" s="229">
        <f>SUMIF(GIU!$G$121:$M$121,AQ$178,GIU!$P33:$V33)+SUMIF($AZ$178:$BC$178,AQ$178,$AZ357:$BC357)</f>
        <v>0</v>
      </c>
      <c r="AR357" s="230">
        <f>SUMIF(GIU!$G$121:$M$121,AR$178,GIU!$P33:$V33)+SUMIF($AZ$178:$BC$178,AR$178,$AZ357:$BC357)</f>
        <v>0</v>
      </c>
      <c r="AS357" s="230">
        <f>SUMIF(GIU!$G$121:$M$121,AS$178,GIU!$P33:$V33)+SUMIF($AZ$178:$BC$178,AS$178,$AZ357:$BC357)</f>
        <v>0</v>
      </c>
      <c r="AT357" s="230">
        <f>SUMIF(GIU!$G$121:$M$121,AT$178,GIU!$P33:$V33)+SUMIF($AZ$178:$BC$178,AT$178,$AZ357:$BC357)</f>
        <v>0</v>
      </c>
      <c r="AU357" s="230">
        <f>SUMIF(GIU!$G$121:$M$121,AU$178,GIU!$P33:$V33)+SUMIF($AZ$178:$BC$178,AU$178,$AZ357:$BC357)</f>
        <v>0</v>
      </c>
      <c r="AV357" s="230">
        <f>SUMIF(GIU!$G$121:$M$121,AV$178,GIU!$P33:$V33)+SUMIF($AZ$178:$BC$178,AV$178,$AZ357:$BC357)</f>
        <v>0</v>
      </c>
      <c r="AW357" s="230">
        <f>SUMIF(GIU!$G$121:$M$121,AW$178,GIU!$P33:$V33)+SUMIF($AZ$178:$BC$178,AW$178,$AZ357:$BC357)</f>
        <v>0</v>
      </c>
      <c r="AX357" s="231">
        <f>SUMIF(GIU!$G$121:$M$121,AX$178,GIU!$P33:$V33)+SUMIF($AZ$178:$BC$178,AX$178,$AZ357:$BC357)</f>
        <v>0</v>
      </c>
      <c r="AY357" s="232">
        <f>GIU!AF33</f>
        <v>0</v>
      </c>
      <c r="AZ357" s="228">
        <f>GIU!AG33</f>
        <v>0</v>
      </c>
      <c r="BA357" s="229">
        <f>GIU!AH33</f>
        <v>0</v>
      </c>
      <c r="BB357" s="230">
        <f>GIU!AI33</f>
        <v>0</v>
      </c>
      <c r="BC357" s="231">
        <f>GIU!AJ33</f>
        <v>0</v>
      </c>
      <c r="BD357" s="228">
        <f>SUMIF(GIU!$G$120:$M$120,"&gt;0",GIU!$X33:$AD33)</f>
        <v>0</v>
      </c>
      <c r="BE357" s="696"/>
      <c r="BF357" s="228">
        <f>SUMIF(GIU!$BA$6:$BG$6,BF$177,GIU!$BA33:$BG33)</f>
        <v>0</v>
      </c>
      <c r="BG357" s="229">
        <f>SUMIF(GIU!$BA$6:$BG$6,BG$177,GIU!$BA33:$BG33)</f>
        <v>0</v>
      </c>
      <c r="BH357" s="229">
        <f>SUMIF(GIU!$BA$6:$BG$6,BH$177,GIU!$BA33:$BG33)</f>
        <v>0</v>
      </c>
      <c r="BI357" s="229">
        <f>SUMIF(GIU!$BA$6:$BG$6,BI$177,GIU!$BA33:$BG33)</f>
        <v>0</v>
      </c>
      <c r="BJ357" s="229">
        <f>SUMIF(GIU!$BA$6:$BG$6,BJ$177,GIU!$BA33:$BG33)</f>
        <v>0</v>
      </c>
      <c r="BK357" s="229">
        <f>SUMIF(GIU!$BA$6:$BG$6,BK$177,GIU!$BA33:$BG33)</f>
        <v>0</v>
      </c>
      <c r="BL357" s="229">
        <f>SUMIF(GIU!$BA$6:$BG$6,BL$177,GIU!$BA33:$BG33)</f>
        <v>0</v>
      </c>
      <c r="BM357" s="229">
        <f>SUMIF(GIU!$BA$6:$BG$6,BM$177,GIU!$BA33:$BG33)</f>
        <v>0</v>
      </c>
      <c r="BN357" s="229">
        <f>SUMIF(GIU!$BA$6:$BG$6,BN$177,GIU!$BA33:$BG33)</f>
        <v>0</v>
      </c>
      <c r="BO357" s="231">
        <f>SUMIF(GIU!$BA$6:$BG$6,BO$177,GIU!$BA33:$BG33)</f>
        <v>0</v>
      </c>
      <c r="BP357" s="231">
        <f>SUMIF(GIU!$BA$6:$BG$6,BP$177,GIU!$BA33:$BG33)</f>
        <v>0</v>
      </c>
      <c r="BQ357" s="252"/>
      <c r="BR357" s="228">
        <f>SUMIF(GIU!$BA$5:$BG$5,BR$177,GIU!$BA33:$BG33)</f>
        <v>0</v>
      </c>
      <c r="BS357" s="229">
        <f>SUMIF(GIU!$BA$5:$BG$5,BS$177,GIU!$BA33:$BG33)</f>
        <v>0</v>
      </c>
      <c r="BT357" s="229">
        <f>SUMIF(GIU!$BA$5:$BG$5,BT$177,GIU!$BA33:$BG33)</f>
        <v>0</v>
      </c>
      <c r="BU357" s="229">
        <f>SUMIF(GIU!$BA$5:$BG$5,BU$177,GIU!$BA33:$BG33)</f>
        <v>0</v>
      </c>
      <c r="BV357" s="229">
        <f>SUMIF(GIU!$BA$5:$BG$5,BV$177,GIU!$BA33:$BG33)</f>
        <v>0</v>
      </c>
      <c r="BW357" s="229">
        <f>SUMIF(GIU!$BA$5:$BG$5,BW$177,GIU!$BA33:$BG33)</f>
        <v>0</v>
      </c>
      <c r="BX357" s="230">
        <f>SUMIF(GIU!$BA$5:$BG$5,BX$177,GIU!$BA33:$BG33)</f>
        <v>0</v>
      </c>
      <c r="BY357" s="998">
        <f>SUMIF(GIU!$BA$5:$BG$5,BY$177,GIU!$BA33:$BG33)</f>
        <v>0</v>
      </c>
      <c r="CB357" s="252"/>
      <c r="CC357" s="61" t="e">
        <f t="shared" si="70"/>
        <v>#N/A</v>
      </c>
      <c r="CD357" s="61">
        <f t="shared" si="71"/>
        <v>0</v>
      </c>
      <c r="CE357" s="105" t="str">
        <f t="shared" si="64"/>
        <v/>
      </c>
      <c r="CF357" s="61" t="e">
        <f t="shared" si="72"/>
        <v>#N/A</v>
      </c>
      <c r="CG357" s="61" t="e">
        <f t="shared" si="73"/>
        <v>#N/A</v>
      </c>
      <c r="CH357" s="521">
        <f>GIU!AL33-CW357+CR357</f>
        <v>0</v>
      </c>
      <c r="CI357" s="228">
        <f>SUMIF(GIU!$G$121:$M$121,CI$178,GIU!$AM33:$AS33)+SUMIF($CS$178:$CV$178,CI$178,$CS357:$CV357)</f>
        <v>0</v>
      </c>
      <c r="CJ357" s="229">
        <f>SUMIF(GIU!$G$121:$M$121,CJ$178,GIU!$AM33:$AS33)+SUMIF($CS$178:$CV$178,CJ$178,$CS357:$CV357)</f>
        <v>0</v>
      </c>
      <c r="CK357" s="230">
        <f>SUMIF(GIU!$G$121:$M$121,CK$178,GIU!$AM33:$AS33)+SUMIF($CS$178:$CV$178,CK$178,$CS357:$CV357)</f>
        <v>0</v>
      </c>
      <c r="CL357" s="230">
        <f>SUMIF(GIU!$G$121:$M$121,CL$178,GIU!$AM33:$AS33)+SUMIF($CS$178:$CV$178,CL$178,$CS357:$CV357)</f>
        <v>0</v>
      </c>
      <c r="CM357" s="230">
        <f>SUMIF(GIU!$G$121:$M$121,CM$178,GIU!$AM33:$AS33)+SUMIF($CS$178:$CV$178,CM$178,$CS357:$CV357)</f>
        <v>0</v>
      </c>
      <c r="CN357" s="230">
        <f>SUMIF(GIU!$G$121:$M$121,CN$178,GIU!$AM33:$AS33)+SUMIF($CS$178:$CV$178,CN$178,$CS357:$CV357)</f>
        <v>0</v>
      </c>
      <c r="CO357" s="230">
        <f>SUMIF(GIU!$G$121:$M$121,CO$178,GIU!$AM33:$AS33)+SUMIF($CS$178:$CV$178,CO$178,$CS357:$CV357)</f>
        <v>0</v>
      </c>
      <c r="CP357" s="230">
        <f>SUMIF(GIU!$G$121:$M$121,CP$178,GIU!$AM33:$AS33)+SUMIF($CS$178:$CV$178,CP$178,$CS357:$CV357)</f>
        <v>0</v>
      </c>
      <c r="CQ357" s="231">
        <f>SUMIF(GIU!$G$121:$M$121,CQ$178,GIU!$AM33:$AS33)+SUMIF($CS$178:$CV$178,CQ$178,$CS357:$CV357)</f>
        <v>0</v>
      </c>
      <c r="CR357" s="521">
        <f>GIU!AU33</f>
        <v>0</v>
      </c>
      <c r="CS357" s="228">
        <f>GIU!AV33</f>
        <v>0</v>
      </c>
      <c r="CT357" s="229">
        <f>GIU!AW33</f>
        <v>0</v>
      </c>
      <c r="CU357" s="230">
        <f>GIU!AX33</f>
        <v>0</v>
      </c>
      <c r="CV357" s="231">
        <f>GIU!AY33</f>
        <v>0</v>
      </c>
      <c r="CW357" s="521">
        <f>SUM(GIU!AU33:AY33)</f>
        <v>0</v>
      </c>
      <c r="CX357" s="521">
        <f>GIU!AK33</f>
        <v>0</v>
      </c>
      <c r="CY357" s="2"/>
    </row>
    <row r="358" spans="1:103" ht="14.25" hidden="1" customHeight="1" x14ac:dyDescent="0.2">
      <c r="A358" s="2"/>
      <c r="B358" s="105">
        <f t="shared" si="74"/>
        <v>45470</v>
      </c>
      <c r="C358" s="146">
        <f>IF(AND(E358&gt;(E$562-1),E358&lt;(I$562+1)),W$551,IF(ISERROR(HLOOKUP(E358,$E$555:$L$555,1,FALSE)),HLOOKUP(WEEKDAY(E358,2),IMPOSTAZIONI!$C$52:$P$57,6,FALSE),$W$550))</f>
        <v>0</v>
      </c>
      <c r="D358" s="71" t="str">
        <f t="shared" si="75"/>
        <v/>
      </c>
      <c r="E358" s="2258">
        <f t="shared" si="80"/>
        <v>45470</v>
      </c>
      <c r="F358" s="2259"/>
      <c r="G358" s="2228" t="str">
        <f>GIU!E34</f>
        <v xml:space="preserve">disattivato  </v>
      </c>
      <c r="H358" s="2229"/>
      <c r="I358" s="2230"/>
      <c r="J358" s="262" t="str">
        <f t="shared" si="65"/>
        <v/>
      </c>
      <c r="K358" s="263"/>
      <c r="L358" s="2217">
        <f t="shared" si="81"/>
        <v>26</v>
      </c>
      <c r="M358" s="2218"/>
      <c r="N358" s="261"/>
      <c r="O358" s="261"/>
      <c r="P358" s="261"/>
      <c r="Q358" s="2219">
        <f t="shared" si="76"/>
        <v>45470</v>
      </c>
      <c r="R358" s="2219"/>
      <c r="S358" s="261"/>
      <c r="T358" s="1173">
        <f t="shared" si="66"/>
        <v>1</v>
      </c>
      <c r="U358" s="261"/>
      <c r="V358" s="261"/>
      <c r="W358" s="261"/>
      <c r="X358" s="261"/>
      <c r="Y358" s="261"/>
      <c r="Z358" s="261"/>
      <c r="AA358" s="261"/>
      <c r="AB358" s="261"/>
      <c r="AC358" s="261"/>
      <c r="AD358" s="261"/>
      <c r="AE358" s="261"/>
      <c r="AF358" s="261"/>
      <c r="AG358" s="1173">
        <f t="shared" si="77"/>
        <v>0</v>
      </c>
      <c r="AH358" s="61" t="str">
        <f t="shared" si="78"/>
        <v/>
      </c>
      <c r="AI358" s="89" t="e">
        <f t="shared" si="79"/>
        <v>#N/A</v>
      </c>
      <c r="AJ358" s="2"/>
      <c r="AK358" s="61">
        <f>IF(G358=G$547,0,IF(OR(G358&lt;&gt;0,CH358&lt;&gt;0,C358="L"),COUNTIF(AK$180:AK357,"&gt;0")+1,0))</f>
        <v>0</v>
      </c>
      <c r="AL358" s="61" t="str">
        <f t="shared" si="67"/>
        <v/>
      </c>
      <c r="AM358" s="61" t="e">
        <f t="shared" si="68"/>
        <v>#N/A</v>
      </c>
      <c r="AN358" s="89" t="e">
        <f t="shared" si="69"/>
        <v>#N/A</v>
      </c>
      <c r="AO358" s="230">
        <f>SUM(GIU!X34:AD34)-BD358+AY358</f>
        <v>0</v>
      </c>
      <c r="AP358" s="228">
        <f>SUMIF(GIU!$G$121:$M$121,AP$178,GIU!$P34:$V34)+SUMIF($AZ$178:$BC$178,AP$178,$AZ358:$BC358)</f>
        <v>0</v>
      </c>
      <c r="AQ358" s="229">
        <f>SUMIF(GIU!$G$121:$M$121,AQ$178,GIU!$P34:$V34)+SUMIF($AZ$178:$BC$178,AQ$178,$AZ358:$BC358)</f>
        <v>0</v>
      </c>
      <c r="AR358" s="230">
        <f>SUMIF(GIU!$G$121:$M$121,AR$178,GIU!$P34:$V34)+SUMIF($AZ$178:$BC$178,AR$178,$AZ358:$BC358)</f>
        <v>0</v>
      </c>
      <c r="AS358" s="230">
        <f>SUMIF(GIU!$G$121:$M$121,AS$178,GIU!$P34:$V34)+SUMIF($AZ$178:$BC$178,AS$178,$AZ358:$BC358)</f>
        <v>0</v>
      </c>
      <c r="AT358" s="230">
        <f>SUMIF(GIU!$G$121:$M$121,AT$178,GIU!$P34:$V34)+SUMIF($AZ$178:$BC$178,AT$178,$AZ358:$BC358)</f>
        <v>0</v>
      </c>
      <c r="AU358" s="230">
        <f>SUMIF(GIU!$G$121:$M$121,AU$178,GIU!$P34:$V34)+SUMIF($AZ$178:$BC$178,AU$178,$AZ358:$BC358)</f>
        <v>0</v>
      </c>
      <c r="AV358" s="230">
        <f>SUMIF(GIU!$G$121:$M$121,AV$178,GIU!$P34:$V34)+SUMIF($AZ$178:$BC$178,AV$178,$AZ358:$BC358)</f>
        <v>0</v>
      </c>
      <c r="AW358" s="230">
        <f>SUMIF(GIU!$G$121:$M$121,AW$178,GIU!$P34:$V34)+SUMIF($AZ$178:$BC$178,AW$178,$AZ358:$BC358)</f>
        <v>0</v>
      </c>
      <c r="AX358" s="231">
        <f>SUMIF(GIU!$G$121:$M$121,AX$178,GIU!$P34:$V34)+SUMIF($AZ$178:$BC$178,AX$178,$AZ358:$BC358)</f>
        <v>0</v>
      </c>
      <c r="AY358" s="232">
        <f>GIU!AF34</f>
        <v>0</v>
      </c>
      <c r="AZ358" s="228">
        <f>GIU!AG34</f>
        <v>0</v>
      </c>
      <c r="BA358" s="229">
        <f>GIU!AH34</f>
        <v>0</v>
      </c>
      <c r="BB358" s="230">
        <f>GIU!AI34</f>
        <v>0</v>
      </c>
      <c r="BC358" s="231">
        <f>GIU!AJ34</f>
        <v>0</v>
      </c>
      <c r="BD358" s="228">
        <f>SUMIF(GIU!$G$120:$M$120,"&gt;0",GIU!$X34:$AD34)</f>
        <v>0</v>
      </c>
      <c r="BE358" s="696"/>
      <c r="BF358" s="228">
        <f>SUMIF(GIU!$BA$6:$BG$6,BF$177,GIU!$BA34:$BG34)</f>
        <v>0</v>
      </c>
      <c r="BG358" s="229">
        <f>SUMIF(GIU!$BA$6:$BG$6,BG$177,GIU!$BA34:$BG34)</f>
        <v>0</v>
      </c>
      <c r="BH358" s="229">
        <f>SUMIF(GIU!$BA$6:$BG$6,BH$177,GIU!$BA34:$BG34)</f>
        <v>0</v>
      </c>
      <c r="BI358" s="229">
        <f>SUMIF(GIU!$BA$6:$BG$6,BI$177,GIU!$BA34:$BG34)</f>
        <v>0</v>
      </c>
      <c r="BJ358" s="229">
        <f>SUMIF(GIU!$BA$6:$BG$6,BJ$177,GIU!$BA34:$BG34)</f>
        <v>0</v>
      </c>
      <c r="BK358" s="229">
        <f>SUMIF(GIU!$BA$6:$BG$6,BK$177,GIU!$BA34:$BG34)</f>
        <v>0</v>
      </c>
      <c r="BL358" s="229">
        <f>SUMIF(GIU!$BA$6:$BG$6,BL$177,GIU!$BA34:$BG34)</f>
        <v>0</v>
      </c>
      <c r="BM358" s="229">
        <f>SUMIF(GIU!$BA$6:$BG$6,BM$177,GIU!$BA34:$BG34)</f>
        <v>0</v>
      </c>
      <c r="BN358" s="229">
        <f>SUMIF(GIU!$BA$6:$BG$6,BN$177,GIU!$BA34:$BG34)</f>
        <v>0</v>
      </c>
      <c r="BO358" s="231">
        <f>SUMIF(GIU!$BA$6:$BG$6,BO$177,GIU!$BA34:$BG34)</f>
        <v>0</v>
      </c>
      <c r="BP358" s="231">
        <f>SUMIF(GIU!$BA$6:$BG$6,BP$177,GIU!$BA34:$BG34)</f>
        <v>0</v>
      </c>
      <c r="BQ358" s="252"/>
      <c r="BR358" s="228">
        <f>SUMIF(GIU!$BA$5:$BG$5,BR$177,GIU!$BA34:$BG34)</f>
        <v>0</v>
      </c>
      <c r="BS358" s="229">
        <f>SUMIF(GIU!$BA$5:$BG$5,BS$177,GIU!$BA34:$BG34)</f>
        <v>0</v>
      </c>
      <c r="BT358" s="229">
        <f>SUMIF(GIU!$BA$5:$BG$5,BT$177,GIU!$BA34:$BG34)</f>
        <v>0</v>
      </c>
      <c r="BU358" s="229">
        <f>SUMIF(GIU!$BA$5:$BG$5,BU$177,GIU!$BA34:$BG34)</f>
        <v>0</v>
      </c>
      <c r="BV358" s="229">
        <f>SUMIF(GIU!$BA$5:$BG$5,BV$177,GIU!$BA34:$BG34)</f>
        <v>0</v>
      </c>
      <c r="BW358" s="229">
        <f>SUMIF(GIU!$BA$5:$BG$5,BW$177,GIU!$BA34:$BG34)</f>
        <v>0</v>
      </c>
      <c r="BX358" s="230">
        <f>SUMIF(GIU!$BA$5:$BG$5,BX$177,GIU!$BA34:$BG34)</f>
        <v>0</v>
      </c>
      <c r="BY358" s="998">
        <f>SUMIF(GIU!$BA$5:$BG$5,BY$177,GIU!$BA34:$BG34)</f>
        <v>0</v>
      </c>
      <c r="CB358" s="252"/>
      <c r="CC358" s="61" t="e">
        <f t="shared" si="70"/>
        <v>#N/A</v>
      </c>
      <c r="CD358" s="61">
        <f t="shared" si="71"/>
        <v>0</v>
      </c>
      <c r="CE358" s="105" t="str">
        <f t="shared" si="64"/>
        <v/>
      </c>
      <c r="CF358" s="61" t="e">
        <f t="shared" si="72"/>
        <v>#N/A</v>
      </c>
      <c r="CG358" s="61" t="e">
        <f t="shared" si="73"/>
        <v>#N/A</v>
      </c>
      <c r="CH358" s="521">
        <f>GIU!AL34-CW358+CR358</f>
        <v>0</v>
      </c>
      <c r="CI358" s="228">
        <f>SUMIF(GIU!$G$121:$M$121,CI$178,GIU!$AM34:$AS34)+SUMIF($CS$178:$CV$178,CI$178,$CS358:$CV358)</f>
        <v>0</v>
      </c>
      <c r="CJ358" s="229">
        <f>SUMIF(GIU!$G$121:$M$121,CJ$178,GIU!$AM34:$AS34)+SUMIF($CS$178:$CV$178,CJ$178,$CS358:$CV358)</f>
        <v>0</v>
      </c>
      <c r="CK358" s="230">
        <f>SUMIF(GIU!$G$121:$M$121,CK$178,GIU!$AM34:$AS34)+SUMIF($CS$178:$CV$178,CK$178,$CS358:$CV358)</f>
        <v>0</v>
      </c>
      <c r="CL358" s="230">
        <f>SUMIF(GIU!$G$121:$M$121,CL$178,GIU!$AM34:$AS34)+SUMIF($CS$178:$CV$178,CL$178,$CS358:$CV358)</f>
        <v>0</v>
      </c>
      <c r="CM358" s="230">
        <f>SUMIF(GIU!$G$121:$M$121,CM$178,GIU!$AM34:$AS34)+SUMIF($CS$178:$CV$178,CM$178,$CS358:$CV358)</f>
        <v>0</v>
      </c>
      <c r="CN358" s="230">
        <f>SUMIF(GIU!$G$121:$M$121,CN$178,GIU!$AM34:$AS34)+SUMIF($CS$178:$CV$178,CN$178,$CS358:$CV358)</f>
        <v>0</v>
      </c>
      <c r="CO358" s="230">
        <f>SUMIF(GIU!$G$121:$M$121,CO$178,GIU!$AM34:$AS34)+SUMIF($CS$178:$CV$178,CO$178,$CS358:$CV358)</f>
        <v>0</v>
      </c>
      <c r="CP358" s="230">
        <f>SUMIF(GIU!$G$121:$M$121,CP$178,GIU!$AM34:$AS34)+SUMIF($CS$178:$CV$178,CP$178,$CS358:$CV358)</f>
        <v>0</v>
      </c>
      <c r="CQ358" s="231">
        <f>SUMIF(GIU!$G$121:$M$121,CQ$178,GIU!$AM34:$AS34)+SUMIF($CS$178:$CV$178,CQ$178,$CS358:$CV358)</f>
        <v>0</v>
      </c>
      <c r="CR358" s="521">
        <f>GIU!AU34</f>
        <v>0</v>
      </c>
      <c r="CS358" s="228">
        <f>GIU!AV34</f>
        <v>0</v>
      </c>
      <c r="CT358" s="229">
        <f>GIU!AW34</f>
        <v>0</v>
      </c>
      <c r="CU358" s="230">
        <f>GIU!AX34</f>
        <v>0</v>
      </c>
      <c r="CV358" s="231">
        <f>GIU!AY34</f>
        <v>0</v>
      </c>
      <c r="CW358" s="521">
        <f>SUM(GIU!AU34:AY34)</f>
        <v>0</v>
      </c>
      <c r="CX358" s="521">
        <f>GIU!AK34</f>
        <v>0</v>
      </c>
      <c r="CY358" s="2"/>
    </row>
    <row r="359" spans="1:103" ht="14.25" hidden="1" customHeight="1" x14ac:dyDescent="0.2">
      <c r="A359" s="2"/>
      <c r="B359" s="105">
        <f t="shared" si="74"/>
        <v>45471</v>
      </c>
      <c r="C359" s="146">
        <f>IF(AND(E359&gt;(E$562-1),E359&lt;(I$562+1)),W$551,IF(ISERROR(HLOOKUP(E359,$E$555:$L$555,1,FALSE)),HLOOKUP(WEEKDAY(E359,2),IMPOSTAZIONI!$C$52:$P$57,6,FALSE),$W$550))</f>
        <v>0</v>
      </c>
      <c r="D359" s="71" t="str">
        <f t="shared" si="75"/>
        <v/>
      </c>
      <c r="E359" s="2258">
        <f t="shared" si="80"/>
        <v>45471</v>
      </c>
      <c r="F359" s="2259"/>
      <c r="G359" s="2228" t="str">
        <f>GIU!E35</f>
        <v xml:space="preserve">disattivato  </v>
      </c>
      <c r="H359" s="2229"/>
      <c r="I359" s="2230"/>
      <c r="J359" s="262" t="str">
        <f t="shared" si="65"/>
        <v/>
      </c>
      <c r="K359" s="263"/>
      <c r="L359" s="2217">
        <f t="shared" si="81"/>
        <v>26</v>
      </c>
      <c r="M359" s="2218"/>
      <c r="N359" s="261"/>
      <c r="O359" s="261"/>
      <c r="P359" s="261"/>
      <c r="Q359" s="2219">
        <f t="shared" si="76"/>
        <v>45471</v>
      </c>
      <c r="R359" s="2219"/>
      <c r="S359" s="261"/>
      <c r="T359" s="1173">
        <f t="shared" si="66"/>
        <v>1</v>
      </c>
      <c r="U359" s="261"/>
      <c r="V359" s="261"/>
      <c r="W359" s="261"/>
      <c r="X359" s="261"/>
      <c r="Y359" s="261"/>
      <c r="Z359" s="261"/>
      <c r="AA359" s="261"/>
      <c r="AB359" s="261"/>
      <c r="AC359" s="261"/>
      <c r="AD359" s="261"/>
      <c r="AE359" s="261"/>
      <c r="AF359" s="261"/>
      <c r="AG359" s="1173">
        <f t="shared" si="77"/>
        <v>0</v>
      </c>
      <c r="AH359" s="61" t="str">
        <f t="shared" si="78"/>
        <v/>
      </c>
      <c r="AI359" s="89" t="e">
        <f t="shared" si="79"/>
        <v>#N/A</v>
      </c>
      <c r="AJ359" s="2"/>
      <c r="AK359" s="61">
        <f>IF(G359=G$547,0,IF(OR(G359&lt;&gt;0,CH359&lt;&gt;0,C359="L"),COUNTIF(AK$180:AK358,"&gt;0")+1,0))</f>
        <v>0</v>
      </c>
      <c r="AL359" s="61" t="str">
        <f t="shared" si="67"/>
        <v/>
      </c>
      <c r="AM359" s="61" t="e">
        <f t="shared" si="68"/>
        <v>#N/A</v>
      </c>
      <c r="AN359" s="89" t="e">
        <f t="shared" si="69"/>
        <v>#N/A</v>
      </c>
      <c r="AO359" s="230">
        <f>SUM(GIU!X35:AD35)-BD359+AY359</f>
        <v>0</v>
      </c>
      <c r="AP359" s="228">
        <f>SUMIF(GIU!$G$121:$M$121,AP$178,GIU!$P35:$V35)+SUMIF($AZ$178:$BC$178,AP$178,$AZ359:$BC359)</f>
        <v>0</v>
      </c>
      <c r="AQ359" s="229">
        <f>SUMIF(GIU!$G$121:$M$121,AQ$178,GIU!$P35:$V35)+SUMIF($AZ$178:$BC$178,AQ$178,$AZ359:$BC359)</f>
        <v>0</v>
      </c>
      <c r="AR359" s="230">
        <f>SUMIF(GIU!$G$121:$M$121,AR$178,GIU!$P35:$V35)+SUMIF($AZ$178:$BC$178,AR$178,$AZ359:$BC359)</f>
        <v>0</v>
      </c>
      <c r="AS359" s="230">
        <f>SUMIF(GIU!$G$121:$M$121,AS$178,GIU!$P35:$V35)+SUMIF($AZ$178:$BC$178,AS$178,$AZ359:$BC359)</f>
        <v>0</v>
      </c>
      <c r="AT359" s="230">
        <f>SUMIF(GIU!$G$121:$M$121,AT$178,GIU!$P35:$V35)+SUMIF($AZ$178:$BC$178,AT$178,$AZ359:$BC359)</f>
        <v>0</v>
      </c>
      <c r="AU359" s="230">
        <f>SUMIF(GIU!$G$121:$M$121,AU$178,GIU!$P35:$V35)+SUMIF($AZ$178:$BC$178,AU$178,$AZ359:$BC359)</f>
        <v>0</v>
      </c>
      <c r="AV359" s="230">
        <f>SUMIF(GIU!$G$121:$M$121,AV$178,GIU!$P35:$V35)+SUMIF($AZ$178:$BC$178,AV$178,$AZ359:$BC359)</f>
        <v>0</v>
      </c>
      <c r="AW359" s="230">
        <f>SUMIF(GIU!$G$121:$M$121,AW$178,GIU!$P35:$V35)+SUMIF($AZ$178:$BC$178,AW$178,$AZ359:$BC359)</f>
        <v>0</v>
      </c>
      <c r="AX359" s="231">
        <f>SUMIF(GIU!$G$121:$M$121,AX$178,GIU!$P35:$V35)+SUMIF($AZ$178:$BC$178,AX$178,$AZ359:$BC359)</f>
        <v>0</v>
      </c>
      <c r="AY359" s="232">
        <f>GIU!AF35</f>
        <v>0</v>
      </c>
      <c r="AZ359" s="228">
        <f>GIU!AG35</f>
        <v>0</v>
      </c>
      <c r="BA359" s="229">
        <f>GIU!AH35</f>
        <v>0</v>
      </c>
      <c r="BB359" s="230">
        <f>GIU!AI35</f>
        <v>0</v>
      </c>
      <c r="BC359" s="231">
        <f>GIU!AJ35</f>
        <v>0</v>
      </c>
      <c r="BD359" s="228">
        <f>SUMIF(GIU!$G$120:$M$120,"&gt;0",GIU!$X35:$AD35)</f>
        <v>0</v>
      </c>
      <c r="BE359" s="696"/>
      <c r="BF359" s="228">
        <f>SUMIF(GIU!$BA$6:$BG$6,BF$177,GIU!$BA35:$BG35)</f>
        <v>0</v>
      </c>
      <c r="BG359" s="229">
        <f>SUMIF(GIU!$BA$6:$BG$6,BG$177,GIU!$BA35:$BG35)</f>
        <v>0</v>
      </c>
      <c r="BH359" s="229">
        <f>SUMIF(GIU!$BA$6:$BG$6,BH$177,GIU!$BA35:$BG35)</f>
        <v>0</v>
      </c>
      <c r="BI359" s="229">
        <f>SUMIF(GIU!$BA$6:$BG$6,BI$177,GIU!$BA35:$BG35)</f>
        <v>0</v>
      </c>
      <c r="BJ359" s="229">
        <f>SUMIF(GIU!$BA$6:$BG$6,BJ$177,GIU!$BA35:$BG35)</f>
        <v>0</v>
      </c>
      <c r="BK359" s="229">
        <f>SUMIF(GIU!$BA$6:$BG$6,BK$177,GIU!$BA35:$BG35)</f>
        <v>0</v>
      </c>
      <c r="BL359" s="229">
        <f>SUMIF(GIU!$BA$6:$BG$6,BL$177,GIU!$BA35:$BG35)</f>
        <v>0</v>
      </c>
      <c r="BM359" s="229">
        <f>SUMIF(GIU!$BA$6:$BG$6,BM$177,GIU!$BA35:$BG35)</f>
        <v>0</v>
      </c>
      <c r="BN359" s="229">
        <f>SUMIF(GIU!$BA$6:$BG$6,BN$177,GIU!$BA35:$BG35)</f>
        <v>0</v>
      </c>
      <c r="BO359" s="231">
        <f>SUMIF(GIU!$BA$6:$BG$6,BO$177,GIU!$BA35:$BG35)</f>
        <v>0</v>
      </c>
      <c r="BP359" s="231">
        <f>SUMIF(GIU!$BA$6:$BG$6,BP$177,GIU!$BA35:$BG35)</f>
        <v>0</v>
      </c>
      <c r="BQ359" s="252"/>
      <c r="BR359" s="228">
        <f>SUMIF(GIU!$BA$5:$BG$5,BR$177,GIU!$BA35:$BG35)</f>
        <v>0</v>
      </c>
      <c r="BS359" s="229">
        <f>SUMIF(GIU!$BA$5:$BG$5,BS$177,GIU!$BA35:$BG35)</f>
        <v>0</v>
      </c>
      <c r="BT359" s="229">
        <f>SUMIF(GIU!$BA$5:$BG$5,BT$177,GIU!$BA35:$BG35)</f>
        <v>0</v>
      </c>
      <c r="BU359" s="229">
        <f>SUMIF(GIU!$BA$5:$BG$5,BU$177,GIU!$BA35:$BG35)</f>
        <v>0</v>
      </c>
      <c r="BV359" s="229">
        <f>SUMIF(GIU!$BA$5:$BG$5,BV$177,GIU!$BA35:$BG35)</f>
        <v>0</v>
      </c>
      <c r="BW359" s="229">
        <f>SUMIF(GIU!$BA$5:$BG$5,BW$177,GIU!$BA35:$BG35)</f>
        <v>0</v>
      </c>
      <c r="BX359" s="230">
        <f>SUMIF(GIU!$BA$5:$BG$5,BX$177,GIU!$BA35:$BG35)</f>
        <v>0</v>
      </c>
      <c r="BY359" s="998">
        <f>SUMIF(GIU!$BA$5:$BG$5,BY$177,GIU!$BA35:$BG35)</f>
        <v>0</v>
      </c>
      <c r="CB359" s="252"/>
      <c r="CC359" s="61" t="e">
        <f t="shared" si="70"/>
        <v>#N/A</v>
      </c>
      <c r="CD359" s="61">
        <f t="shared" si="71"/>
        <v>0</v>
      </c>
      <c r="CE359" s="105" t="str">
        <f t="shared" si="64"/>
        <v/>
      </c>
      <c r="CF359" s="61" t="e">
        <f t="shared" si="72"/>
        <v>#N/A</v>
      </c>
      <c r="CG359" s="61" t="e">
        <f t="shared" si="73"/>
        <v>#N/A</v>
      </c>
      <c r="CH359" s="521">
        <f>GIU!AL35-CW359+CR359</f>
        <v>0</v>
      </c>
      <c r="CI359" s="228">
        <f>SUMIF(GIU!$G$121:$M$121,CI$178,GIU!$AM35:$AS35)+SUMIF($CS$178:$CV$178,CI$178,$CS359:$CV359)</f>
        <v>0</v>
      </c>
      <c r="CJ359" s="229">
        <f>SUMIF(GIU!$G$121:$M$121,CJ$178,GIU!$AM35:$AS35)+SUMIF($CS$178:$CV$178,CJ$178,$CS359:$CV359)</f>
        <v>0</v>
      </c>
      <c r="CK359" s="230">
        <f>SUMIF(GIU!$G$121:$M$121,CK$178,GIU!$AM35:$AS35)+SUMIF($CS$178:$CV$178,CK$178,$CS359:$CV359)</f>
        <v>0</v>
      </c>
      <c r="CL359" s="230">
        <f>SUMIF(GIU!$G$121:$M$121,CL$178,GIU!$AM35:$AS35)+SUMIF($CS$178:$CV$178,CL$178,$CS359:$CV359)</f>
        <v>0</v>
      </c>
      <c r="CM359" s="230">
        <f>SUMIF(GIU!$G$121:$M$121,CM$178,GIU!$AM35:$AS35)+SUMIF($CS$178:$CV$178,CM$178,$CS359:$CV359)</f>
        <v>0</v>
      </c>
      <c r="CN359" s="230">
        <f>SUMIF(GIU!$G$121:$M$121,CN$178,GIU!$AM35:$AS35)+SUMIF($CS$178:$CV$178,CN$178,$CS359:$CV359)</f>
        <v>0</v>
      </c>
      <c r="CO359" s="230">
        <f>SUMIF(GIU!$G$121:$M$121,CO$178,GIU!$AM35:$AS35)+SUMIF($CS$178:$CV$178,CO$178,$CS359:$CV359)</f>
        <v>0</v>
      </c>
      <c r="CP359" s="230">
        <f>SUMIF(GIU!$G$121:$M$121,CP$178,GIU!$AM35:$AS35)+SUMIF($CS$178:$CV$178,CP$178,$CS359:$CV359)</f>
        <v>0</v>
      </c>
      <c r="CQ359" s="231">
        <f>SUMIF(GIU!$G$121:$M$121,CQ$178,GIU!$AM35:$AS35)+SUMIF($CS$178:$CV$178,CQ$178,$CS359:$CV359)</f>
        <v>0</v>
      </c>
      <c r="CR359" s="521">
        <f>GIU!AU35</f>
        <v>0</v>
      </c>
      <c r="CS359" s="228">
        <f>GIU!AV35</f>
        <v>0</v>
      </c>
      <c r="CT359" s="229">
        <f>GIU!AW35</f>
        <v>0</v>
      </c>
      <c r="CU359" s="230">
        <f>GIU!AX35</f>
        <v>0</v>
      </c>
      <c r="CV359" s="231">
        <f>GIU!AY35</f>
        <v>0</v>
      </c>
      <c r="CW359" s="521">
        <f>SUM(GIU!AU35:AY35)</f>
        <v>0</v>
      </c>
      <c r="CX359" s="521">
        <f>GIU!AK35</f>
        <v>0</v>
      </c>
      <c r="CY359" s="2"/>
    </row>
    <row r="360" spans="1:103" ht="14.25" hidden="1" customHeight="1" x14ac:dyDescent="0.2">
      <c r="A360" s="2"/>
      <c r="B360" s="105">
        <f t="shared" si="74"/>
        <v>45472</v>
      </c>
      <c r="C360" s="146">
        <f>IF(AND(E360&gt;(E$562-1),E360&lt;(I$562+1)),W$551,IF(ISERROR(HLOOKUP(E360,$E$555:$L$555,1,FALSE)),HLOOKUP(WEEKDAY(E360,2),IMPOSTAZIONI!$C$52:$P$57,6,FALSE),$W$550))</f>
        <v>0</v>
      </c>
      <c r="D360" s="71" t="str">
        <f t="shared" si="75"/>
        <v/>
      </c>
      <c r="E360" s="2258">
        <f t="shared" si="80"/>
        <v>45472</v>
      </c>
      <c r="F360" s="2259"/>
      <c r="G360" s="2228" t="str">
        <f>GIU!E36</f>
        <v xml:space="preserve">disattivato  </v>
      </c>
      <c r="H360" s="2229"/>
      <c r="I360" s="2230"/>
      <c r="J360" s="262" t="str">
        <f t="shared" si="65"/>
        <v/>
      </c>
      <c r="K360" s="263"/>
      <c r="L360" s="2217">
        <f t="shared" si="81"/>
        <v>26</v>
      </c>
      <c r="M360" s="2218"/>
      <c r="N360" s="261"/>
      <c r="O360" s="261"/>
      <c r="P360" s="261"/>
      <c r="Q360" s="2219">
        <f t="shared" si="76"/>
        <v>45472</v>
      </c>
      <c r="R360" s="2219"/>
      <c r="S360" s="261"/>
      <c r="T360" s="1173">
        <f t="shared" si="66"/>
        <v>1</v>
      </c>
      <c r="U360" s="261"/>
      <c r="V360" s="261"/>
      <c r="W360" s="261"/>
      <c r="X360" s="261"/>
      <c r="Y360" s="261"/>
      <c r="Z360" s="261"/>
      <c r="AA360" s="261"/>
      <c r="AB360" s="261"/>
      <c r="AC360" s="261"/>
      <c r="AD360" s="261"/>
      <c r="AE360" s="261"/>
      <c r="AF360" s="261"/>
      <c r="AG360" s="1173">
        <f t="shared" si="77"/>
        <v>0</v>
      </c>
      <c r="AH360" s="61" t="str">
        <f t="shared" si="78"/>
        <v/>
      </c>
      <c r="AI360" s="89" t="e">
        <f t="shared" si="79"/>
        <v>#N/A</v>
      </c>
      <c r="AJ360" s="2"/>
      <c r="AK360" s="61">
        <f>IF(G360=G$547,0,IF(OR(G360&lt;&gt;0,CH360&lt;&gt;0,C360="L"),COUNTIF(AK$180:AK359,"&gt;0")+1,0))</f>
        <v>0</v>
      </c>
      <c r="AL360" s="61" t="str">
        <f t="shared" si="67"/>
        <v/>
      </c>
      <c r="AM360" s="61" t="e">
        <f t="shared" si="68"/>
        <v>#N/A</v>
      </c>
      <c r="AN360" s="89" t="e">
        <f t="shared" si="69"/>
        <v>#N/A</v>
      </c>
      <c r="AO360" s="230">
        <f>SUM(GIU!X36:AD36)-BD360+AY360</f>
        <v>0</v>
      </c>
      <c r="AP360" s="228">
        <f>SUMIF(GIU!$G$121:$M$121,AP$178,GIU!$P36:$V36)+SUMIF($AZ$178:$BC$178,AP$178,$AZ360:$BC360)</f>
        <v>0</v>
      </c>
      <c r="AQ360" s="229">
        <f>SUMIF(GIU!$G$121:$M$121,AQ$178,GIU!$P36:$V36)+SUMIF($AZ$178:$BC$178,AQ$178,$AZ360:$BC360)</f>
        <v>0</v>
      </c>
      <c r="AR360" s="230">
        <f>SUMIF(GIU!$G$121:$M$121,AR$178,GIU!$P36:$V36)+SUMIF($AZ$178:$BC$178,AR$178,$AZ360:$BC360)</f>
        <v>0</v>
      </c>
      <c r="AS360" s="230">
        <f>SUMIF(GIU!$G$121:$M$121,AS$178,GIU!$P36:$V36)+SUMIF($AZ$178:$BC$178,AS$178,$AZ360:$BC360)</f>
        <v>0</v>
      </c>
      <c r="AT360" s="230">
        <f>SUMIF(GIU!$G$121:$M$121,AT$178,GIU!$P36:$V36)+SUMIF($AZ$178:$BC$178,AT$178,$AZ360:$BC360)</f>
        <v>0</v>
      </c>
      <c r="AU360" s="230">
        <f>SUMIF(GIU!$G$121:$M$121,AU$178,GIU!$P36:$V36)+SUMIF($AZ$178:$BC$178,AU$178,$AZ360:$BC360)</f>
        <v>0</v>
      </c>
      <c r="AV360" s="230">
        <f>SUMIF(GIU!$G$121:$M$121,AV$178,GIU!$P36:$V36)+SUMIF($AZ$178:$BC$178,AV$178,$AZ360:$BC360)</f>
        <v>0</v>
      </c>
      <c r="AW360" s="230">
        <f>SUMIF(GIU!$G$121:$M$121,AW$178,GIU!$P36:$V36)+SUMIF($AZ$178:$BC$178,AW$178,$AZ360:$BC360)</f>
        <v>0</v>
      </c>
      <c r="AX360" s="231">
        <f>SUMIF(GIU!$G$121:$M$121,AX$178,GIU!$P36:$V36)+SUMIF($AZ$178:$BC$178,AX$178,$AZ360:$BC360)</f>
        <v>0</v>
      </c>
      <c r="AY360" s="232">
        <f>GIU!AF36</f>
        <v>0</v>
      </c>
      <c r="AZ360" s="228">
        <f>GIU!AG36</f>
        <v>0</v>
      </c>
      <c r="BA360" s="229">
        <f>GIU!AH36</f>
        <v>0</v>
      </c>
      <c r="BB360" s="230">
        <f>GIU!AI36</f>
        <v>0</v>
      </c>
      <c r="BC360" s="231">
        <f>GIU!AJ36</f>
        <v>0</v>
      </c>
      <c r="BD360" s="228">
        <f>SUMIF(GIU!$G$120:$M$120,"&gt;0",GIU!$X36:$AD36)</f>
        <v>0</v>
      </c>
      <c r="BE360" s="696"/>
      <c r="BF360" s="228">
        <f>SUMIF(GIU!$BA$6:$BG$6,BF$177,GIU!$BA36:$BG36)</f>
        <v>0</v>
      </c>
      <c r="BG360" s="229">
        <f>SUMIF(GIU!$BA$6:$BG$6,BG$177,GIU!$BA36:$BG36)</f>
        <v>0</v>
      </c>
      <c r="BH360" s="229">
        <f>SUMIF(GIU!$BA$6:$BG$6,BH$177,GIU!$BA36:$BG36)</f>
        <v>0</v>
      </c>
      <c r="BI360" s="229">
        <f>SUMIF(GIU!$BA$6:$BG$6,BI$177,GIU!$BA36:$BG36)</f>
        <v>0</v>
      </c>
      <c r="BJ360" s="229">
        <f>SUMIF(GIU!$BA$6:$BG$6,BJ$177,GIU!$BA36:$BG36)</f>
        <v>0</v>
      </c>
      <c r="BK360" s="229">
        <f>SUMIF(GIU!$BA$6:$BG$6,BK$177,GIU!$BA36:$BG36)</f>
        <v>0</v>
      </c>
      <c r="BL360" s="229">
        <f>SUMIF(GIU!$BA$6:$BG$6,BL$177,GIU!$BA36:$BG36)</f>
        <v>0</v>
      </c>
      <c r="BM360" s="229">
        <f>SUMIF(GIU!$BA$6:$BG$6,BM$177,GIU!$BA36:$BG36)</f>
        <v>0</v>
      </c>
      <c r="BN360" s="229">
        <f>SUMIF(GIU!$BA$6:$BG$6,BN$177,GIU!$BA36:$BG36)</f>
        <v>0</v>
      </c>
      <c r="BO360" s="231">
        <f>SUMIF(GIU!$BA$6:$BG$6,BO$177,GIU!$BA36:$BG36)</f>
        <v>0</v>
      </c>
      <c r="BP360" s="231">
        <f>SUMIF(GIU!$BA$6:$BG$6,BP$177,GIU!$BA36:$BG36)</f>
        <v>0</v>
      </c>
      <c r="BQ360" s="252"/>
      <c r="BR360" s="228">
        <f>SUMIF(GIU!$BA$5:$BG$5,BR$177,GIU!$BA36:$BG36)</f>
        <v>0</v>
      </c>
      <c r="BS360" s="229">
        <f>SUMIF(GIU!$BA$5:$BG$5,BS$177,GIU!$BA36:$BG36)</f>
        <v>0</v>
      </c>
      <c r="BT360" s="229">
        <f>SUMIF(GIU!$BA$5:$BG$5,BT$177,GIU!$BA36:$BG36)</f>
        <v>0</v>
      </c>
      <c r="BU360" s="229">
        <f>SUMIF(GIU!$BA$5:$BG$5,BU$177,GIU!$BA36:$BG36)</f>
        <v>0</v>
      </c>
      <c r="BV360" s="229">
        <f>SUMIF(GIU!$BA$5:$BG$5,BV$177,GIU!$BA36:$BG36)</f>
        <v>0</v>
      </c>
      <c r="BW360" s="229">
        <f>SUMIF(GIU!$BA$5:$BG$5,BW$177,GIU!$BA36:$BG36)</f>
        <v>0</v>
      </c>
      <c r="BX360" s="230">
        <f>SUMIF(GIU!$BA$5:$BG$5,BX$177,GIU!$BA36:$BG36)</f>
        <v>0</v>
      </c>
      <c r="BY360" s="998">
        <f>SUMIF(GIU!$BA$5:$BG$5,BY$177,GIU!$BA36:$BG36)</f>
        <v>0</v>
      </c>
      <c r="CB360" s="252"/>
      <c r="CC360" s="61" t="e">
        <f t="shared" si="70"/>
        <v>#N/A</v>
      </c>
      <c r="CD360" s="61">
        <f t="shared" si="71"/>
        <v>0</v>
      </c>
      <c r="CE360" s="105" t="str">
        <f t="shared" si="64"/>
        <v/>
      </c>
      <c r="CF360" s="61" t="e">
        <f t="shared" si="72"/>
        <v>#N/A</v>
      </c>
      <c r="CG360" s="61" t="e">
        <f t="shared" si="73"/>
        <v>#N/A</v>
      </c>
      <c r="CH360" s="521">
        <f>GIU!AL36-CW360+CR360</f>
        <v>0</v>
      </c>
      <c r="CI360" s="228">
        <f>SUMIF(GIU!$G$121:$M$121,CI$178,GIU!$AM36:$AS36)+SUMIF($CS$178:$CV$178,CI$178,$CS360:$CV360)</f>
        <v>0</v>
      </c>
      <c r="CJ360" s="229">
        <f>SUMIF(GIU!$G$121:$M$121,CJ$178,GIU!$AM36:$AS36)+SUMIF($CS$178:$CV$178,CJ$178,$CS360:$CV360)</f>
        <v>0</v>
      </c>
      <c r="CK360" s="230">
        <f>SUMIF(GIU!$G$121:$M$121,CK$178,GIU!$AM36:$AS36)+SUMIF($CS$178:$CV$178,CK$178,$CS360:$CV360)</f>
        <v>0</v>
      </c>
      <c r="CL360" s="230">
        <f>SUMIF(GIU!$G$121:$M$121,CL$178,GIU!$AM36:$AS36)+SUMIF($CS$178:$CV$178,CL$178,$CS360:$CV360)</f>
        <v>0</v>
      </c>
      <c r="CM360" s="230">
        <f>SUMIF(GIU!$G$121:$M$121,CM$178,GIU!$AM36:$AS36)+SUMIF($CS$178:$CV$178,CM$178,$CS360:$CV360)</f>
        <v>0</v>
      </c>
      <c r="CN360" s="230">
        <f>SUMIF(GIU!$G$121:$M$121,CN$178,GIU!$AM36:$AS36)+SUMIF($CS$178:$CV$178,CN$178,$CS360:$CV360)</f>
        <v>0</v>
      </c>
      <c r="CO360" s="230">
        <f>SUMIF(GIU!$G$121:$M$121,CO$178,GIU!$AM36:$AS36)+SUMIF($CS$178:$CV$178,CO$178,$CS360:$CV360)</f>
        <v>0</v>
      </c>
      <c r="CP360" s="230">
        <f>SUMIF(GIU!$G$121:$M$121,CP$178,GIU!$AM36:$AS36)+SUMIF($CS$178:$CV$178,CP$178,$CS360:$CV360)</f>
        <v>0</v>
      </c>
      <c r="CQ360" s="231">
        <f>SUMIF(GIU!$G$121:$M$121,CQ$178,GIU!$AM36:$AS36)+SUMIF($CS$178:$CV$178,CQ$178,$CS360:$CV360)</f>
        <v>0</v>
      </c>
      <c r="CR360" s="521">
        <f>GIU!AU36</f>
        <v>0</v>
      </c>
      <c r="CS360" s="228">
        <f>GIU!AV36</f>
        <v>0</v>
      </c>
      <c r="CT360" s="229">
        <f>GIU!AW36</f>
        <v>0</v>
      </c>
      <c r="CU360" s="230">
        <f>GIU!AX36</f>
        <v>0</v>
      </c>
      <c r="CV360" s="231">
        <f>GIU!AY36</f>
        <v>0</v>
      </c>
      <c r="CW360" s="521">
        <f>SUM(GIU!AU36:AY36)</f>
        <v>0</v>
      </c>
      <c r="CX360" s="521">
        <f>GIU!AK36</f>
        <v>0</v>
      </c>
      <c r="CY360" s="2"/>
    </row>
    <row r="361" spans="1:103" ht="14.25" hidden="1" customHeight="1" x14ac:dyDescent="0.2">
      <c r="A361" s="2"/>
      <c r="B361" s="105">
        <f t="shared" si="74"/>
        <v>45473</v>
      </c>
      <c r="C361" s="146">
        <f>IF(AND(E361&gt;(E$562-1),E361&lt;(I$562+1)),W$551,IF(ISERROR(HLOOKUP(E361,$E$555:$L$555,1,FALSE)),HLOOKUP(WEEKDAY(E361,2),IMPOSTAZIONI!$C$52:$P$57,6,FALSE),$W$550))</f>
        <v>0</v>
      </c>
      <c r="D361" s="71" t="str">
        <f t="shared" si="75"/>
        <v/>
      </c>
      <c r="E361" s="2258">
        <f t="shared" si="80"/>
        <v>45473</v>
      </c>
      <c r="F361" s="2259"/>
      <c r="G361" s="2228" t="str">
        <f>GIU!E37</f>
        <v xml:space="preserve">disattivato  </v>
      </c>
      <c r="H361" s="2229"/>
      <c r="I361" s="2230"/>
      <c r="J361" s="262" t="str">
        <f t="shared" si="65"/>
        <v/>
      </c>
      <c r="K361" s="263"/>
      <c r="L361" s="2220">
        <f t="shared" si="81"/>
        <v>26</v>
      </c>
      <c r="M361" s="2221"/>
      <c r="N361" s="261"/>
      <c r="O361" s="261"/>
      <c r="P361" s="261"/>
      <c r="Q361" s="2219">
        <f t="shared" si="76"/>
        <v>45473</v>
      </c>
      <c r="R361" s="2219"/>
      <c r="S361" s="261"/>
      <c r="T361" s="1173">
        <f t="shared" si="66"/>
        <v>1</v>
      </c>
      <c r="U361" s="261"/>
      <c r="V361" s="261"/>
      <c r="W361" s="261"/>
      <c r="X361" s="261"/>
      <c r="Y361" s="261"/>
      <c r="Z361" s="261"/>
      <c r="AA361" s="261"/>
      <c r="AB361" s="261"/>
      <c r="AC361" s="261"/>
      <c r="AD361" s="261"/>
      <c r="AE361" s="261"/>
      <c r="AF361" s="261"/>
      <c r="AG361" s="1173">
        <f t="shared" si="77"/>
        <v>0</v>
      </c>
      <c r="AH361" s="61" t="str">
        <f t="shared" si="78"/>
        <v/>
      </c>
      <c r="AI361" s="89" t="e">
        <f t="shared" si="79"/>
        <v>#N/A</v>
      </c>
      <c r="AJ361" s="2"/>
      <c r="AK361" s="61">
        <f>IF(G361=G$547,0,IF(OR(G361&lt;&gt;0,CH361&lt;&gt;0,C361="L"),COUNTIF(AK$180:AK360,"&gt;0")+1,0))</f>
        <v>0</v>
      </c>
      <c r="AL361" s="61" t="str">
        <f t="shared" si="67"/>
        <v/>
      </c>
      <c r="AM361" s="61" t="e">
        <f t="shared" si="68"/>
        <v>#N/A</v>
      </c>
      <c r="AN361" s="89" t="e">
        <f t="shared" si="69"/>
        <v>#N/A</v>
      </c>
      <c r="AO361" s="235">
        <f>SUM(GIU!X37:AD37)-BD361+AY361</f>
        <v>0</v>
      </c>
      <c r="AP361" s="233">
        <f>SUMIF(GIU!$G$121:$M$121,AP$178,GIU!$P37:$V37)+SUMIF($AZ$178:$BC$178,AP$178,$AZ361:$BC361)</f>
        <v>0</v>
      </c>
      <c r="AQ361" s="234">
        <f>SUMIF(GIU!$G$121:$M$121,AQ$178,GIU!$P37:$V37)+SUMIF($AZ$178:$BC$178,AQ$178,$AZ361:$BC361)</f>
        <v>0</v>
      </c>
      <c r="AR361" s="235">
        <f>SUMIF(GIU!$G$121:$M$121,AR$178,GIU!$P37:$V37)+SUMIF($AZ$178:$BC$178,AR$178,$AZ361:$BC361)</f>
        <v>0</v>
      </c>
      <c r="AS361" s="235">
        <f>SUMIF(GIU!$G$121:$M$121,AS$178,GIU!$P37:$V37)+SUMIF($AZ$178:$BC$178,AS$178,$AZ361:$BC361)</f>
        <v>0</v>
      </c>
      <c r="AT361" s="235">
        <f>SUMIF(GIU!$G$121:$M$121,AT$178,GIU!$P37:$V37)+SUMIF($AZ$178:$BC$178,AT$178,$AZ361:$BC361)</f>
        <v>0</v>
      </c>
      <c r="AU361" s="235">
        <f>SUMIF(GIU!$G$121:$M$121,AU$178,GIU!$P37:$V37)+SUMIF($AZ$178:$BC$178,AU$178,$AZ361:$BC361)</f>
        <v>0</v>
      </c>
      <c r="AV361" s="235">
        <f>SUMIF(GIU!$G$121:$M$121,AV$178,GIU!$P37:$V37)+SUMIF($AZ$178:$BC$178,AV$178,$AZ361:$BC361)</f>
        <v>0</v>
      </c>
      <c r="AW361" s="235">
        <f>SUMIF(GIU!$G$121:$M$121,AW$178,GIU!$P37:$V37)+SUMIF($AZ$178:$BC$178,AW$178,$AZ361:$BC361)</f>
        <v>0</v>
      </c>
      <c r="AX361" s="236">
        <f>SUMIF(GIU!$G$121:$M$121,AX$178,GIU!$P37:$V37)+SUMIF($AZ$178:$BC$178,AX$178,$AZ361:$BC361)</f>
        <v>0</v>
      </c>
      <c r="AY361" s="237">
        <f>GIU!AF37</f>
        <v>0</v>
      </c>
      <c r="AZ361" s="233">
        <f>GIU!AG37</f>
        <v>0</v>
      </c>
      <c r="BA361" s="234">
        <f>GIU!AH37</f>
        <v>0</v>
      </c>
      <c r="BB361" s="235">
        <f>GIU!AI37</f>
        <v>0</v>
      </c>
      <c r="BC361" s="236">
        <f>GIU!AJ37</f>
        <v>0</v>
      </c>
      <c r="BD361" s="233">
        <f>SUMIF(GIU!$G$120:$M$120,"&gt;0",GIU!$X37:$AD37)</f>
        <v>0</v>
      </c>
      <c r="BE361" s="696"/>
      <c r="BF361" s="233">
        <f>SUMIF(GIU!$BA$6:$BG$6,BF$177,GIU!$BA37:$BG37)</f>
        <v>0</v>
      </c>
      <c r="BG361" s="234">
        <f>SUMIF(GIU!$BA$6:$BG$6,BG$177,GIU!$BA37:$BG37)</f>
        <v>0</v>
      </c>
      <c r="BH361" s="234">
        <f>SUMIF(GIU!$BA$6:$BG$6,BH$177,GIU!$BA37:$BG37)</f>
        <v>0</v>
      </c>
      <c r="BI361" s="234">
        <f>SUMIF(GIU!$BA$6:$BG$6,BI$177,GIU!$BA37:$BG37)</f>
        <v>0</v>
      </c>
      <c r="BJ361" s="234">
        <f>SUMIF(GIU!$BA$6:$BG$6,BJ$177,GIU!$BA37:$BG37)</f>
        <v>0</v>
      </c>
      <c r="BK361" s="234">
        <f>SUMIF(GIU!$BA$6:$BG$6,BK$177,GIU!$BA37:$BG37)</f>
        <v>0</v>
      </c>
      <c r="BL361" s="234">
        <f>SUMIF(GIU!$BA$6:$BG$6,BL$177,GIU!$BA37:$BG37)</f>
        <v>0</v>
      </c>
      <c r="BM361" s="234">
        <f>SUMIF(GIU!$BA$6:$BG$6,BM$177,GIU!$BA37:$BG37)</f>
        <v>0</v>
      </c>
      <c r="BN361" s="234">
        <f>SUMIF(GIU!$BA$6:$BG$6,BN$177,GIU!$BA37:$BG37)</f>
        <v>0</v>
      </c>
      <c r="BO361" s="236">
        <f>SUMIF(GIU!$BA$6:$BG$6,BO$177,GIU!$BA37:$BG37)</f>
        <v>0</v>
      </c>
      <c r="BP361" s="236">
        <f>SUMIF(GIU!$BA$6:$BG$6,BP$177,GIU!$BA37:$BG37)</f>
        <v>0</v>
      </c>
      <c r="BQ361" s="252"/>
      <c r="BR361" s="233">
        <f>SUMIF(GIU!$BA$5:$BG$5,BR$177,GIU!$BA37:$BG37)</f>
        <v>0</v>
      </c>
      <c r="BS361" s="234">
        <f>SUMIF(GIU!$BA$5:$BG$5,BS$177,GIU!$BA37:$BG37)</f>
        <v>0</v>
      </c>
      <c r="BT361" s="234">
        <f>SUMIF(GIU!$BA$5:$BG$5,BT$177,GIU!$BA37:$BG37)</f>
        <v>0</v>
      </c>
      <c r="BU361" s="234">
        <f>SUMIF(GIU!$BA$5:$BG$5,BU$177,GIU!$BA37:$BG37)</f>
        <v>0</v>
      </c>
      <c r="BV361" s="234">
        <f>SUMIF(GIU!$BA$5:$BG$5,BV$177,GIU!$BA37:$BG37)</f>
        <v>0</v>
      </c>
      <c r="BW361" s="234">
        <f>SUMIF(GIU!$BA$5:$BG$5,BW$177,GIU!$BA37:$BG37)</f>
        <v>0</v>
      </c>
      <c r="BX361" s="235">
        <f>SUMIF(GIU!$BA$5:$BG$5,BX$177,GIU!$BA37:$BG37)</f>
        <v>0</v>
      </c>
      <c r="BY361" s="999">
        <f>SUMIF(GIU!$BA$5:$BG$5,BY$177,GIU!$BA37:$BG37)</f>
        <v>0</v>
      </c>
      <c r="CB361" s="252"/>
      <c r="CC361" s="61" t="e">
        <f t="shared" si="70"/>
        <v>#N/A</v>
      </c>
      <c r="CD361" s="61">
        <f t="shared" si="71"/>
        <v>0</v>
      </c>
      <c r="CE361" s="105" t="str">
        <f t="shared" si="64"/>
        <v/>
      </c>
      <c r="CF361" s="61" t="e">
        <f t="shared" si="72"/>
        <v>#N/A</v>
      </c>
      <c r="CG361" s="61" t="e">
        <f t="shared" si="73"/>
        <v>#N/A</v>
      </c>
      <c r="CH361" s="522">
        <f>GIU!AL37-CW361+CR361</f>
        <v>0</v>
      </c>
      <c r="CI361" s="233">
        <f>SUMIF(GIU!$G$121:$M$121,CI$178,GIU!$AM37:$AS37)+SUMIF($CS$178:$CV$178,CI$178,$CS361:$CV361)</f>
        <v>0</v>
      </c>
      <c r="CJ361" s="234">
        <f>SUMIF(GIU!$G$121:$M$121,CJ$178,GIU!$AM37:$AS37)+SUMIF($CS$178:$CV$178,CJ$178,$CS361:$CV361)</f>
        <v>0</v>
      </c>
      <c r="CK361" s="235">
        <f>SUMIF(GIU!$G$121:$M$121,CK$178,GIU!$AM37:$AS37)+SUMIF($CS$178:$CV$178,CK$178,$CS361:$CV361)</f>
        <v>0</v>
      </c>
      <c r="CL361" s="235">
        <f>SUMIF(GIU!$G$121:$M$121,CL$178,GIU!$AM37:$AS37)+SUMIF($CS$178:$CV$178,CL$178,$CS361:$CV361)</f>
        <v>0</v>
      </c>
      <c r="CM361" s="235">
        <f>SUMIF(GIU!$G$121:$M$121,CM$178,GIU!$AM37:$AS37)+SUMIF($CS$178:$CV$178,CM$178,$CS361:$CV361)</f>
        <v>0</v>
      </c>
      <c r="CN361" s="235">
        <f>SUMIF(GIU!$G$121:$M$121,CN$178,GIU!$AM37:$AS37)+SUMIF($CS$178:$CV$178,CN$178,$CS361:$CV361)</f>
        <v>0</v>
      </c>
      <c r="CO361" s="235">
        <f>SUMIF(GIU!$G$121:$M$121,CO$178,GIU!$AM37:$AS37)+SUMIF($CS$178:$CV$178,CO$178,$CS361:$CV361)</f>
        <v>0</v>
      </c>
      <c r="CP361" s="235">
        <f>SUMIF(GIU!$G$121:$M$121,CP$178,GIU!$AM37:$AS37)+SUMIF($CS$178:$CV$178,CP$178,$CS361:$CV361)</f>
        <v>0</v>
      </c>
      <c r="CQ361" s="236">
        <f>SUMIF(GIU!$G$121:$M$121,CQ$178,GIU!$AM37:$AS37)+SUMIF($CS$178:$CV$178,CQ$178,$CS361:$CV361)</f>
        <v>0</v>
      </c>
      <c r="CR361" s="522">
        <f>GIU!AU37</f>
        <v>0</v>
      </c>
      <c r="CS361" s="233">
        <f>GIU!AV37</f>
        <v>0</v>
      </c>
      <c r="CT361" s="234">
        <f>GIU!AW37</f>
        <v>0</v>
      </c>
      <c r="CU361" s="235">
        <f>GIU!AX37</f>
        <v>0</v>
      </c>
      <c r="CV361" s="236">
        <f>GIU!AY37</f>
        <v>0</v>
      </c>
      <c r="CW361" s="522">
        <f>SUM(GIU!AU37:AY37)</f>
        <v>0</v>
      </c>
      <c r="CX361" s="522">
        <f>GIU!AK37</f>
        <v>0</v>
      </c>
      <c r="CY361" s="2"/>
    </row>
    <row r="362" spans="1:103" ht="14.25" hidden="1" customHeight="1" x14ac:dyDescent="0.2">
      <c r="A362" s="2"/>
      <c r="B362" s="105">
        <f t="shared" si="74"/>
        <v>45474</v>
      </c>
      <c r="C362" s="146">
        <f>IF(AND(E362&gt;(N$557-1),E362&lt;(R$557+1)),W$551,IF(ISERROR(HLOOKUP(E362,$N$550:$U$550,1,FALSE)),HLOOKUP(WEEKDAY(E362,2),IMPOSTAZIONI!$C$52:$P$57,6,FALSE),$W$550))</f>
        <v>0</v>
      </c>
      <c r="D362" s="71" t="str">
        <f t="shared" si="75"/>
        <v/>
      </c>
      <c r="E362" s="2260">
        <f t="shared" si="80"/>
        <v>45474</v>
      </c>
      <c r="F362" s="2261"/>
      <c r="G362" s="2249" t="str">
        <f>LUG!E8</f>
        <v xml:space="preserve">disattivato  </v>
      </c>
      <c r="H362" s="2250"/>
      <c r="I362" s="2251"/>
      <c r="J362" s="262" t="str">
        <f t="shared" si="65"/>
        <v/>
      </c>
      <c r="K362" s="263"/>
      <c r="L362" s="2222">
        <f t="shared" si="81"/>
        <v>27</v>
      </c>
      <c r="M362" s="2223"/>
      <c r="N362" s="261"/>
      <c r="O362" s="261"/>
      <c r="P362" s="261"/>
      <c r="Q362" s="2219">
        <f t="shared" si="76"/>
        <v>45474</v>
      </c>
      <c r="R362" s="2219"/>
      <c r="S362" s="261"/>
      <c r="T362" s="1173">
        <f t="shared" si="66"/>
        <v>1</v>
      </c>
      <c r="U362" s="261"/>
      <c r="V362" s="261"/>
      <c r="W362" s="261"/>
      <c r="X362" s="261"/>
      <c r="Y362" s="261"/>
      <c r="Z362" s="261"/>
      <c r="AA362" s="261"/>
      <c r="AB362" s="261"/>
      <c r="AC362" s="261"/>
      <c r="AD362" s="261"/>
      <c r="AE362" s="261"/>
      <c r="AF362" s="261"/>
      <c r="AG362" s="1173">
        <f t="shared" si="77"/>
        <v>0</v>
      </c>
      <c r="AH362" s="61" t="str">
        <f t="shared" si="78"/>
        <v/>
      </c>
      <c r="AI362" s="89" t="e">
        <f t="shared" si="79"/>
        <v>#N/A</v>
      </c>
      <c r="AJ362" s="89">
        <f>IF(G362=G547,0,COUNTIF(T362:T392,"&gt;0"))</f>
        <v>0</v>
      </c>
      <c r="AK362" s="61">
        <f>IF(G362=G$547,0,IF(OR(G362&lt;&gt;0,CH362&lt;&gt;0,C362="L"),COUNTIF(AK$180:AK361,"&gt;0")+1,0))</f>
        <v>0</v>
      </c>
      <c r="AL362" s="61" t="str">
        <f t="shared" si="67"/>
        <v/>
      </c>
      <c r="AM362" s="61" t="e">
        <f t="shared" si="68"/>
        <v>#N/A</v>
      </c>
      <c r="AN362" s="89" t="e">
        <f t="shared" si="69"/>
        <v>#N/A</v>
      </c>
      <c r="AO362" s="230">
        <f>SUM(LUG!X8:AD8)-BD362+AY362</f>
        <v>0</v>
      </c>
      <c r="AP362" s="228">
        <f>SUMIF(LUG!$G$121:$M$121,AP$178,LUG!$P8:$V8)+SUMIF($AZ$178:$BC$178,AP$178,$AZ362:$BC362)</f>
        <v>0</v>
      </c>
      <c r="AQ362" s="229">
        <f>SUMIF(LUG!$G$121:$M$121,AQ$178,LUG!$P8:$V8)+SUMIF($AZ$178:$BC$178,AQ$178,$AZ362:$BC362)</f>
        <v>0</v>
      </c>
      <c r="AR362" s="230">
        <f>SUMIF(LUG!$G$121:$M$121,AR$178,LUG!$P8:$V8)+SUMIF($AZ$178:$BC$178,AR$178,$AZ362:$BC362)</f>
        <v>0</v>
      </c>
      <c r="AS362" s="230">
        <f>SUMIF(LUG!$G$121:$M$121,AS$178,LUG!$P8:$V8)+SUMIF($AZ$178:$BC$178,AS$178,$AZ362:$BC362)</f>
        <v>0</v>
      </c>
      <c r="AT362" s="230">
        <f>SUMIF(LUG!$G$121:$M$121,AT$178,LUG!$P8:$V8)+SUMIF($AZ$178:$BC$178,AT$178,$AZ362:$BC362)</f>
        <v>0</v>
      </c>
      <c r="AU362" s="230">
        <f>SUMIF(LUG!$G$121:$M$121,AU$178,LUG!$P8:$V8)+SUMIF($AZ$178:$BC$178,AU$178,$AZ362:$BC362)</f>
        <v>0</v>
      </c>
      <c r="AV362" s="230">
        <f>SUMIF(LUG!$G$121:$M$121,AV$178,LUG!$P8:$V8)+SUMIF($AZ$178:$BC$178,AV$178,$AZ362:$BC362)</f>
        <v>0</v>
      </c>
      <c r="AW362" s="230">
        <f>SUMIF(LUG!$G$121:$M$121,AW$178,LUG!$P8:$V8)+SUMIF($AZ$178:$BC$178,AW$178,$AZ362:$BC362)</f>
        <v>0</v>
      </c>
      <c r="AX362" s="231">
        <f>SUMIF(LUG!$G$121:$M$121,AX$178,LUG!$P8:$V8)+SUMIF($AZ$178:$BC$178,AX$178,$AZ362:$BC362)</f>
        <v>0</v>
      </c>
      <c r="AY362" s="232">
        <f>LUG!AF8</f>
        <v>0</v>
      </c>
      <c r="AZ362" s="228">
        <f>LUG!AG8</f>
        <v>0</v>
      </c>
      <c r="BA362" s="229">
        <f>LUG!AH8</f>
        <v>0</v>
      </c>
      <c r="BB362" s="230">
        <f>LUG!AI8</f>
        <v>0</v>
      </c>
      <c r="BC362" s="231">
        <f>LUG!AJ8</f>
        <v>0</v>
      </c>
      <c r="BD362" s="228">
        <f>SUMIF(LUG!$G$120:$M$120,"&gt;0",LUG!$X8:$AD8)</f>
        <v>0</v>
      </c>
      <c r="BE362" s="696"/>
      <c r="BF362" s="254">
        <f>SUMIF(LUG!$BA$6:$BG$6,BF$177,LUG!$BA8:$BG8)</f>
        <v>0</v>
      </c>
      <c r="BG362" s="255">
        <f>SUMIF(LUG!$BA$6:$BG$6,BG$177,LUG!$BA8:$BG8)</f>
        <v>0</v>
      </c>
      <c r="BH362" s="255">
        <f>SUMIF(LUG!$BA$6:$BG$6,BH$177,LUG!$BA8:$BG8)</f>
        <v>0</v>
      </c>
      <c r="BI362" s="255">
        <f>SUMIF(LUG!$BA$6:$BG$6,BI$177,LUG!$BA8:$BG8)</f>
        <v>0</v>
      </c>
      <c r="BJ362" s="255">
        <f>SUMIF(LUG!$BA$6:$BG$6,BJ$177,LUG!$BA8:$BG8)</f>
        <v>0</v>
      </c>
      <c r="BK362" s="255">
        <f>SUMIF(LUG!$BA$6:$BG$6,BK$177,LUG!$BA8:$BG8)</f>
        <v>0</v>
      </c>
      <c r="BL362" s="255">
        <f>SUMIF(LUG!$BA$6:$BG$6,BL$177,LUG!$BA8:$BG8)</f>
        <v>0</v>
      </c>
      <c r="BM362" s="255">
        <f>SUMIF(LUG!$BA$6:$BG$6,BM$177,LUG!$BA8:$BG8)</f>
        <v>0</v>
      </c>
      <c r="BN362" s="255">
        <f>SUMIF(LUG!$BA$6:$BG$6,BN$177,LUG!$BA8:$BG8)</f>
        <v>0</v>
      </c>
      <c r="BO362" s="256">
        <f>SUMIF(LUG!$BA$6:$BG$6,BO$177,LUG!$BA8:$BG8)</f>
        <v>0</v>
      </c>
      <c r="BP362" s="256">
        <f>SUMIF(LUG!$BA$6:$BG$6,BP$177,LUG!$BA8:$BG8)</f>
        <v>0</v>
      </c>
      <c r="BQ362" s="252"/>
      <c r="BR362" s="254">
        <f>SUMIF(LUG!$BA$5:$BG$5,BR$177,LUG!$BA8:$BG8)</f>
        <v>0</v>
      </c>
      <c r="BS362" s="255">
        <f>SUMIF(LUG!$BA$5:$BG$5,BS$177,LUG!$BA8:$BG8)</f>
        <v>0</v>
      </c>
      <c r="BT362" s="255">
        <f>SUMIF(LUG!$BA$5:$BG$5,BT$177,LUG!$BA8:$BG8)</f>
        <v>0</v>
      </c>
      <c r="BU362" s="255">
        <f>SUMIF(LUG!$BA$5:$BG$5,BU$177,LUG!$BA8:$BG8)</f>
        <v>0</v>
      </c>
      <c r="BV362" s="255">
        <f>SUMIF(LUG!$BA$5:$BG$5,BV$177,LUG!$BA8:$BG8)</f>
        <v>0</v>
      </c>
      <c r="BW362" s="255">
        <f>SUMIF(LUG!$BA$5:$BG$5,BW$177,LUG!$BA8:$BG8)</f>
        <v>0</v>
      </c>
      <c r="BX362" s="996">
        <f>SUMIF(LUG!$BA$5:$BG$5,BX$177,LUG!$BA8:$BG8)</f>
        <v>0</v>
      </c>
      <c r="BY362" s="997">
        <f>SUMIF(LUG!$BA$5:$BG$5,BY$177,LUG!$BA8:$BG8)</f>
        <v>0</v>
      </c>
      <c r="CB362" s="252"/>
      <c r="CC362" s="61" t="e">
        <f t="shared" si="70"/>
        <v>#N/A</v>
      </c>
      <c r="CD362" s="61">
        <f t="shared" si="71"/>
        <v>0</v>
      </c>
      <c r="CE362" s="105" t="str">
        <f t="shared" si="64"/>
        <v/>
      </c>
      <c r="CF362" s="61" t="e">
        <f t="shared" si="72"/>
        <v>#N/A</v>
      </c>
      <c r="CG362" s="61" t="e">
        <f t="shared" si="73"/>
        <v>#N/A</v>
      </c>
      <c r="CH362" s="523">
        <f>LUG!AL8-CW362+CR362</f>
        <v>0</v>
      </c>
      <c r="CI362" s="228">
        <f>SUMIF(LUG!$G$121:$M$121,CI$178,LUG!$AM8:$AS8)+SUMIF($CS$178:$CV$178,CI$178,$CS362:$CV362)</f>
        <v>0</v>
      </c>
      <c r="CJ362" s="229">
        <f>SUMIF(LUG!$G$121:$M$121,CJ$178,LUG!$AM8:$AS8)+SUMIF($CS$178:$CV$178,CJ$178,$CS362:$CV362)</f>
        <v>0</v>
      </c>
      <c r="CK362" s="230">
        <f>SUMIF(LUG!$G$121:$M$121,CK$178,LUG!$AM8:$AS8)+SUMIF($CS$178:$CV$178,CK$178,$CS362:$CV362)</f>
        <v>0</v>
      </c>
      <c r="CL362" s="230">
        <f>SUMIF(LUG!$G$121:$M$121,CL$178,LUG!$AM8:$AS8)+SUMIF($CS$178:$CV$178,CL$178,$CS362:$CV362)</f>
        <v>0</v>
      </c>
      <c r="CM362" s="230">
        <f>SUMIF(LUG!$G$121:$M$121,CM$178,LUG!$AM8:$AS8)+SUMIF($CS$178:$CV$178,CM$178,$CS362:$CV362)</f>
        <v>0</v>
      </c>
      <c r="CN362" s="230">
        <f>SUMIF(LUG!$G$121:$M$121,CN$178,LUG!$AM8:$AS8)+SUMIF($CS$178:$CV$178,CN$178,$CS362:$CV362)</f>
        <v>0</v>
      </c>
      <c r="CO362" s="230">
        <f>SUMIF(LUG!$G$121:$M$121,CO$178,LUG!$AM8:$AS8)+SUMIF($CS$178:$CV$178,CO$178,$CS362:$CV362)</f>
        <v>0</v>
      </c>
      <c r="CP362" s="230">
        <f>SUMIF(LUG!$G$121:$M$121,CP$178,LUG!$AM8:$AS8)+SUMIF($CS$178:$CV$178,CP$178,$CS362:$CV362)</f>
        <v>0</v>
      </c>
      <c r="CQ362" s="231">
        <f>SUMIF(LUG!$G$121:$M$121,CQ$178,LUG!$AM8:$AS8)+SUMIF($CS$178:$CV$178,CQ$178,$CS362:$CV362)</f>
        <v>0</v>
      </c>
      <c r="CR362" s="523">
        <f>LUG!AU8</f>
        <v>0</v>
      </c>
      <c r="CS362" s="228">
        <f>LUG!AV8</f>
        <v>0</v>
      </c>
      <c r="CT362" s="229">
        <f>LUG!AW8</f>
        <v>0</v>
      </c>
      <c r="CU362" s="230">
        <f>LUG!AX8</f>
        <v>0</v>
      </c>
      <c r="CV362" s="231">
        <f>LUG!AY8</f>
        <v>0</v>
      </c>
      <c r="CW362" s="523">
        <f>SUM(LUG!AU8:AY8)</f>
        <v>0</v>
      </c>
      <c r="CX362" s="523">
        <f>LUG!AK8</f>
        <v>0</v>
      </c>
      <c r="CY362" s="2"/>
    </row>
    <row r="363" spans="1:103" ht="14.25" hidden="1" customHeight="1" x14ac:dyDescent="0.2">
      <c r="A363" s="2"/>
      <c r="B363" s="105">
        <f t="shared" si="74"/>
        <v>45475</v>
      </c>
      <c r="C363" s="146">
        <f>IF(AND(E363&gt;(N$557-1),E363&lt;(R$557+1)),W$551,IF(ISERROR(HLOOKUP(E363,$N$550:$U$550,1,FALSE)),HLOOKUP(WEEKDAY(E363,2),IMPOSTAZIONI!$C$52:$P$57,6,FALSE),$W$550))</f>
        <v>0</v>
      </c>
      <c r="D363" s="71" t="str">
        <f t="shared" si="75"/>
        <v/>
      </c>
      <c r="E363" s="2258">
        <f t="shared" si="80"/>
        <v>45475</v>
      </c>
      <c r="F363" s="2259"/>
      <c r="G363" s="2228" t="str">
        <f>LUG!E9</f>
        <v xml:space="preserve">disattivato  </v>
      </c>
      <c r="H363" s="2229"/>
      <c r="I363" s="2230"/>
      <c r="J363" s="262" t="str">
        <f t="shared" si="65"/>
        <v/>
      </c>
      <c r="K363" s="263"/>
      <c r="L363" s="2217">
        <f t="shared" si="81"/>
        <v>27</v>
      </c>
      <c r="M363" s="2218"/>
      <c r="N363" s="261"/>
      <c r="O363" s="261"/>
      <c r="P363" s="261"/>
      <c r="Q363" s="2219">
        <f t="shared" si="76"/>
        <v>45475</v>
      </c>
      <c r="R363" s="2219"/>
      <c r="S363" s="261"/>
      <c r="T363" s="1173">
        <f t="shared" si="66"/>
        <v>1</v>
      </c>
      <c r="U363" s="261"/>
      <c r="V363" s="261"/>
      <c r="W363" s="261"/>
      <c r="X363" s="261"/>
      <c r="Y363" s="261"/>
      <c r="Z363" s="261"/>
      <c r="AA363" s="261"/>
      <c r="AB363" s="261"/>
      <c r="AC363" s="261"/>
      <c r="AD363" s="261"/>
      <c r="AE363" s="261"/>
      <c r="AF363" s="261"/>
      <c r="AG363" s="1173">
        <f t="shared" si="77"/>
        <v>0</v>
      </c>
      <c r="AH363" s="61" t="str">
        <f t="shared" si="78"/>
        <v/>
      </c>
      <c r="AI363" s="89" t="e">
        <f t="shared" si="79"/>
        <v>#N/A</v>
      </c>
      <c r="AJ363" s="2"/>
      <c r="AK363" s="61">
        <f>IF(G363=G$547,0,IF(OR(G363&lt;&gt;0,CH363&lt;&gt;0,C363="L"),COUNTIF(AK$180:AK362,"&gt;0")+1,0))</f>
        <v>0</v>
      </c>
      <c r="AL363" s="61" t="str">
        <f t="shared" si="67"/>
        <v/>
      </c>
      <c r="AM363" s="61" t="e">
        <f t="shared" si="68"/>
        <v>#N/A</v>
      </c>
      <c r="AN363" s="89" t="e">
        <f t="shared" si="69"/>
        <v>#N/A</v>
      </c>
      <c r="AO363" s="230">
        <f>SUM(LUG!X9:AD9)-BD363+AY363</f>
        <v>0</v>
      </c>
      <c r="AP363" s="228">
        <f>SUMIF(LUG!$G$121:$M$121,AP$178,LUG!$P9:$V9)+SUMIF($AZ$178:$BC$178,AP$178,$AZ363:$BC363)</f>
        <v>0</v>
      </c>
      <c r="AQ363" s="229">
        <f>SUMIF(LUG!$G$121:$M$121,AQ$178,LUG!$P9:$V9)+SUMIF($AZ$178:$BC$178,AQ$178,$AZ363:$BC363)</f>
        <v>0</v>
      </c>
      <c r="AR363" s="230">
        <f>SUMIF(LUG!$G$121:$M$121,AR$178,LUG!$P9:$V9)+SUMIF($AZ$178:$BC$178,AR$178,$AZ363:$BC363)</f>
        <v>0</v>
      </c>
      <c r="AS363" s="230">
        <f>SUMIF(LUG!$G$121:$M$121,AS$178,LUG!$P9:$V9)+SUMIF($AZ$178:$BC$178,AS$178,$AZ363:$BC363)</f>
        <v>0</v>
      </c>
      <c r="AT363" s="230">
        <f>SUMIF(LUG!$G$121:$M$121,AT$178,LUG!$P9:$V9)+SUMIF($AZ$178:$BC$178,AT$178,$AZ363:$BC363)</f>
        <v>0</v>
      </c>
      <c r="AU363" s="230">
        <f>SUMIF(LUG!$G$121:$M$121,AU$178,LUG!$P9:$V9)+SUMIF($AZ$178:$BC$178,AU$178,$AZ363:$BC363)</f>
        <v>0</v>
      </c>
      <c r="AV363" s="230">
        <f>SUMIF(LUG!$G$121:$M$121,AV$178,LUG!$P9:$V9)+SUMIF($AZ$178:$BC$178,AV$178,$AZ363:$BC363)</f>
        <v>0</v>
      </c>
      <c r="AW363" s="230">
        <f>SUMIF(LUG!$G$121:$M$121,AW$178,LUG!$P9:$V9)+SUMIF($AZ$178:$BC$178,AW$178,$AZ363:$BC363)</f>
        <v>0</v>
      </c>
      <c r="AX363" s="231">
        <f>SUMIF(LUG!$G$121:$M$121,AX$178,LUG!$P9:$V9)+SUMIF($AZ$178:$BC$178,AX$178,$AZ363:$BC363)</f>
        <v>0</v>
      </c>
      <c r="AY363" s="232">
        <f>LUG!AF9</f>
        <v>0</v>
      </c>
      <c r="AZ363" s="228">
        <f>LUG!AG9</f>
        <v>0</v>
      </c>
      <c r="BA363" s="229">
        <f>LUG!AH9</f>
        <v>0</v>
      </c>
      <c r="BB363" s="230">
        <f>LUG!AI9</f>
        <v>0</v>
      </c>
      <c r="BC363" s="231">
        <f>LUG!AJ9</f>
        <v>0</v>
      </c>
      <c r="BD363" s="228">
        <f>SUMIF(LUG!$G$120:$M$120,"&gt;0",LUG!$X9:$AD9)</f>
        <v>0</v>
      </c>
      <c r="BE363" s="696"/>
      <c r="BF363" s="228">
        <f>SUMIF(LUG!$BA$6:$BG$6,BF$177,LUG!$BA9:$BG9)</f>
        <v>0</v>
      </c>
      <c r="BG363" s="229">
        <f>SUMIF(LUG!$BA$6:$BG$6,BG$177,LUG!$BA9:$BG9)</f>
        <v>0</v>
      </c>
      <c r="BH363" s="229">
        <f>SUMIF(LUG!$BA$6:$BG$6,BH$177,LUG!$BA9:$BG9)</f>
        <v>0</v>
      </c>
      <c r="BI363" s="229">
        <f>SUMIF(LUG!$BA$6:$BG$6,BI$177,LUG!$BA9:$BG9)</f>
        <v>0</v>
      </c>
      <c r="BJ363" s="229">
        <f>SUMIF(LUG!$BA$6:$BG$6,BJ$177,LUG!$BA9:$BG9)</f>
        <v>0</v>
      </c>
      <c r="BK363" s="229">
        <f>SUMIF(LUG!$BA$6:$BG$6,BK$177,LUG!$BA9:$BG9)</f>
        <v>0</v>
      </c>
      <c r="BL363" s="229">
        <f>SUMIF(LUG!$BA$6:$BG$6,BL$177,LUG!$BA9:$BG9)</f>
        <v>0</v>
      </c>
      <c r="BM363" s="229">
        <f>SUMIF(LUG!$BA$6:$BG$6,BM$177,LUG!$BA9:$BG9)</f>
        <v>0</v>
      </c>
      <c r="BN363" s="229">
        <f>SUMIF(LUG!$BA$6:$BG$6,BN$177,LUG!$BA9:$BG9)</f>
        <v>0</v>
      </c>
      <c r="BO363" s="231">
        <f>SUMIF(LUG!$BA$6:$BG$6,BO$177,LUG!$BA9:$BG9)</f>
        <v>0</v>
      </c>
      <c r="BP363" s="231">
        <f>SUMIF(LUG!$BA$6:$BG$6,BP$177,LUG!$BA9:$BG9)</f>
        <v>0</v>
      </c>
      <c r="BQ363" s="252"/>
      <c r="BR363" s="228">
        <f>SUMIF(LUG!$BA$5:$BG$5,BR$177,LUG!$BA9:$BG9)</f>
        <v>0</v>
      </c>
      <c r="BS363" s="229">
        <f>SUMIF(LUG!$BA$5:$BG$5,BS$177,LUG!$BA9:$BG9)</f>
        <v>0</v>
      </c>
      <c r="BT363" s="229">
        <f>SUMIF(LUG!$BA$5:$BG$5,BT$177,LUG!$BA9:$BG9)</f>
        <v>0</v>
      </c>
      <c r="BU363" s="229">
        <f>SUMIF(LUG!$BA$5:$BG$5,BU$177,LUG!$BA9:$BG9)</f>
        <v>0</v>
      </c>
      <c r="BV363" s="229">
        <f>SUMIF(LUG!$BA$5:$BG$5,BV$177,LUG!$BA9:$BG9)</f>
        <v>0</v>
      </c>
      <c r="BW363" s="229">
        <f>SUMIF(LUG!$BA$5:$BG$5,BW$177,LUG!$BA9:$BG9)</f>
        <v>0</v>
      </c>
      <c r="BX363" s="230">
        <f>SUMIF(LUG!$BA$5:$BG$5,BX$177,LUG!$BA9:$BG9)</f>
        <v>0</v>
      </c>
      <c r="BY363" s="998">
        <f>SUMIF(LUG!$BA$5:$BG$5,BY$177,LUG!$BA9:$BG9)</f>
        <v>0</v>
      </c>
      <c r="CB363" s="252"/>
      <c r="CC363" s="61" t="e">
        <f t="shared" si="70"/>
        <v>#N/A</v>
      </c>
      <c r="CD363" s="61">
        <f t="shared" si="71"/>
        <v>0</v>
      </c>
      <c r="CE363" s="105" t="str">
        <f t="shared" si="64"/>
        <v/>
      </c>
      <c r="CF363" s="61" t="e">
        <f t="shared" si="72"/>
        <v>#N/A</v>
      </c>
      <c r="CG363" s="61" t="e">
        <f t="shared" si="73"/>
        <v>#N/A</v>
      </c>
      <c r="CH363" s="521">
        <f>LUG!AL9-CW363+CR363</f>
        <v>0</v>
      </c>
      <c r="CI363" s="228">
        <f>SUMIF(LUG!$G$121:$M$121,CI$178,LUG!$AM9:$AS9)+SUMIF($CS$178:$CV$178,CI$178,$CS363:$CV363)</f>
        <v>0</v>
      </c>
      <c r="CJ363" s="229">
        <f>SUMIF(LUG!$G$121:$M$121,CJ$178,LUG!$AM9:$AS9)+SUMIF($CS$178:$CV$178,CJ$178,$CS363:$CV363)</f>
        <v>0</v>
      </c>
      <c r="CK363" s="230">
        <f>SUMIF(LUG!$G$121:$M$121,CK$178,LUG!$AM9:$AS9)+SUMIF($CS$178:$CV$178,CK$178,$CS363:$CV363)</f>
        <v>0</v>
      </c>
      <c r="CL363" s="230">
        <f>SUMIF(LUG!$G$121:$M$121,CL$178,LUG!$AM9:$AS9)+SUMIF($CS$178:$CV$178,CL$178,$CS363:$CV363)</f>
        <v>0</v>
      </c>
      <c r="CM363" s="230">
        <f>SUMIF(LUG!$G$121:$M$121,CM$178,LUG!$AM9:$AS9)+SUMIF($CS$178:$CV$178,CM$178,$CS363:$CV363)</f>
        <v>0</v>
      </c>
      <c r="CN363" s="230">
        <f>SUMIF(LUG!$G$121:$M$121,CN$178,LUG!$AM9:$AS9)+SUMIF($CS$178:$CV$178,CN$178,$CS363:$CV363)</f>
        <v>0</v>
      </c>
      <c r="CO363" s="230">
        <f>SUMIF(LUG!$G$121:$M$121,CO$178,LUG!$AM9:$AS9)+SUMIF($CS$178:$CV$178,CO$178,$CS363:$CV363)</f>
        <v>0</v>
      </c>
      <c r="CP363" s="230">
        <f>SUMIF(LUG!$G$121:$M$121,CP$178,LUG!$AM9:$AS9)+SUMIF($CS$178:$CV$178,CP$178,$CS363:$CV363)</f>
        <v>0</v>
      </c>
      <c r="CQ363" s="231">
        <f>SUMIF(LUG!$G$121:$M$121,CQ$178,LUG!$AM9:$AS9)+SUMIF($CS$178:$CV$178,CQ$178,$CS363:$CV363)</f>
        <v>0</v>
      </c>
      <c r="CR363" s="521">
        <f>LUG!AU9</f>
        <v>0</v>
      </c>
      <c r="CS363" s="228">
        <f>LUG!AV9</f>
        <v>0</v>
      </c>
      <c r="CT363" s="229">
        <f>LUG!AW9</f>
        <v>0</v>
      </c>
      <c r="CU363" s="230">
        <f>LUG!AX9</f>
        <v>0</v>
      </c>
      <c r="CV363" s="231">
        <f>LUG!AY9</f>
        <v>0</v>
      </c>
      <c r="CW363" s="521">
        <f>SUM(LUG!AU9:AY9)</f>
        <v>0</v>
      </c>
      <c r="CX363" s="521">
        <f>LUG!AK9</f>
        <v>0</v>
      </c>
      <c r="CY363" s="2"/>
    </row>
    <row r="364" spans="1:103" ht="14.25" hidden="1" customHeight="1" x14ac:dyDescent="0.2">
      <c r="A364" s="2"/>
      <c r="B364" s="105">
        <f t="shared" si="74"/>
        <v>45476</v>
      </c>
      <c r="C364" s="146">
        <f>IF(AND(E364&gt;(N$557-1),E364&lt;(R$557+1)),W$551,IF(ISERROR(HLOOKUP(E364,$N$550:$U$550,1,FALSE)),HLOOKUP(WEEKDAY(E364,2),IMPOSTAZIONI!$C$52:$P$57,6,FALSE),$W$550))</f>
        <v>0</v>
      </c>
      <c r="D364" s="71" t="str">
        <f t="shared" si="75"/>
        <v/>
      </c>
      <c r="E364" s="2258">
        <f t="shared" si="80"/>
        <v>45476</v>
      </c>
      <c r="F364" s="2259"/>
      <c r="G364" s="2228" t="str">
        <f>LUG!E10</f>
        <v xml:space="preserve">disattivato  </v>
      </c>
      <c r="H364" s="2229"/>
      <c r="I364" s="2230"/>
      <c r="J364" s="262" t="str">
        <f t="shared" si="65"/>
        <v/>
      </c>
      <c r="K364" s="263"/>
      <c r="L364" s="2217">
        <f t="shared" si="81"/>
        <v>27</v>
      </c>
      <c r="M364" s="2218"/>
      <c r="N364" s="261"/>
      <c r="O364" s="261"/>
      <c r="P364" s="261"/>
      <c r="Q364" s="2219">
        <f t="shared" si="76"/>
        <v>45476</v>
      </c>
      <c r="R364" s="2219"/>
      <c r="S364" s="261"/>
      <c r="T364" s="1173">
        <f t="shared" si="66"/>
        <v>1</v>
      </c>
      <c r="U364" s="261"/>
      <c r="V364" s="261"/>
      <c r="W364" s="261"/>
      <c r="X364" s="261"/>
      <c r="Y364" s="261"/>
      <c r="Z364" s="261"/>
      <c r="AA364" s="261"/>
      <c r="AB364" s="261"/>
      <c r="AC364" s="261"/>
      <c r="AD364" s="261"/>
      <c r="AE364" s="261"/>
      <c r="AF364" s="261"/>
      <c r="AG364" s="1173">
        <f t="shared" si="77"/>
        <v>0</v>
      </c>
      <c r="AH364" s="61" t="str">
        <f t="shared" si="78"/>
        <v/>
      </c>
      <c r="AI364" s="89" t="e">
        <f t="shared" si="79"/>
        <v>#N/A</v>
      </c>
      <c r="AJ364" s="2"/>
      <c r="AK364" s="61">
        <f>IF(G364=G$547,0,IF(OR(G364&lt;&gt;0,CH364&lt;&gt;0,C364="L"),COUNTIF(AK$180:AK363,"&gt;0")+1,0))</f>
        <v>0</v>
      </c>
      <c r="AL364" s="61" t="str">
        <f t="shared" si="67"/>
        <v/>
      </c>
      <c r="AM364" s="61" t="e">
        <f t="shared" si="68"/>
        <v>#N/A</v>
      </c>
      <c r="AN364" s="89" t="e">
        <f t="shared" si="69"/>
        <v>#N/A</v>
      </c>
      <c r="AO364" s="230">
        <f>SUM(LUG!X10:AD10)-BD364+AY364</f>
        <v>0</v>
      </c>
      <c r="AP364" s="228">
        <f>SUMIF(LUG!$G$121:$M$121,AP$178,LUG!$P10:$V10)+SUMIF($AZ$178:$BC$178,AP$178,$AZ364:$BC364)</f>
        <v>0</v>
      </c>
      <c r="AQ364" s="229">
        <f>SUMIF(LUG!$G$121:$M$121,AQ$178,LUG!$P10:$V10)+SUMIF($AZ$178:$BC$178,AQ$178,$AZ364:$BC364)</f>
        <v>0</v>
      </c>
      <c r="AR364" s="230">
        <f>SUMIF(LUG!$G$121:$M$121,AR$178,LUG!$P10:$V10)+SUMIF($AZ$178:$BC$178,AR$178,$AZ364:$BC364)</f>
        <v>0</v>
      </c>
      <c r="AS364" s="230">
        <f>SUMIF(LUG!$G$121:$M$121,AS$178,LUG!$P10:$V10)+SUMIF($AZ$178:$BC$178,AS$178,$AZ364:$BC364)</f>
        <v>0</v>
      </c>
      <c r="AT364" s="230">
        <f>SUMIF(LUG!$G$121:$M$121,AT$178,LUG!$P10:$V10)+SUMIF($AZ$178:$BC$178,AT$178,$AZ364:$BC364)</f>
        <v>0</v>
      </c>
      <c r="AU364" s="230">
        <f>SUMIF(LUG!$G$121:$M$121,AU$178,LUG!$P10:$V10)+SUMIF($AZ$178:$BC$178,AU$178,$AZ364:$BC364)</f>
        <v>0</v>
      </c>
      <c r="AV364" s="230">
        <f>SUMIF(LUG!$G$121:$M$121,AV$178,LUG!$P10:$V10)+SUMIF($AZ$178:$BC$178,AV$178,$AZ364:$BC364)</f>
        <v>0</v>
      </c>
      <c r="AW364" s="230">
        <f>SUMIF(LUG!$G$121:$M$121,AW$178,LUG!$P10:$V10)+SUMIF($AZ$178:$BC$178,AW$178,$AZ364:$BC364)</f>
        <v>0</v>
      </c>
      <c r="AX364" s="231">
        <f>SUMIF(LUG!$G$121:$M$121,AX$178,LUG!$P10:$V10)+SUMIF($AZ$178:$BC$178,AX$178,$AZ364:$BC364)</f>
        <v>0</v>
      </c>
      <c r="AY364" s="232">
        <f>LUG!AF10</f>
        <v>0</v>
      </c>
      <c r="AZ364" s="228">
        <f>LUG!AG10</f>
        <v>0</v>
      </c>
      <c r="BA364" s="229">
        <f>LUG!AH10</f>
        <v>0</v>
      </c>
      <c r="BB364" s="230">
        <f>LUG!AI10</f>
        <v>0</v>
      </c>
      <c r="BC364" s="231">
        <f>LUG!AJ10</f>
        <v>0</v>
      </c>
      <c r="BD364" s="228">
        <f>SUMIF(LUG!$G$120:$M$120,"&gt;0",LUG!$X10:$AD10)</f>
        <v>0</v>
      </c>
      <c r="BE364" s="696"/>
      <c r="BF364" s="228">
        <f>SUMIF(LUG!$BA$6:$BG$6,BF$177,LUG!$BA10:$BG10)</f>
        <v>0</v>
      </c>
      <c r="BG364" s="229">
        <f>SUMIF(LUG!$BA$6:$BG$6,BG$177,LUG!$BA10:$BG10)</f>
        <v>0</v>
      </c>
      <c r="BH364" s="229">
        <f>SUMIF(LUG!$BA$6:$BG$6,BH$177,LUG!$BA10:$BG10)</f>
        <v>0</v>
      </c>
      <c r="BI364" s="229">
        <f>SUMIF(LUG!$BA$6:$BG$6,BI$177,LUG!$BA10:$BG10)</f>
        <v>0</v>
      </c>
      <c r="BJ364" s="229">
        <f>SUMIF(LUG!$BA$6:$BG$6,BJ$177,LUG!$BA10:$BG10)</f>
        <v>0</v>
      </c>
      <c r="BK364" s="229">
        <f>SUMIF(LUG!$BA$6:$BG$6,BK$177,LUG!$BA10:$BG10)</f>
        <v>0</v>
      </c>
      <c r="BL364" s="229">
        <f>SUMIF(LUG!$BA$6:$BG$6,BL$177,LUG!$BA10:$BG10)</f>
        <v>0</v>
      </c>
      <c r="BM364" s="229">
        <f>SUMIF(LUG!$BA$6:$BG$6,BM$177,LUG!$BA10:$BG10)</f>
        <v>0</v>
      </c>
      <c r="BN364" s="229">
        <f>SUMIF(LUG!$BA$6:$BG$6,BN$177,LUG!$BA10:$BG10)</f>
        <v>0</v>
      </c>
      <c r="BO364" s="231">
        <f>SUMIF(LUG!$BA$6:$BG$6,BO$177,LUG!$BA10:$BG10)</f>
        <v>0</v>
      </c>
      <c r="BP364" s="231">
        <f>SUMIF(LUG!$BA$6:$BG$6,BP$177,LUG!$BA10:$BG10)</f>
        <v>0</v>
      </c>
      <c r="BQ364" s="252"/>
      <c r="BR364" s="228">
        <f>SUMIF(LUG!$BA$5:$BG$5,BR$177,LUG!$BA10:$BG10)</f>
        <v>0</v>
      </c>
      <c r="BS364" s="229">
        <f>SUMIF(LUG!$BA$5:$BG$5,BS$177,LUG!$BA10:$BG10)</f>
        <v>0</v>
      </c>
      <c r="BT364" s="229">
        <f>SUMIF(LUG!$BA$5:$BG$5,BT$177,LUG!$BA10:$BG10)</f>
        <v>0</v>
      </c>
      <c r="BU364" s="229">
        <f>SUMIF(LUG!$BA$5:$BG$5,BU$177,LUG!$BA10:$BG10)</f>
        <v>0</v>
      </c>
      <c r="BV364" s="229">
        <f>SUMIF(LUG!$BA$5:$BG$5,BV$177,LUG!$BA10:$BG10)</f>
        <v>0</v>
      </c>
      <c r="BW364" s="229">
        <f>SUMIF(LUG!$BA$5:$BG$5,BW$177,LUG!$BA10:$BG10)</f>
        <v>0</v>
      </c>
      <c r="BX364" s="230">
        <f>SUMIF(LUG!$BA$5:$BG$5,BX$177,LUG!$BA10:$BG10)</f>
        <v>0</v>
      </c>
      <c r="BY364" s="998">
        <f>SUMIF(LUG!$BA$5:$BG$5,BY$177,LUG!$BA10:$BG10)</f>
        <v>0</v>
      </c>
      <c r="CB364" s="252"/>
      <c r="CC364" s="61" t="e">
        <f t="shared" si="70"/>
        <v>#N/A</v>
      </c>
      <c r="CD364" s="61">
        <f t="shared" si="71"/>
        <v>0</v>
      </c>
      <c r="CE364" s="105" t="str">
        <f t="shared" si="64"/>
        <v/>
      </c>
      <c r="CF364" s="61" t="e">
        <f t="shared" si="72"/>
        <v>#N/A</v>
      </c>
      <c r="CG364" s="61" t="e">
        <f t="shared" si="73"/>
        <v>#N/A</v>
      </c>
      <c r="CH364" s="521">
        <f>LUG!AL10-CW364+CR364</f>
        <v>0</v>
      </c>
      <c r="CI364" s="228">
        <f>SUMIF(LUG!$G$121:$M$121,CI$178,LUG!$AM10:$AS10)+SUMIF($CS$178:$CV$178,CI$178,$CS364:$CV364)</f>
        <v>0</v>
      </c>
      <c r="CJ364" s="229">
        <f>SUMIF(LUG!$G$121:$M$121,CJ$178,LUG!$AM10:$AS10)+SUMIF($CS$178:$CV$178,CJ$178,$CS364:$CV364)</f>
        <v>0</v>
      </c>
      <c r="CK364" s="230">
        <f>SUMIF(LUG!$G$121:$M$121,CK$178,LUG!$AM10:$AS10)+SUMIF($CS$178:$CV$178,CK$178,$CS364:$CV364)</f>
        <v>0</v>
      </c>
      <c r="CL364" s="230">
        <f>SUMIF(LUG!$G$121:$M$121,CL$178,LUG!$AM10:$AS10)+SUMIF($CS$178:$CV$178,CL$178,$CS364:$CV364)</f>
        <v>0</v>
      </c>
      <c r="CM364" s="230">
        <f>SUMIF(LUG!$G$121:$M$121,CM$178,LUG!$AM10:$AS10)+SUMIF($CS$178:$CV$178,CM$178,$CS364:$CV364)</f>
        <v>0</v>
      </c>
      <c r="CN364" s="230">
        <f>SUMIF(LUG!$G$121:$M$121,CN$178,LUG!$AM10:$AS10)+SUMIF($CS$178:$CV$178,CN$178,$CS364:$CV364)</f>
        <v>0</v>
      </c>
      <c r="CO364" s="230">
        <f>SUMIF(LUG!$G$121:$M$121,CO$178,LUG!$AM10:$AS10)+SUMIF($CS$178:$CV$178,CO$178,$CS364:$CV364)</f>
        <v>0</v>
      </c>
      <c r="CP364" s="230">
        <f>SUMIF(LUG!$G$121:$M$121,CP$178,LUG!$AM10:$AS10)+SUMIF($CS$178:$CV$178,CP$178,$CS364:$CV364)</f>
        <v>0</v>
      </c>
      <c r="CQ364" s="231">
        <f>SUMIF(LUG!$G$121:$M$121,CQ$178,LUG!$AM10:$AS10)+SUMIF($CS$178:$CV$178,CQ$178,$CS364:$CV364)</f>
        <v>0</v>
      </c>
      <c r="CR364" s="521">
        <f>LUG!AU10</f>
        <v>0</v>
      </c>
      <c r="CS364" s="228">
        <f>LUG!AV10</f>
        <v>0</v>
      </c>
      <c r="CT364" s="229">
        <f>LUG!AW10</f>
        <v>0</v>
      </c>
      <c r="CU364" s="230">
        <f>LUG!AX10</f>
        <v>0</v>
      </c>
      <c r="CV364" s="231">
        <f>LUG!AY10</f>
        <v>0</v>
      </c>
      <c r="CW364" s="521">
        <f>SUM(LUG!AU10:AY10)</f>
        <v>0</v>
      </c>
      <c r="CX364" s="521">
        <f>LUG!AK10</f>
        <v>0</v>
      </c>
      <c r="CY364" s="2"/>
    </row>
    <row r="365" spans="1:103" ht="14.25" hidden="1" customHeight="1" x14ac:dyDescent="0.2">
      <c r="A365" s="2"/>
      <c r="B365" s="105">
        <f t="shared" si="74"/>
        <v>45477</v>
      </c>
      <c r="C365" s="146">
        <f>IF(AND(E365&gt;(N$557-1),E365&lt;(R$557+1)),W$551,IF(ISERROR(HLOOKUP(E365,$N$550:$U$550,1,FALSE)),HLOOKUP(WEEKDAY(E365,2),IMPOSTAZIONI!$C$52:$P$57,6,FALSE),$W$550))</f>
        <v>0</v>
      </c>
      <c r="D365" s="71" t="str">
        <f t="shared" si="75"/>
        <v/>
      </c>
      <c r="E365" s="2258">
        <f t="shared" si="80"/>
        <v>45477</v>
      </c>
      <c r="F365" s="2259"/>
      <c r="G365" s="2228" t="str">
        <f>LUG!E11</f>
        <v xml:space="preserve">disattivato  </v>
      </c>
      <c r="H365" s="2229"/>
      <c r="I365" s="2230"/>
      <c r="J365" s="262" t="str">
        <f t="shared" si="65"/>
        <v/>
      </c>
      <c r="K365" s="263"/>
      <c r="L365" s="2217">
        <f t="shared" si="81"/>
        <v>27</v>
      </c>
      <c r="M365" s="2218"/>
      <c r="N365" s="261"/>
      <c r="O365" s="261"/>
      <c r="P365" s="261"/>
      <c r="Q365" s="2219">
        <f t="shared" si="76"/>
        <v>45477</v>
      </c>
      <c r="R365" s="2219"/>
      <c r="S365" s="261"/>
      <c r="T365" s="1173">
        <f t="shared" si="66"/>
        <v>1</v>
      </c>
      <c r="U365" s="261"/>
      <c r="V365" s="261"/>
      <c r="W365" s="261"/>
      <c r="X365" s="261"/>
      <c r="Y365" s="261"/>
      <c r="Z365" s="261"/>
      <c r="AA365" s="261"/>
      <c r="AB365" s="261"/>
      <c r="AC365" s="261"/>
      <c r="AD365" s="261"/>
      <c r="AE365" s="261"/>
      <c r="AF365" s="261"/>
      <c r="AG365" s="1173">
        <f t="shared" si="77"/>
        <v>0</v>
      </c>
      <c r="AH365" s="61" t="str">
        <f t="shared" si="78"/>
        <v/>
      </c>
      <c r="AI365" s="89" t="e">
        <f t="shared" si="79"/>
        <v>#N/A</v>
      </c>
      <c r="AJ365" s="2"/>
      <c r="AK365" s="61">
        <f>IF(G365=G$547,0,IF(OR(G365&lt;&gt;0,CH365&lt;&gt;0,C365="L"),COUNTIF(AK$180:AK364,"&gt;0")+1,0))</f>
        <v>0</v>
      </c>
      <c r="AL365" s="61" t="str">
        <f t="shared" si="67"/>
        <v/>
      </c>
      <c r="AM365" s="61" t="e">
        <f t="shared" si="68"/>
        <v>#N/A</v>
      </c>
      <c r="AN365" s="89" t="e">
        <f t="shared" si="69"/>
        <v>#N/A</v>
      </c>
      <c r="AO365" s="230">
        <f>SUM(LUG!X11:AD11)-BD365+AY365</f>
        <v>0</v>
      </c>
      <c r="AP365" s="228">
        <f>SUMIF(LUG!$G$121:$M$121,AP$178,LUG!$P11:$V11)+SUMIF($AZ$178:$BC$178,AP$178,$AZ365:$BC365)</f>
        <v>0</v>
      </c>
      <c r="AQ365" s="229">
        <f>SUMIF(LUG!$G$121:$M$121,AQ$178,LUG!$P11:$V11)+SUMIF($AZ$178:$BC$178,AQ$178,$AZ365:$BC365)</f>
        <v>0</v>
      </c>
      <c r="AR365" s="230">
        <f>SUMIF(LUG!$G$121:$M$121,AR$178,LUG!$P11:$V11)+SUMIF($AZ$178:$BC$178,AR$178,$AZ365:$BC365)</f>
        <v>0</v>
      </c>
      <c r="AS365" s="230">
        <f>SUMIF(LUG!$G$121:$M$121,AS$178,LUG!$P11:$V11)+SUMIF($AZ$178:$BC$178,AS$178,$AZ365:$BC365)</f>
        <v>0</v>
      </c>
      <c r="AT365" s="230">
        <f>SUMIF(LUG!$G$121:$M$121,AT$178,LUG!$P11:$V11)+SUMIF($AZ$178:$BC$178,AT$178,$AZ365:$BC365)</f>
        <v>0</v>
      </c>
      <c r="AU365" s="230">
        <f>SUMIF(LUG!$G$121:$M$121,AU$178,LUG!$P11:$V11)+SUMIF($AZ$178:$BC$178,AU$178,$AZ365:$BC365)</f>
        <v>0</v>
      </c>
      <c r="AV365" s="230">
        <f>SUMIF(LUG!$G$121:$M$121,AV$178,LUG!$P11:$V11)+SUMIF($AZ$178:$BC$178,AV$178,$AZ365:$BC365)</f>
        <v>0</v>
      </c>
      <c r="AW365" s="230">
        <f>SUMIF(LUG!$G$121:$M$121,AW$178,LUG!$P11:$V11)+SUMIF($AZ$178:$BC$178,AW$178,$AZ365:$BC365)</f>
        <v>0</v>
      </c>
      <c r="AX365" s="231">
        <f>SUMIF(LUG!$G$121:$M$121,AX$178,LUG!$P11:$V11)+SUMIF($AZ$178:$BC$178,AX$178,$AZ365:$BC365)</f>
        <v>0</v>
      </c>
      <c r="AY365" s="232">
        <f>LUG!AF11</f>
        <v>0</v>
      </c>
      <c r="AZ365" s="228">
        <f>LUG!AG11</f>
        <v>0</v>
      </c>
      <c r="BA365" s="229">
        <f>LUG!AH11</f>
        <v>0</v>
      </c>
      <c r="BB365" s="230">
        <f>LUG!AI11</f>
        <v>0</v>
      </c>
      <c r="BC365" s="231">
        <f>LUG!AJ11</f>
        <v>0</v>
      </c>
      <c r="BD365" s="228">
        <f>SUMIF(LUG!$G$120:$M$120,"&gt;0",LUG!$X11:$AD11)</f>
        <v>0</v>
      </c>
      <c r="BE365" s="696"/>
      <c r="BF365" s="228">
        <f>SUMIF(LUG!$BA$6:$BG$6,BF$177,LUG!$BA11:$BG11)</f>
        <v>0</v>
      </c>
      <c r="BG365" s="229">
        <f>SUMIF(LUG!$BA$6:$BG$6,BG$177,LUG!$BA11:$BG11)</f>
        <v>0</v>
      </c>
      <c r="BH365" s="229">
        <f>SUMIF(LUG!$BA$6:$BG$6,BH$177,LUG!$BA11:$BG11)</f>
        <v>0</v>
      </c>
      <c r="BI365" s="229">
        <f>SUMIF(LUG!$BA$6:$BG$6,BI$177,LUG!$BA11:$BG11)</f>
        <v>0</v>
      </c>
      <c r="BJ365" s="229">
        <f>SUMIF(LUG!$BA$6:$BG$6,BJ$177,LUG!$BA11:$BG11)</f>
        <v>0</v>
      </c>
      <c r="BK365" s="229">
        <f>SUMIF(LUG!$BA$6:$BG$6,BK$177,LUG!$BA11:$BG11)</f>
        <v>0</v>
      </c>
      <c r="BL365" s="229">
        <f>SUMIF(LUG!$BA$6:$BG$6,BL$177,LUG!$BA11:$BG11)</f>
        <v>0</v>
      </c>
      <c r="BM365" s="229">
        <f>SUMIF(LUG!$BA$6:$BG$6,BM$177,LUG!$BA11:$BG11)</f>
        <v>0</v>
      </c>
      <c r="BN365" s="229">
        <f>SUMIF(LUG!$BA$6:$BG$6,BN$177,LUG!$BA11:$BG11)</f>
        <v>0</v>
      </c>
      <c r="BO365" s="231">
        <f>SUMIF(LUG!$BA$6:$BG$6,BO$177,LUG!$BA11:$BG11)</f>
        <v>0</v>
      </c>
      <c r="BP365" s="231">
        <f>SUMIF(LUG!$BA$6:$BG$6,BP$177,LUG!$BA11:$BG11)</f>
        <v>0</v>
      </c>
      <c r="BQ365" s="252"/>
      <c r="BR365" s="228">
        <f>SUMIF(LUG!$BA$5:$BG$5,BR$177,LUG!$BA11:$BG11)</f>
        <v>0</v>
      </c>
      <c r="BS365" s="229">
        <f>SUMIF(LUG!$BA$5:$BG$5,BS$177,LUG!$BA11:$BG11)</f>
        <v>0</v>
      </c>
      <c r="BT365" s="229">
        <f>SUMIF(LUG!$BA$5:$BG$5,BT$177,LUG!$BA11:$BG11)</f>
        <v>0</v>
      </c>
      <c r="BU365" s="229">
        <f>SUMIF(LUG!$BA$5:$BG$5,BU$177,LUG!$BA11:$BG11)</f>
        <v>0</v>
      </c>
      <c r="BV365" s="229">
        <f>SUMIF(LUG!$BA$5:$BG$5,BV$177,LUG!$BA11:$BG11)</f>
        <v>0</v>
      </c>
      <c r="BW365" s="229">
        <f>SUMIF(LUG!$BA$5:$BG$5,BW$177,LUG!$BA11:$BG11)</f>
        <v>0</v>
      </c>
      <c r="BX365" s="230">
        <f>SUMIF(LUG!$BA$5:$BG$5,BX$177,LUG!$BA11:$BG11)</f>
        <v>0</v>
      </c>
      <c r="BY365" s="998">
        <f>SUMIF(LUG!$BA$5:$BG$5,BY$177,LUG!$BA11:$BG11)</f>
        <v>0</v>
      </c>
      <c r="CB365" s="252"/>
      <c r="CC365" s="61" t="e">
        <f t="shared" si="70"/>
        <v>#N/A</v>
      </c>
      <c r="CD365" s="61">
        <f t="shared" si="71"/>
        <v>0</v>
      </c>
      <c r="CE365" s="105" t="str">
        <f t="shared" si="64"/>
        <v/>
      </c>
      <c r="CF365" s="61" t="e">
        <f t="shared" si="72"/>
        <v>#N/A</v>
      </c>
      <c r="CG365" s="61" t="e">
        <f t="shared" si="73"/>
        <v>#N/A</v>
      </c>
      <c r="CH365" s="521">
        <f>LUG!AL11-CW365+CR365</f>
        <v>0</v>
      </c>
      <c r="CI365" s="228">
        <f>SUMIF(LUG!$G$121:$M$121,CI$178,LUG!$AM11:$AS11)+SUMIF($CS$178:$CV$178,CI$178,$CS365:$CV365)</f>
        <v>0</v>
      </c>
      <c r="CJ365" s="229">
        <f>SUMIF(LUG!$G$121:$M$121,CJ$178,LUG!$AM11:$AS11)+SUMIF($CS$178:$CV$178,CJ$178,$CS365:$CV365)</f>
        <v>0</v>
      </c>
      <c r="CK365" s="230">
        <f>SUMIF(LUG!$G$121:$M$121,CK$178,LUG!$AM11:$AS11)+SUMIF($CS$178:$CV$178,CK$178,$CS365:$CV365)</f>
        <v>0</v>
      </c>
      <c r="CL365" s="230">
        <f>SUMIF(LUG!$G$121:$M$121,CL$178,LUG!$AM11:$AS11)+SUMIF($CS$178:$CV$178,CL$178,$CS365:$CV365)</f>
        <v>0</v>
      </c>
      <c r="CM365" s="230">
        <f>SUMIF(LUG!$G$121:$M$121,CM$178,LUG!$AM11:$AS11)+SUMIF($CS$178:$CV$178,CM$178,$CS365:$CV365)</f>
        <v>0</v>
      </c>
      <c r="CN365" s="230">
        <f>SUMIF(LUG!$G$121:$M$121,CN$178,LUG!$AM11:$AS11)+SUMIF($CS$178:$CV$178,CN$178,$CS365:$CV365)</f>
        <v>0</v>
      </c>
      <c r="CO365" s="230">
        <f>SUMIF(LUG!$G$121:$M$121,CO$178,LUG!$AM11:$AS11)+SUMIF($CS$178:$CV$178,CO$178,$CS365:$CV365)</f>
        <v>0</v>
      </c>
      <c r="CP365" s="230">
        <f>SUMIF(LUG!$G$121:$M$121,CP$178,LUG!$AM11:$AS11)+SUMIF($CS$178:$CV$178,CP$178,$CS365:$CV365)</f>
        <v>0</v>
      </c>
      <c r="CQ365" s="231">
        <f>SUMIF(LUG!$G$121:$M$121,CQ$178,LUG!$AM11:$AS11)+SUMIF($CS$178:$CV$178,CQ$178,$CS365:$CV365)</f>
        <v>0</v>
      </c>
      <c r="CR365" s="521">
        <f>LUG!AU11</f>
        <v>0</v>
      </c>
      <c r="CS365" s="228">
        <f>LUG!AV11</f>
        <v>0</v>
      </c>
      <c r="CT365" s="229">
        <f>LUG!AW11</f>
        <v>0</v>
      </c>
      <c r="CU365" s="230">
        <f>LUG!AX11</f>
        <v>0</v>
      </c>
      <c r="CV365" s="231">
        <f>LUG!AY11</f>
        <v>0</v>
      </c>
      <c r="CW365" s="521">
        <f>SUM(LUG!AU11:AY11)</f>
        <v>0</v>
      </c>
      <c r="CX365" s="521">
        <f>LUG!AK11</f>
        <v>0</v>
      </c>
      <c r="CY365" s="2"/>
    </row>
    <row r="366" spans="1:103" ht="14.25" hidden="1" customHeight="1" x14ac:dyDescent="0.2">
      <c r="A366" s="2"/>
      <c r="B366" s="105">
        <f t="shared" si="74"/>
        <v>45478</v>
      </c>
      <c r="C366" s="146">
        <f>IF(AND(E366&gt;(N$557-1),E366&lt;(R$557+1)),W$551,IF(ISERROR(HLOOKUP(E366,$N$550:$U$550,1,FALSE)),HLOOKUP(WEEKDAY(E366,2),IMPOSTAZIONI!$C$52:$P$57,6,FALSE),$W$550))</f>
        <v>0</v>
      </c>
      <c r="D366" s="71" t="str">
        <f t="shared" si="75"/>
        <v/>
      </c>
      <c r="E366" s="2258">
        <f t="shared" si="80"/>
        <v>45478</v>
      </c>
      <c r="F366" s="2259"/>
      <c r="G366" s="2228" t="str">
        <f>LUG!E12</f>
        <v xml:space="preserve">disattivato  </v>
      </c>
      <c r="H366" s="2229"/>
      <c r="I366" s="2230"/>
      <c r="J366" s="262" t="str">
        <f t="shared" si="65"/>
        <v/>
      </c>
      <c r="K366" s="263"/>
      <c r="L366" s="2217">
        <f t="shared" si="81"/>
        <v>27</v>
      </c>
      <c r="M366" s="2218"/>
      <c r="N366" s="261"/>
      <c r="O366" s="261"/>
      <c r="P366" s="261"/>
      <c r="Q366" s="2219">
        <f t="shared" si="76"/>
        <v>45478</v>
      </c>
      <c r="R366" s="2219"/>
      <c r="S366" s="261"/>
      <c r="T366" s="1173">
        <f t="shared" si="66"/>
        <v>1</v>
      </c>
      <c r="U366" s="261"/>
      <c r="V366" s="261"/>
      <c r="W366" s="261"/>
      <c r="X366" s="261"/>
      <c r="Y366" s="261"/>
      <c r="Z366" s="261"/>
      <c r="AA366" s="261"/>
      <c r="AB366" s="261"/>
      <c r="AC366" s="261"/>
      <c r="AD366" s="261"/>
      <c r="AE366" s="261"/>
      <c r="AF366" s="261"/>
      <c r="AG366" s="1173">
        <f t="shared" si="77"/>
        <v>0</v>
      </c>
      <c r="AH366" s="61" t="str">
        <f t="shared" si="78"/>
        <v/>
      </c>
      <c r="AI366" s="89" t="e">
        <f t="shared" si="79"/>
        <v>#N/A</v>
      </c>
      <c r="AJ366" s="2"/>
      <c r="AK366" s="61">
        <f>IF(G366=G$547,0,IF(OR(G366&lt;&gt;0,CH366&lt;&gt;0,C366="L"),COUNTIF(AK$180:AK365,"&gt;0")+1,0))</f>
        <v>0</v>
      </c>
      <c r="AL366" s="61" t="str">
        <f t="shared" si="67"/>
        <v/>
      </c>
      <c r="AM366" s="61" t="e">
        <f t="shared" si="68"/>
        <v>#N/A</v>
      </c>
      <c r="AN366" s="89" t="e">
        <f t="shared" si="69"/>
        <v>#N/A</v>
      </c>
      <c r="AO366" s="230">
        <f>SUM(LUG!X12:AD12)-BD366+AY366</f>
        <v>0</v>
      </c>
      <c r="AP366" s="228">
        <f>SUMIF(LUG!$G$121:$M$121,AP$178,LUG!$P12:$V12)+SUMIF($AZ$178:$BC$178,AP$178,$AZ366:$BC366)</f>
        <v>0</v>
      </c>
      <c r="AQ366" s="229">
        <f>SUMIF(LUG!$G$121:$M$121,AQ$178,LUG!$P12:$V12)+SUMIF($AZ$178:$BC$178,AQ$178,$AZ366:$BC366)</f>
        <v>0</v>
      </c>
      <c r="AR366" s="230">
        <f>SUMIF(LUG!$G$121:$M$121,AR$178,LUG!$P12:$V12)+SUMIF($AZ$178:$BC$178,AR$178,$AZ366:$BC366)</f>
        <v>0</v>
      </c>
      <c r="AS366" s="230">
        <f>SUMIF(LUG!$G$121:$M$121,AS$178,LUG!$P12:$V12)+SUMIF($AZ$178:$BC$178,AS$178,$AZ366:$BC366)</f>
        <v>0</v>
      </c>
      <c r="AT366" s="230">
        <f>SUMIF(LUG!$G$121:$M$121,AT$178,LUG!$P12:$V12)+SUMIF($AZ$178:$BC$178,AT$178,$AZ366:$BC366)</f>
        <v>0</v>
      </c>
      <c r="AU366" s="230">
        <f>SUMIF(LUG!$G$121:$M$121,AU$178,LUG!$P12:$V12)+SUMIF($AZ$178:$BC$178,AU$178,$AZ366:$BC366)</f>
        <v>0</v>
      </c>
      <c r="AV366" s="230">
        <f>SUMIF(LUG!$G$121:$M$121,AV$178,LUG!$P12:$V12)+SUMIF($AZ$178:$BC$178,AV$178,$AZ366:$BC366)</f>
        <v>0</v>
      </c>
      <c r="AW366" s="230">
        <f>SUMIF(LUG!$G$121:$M$121,AW$178,LUG!$P12:$V12)+SUMIF($AZ$178:$BC$178,AW$178,$AZ366:$BC366)</f>
        <v>0</v>
      </c>
      <c r="AX366" s="231">
        <f>SUMIF(LUG!$G$121:$M$121,AX$178,LUG!$P12:$V12)+SUMIF($AZ$178:$BC$178,AX$178,$AZ366:$BC366)</f>
        <v>0</v>
      </c>
      <c r="AY366" s="232">
        <f>LUG!AF12</f>
        <v>0</v>
      </c>
      <c r="AZ366" s="228">
        <f>LUG!AG12</f>
        <v>0</v>
      </c>
      <c r="BA366" s="229">
        <f>LUG!AH12</f>
        <v>0</v>
      </c>
      <c r="BB366" s="230">
        <f>LUG!AI12</f>
        <v>0</v>
      </c>
      <c r="BC366" s="231">
        <f>LUG!AJ12</f>
        <v>0</v>
      </c>
      <c r="BD366" s="228">
        <f>SUMIF(LUG!$G$120:$M$120,"&gt;0",LUG!$X12:$AD12)</f>
        <v>0</v>
      </c>
      <c r="BE366" s="696"/>
      <c r="BF366" s="228">
        <f>SUMIF(LUG!$BA$6:$BG$6,BF$177,LUG!$BA12:$BG12)</f>
        <v>0</v>
      </c>
      <c r="BG366" s="229">
        <f>SUMIF(LUG!$BA$6:$BG$6,BG$177,LUG!$BA12:$BG12)</f>
        <v>0</v>
      </c>
      <c r="BH366" s="229">
        <f>SUMIF(LUG!$BA$6:$BG$6,BH$177,LUG!$BA12:$BG12)</f>
        <v>0</v>
      </c>
      <c r="BI366" s="229">
        <f>SUMIF(LUG!$BA$6:$BG$6,BI$177,LUG!$BA12:$BG12)</f>
        <v>0</v>
      </c>
      <c r="BJ366" s="229">
        <f>SUMIF(LUG!$BA$6:$BG$6,BJ$177,LUG!$BA12:$BG12)</f>
        <v>0</v>
      </c>
      <c r="BK366" s="229">
        <f>SUMIF(LUG!$BA$6:$BG$6,BK$177,LUG!$BA12:$BG12)</f>
        <v>0</v>
      </c>
      <c r="BL366" s="229">
        <f>SUMIF(LUG!$BA$6:$BG$6,BL$177,LUG!$BA12:$BG12)</f>
        <v>0</v>
      </c>
      <c r="BM366" s="229">
        <f>SUMIF(LUG!$BA$6:$BG$6,BM$177,LUG!$BA12:$BG12)</f>
        <v>0</v>
      </c>
      <c r="BN366" s="229">
        <f>SUMIF(LUG!$BA$6:$BG$6,BN$177,LUG!$BA12:$BG12)</f>
        <v>0</v>
      </c>
      <c r="BO366" s="231">
        <f>SUMIF(LUG!$BA$6:$BG$6,BO$177,LUG!$BA12:$BG12)</f>
        <v>0</v>
      </c>
      <c r="BP366" s="231">
        <f>SUMIF(LUG!$BA$6:$BG$6,BP$177,LUG!$BA12:$BG12)</f>
        <v>0</v>
      </c>
      <c r="BQ366" s="252"/>
      <c r="BR366" s="228">
        <f>SUMIF(LUG!$BA$5:$BG$5,BR$177,LUG!$BA12:$BG12)</f>
        <v>0</v>
      </c>
      <c r="BS366" s="229">
        <f>SUMIF(LUG!$BA$5:$BG$5,BS$177,LUG!$BA12:$BG12)</f>
        <v>0</v>
      </c>
      <c r="BT366" s="229">
        <f>SUMIF(LUG!$BA$5:$BG$5,BT$177,LUG!$BA12:$BG12)</f>
        <v>0</v>
      </c>
      <c r="BU366" s="229">
        <f>SUMIF(LUG!$BA$5:$BG$5,BU$177,LUG!$BA12:$BG12)</f>
        <v>0</v>
      </c>
      <c r="BV366" s="229">
        <f>SUMIF(LUG!$BA$5:$BG$5,BV$177,LUG!$BA12:$BG12)</f>
        <v>0</v>
      </c>
      <c r="BW366" s="229">
        <f>SUMIF(LUG!$BA$5:$BG$5,BW$177,LUG!$BA12:$BG12)</f>
        <v>0</v>
      </c>
      <c r="BX366" s="230">
        <f>SUMIF(LUG!$BA$5:$BG$5,BX$177,LUG!$BA12:$BG12)</f>
        <v>0</v>
      </c>
      <c r="BY366" s="998">
        <f>SUMIF(LUG!$BA$5:$BG$5,BY$177,LUG!$BA12:$BG12)</f>
        <v>0</v>
      </c>
      <c r="CB366" s="252"/>
      <c r="CC366" s="61" t="e">
        <f t="shared" si="70"/>
        <v>#N/A</v>
      </c>
      <c r="CD366" s="61">
        <f t="shared" si="71"/>
        <v>0</v>
      </c>
      <c r="CE366" s="105" t="str">
        <f t="shared" si="64"/>
        <v/>
      </c>
      <c r="CF366" s="61" t="e">
        <f t="shared" si="72"/>
        <v>#N/A</v>
      </c>
      <c r="CG366" s="61" t="e">
        <f t="shared" si="73"/>
        <v>#N/A</v>
      </c>
      <c r="CH366" s="521">
        <f>LUG!AL12-CW366+CR366</f>
        <v>0</v>
      </c>
      <c r="CI366" s="228">
        <f>SUMIF(LUG!$G$121:$M$121,CI$178,LUG!$AM12:$AS12)+SUMIF($CS$178:$CV$178,CI$178,$CS366:$CV366)</f>
        <v>0</v>
      </c>
      <c r="CJ366" s="229">
        <f>SUMIF(LUG!$G$121:$M$121,CJ$178,LUG!$AM12:$AS12)+SUMIF($CS$178:$CV$178,CJ$178,$CS366:$CV366)</f>
        <v>0</v>
      </c>
      <c r="CK366" s="230">
        <f>SUMIF(LUG!$G$121:$M$121,CK$178,LUG!$AM12:$AS12)+SUMIF($CS$178:$CV$178,CK$178,$CS366:$CV366)</f>
        <v>0</v>
      </c>
      <c r="CL366" s="230">
        <f>SUMIF(LUG!$G$121:$M$121,CL$178,LUG!$AM12:$AS12)+SUMIF($CS$178:$CV$178,CL$178,$CS366:$CV366)</f>
        <v>0</v>
      </c>
      <c r="CM366" s="230">
        <f>SUMIF(LUG!$G$121:$M$121,CM$178,LUG!$AM12:$AS12)+SUMIF($CS$178:$CV$178,CM$178,$CS366:$CV366)</f>
        <v>0</v>
      </c>
      <c r="CN366" s="230">
        <f>SUMIF(LUG!$G$121:$M$121,CN$178,LUG!$AM12:$AS12)+SUMIF($CS$178:$CV$178,CN$178,$CS366:$CV366)</f>
        <v>0</v>
      </c>
      <c r="CO366" s="230">
        <f>SUMIF(LUG!$G$121:$M$121,CO$178,LUG!$AM12:$AS12)+SUMIF($CS$178:$CV$178,CO$178,$CS366:$CV366)</f>
        <v>0</v>
      </c>
      <c r="CP366" s="230">
        <f>SUMIF(LUG!$G$121:$M$121,CP$178,LUG!$AM12:$AS12)+SUMIF($CS$178:$CV$178,CP$178,$CS366:$CV366)</f>
        <v>0</v>
      </c>
      <c r="CQ366" s="231">
        <f>SUMIF(LUG!$G$121:$M$121,CQ$178,LUG!$AM12:$AS12)+SUMIF($CS$178:$CV$178,CQ$178,$CS366:$CV366)</f>
        <v>0</v>
      </c>
      <c r="CR366" s="521">
        <f>LUG!AU12</f>
        <v>0</v>
      </c>
      <c r="CS366" s="228">
        <f>LUG!AV12</f>
        <v>0</v>
      </c>
      <c r="CT366" s="229">
        <f>LUG!AW12</f>
        <v>0</v>
      </c>
      <c r="CU366" s="230">
        <f>LUG!AX12</f>
        <v>0</v>
      </c>
      <c r="CV366" s="231">
        <f>LUG!AY12</f>
        <v>0</v>
      </c>
      <c r="CW366" s="521">
        <f>SUM(LUG!AU12:AY12)</f>
        <v>0</v>
      </c>
      <c r="CX366" s="521">
        <f>LUG!AK12</f>
        <v>0</v>
      </c>
      <c r="CY366" s="2"/>
    </row>
    <row r="367" spans="1:103" ht="14.25" hidden="1" customHeight="1" x14ac:dyDescent="0.2">
      <c r="A367" s="2"/>
      <c r="B367" s="105">
        <f t="shared" si="74"/>
        <v>45479</v>
      </c>
      <c r="C367" s="146">
        <f>IF(AND(E367&gt;(N$557-1),E367&lt;(R$557+1)),W$551,IF(ISERROR(HLOOKUP(E367,$N$550:$U$550,1,FALSE)),HLOOKUP(WEEKDAY(E367,2),IMPOSTAZIONI!$C$52:$P$57,6,FALSE),$W$550))</f>
        <v>0</v>
      </c>
      <c r="D367" s="71" t="str">
        <f t="shared" si="75"/>
        <v/>
      </c>
      <c r="E367" s="2258">
        <f t="shared" si="80"/>
        <v>45479</v>
      </c>
      <c r="F367" s="2259"/>
      <c r="G367" s="2228" t="str">
        <f>LUG!E13</f>
        <v xml:space="preserve">disattivato  </v>
      </c>
      <c r="H367" s="2229"/>
      <c r="I367" s="2230"/>
      <c r="J367" s="262" t="str">
        <f t="shared" si="65"/>
        <v/>
      </c>
      <c r="K367" s="263"/>
      <c r="L367" s="2217">
        <f t="shared" si="81"/>
        <v>27</v>
      </c>
      <c r="M367" s="2218"/>
      <c r="N367" s="261"/>
      <c r="O367" s="261"/>
      <c r="P367" s="261"/>
      <c r="Q367" s="2219">
        <f t="shared" si="76"/>
        <v>45479</v>
      </c>
      <c r="R367" s="2219"/>
      <c r="S367" s="261"/>
      <c r="T367" s="1173">
        <f t="shared" si="66"/>
        <v>1</v>
      </c>
      <c r="U367" s="261"/>
      <c r="V367" s="261"/>
      <c r="W367" s="261"/>
      <c r="X367" s="261"/>
      <c r="Y367" s="261"/>
      <c r="Z367" s="261"/>
      <c r="AA367" s="261"/>
      <c r="AB367" s="261"/>
      <c r="AC367" s="261"/>
      <c r="AD367" s="261"/>
      <c r="AE367" s="261"/>
      <c r="AF367" s="261"/>
      <c r="AG367" s="1173">
        <f t="shared" si="77"/>
        <v>0</v>
      </c>
      <c r="AH367" s="61" t="str">
        <f t="shared" si="78"/>
        <v/>
      </c>
      <c r="AI367" s="89" t="e">
        <f t="shared" si="79"/>
        <v>#N/A</v>
      </c>
      <c r="AJ367" s="2"/>
      <c r="AK367" s="61">
        <f>IF(G367=G$547,0,IF(OR(G367&lt;&gt;0,CH367&lt;&gt;0,C367="L"),COUNTIF(AK$180:AK366,"&gt;0")+1,0))</f>
        <v>0</v>
      </c>
      <c r="AL367" s="61" t="str">
        <f t="shared" si="67"/>
        <v/>
      </c>
      <c r="AM367" s="61" t="e">
        <f t="shared" si="68"/>
        <v>#N/A</v>
      </c>
      <c r="AN367" s="89" t="e">
        <f t="shared" si="69"/>
        <v>#N/A</v>
      </c>
      <c r="AO367" s="230">
        <f>SUM(LUG!X13:AD13)-BD367+AY367</f>
        <v>0</v>
      </c>
      <c r="AP367" s="228">
        <f>SUMIF(LUG!$G$121:$M$121,AP$178,LUG!$P13:$V13)+SUMIF($AZ$178:$BC$178,AP$178,$AZ367:$BC367)</f>
        <v>0</v>
      </c>
      <c r="AQ367" s="229">
        <f>SUMIF(LUG!$G$121:$M$121,AQ$178,LUG!$P13:$V13)+SUMIF($AZ$178:$BC$178,AQ$178,$AZ367:$BC367)</f>
        <v>0</v>
      </c>
      <c r="AR367" s="230">
        <f>SUMIF(LUG!$G$121:$M$121,AR$178,LUG!$P13:$V13)+SUMIF($AZ$178:$BC$178,AR$178,$AZ367:$BC367)</f>
        <v>0</v>
      </c>
      <c r="AS367" s="230">
        <f>SUMIF(LUG!$G$121:$M$121,AS$178,LUG!$P13:$V13)+SUMIF($AZ$178:$BC$178,AS$178,$AZ367:$BC367)</f>
        <v>0</v>
      </c>
      <c r="AT367" s="230">
        <f>SUMIF(LUG!$G$121:$M$121,AT$178,LUG!$P13:$V13)+SUMIF($AZ$178:$BC$178,AT$178,$AZ367:$BC367)</f>
        <v>0</v>
      </c>
      <c r="AU367" s="230">
        <f>SUMIF(LUG!$G$121:$M$121,AU$178,LUG!$P13:$V13)+SUMIF($AZ$178:$BC$178,AU$178,$AZ367:$BC367)</f>
        <v>0</v>
      </c>
      <c r="AV367" s="230">
        <f>SUMIF(LUG!$G$121:$M$121,AV$178,LUG!$P13:$V13)+SUMIF($AZ$178:$BC$178,AV$178,$AZ367:$BC367)</f>
        <v>0</v>
      </c>
      <c r="AW367" s="230">
        <f>SUMIF(LUG!$G$121:$M$121,AW$178,LUG!$P13:$V13)+SUMIF($AZ$178:$BC$178,AW$178,$AZ367:$BC367)</f>
        <v>0</v>
      </c>
      <c r="AX367" s="231">
        <f>SUMIF(LUG!$G$121:$M$121,AX$178,LUG!$P13:$V13)+SUMIF($AZ$178:$BC$178,AX$178,$AZ367:$BC367)</f>
        <v>0</v>
      </c>
      <c r="AY367" s="232">
        <f>LUG!AF13</f>
        <v>0</v>
      </c>
      <c r="AZ367" s="228">
        <f>LUG!AG13</f>
        <v>0</v>
      </c>
      <c r="BA367" s="229">
        <f>LUG!AH13</f>
        <v>0</v>
      </c>
      <c r="BB367" s="230">
        <f>LUG!AI13</f>
        <v>0</v>
      </c>
      <c r="BC367" s="231">
        <f>LUG!AJ13</f>
        <v>0</v>
      </c>
      <c r="BD367" s="228">
        <f>SUMIF(LUG!$G$120:$M$120,"&gt;0",LUG!$X13:$AD13)</f>
        <v>0</v>
      </c>
      <c r="BE367" s="696"/>
      <c r="BF367" s="228">
        <f>SUMIF(LUG!$BA$6:$BG$6,BF$177,LUG!$BA13:$BG13)</f>
        <v>0</v>
      </c>
      <c r="BG367" s="229">
        <f>SUMIF(LUG!$BA$6:$BG$6,BG$177,LUG!$BA13:$BG13)</f>
        <v>0</v>
      </c>
      <c r="BH367" s="229">
        <f>SUMIF(LUG!$BA$6:$BG$6,BH$177,LUG!$BA13:$BG13)</f>
        <v>0</v>
      </c>
      <c r="BI367" s="229">
        <f>SUMIF(LUG!$BA$6:$BG$6,BI$177,LUG!$BA13:$BG13)</f>
        <v>0</v>
      </c>
      <c r="BJ367" s="229">
        <f>SUMIF(LUG!$BA$6:$BG$6,BJ$177,LUG!$BA13:$BG13)</f>
        <v>0</v>
      </c>
      <c r="BK367" s="229">
        <f>SUMIF(LUG!$BA$6:$BG$6,BK$177,LUG!$BA13:$BG13)</f>
        <v>0</v>
      </c>
      <c r="BL367" s="229">
        <f>SUMIF(LUG!$BA$6:$BG$6,BL$177,LUG!$BA13:$BG13)</f>
        <v>0</v>
      </c>
      <c r="BM367" s="229">
        <f>SUMIF(LUG!$BA$6:$BG$6,BM$177,LUG!$BA13:$BG13)</f>
        <v>0</v>
      </c>
      <c r="BN367" s="229">
        <f>SUMIF(LUG!$BA$6:$BG$6,BN$177,LUG!$BA13:$BG13)</f>
        <v>0</v>
      </c>
      <c r="BO367" s="231">
        <f>SUMIF(LUG!$BA$6:$BG$6,BO$177,LUG!$BA13:$BG13)</f>
        <v>0</v>
      </c>
      <c r="BP367" s="231">
        <f>SUMIF(LUG!$BA$6:$BG$6,BP$177,LUG!$BA13:$BG13)</f>
        <v>0</v>
      </c>
      <c r="BQ367" s="252"/>
      <c r="BR367" s="228">
        <f>SUMIF(LUG!$BA$5:$BG$5,BR$177,LUG!$BA13:$BG13)</f>
        <v>0</v>
      </c>
      <c r="BS367" s="229">
        <f>SUMIF(LUG!$BA$5:$BG$5,BS$177,LUG!$BA13:$BG13)</f>
        <v>0</v>
      </c>
      <c r="BT367" s="229">
        <f>SUMIF(LUG!$BA$5:$BG$5,BT$177,LUG!$BA13:$BG13)</f>
        <v>0</v>
      </c>
      <c r="BU367" s="229">
        <f>SUMIF(LUG!$BA$5:$BG$5,BU$177,LUG!$BA13:$BG13)</f>
        <v>0</v>
      </c>
      <c r="BV367" s="229">
        <f>SUMIF(LUG!$BA$5:$BG$5,BV$177,LUG!$BA13:$BG13)</f>
        <v>0</v>
      </c>
      <c r="BW367" s="229">
        <f>SUMIF(LUG!$BA$5:$BG$5,BW$177,LUG!$BA13:$BG13)</f>
        <v>0</v>
      </c>
      <c r="BX367" s="230">
        <f>SUMIF(LUG!$BA$5:$BG$5,BX$177,LUG!$BA13:$BG13)</f>
        <v>0</v>
      </c>
      <c r="BY367" s="998">
        <f>SUMIF(LUG!$BA$5:$BG$5,BY$177,LUG!$BA13:$BG13)</f>
        <v>0</v>
      </c>
      <c r="CB367" s="252"/>
      <c r="CC367" s="61" t="e">
        <f t="shared" si="70"/>
        <v>#N/A</v>
      </c>
      <c r="CD367" s="61">
        <f t="shared" si="71"/>
        <v>0</v>
      </c>
      <c r="CE367" s="105" t="str">
        <f t="shared" si="64"/>
        <v/>
      </c>
      <c r="CF367" s="61" t="e">
        <f t="shared" si="72"/>
        <v>#N/A</v>
      </c>
      <c r="CG367" s="61" t="e">
        <f t="shared" si="73"/>
        <v>#N/A</v>
      </c>
      <c r="CH367" s="521">
        <f>LUG!AL13-CW367+CR367</f>
        <v>0</v>
      </c>
      <c r="CI367" s="228">
        <f>SUMIF(LUG!$G$121:$M$121,CI$178,LUG!$AM13:$AS13)+SUMIF($CS$178:$CV$178,CI$178,$CS367:$CV367)</f>
        <v>0</v>
      </c>
      <c r="CJ367" s="229">
        <f>SUMIF(LUG!$G$121:$M$121,CJ$178,LUG!$AM13:$AS13)+SUMIF($CS$178:$CV$178,CJ$178,$CS367:$CV367)</f>
        <v>0</v>
      </c>
      <c r="CK367" s="230">
        <f>SUMIF(LUG!$G$121:$M$121,CK$178,LUG!$AM13:$AS13)+SUMIF($CS$178:$CV$178,CK$178,$CS367:$CV367)</f>
        <v>0</v>
      </c>
      <c r="CL367" s="230">
        <f>SUMIF(LUG!$G$121:$M$121,CL$178,LUG!$AM13:$AS13)+SUMIF($CS$178:$CV$178,CL$178,$CS367:$CV367)</f>
        <v>0</v>
      </c>
      <c r="CM367" s="230">
        <f>SUMIF(LUG!$G$121:$M$121,CM$178,LUG!$AM13:$AS13)+SUMIF($CS$178:$CV$178,CM$178,$CS367:$CV367)</f>
        <v>0</v>
      </c>
      <c r="CN367" s="230">
        <f>SUMIF(LUG!$G$121:$M$121,CN$178,LUG!$AM13:$AS13)+SUMIF($CS$178:$CV$178,CN$178,$CS367:$CV367)</f>
        <v>0</v>
      </c>
      <c r="CO367" s="230">
        <f>SUMIF(LUG!$G$121:$M$121,CO$178,LUG!$AM13:$AS13)+SUMIF($CS$178:$CV$178,CO$178,$CS367:$CV367)</f>
        <v>0</v>
      </c>
      <c r="CP367" s="230">
        <f>SUMIF(LUG!$G$121:$M$121,CP$178,LUG!$AM13:$AS13)+SUMIF($CS$178:$CV$178,CP$178,$CS367:$CV367)</f>
        <v>0</v>
      </c>
      <c r="CQ367" s="231">
        <f>SUMIF(LUG!$G$121:$M$121,CQ$178,LUG!$AM13:$AS13)+SUMIF($CS$178:$CV$178,CQ$178,$CS367:$CV367)</f>
        <v>0</v>
      </c>
      <c r="CR367" s="521">
        <f>LUG!AU13</f>
        <v>0</v>
      </c>
      <c r="CS367" s="228">
        <f>LUG!AV13</f>
        <v>0</v>
      </c>
      <c r="CT367" s="229">
        <f>LUG!AW13</f>
        <v>0</v>
      </c>
      <c r="CU367" s="230">
        <f>LUG!AX13</f>
        <v>0</v>
      </c>
      <c r="CV367" s="231">
        <f>LUG!AY13</f>
        <v>0</v>
      </c>
      <c r="CW367" s="521">
        <f>SUM(LUG!AU13:AY13)</f>
        <v>0</v>
      </c>
      <c r="CX367" s="521">
        <f>LUG!AK13</f>
        <v>0</v>
      </c>
      <c r="CY367" s="2"/>
    </row>
    <row r="368" spans="1:103" ht="14.25" hidden="1" customHeight="1" x14ac:dyDescent="0.2">
      <c r="A368" s="2"/>
      <c r="B368" s="105">
        <f t="shared" si="74"/>
        <v>45480</v>
      </c>
      <c r="C368" s="146">
        <f>IF(AND(E368&gt;(N$557-1),E368&lt;(R$557+1)),W$551,IF(ISERROR(HLOOKUP(E368,$N$550:$U$550,1,FALSE)),HLOOKUP(WEEKDAY(E368,2),IMPOSTAZIONI!$C$52:$P$57,6,FALSE),$W$550))</f>
        <v>0</v>
      </c>
      <c r="D368" s="71" t="str">
        <f t="shared" si="75"/>
        <v/>
      </c>
      <c r="E368" s="2258">
        <f t="shared" si="80"/>
        <v>45480</v>
      </c>
      <c r="F368" s="2259"/>
      <c r="G368" s="2228" t="str">
        <f>LUG!E14</f>
        <v xml:space="preserve">disattivato  </v>
      </c>
      <c r="H368" s="2229"/>
      <c r="I368" s="2230"/>
      <c r="J368" s="262" t="str">
        <f t="shared" si="65"/>
        <v/>
      </c>
      <c r="K368" s="263"/>
      <c r="L368" s="2220">
        <f t="shared" si="81"/>
        <v>27</v>
      </c>
      <c r="M368" s="2221"/>
      <c r="N368" s="261"/>
      <c r="O368" s="261"/>
      <c r="P368" s="261"/>
      <c r="Q368" s="2219">
        <f t="shared" si="76"/>
        <v>45480</v>
      </c>
      <c r="R368" s="2219"/>
      <c r="S368" s="261"/>
      <c r="T368" s="1173">
        <f t="shared" si="66"/>
        <v>1</v>
      </c>
      <c r="U368" s="261"/>
      <c r="V368" s="261"/>
      <c r="W368" s="261"/>
      <c r="X368" s="261"/>
      <c r="Y368" s="261"/>
      <c r="Z368" s="261"/>
      <c r="AA368" s="261"/>
      <c r="AB368" s="261"/>
      <c r="AC368" s="261"/>
      <c r="AD368" s="261"/>
      <c r="AE368" s="261"/>
      <c r="AF368" s="261"/>
      <c r="AG368" s="1173">
        <f t="shared" si="77"/>
        <v>0</v>
      </c>
      <c r="AH368" s="61" t="str">
        <f t="shared" si="78"/>
        <v/>
      </c>
      <c r="AI368" s="89" t="e">
        <f t="shared" si="79"/>
        <v>#N/A</v>
      </c>
      <c r="AJ368" s="2"/>
      <c r="AK368" s="61">
        <f>IF(G368=G$547,0,IF(OR(G368&lt;&gt;0,CH368&lt;&gt;0,C368="L"),COUNTIF(AK$180:AK367,"&gt;0")+1,0))</f>
        <v>0</v>
      </c>
      <c r="AL368" s="61" t="str">
        <f t="shared" si="67"/>
        <v/>
      </c>
      <c r="AM368" s="61" t="e">
        <f t="shared" si="68"/>
        <v>#N/A</v>
      </c>
      <c r="AN368" s="89" t="e">
        <f t="shared" si="69"/>
        <v>#N/A</v>
      </c>
      <c r="AO368" s="230">
        <f>SUM(LUG!X14:AD14)-BD368+AY368</f>
        <v>0</v>
      </c>
      <c r="AP368" s="228">
        <f>SUMIF(LUG!$G$121:$M$121,AP$178,LUG!$P14:$V14)+SUMIF($AZ$178:$BC$178,AP$178,$AZ368:$BC368)</f>
        <v>0</v>
      </c>
      <c r="AQ368" s="229">
        <f>SUMIF(LUG!$G$121:$M$121,AQ$178,LUG!$P14:$V14)+SUMIF($AZ$178:$BC$178,AQ$178,$AZ368:$BC368)</f>
        <v>0</v>
      </c>
      <c r="AR368" s="230">
        <f>SUMIF(LUG!$G$121:$M$121,AR$178,LUG!$P14:$V14)+SUMIF($AZ$178:$BC$178,AR$178,$AZ368:$BC368)</f>
        <v>0</v>
      </c>
      <c r="AS368" s="230">
        <f>SUMIF(LUG!$G$121:$M$121,AS$178,LUG!$P14:$V14)+SUMIF($AZ$178:$BC$178,AS$178,$AZ368:$BC368)</f>
        <v>0</v>
      </c>
      <c r="AT368" s="230">
        <f>SUMIF(LUG!$G$121:$M$121,AT$178,LUG!$P14:$V14)+SUMIF($AZ$178:$BC$178,AT$178,$AZ368:$BC368)</f>
        <v>0</v>
      </c>
      <c r="AU368" s="230">
        <f>SUMIF(LUG!$G$121:$M$121,AU$178,LUG!$P14:$V14)+SUMIF($AZ$178:$BC$178,AU$178,$AZ368:$BC368)</f>
        <v>0</v>
      </c>
      <c r="AV368" s="230">
        <f>SUMIF(LUG!$G$121:$M$121,AV$178,LUG!$P14:$V14)+SUMIF($AZ$178:$BC$178,AV$178,$AZ368:$BC368)</f>
        <v>0</v>
      </c>
      <c r="AW368" s="230">
        <f>SUMIF(LUG!$G$121:$M$121,AW$178,LUG!$P14:$V14)+SUMIF($AZ$178:$BC$178,AW$178,$AZ368:$BC368)</f>
        <v>0</v>
      </c>
      <c r="AX368" s="231">
        <f>SUMIF(LUG!$G$121:$M$121,AX$178,LUG!$P14:$V14)+SUMIF($AZ$178:$BC$178,AX$178,$AZ368:$BC368)</f>
        <v>0</v>
      </c>
      <c r="AY368" s="232">
        <f>LUG!AF14</f>
        <v>0</v>
      </c>
      <c r="AZ368" s="228">
        <f>LUG!AG14</f>
        <v>0</v>
      </c>
      <c r="BA368" s="229">
        <f>LUG!AH14</f>
        <v>0</v>
      </c>
      <c r="BB368" s="230">
        <f>LUG!AI14</f>
        <v>0</v>
      </c>
      <c r="BC368" s="231">
        <f>LUG!AJ14</f>
        <v>0</v>
      </c>
      <c r="BD368" s="228">
        <f>SUMIF(LUG!$G$120:$M$120,"&gt;0",LUG!$X14:$AD14)</f>
        <v>0</v>
      </c>
      <c r="BE368" s="696"/>
      <c r="BF368" s="228">
        <f>SUMIF(LUG!$BA$6:$BG$6,BF$177,LUG!$BA14:$BG14)</f>
        <v>0</v>
      </c>
      <c r="BG368" s="229">
        <f>SUMIF(LUG!$BA$6:$BG$6,BG$177,LUG!$BA14:$BG14)</f>
        <v>0</v>
      </c>
      <c r="BH368" s="229">
        <f>SUMIF(LUG!$BA$6:$BG$6,BH$177,LUG!$BA14:$BG14)</f>
        <v>0</v>
      </c>
      <c r="BI368" s="229">
        <f>SUMIF(LUG!$BA$6:$BG$6,BI$177,LUG!$BA14:$BG14)</f>
        <v>0</v>
      </c>
      <c r="BJ368" s="229">
        <f>SUMIF(LUG!$BA$6:$BG$6,BJ$177,LUG!$BA14:$BG14)</f>
        <v>0</v>
      </c>
      <c r="BK368" s="229">
        <f>SUMIF(LUG!$BA$6:$BG$6,BK$177,LUG!$BA14:$BG14)</f>
        <v>0</v>
      </c>
      <c r="BL368" s="229">
        <f>SUMIF(LUG!$BA$6:$BG$6,BL$177,LUG!$BA14:$BG14)</f>
        <v>0</v>
      </c>
      <c r="BM368" s="229">
        <f>SUMIF(LUG!$BA$6:$BG$6,BM$177,LUG!$BA14:$BG14)</f>
        <v>0</v>
      </c>
      <c r="BN368" s="229">
        <f>SUMIF(LUG!$BA$6:$BG$6,BN$177,LUG!$BA14:$BG14)</f>
        <v>0</v>
      </c>
      <c r="BO368" s="231">
        <f>SUMIF(LUG!$BA$6:$BG$6,BO$177,LUG!$BA14:$BG14)</f>
        <v>0</v>
      </c>
      <c r="BP368" s="231">
        <f>SUMIF(LUG!$BA$6:$BG$6,BP$177,LUG!$BA14:$BG14)</f>
        <v>0</v>
      </c>
      <c r="BQ368" s="252"/>
      <c r="BR368" s="228">
        <f>SUMIF(LUG!$BA$5:$BG$5,BR$177,LUG!$BA14:$BG14)</f>
        <v>0</v>
      </c>
      <c r="BS368" s="229">
        <f>SUMIF(LUG!$BA$5:$BG$5,BS$177,LUG!$BA14:$BG14)</f>
        <v>0</v>
      </c>
      <c r="BT368" s="229">
        <f>SUMIF(LUG!$BA$5:$BG$5,BT$177,LUG!$BA14:$BG14)</f>
        <v>0</v>
      </c>
      <c r="BU368" s="229">
        <f>SUMIF(LUG!$BA$5:$BG$5,BU$177,LUG!$BA14:$BG14)</f>
        <v>0</v>
      </c>
      <c r="BV368" s="229">
        <f>SUMIF(LUG!$BA$5:$BG$5,BV$177,LUG!$BA14:$BG14)</f>
        <v>0</v>
      </c>
      <c r="BW368" s="229">
        <f>SUMIF(LUG!$BA$5:$BG$5,BW$177,LUG!$BA14:$BG14)</f>
        <v>0</v>
      </c>
      <c r="BX368" s="230">
        <f>SUMIF(LUG!$BA$5:$BG$5,BX$177,LUG!$BA14:$BG14)</f>
        <v>0</v>
      </c>
      <c r="BY368" s="998">
        <f>SUMIF(LUG!$BA$5:$BG$5,BY$177,LUG!$BA14:$BG14)</f>
        <v>0</v>
      </c>
      <c r="CB368" s="252"/>
      <c r="CC368" s="61" t="e">
        <f t="shared" si="70"/>
        <v>#N/A</v>
      </c>
      <c r="CD368" s="61">
        <f t="shared" si="71"/>
        <v>0</v>
      </c>
      <c r="CE368" s="105" t="str">
        <f t="shared" ref="CE368:CE431" si="82">IF(AL368="Y",E368,"")</f>
        <v/>
      </c>
      <c r="CF368" s="61" t="e">
        <f t="shared" si="72"/>
        <v>#N/A</v>
      </c>
      <c r="CG368" s="61" t="e">
        <f t="shared" si="73"/>
        <v>#N/A</v>
      </c>
      <c r="CH368" s="521">
        <f>LUG!AL14-CW368+CR368</f>
        <v>0</v>
      </c>
      <c r="CI368" s="228">
        <f>SUMIF(LUG!$G$121:$M$121,CI$178,LUG!$AM14:$AS14)+SUMIF($CS$178:$CV$178,CI$178,$CS368:$CV368)</f>
        <v>0</v>
      </c>
      <c r="CJ368" s="229">
        <f>SUMIF(LUG!$G$121:$M$121,CJ$178,LUG!$AM14:$AS14)+SUMIF($CS$178:$CV$178,CJ$178,$CS368:$CV368)</f>
        <v>0</v>
      </c>
      <c r="CK368" s="230">
        <f>SUMIF(LUG!$G$121:$M$121,CK$178,LUG!$AM14:$AS14)+SUMIF($CS$178:$CV$178,CK$178,$CS368:$CV368)</f>
        <v>0</v>
      </c>
      <c r="CL368" s="230">
        <f>SUMIF(LUG!$G$121:$M$121,CL$178,LUG!$AM14:$AS14)+SUMIF($CS$178:$CV$178,CL$178,$CS368:$CV368)</f>
        <v>0</v>
      </c>
      <c r="CM368" s="230">
        <f>SUMIF(LUG!$G$121:$M$121,CM$178,LUG!$AM14:$AS14)+SUMIF($CS$178:$CV$178,CM$178,$CS368:$CV368)</f>
        <v>0</v>
      </c>
      <c r="CN368" s="230">
        <f>SUMIF(LUG!$G$121:$M$121,CN$178,LUG!$AM14:$AS14)+SUMIF($CS$178:$CV$178,CN$178,$CS368:$CV368)</f>
        <v>0</v>
      </c>
      <c r="CO368" s="230">
        <f>SUMIF(LUG!$G$121:$M$121,CO$178,LUG!$AM14:$AS14)+SUMIF($CS$178:$CV$178,CO$178,$CS368:$CV368)</f>
        <v>0</v>
      </c>
      <c r="CP368" s="230">
        <f>SUMIF(LUG!$G$121:$M$121,CP$178,LUG!$AM14:$AS14)+SUMIF($CS$178:$CV$178,CP$178,$CS368:$CV368)</f>
        <v>0</v>
      </c>
      <c r="CQ368" s="231">
        <f>SUMIF(LUG!$G$121:$M$121,CQ$178,LUG!$AM14:$AS14)+SUMIF($CS$178:$CV$178,CQ$178,$CS368:$CV368)</f>
        <v>0</v>
      </c>
      <c r="CR368" s="521">
        <f>LUG!AU14</f>
        <v>0</v>
      </c>
      <c r="CS368" s="228">
        <f>LUG!AV14</f>
        <v>0</v>
      </c>
      <c r="CT368" s="229">
        <f>LUG!AW14</f>
        <v>0</v>
      </c>
      <c r="CU368" s="230">
        <f>LUG!AX14</f>
        <v>0</v>
      </c>
      <c r="CV368" s="231">
        <f>LUG!AY14</f>
        <v>0</v>
      </c>
      <c r="CW368" s="521">
        <f>SUM(LUG!AU14:AY14)</f>
        <v>0</v>
      </c>
      <c r="CX368" s="521">
        <f>LUG!AK14</f>
        <v>0</v>
      </c>
      <c r="CY368" s="2"/>
    </row>
    <row r="369" spans="1:103" ht="14.25" hidden="1" customHeight="1" x14ac:dyDescent="0.2">
      <c r="A369" s="2"/>
      <c r="B369" s="105">
        <f t="shared" si="74"/>
        <v>45481</v>
      </c>
      <c r="C369" s="146">
        <f>IF(AND(E369&gt;(N$557-1),E369&lt;(R$557+1)),W$551,IF(ISERROR(HLOOKUP(E369,$N$550:$U$550,1,FALSE)),HLOOKUP(WEEKDAY(E369,2),IMPOSTAZIONI!$C$52:$P$57,6,FALSE),$W$550))</f>
        <v>0</v>
      </c>
      <c r="D369" s="71" t="str">
        <f t="shared" si="75"/>
        <v/>
      </c>
      <c r="E369" s="2258">
        <f t="shared" si="80"/>
        <v>45481</v>
      </c>
      <c r="F369" s="2259"/>
      <c r="G369" s="2228" t="str">
        <f>LUG!E15</f>
        <v xml:space="preserve">disattivato  </v>
      </c>
      <c r="H369" s="2229"/>
      <c r="I369" s="2230"/>
      <c r="J369" s="262" t="str">
        <f t="shared" si="65"/>
        <v/>
      </c>
      <c r="K369" s="263"/>
      <c r="L369" s="2222">
        <f t="shared" si="81"/>
        <v>28</v>
      </c>
      <c r="M369" s="2223"/>
      <c r="N369" s="261"/>
      <c r="O369" s="261"/>
      <c r="P369" s="261"/>
      <c r="Q369" s="2219">
        <f t="shared" si="76"/>
        <v>45481</v>
      </c>
      <c r="R369" s="2219"/>
      <c r="S369" s="261"/>
      <c r="T369" s="1173">
        <f t="shared" si="66"/>
        <v>1</v>
      </c>
      <c r="U369" s="261"/>
      <c r="V369" s="261"/>
      <c r="W369" s="261"/>
      <c r="X369" s="261"/>
      <c r="Y369" s="261"/>
      <c r="Z369" s="261"/>
      <c r="AA369" s="261"/>
      <c r="AB369" s="261"/>
      <c r="AC369" s="261"/>
      <c r="AD369" s="261"/>
      <c r="AE369" s="261"/>
      <c r="AF369" s="261"/>
      <c r="AG369" s="1173">
        <f t="shared" si="77"/>
        <v>0</v>
      </c>
      <c r="AH369" s="61" t="str">
        <f t="shared" si="78"/>
        <v/>
      </c>
      <c r="AI369" s="89" t="e">
        <f t="shared" si="79"/>
        <v>#N/A</v>
      </c>
      <c r="AJ369" s="2"/>
      <c r="AK369" s="61">
        <f>IF(G369=G$547,0,IF(OR(G369&lt;&gt;0,CH369&lt;&gt;0,C369="L"),COUNTIF(AK$180:AK368,"&gt;0")+1,0))</f>
        <v>0</v>
      </c>
      <c r="AL369" s="61" t="str">
        <f t="shared" si="67"/>
        <v/>
      </c>
      <c r="AM369" s="61" t="e">
        <f t="shared" si="68"/>
        <v>#N/A</v>
      </c>
      <c r="AN369" s="89" t="e">
        <f t="shared" si="69"/>
        <v>#N/A</v>
      </c>
      <c r="AO369" s="230">
        <f>SUM(LUG!X15:AD15)-BD369+AY369</f>
        <v>0</v>
      </c>
      <c r="AP369" s="228">
        <f>SUMIF(LUG!$G$121:$M$121,AP$178,LUG!$P15:$V15)+SUMIF($AZ$178:$BC$178,AP$178,$AZ369:$BC369)</f>
        <v>0</v>
      </c>
      <c r="AQ369" s="229">
        <f>SUMIF(LUG!$G$121:$M$121,AQ$178,LUG!$P15:$V15)+SUMIF($AZ$178:$BC$178,AQ$178,$AZ369:$BC369)</f>
        <v>0</v>
      </c>
      <c r="AR369" s="230">
        <f>SUMIF(LUG!$G$121:$M$121,AR$178,LUG!$P15:$V15)+SUMIF($AZ$178:$BC$178,AR$178,$AZ369:$BC369)</f>
        <v>0</v>
      </c>
      <c r="AS369" s="230">
        <f>SUMIF(LUG!$G$121:$M$121,AS$178,LUG!$P15:$V15)+SUMIF($AZ$178:$BC$178,AS$178,$AZ369:$BC369)</f>
        <v>0</v>
      </c>
      <c r="AT369" s="230">
        <f>SUMIF(LUG!$G$121:$M$121,AT$178,LUG!$P15:$V15)+SUMIF($AZ$178:$BC$178,AT$178,$AZ369:$BC369)</f>
        <v>0</v>
      </c>
      <c r="AU369" s="230">
        <f>SUMIF(LUG!$G$121:$M$121,AU$178,LUG!$P15:$V15)+SUMIF($AZ$178:$BC$178,AU$178,$AZ369:$BC369)</f>
        <v>0</v>
      </c>
      <c r="AV369" s="230">
        <f>SUMIF(LUG!$G$121:$M$121,AV$178,LUG!$P15:$V15)+SUMIF($AZ$178:$BC$178,AV$178,$AZ369:$BC369)</f>
        <v>0</v>
      </c>
      <c r="AW369" s="230">
        <f>SUMIF(LUG!$G$121:$M$121,AW$178,LUG!$P15:$V15)+SUMIF($AZ$178:$BC$178,AW$178,$AZ369:$BC369)</f>
        <v>0</v>
      </c>
      <c r="AX369" s="231">
        <f>SUMIF(LUG!$G$121:$M$121,AX$178,LUG!$P15:$V15)+SUMIF($AZ$178:$BC$178,AX$178,$AZ369:$BC369)</f>
        <v>0</v>
      </c>
      <c r="AY369" s="232">
        <f>LUG!AF15</f>
        <v>0</v>
      </c>
      <c r="AZ369" s="228">
        <f>LUG!AG15</f>
        <v>0</v>
      </c>
      <c r="BA369" s="229">
        <f>LUG!AH15</f>
        <v>0</v>
      </c>
      <c r="BB369" s="230">
        <f>LUG!AI15</f>
        <v>0</v>
      </c>
      <c r="BC369" s="231">
        <f>LUG!AJ15</f>
        <v>0</v>
      </c>
      <c r="BD369" s="228">
        <f>SUMIF(LUG!$G$120:$M$120,"&gt;0",LUG!$X15:$AD15)</f>
        <v>0</v>
      </c>
      <c r="BE369" s="696"/>
      <c r="BF369" s="228">
        <f>SUMIF(LUG!$BA$6:$BG$6,BF$177,LUG!$BA15:$BG15)</f>
        <v>0</v>
      </c>
      <c r="BG369" s="229">
        <f>SUMIF(LUG!$BA$6:$BG$6,BG$177,LUG!$BA15:$BG15)</f>
        <v>0</v>
      </c>
      <c r="BH369" s="229">
        <f>SUMIF(LUG!$BA$6:$BG$6,BH$177,LUG!$BA15:$BG15)</f>
        <v>0</v>
      </c>
      <c r="BI369" s="229">
        <f>SUMIF(LUG!$BA$6:$BG$6,BI$177,LUG!$BA15:$BG15)</f>
        <v>0</v>
      </c>
      <c r="BJ369" s="229">
        <f>SUMIF(LUG!$BA$6:$BG$6,BJ$177,LUG!$BA15:$BG15)</f>
        <v>0</v>
      </c>
      <c r="BK369" s="229">
        <f>SUMIF(LUG!$BA$6:$BG$6,BK$177,LUG!$BA15:$BG15)</f>
        <v>0</v>
      </c>
      <c r="BL369" s="229">
        <f>SUMIF(LUG!$BA$6:$BG$6,BL$177,LUG!$BA15:$BG15)</f>
        <v>0</v>
      </c>
      <c r="BM369" s="229">
        <f>SUMIF(LUG!$BA$6:$BG$6,BM$177,LUG!$BA15:$BG15)</f>
        <v>0</v>
      </c>
      <c r="BN369" s="229">
        <f>SUMIF(LUG!$BA$6:$BG$6,BN$177,LUG!$BA15:$BG15)</f>
        <v>0</v>
      </c>
      <c r="BO369" s="231">
        <f>SUMIF(LUG!$BA$6:$BG$6,BO$177,LUG!$BA15:$BG15)</f>
        <v>0</v>
      </c>
      <c r="BP369" s="231">
        <f>SUMIF(LUG!$BA$6:$BG$6,BP$177,LUG!$BA15:$BG15)</f>
        <v>0</v>
      </c>
      <c r="BQ369" s="252"/>
      <c r="BR369" s="228">
        <f>SUMIF(LUG!$BA$5:$BG$5,BR$177,LUG!$BA15:$BG15)</f>
        <v>0</v>
      </c>
      <c r="BS369" s="229">
        <f>SUMIF(LUG!$BA$5:$BG$5,BS$177,LUG!$BA15:$BG15)</f>
        <v>0</v>
      </c>
      <c r="BT369" s="229">
        <f>SUMIF(LUG!$BA$5:$BG$5,BT$177,LUG!$BA15:$BG15)</f>
        <v>0</v>
      </c>
      <c r="BU369" s="229">
        <f>SUMIF(LUG!$BA$5:$BG$5,BU$177,LUG!$BA15:$BG15)</f>
        <v>0</v>
      </c>
      <c r="BV369" s="229">
        <f>SUMIF(LUG!$BA$5:$BG$5,BV$177,LUG!$BA15:$BG15)</f>
        <v>0</v>
      </c>
      <c r="BW369" s="229">
        <f>SUMIF(LUG!$BA$5:$BG$5,BW$177,LUG!$BA15:$BG15)</f>
        <v>0</v>
      </c>
      <c r="BX369" s="230">
        <f>SUMIF(LUG!$BA$5:$BG$5,BX$177,LUG!$BA15:$BG15)</f>
        <v>0</v>
      </c>
      <c r="BY369" s="998">
        <f>SUMIF(LUG!$BA$5:$BG$5,BY$177,LUG!$BA15:$BG15)</f>
        <v>0</v>
      </c>
      <c r="CB369" s="252"/>
      <c r="CC369" s="61" t="e">
        <f t="shared" si="70"/>
        <v>#N/A</v>
      </c>
      <c r="CD369" s="61">
        <f t="shared" si="71"/>
        <v>0</v>
      </c>
      <c r="CE369" s="105" t="str">
        <f t="shared" si="82"/>
        <v/>
      </c>
      <c r="CF369" s="61" t="e">
        <f t="shared" si="72"/>
        <v>#N/A</v>
      </c>
      <c r="CG369" s="61" t="e">
        <f t="shared" si="73"/>
        <v>#N/A</v>
      </c>
      <c r="CH369" s="521">
        <f>LUG!AL15-CW369+CR369</f>
        <v>0</v>
      </c>
      <c r="CI369" s="228">
        <f>SUMIF(LUG!$G$121:$M$121,CI$178,LUG!$AM15:$AS15)+SUMIF($CS$178:$CV$178,CI$178,$CS369:$CV369)</f>
        <v>0</v>
      </c>
      <c r="CJ369" s="229">
        <f>SUMIF(LUG!$G$121:$M$121,CJ$178,LUG!$AM15:$AS15)+SUMIF($CS$178:$CV$178,CJ$178,$CS369:$CV369)</f>
        <v>0</v>
      </c>
      <c r="CK369" s="230">
        <f>SUMIF(LUG!$G$121:$M$121,CK$178,LUG!$AM15:$AS15)+SUMIF($CS$178:$CV$178,CK$178,$CS369:$CV369)</f>
        <v>0</v>
      </c>
      <c r="CL369" s="230">
        <f>SUMIF(LUG!$G$121:$M$121,CL$178,LUG!$AM15:$AS15)+SUMIF($CS$178:$CV$178,CL$178,$CS369:$CV369)</f>
        <v>0</v>
      </c>
      <c r="CM369" s="230">
        <f>SUMIF(LUG!$G$121:$M$121,CM$178,LUG!$AM15:$AS15)+SUMIF($CS$178:$CV$178,CM$178,$CS369:$CV369)</f>
        <v>0</v>
      </c>
      <c r="CN369" s="230">
        <f>SUMIF(LUG!$G$121:$M$121,CN$178,LUG!$AM15:$AS15)+SUMIF($CS$178:$CV$178,CN$178,$CS369:$CV369)</f>
        <v>0</v>
      </c>
      <c r="CO369" s="230">
        <f>SUMIF(LUG!$G$121:$M$121,CO$178,LUG!$AM15:$AS15)+SUMIF($CS$178:$CV$178,CO$178,$CS369:$CV369)</f>
        <v>0</v>
      </c>
      <c r="CP369" s="230">
        <f>SUMIF(LUG!$G$121:$M$121,CP$178,LUG!$AM15:$AS15)+SUMIF($CS$178:$CV$178,CP$178,$CS369:$CV369)</f>
        <v>0</v>
      </c>
      <c r="CQ369" s="231">
        <f>SUMIF(LUG!$G$121:$M$121,CQ$178,LUG!$AM15:$AS15)+SUMIF($CS$178:$CV$178,CQ$178,$CS369:$CV369)</f>
        <v>0</v>
      </c>
      <c r="CR369" s="521">
        <f>LUG!AU15</f>
        <v>0</v>
      </c>
      <c r="CS369" s="228">
        <f>LUG!AV15</f>
        <v>0</v>
      </c>
      <c r="CT369" s="229">
        <f>LUG!AW15</f>
        <v>0</v>
      </c>
      <c r="CU369" s="230">
        <f>LUG!AX15</f>
        <v>0</v>
      </c>
      <c r="CV369" s="231">
        <f>LUG!AY15</f>
        <v>0</v>
      </c>
      <c r="CW369" s="521">
        <f>SUM(LUG!AU15:AY15)</f>
        <v>0</v>
      </c>
      <c r="CX369" s="521">
        <f>LUG!AK15</f>
        <v>0</v>
      </c>
      <c r="CY369" s="2"/>
    </row>
    <row r="370" spans="1:103" ht="14.25" hidden="1" customHeight="1" x14ac:dyDescent="0.2">
      <c r="A370" s="2"/>
      <c r="B370" s="105">
        <f t="shared" si="74"/>
        <v>45482</v>
      </c>
      <c r="C370" s="146">
        <f>IF(AND(E370&gt;(N$557-1),E370&lt;(R$557+1)),W$551,IF(ISERROR(HLOOKUP(E370,$N$550:$U$550,1,FALSE)),HLOOKUP(WEEKDAY(E370,2),IMPOSTAZIONI!$C$52:$P$57,6,FALSE),$W$550))</f>
        <v>0</v>
      </c>
      <c r="D370" s="71" t="str">
        <f t="shared" si="75"/>
        <v/>
      </c>
      <c r="E370" s="2258">
        <f t="shared" si="80"/>
        <v>45482</v>
      </c>
      <c r="F370" s="2259"/>
      <c r="G370" s="2228" t="str">
        <f>LUG!E16</f>
        <v xml:space="preserve">disattivato  </v>
      </c>
      <c r="H370" s="2229"/>
      <c r="I370" s="2230"/>
      <c r="J370" s="262" t="str">
        <f t="shared" si="65"/>
        <v/>
      </c>
      <c r="K370" s="263"/>
      <c r="L370" s="2217">
        <f t="shared" si="81"/>
        <v>28</v>
      </c>
      <c r="M370" s="2218"/>
      <c r="N370" s="261"/>
      <c r="O370" s="261"/>
      <c r="P370" s="261"/>
      <c r="Q370" s="2219">
        <f t="shared" si="76"/>
        <v>45482</v>
      </c>
      <c r="R370" s="2219"/>
      <c r="S370" s="261"/>
      <c r="T370" s="1173">
        <f t="shared" si="66"/>
        <v>1</v>
      </c>
      <c r="U370" s="261"/>
      <c r="V370" s="261"/>
      <c r="W370" s="261"/>
      <c r="X370" s="261"/>
      <c r="Y370" s="261"/>
      <c r="Z370" s="261"/>
      <c r="AA370" s="261"/>
      <c r="AB370" s="261"/>
      <c r="AC370" s="261"/>
      <c r="AD370" s="261"/>
      <c r="AE370" s="261"/>
      <c r="AF370" s="261"/>
      <c r="AG370" s="1173">
        <f t="shared" si="77"/>
        <v>0</v>
      </c>
      <c r="AH370" s="61" t="str">
        <f t="shared" si="78"/>
        <v/>
      </c>
      <c r="AI370" s="89" t="e">
        <f t="shared" si="79"/>
        <v>#N/A</v>
      </c>
      <c r="AJ370" s="2"/>
      <c r="AK370" s="61">
        <f>IF(G370=G$547,0,IF(OR(G370&lt;&gt;0,CH370&lt;&gt;0,C370="L"),COUNTIF(AK$180:AK369,"&gt;0")+1,0))</f>
        <v>0</v>
      </c>
      <c r="AL370" s="61" t="str">
        <f t="shared" si="67"/>
        <v/>
      </c>
      <c r="AM370" s="61" t="e">
        <f t="shared" si="68"/>
        <v>#N/A</v>
      </c>
      <c r="AN370" s="89" t="e">
        <f t="shared" si="69"/>
        <v>#N/A</v>
      </c>
      <c r="AO370" s="230">
        <f>SUM(LUG!X16:AD16)-BD370+AY370</f>
        <v>0</v>
      </c>
      <c r="AP370" s="228">
        <f>SUMIF(LUG!$G$121:$M$121,AP$178,LUG!$P16:$V16)+SUMIF($AZ$178:$BC$178,AP$178,$AZ370:$BC370)</f>
        <v>0</v>
      </c>
      <c r="AQ370" s="229">
        <f>SUMIF(LUG!$G$121:$M$121,AQ$178,LUG!$P16:$V16)+SUMIF($AZ$178:$BC$178,AQ$178,$AZ370:$BC370)</f>
        <v>0</v>
      </c>
      <c r="AR370" s="230">
        <f>SUMIF(LUG!$G$121:$M$121,AR$178,LUG!$P16:$V16)+SUMIF($AZ$178:$BC$178,AR$178,$AZ370:$BC370)</f>
        <v>0</v>
      </c>
      <c r="AS370" s="230">
        <f>SUMIF(LUG!$G$121:$M$121,AS$178,LUG!$P16:$V16)+SUMIF($AZ$178:$BC$178,AS$178,$AZ370:$BC370)</f>
        <v>0</v>
      </c>
      <c r="AT370" s="230">
        <f>SUMIF(LUG!$G$121:$M$121,AT$178,LUG!$P16:$V16)+SUMIF($AZ$178:$BC$178,AT$178,$AZ370:$BC370)</f>
        <v>0</v>
      </c>
      <c r="AU370" s="230">
        <f>SUMIF(LUG!$G$121:$M$121,AU$178,LUG!$P16:$V16)+SUMIF($AZ$178:$BC$178,AU$178,$AZ370:$BC370)</f>
        <v>0</v>
      </c>
      <c r="AV370" s="230">
        <f>SUMIF(LUG!$G$121:$M$121,AV$178,LUG!$P16:$V16)+SUMIF($AZ$178:$BC$178,AV$178,$AZ370:$BC370)</f>
        <v>0</v>
      </c>
      <c r="AW370" s="230">
        <f>SUMIF(LUG!$G$121:$M$121,AW$178,LUG!$P16:$V16)+SUMIF($AZ$178:$BC$178,AW$178,$AZ370:$BC370)</f>
        <v>0</v>
      </c>
      <c r="AX370" s="231">
        <f>SUMIF(LUG!$G$121:$M$121,AX$178,LUG!$P16:$V16)+SUMIF($AZ$178:$BC$178,AX$178,$AZ370:$BC370)</f>
        <v>0</v>
      </c>
      <c r="AY370" s="232">
        <f>LUG!AF16</f>
        <v>0</v>
      </c>
      <c r="AZ370" s="228">
        <f>LUG!AG16</f>
        <v>0</v>
      </c>
      <c r="BA370" s="229">
        <f>LUG!AH16</f>
        <v>0</v>
      </c>
      <c r="BB370" s="230">
        <f>LUG!AI16</f>
        <v>0</v>
      </c>
      <c r="BC370" s="231">
        <f>LUG!AJ16</f>
        <v>0</v>
      </c>
      <c r="BD370" s="228">
        <f>SUMIF(LUG!$G$120:$M$120,"&gt;0",LUG!$X16:$AD16)</f>
        <v>0</v>
      </c>
      <c r="BE370" s="696"/>
      <c r="BF370" s="228">
        <f>SUMIF(LUG!$BA$6:$BG$6,BF$177,LUG!$BA16:$BG16)</f>
        <v>0</v>
      </c>
      <c r="BG370" s="229">
        <f>SUMIF(LUG!$BA$6:$BG$6,BG$177,LUG!$BA16:$BG16)</f>
        <v>0</v>
      </c>
      <c r="BH370" s="229">
        <f>SUMIF(LUG!$BA$6:$BG$6,BH$177,LUG!$BA16:$BG16)</f>
        <v>0</v>
      </c>
      <c r="BI370" s="229">
        <f>SUMIF(LUG!$BA$6:$BG$6,BI$177,LUG!$BA16:$BG16)</f>
        <v>0</v>
      </c>
      <c r="BJ370" s="229">
        <f>SUMIF(LUG!$BA$6:$BG$6,BJ$177,LUG!$BA16:$BG16)</f>
        <v>0</v>
      </c>
      <c r="BK370" s="229">
        <f>SUMIF(LUG!$BA$6:$BG$6,BK$177,LUG!$BA16:$BG16)</f>
        <v>0</v>
      </c>
      <c r="BL370" s="229">
        <f>SUMIF(LUG!$BA$6:$BG$6,BL$177,LUG!$BA16:$BG16)</f>
        <v>0</v>
      </c>
      <c r="BM370" s="229">
        <f>SUMIF(LUG!$BA$6:$BG$6,BM$177,LUG!$BA16:$BG16)</f>
        <v>0</v>
      </c>
      <c r="BN370" s="229">
        <f>SUMIF(LUG!$BA$6:$BG$6,BN$177,LUG!$BA16:$BG16)</f>
        <v>0</v>
      </c>
      <c r="BO370" s="231">
        <f>SUMIF(LUG!$BA$6:$BG$6,BO$177,LUG!$BA16:$BG16)</f>
        <v>0</v>
      </c>
      <c r="BP370" s="231">
        <f>SUMIF(LUG!$BA$6:$BG$6,BP$177,LUG!$BA16:$BG16)</f>
        <v>0</v>
      </c>
      <c r="BQ370" s="252"/>
      <c r="BR370" s="228">
        <f>SUMIF(LUG!$BA$5:$BG$5,BR$177,LUG!$BA16:$BG16)</f>
        <v>0</v>
      </c>
      <c r="BS370" s="229">
        <f>SUMIF(LUG!$BA$5:$BG$5,BS$177,LUG!$BA16:$BG16)</f>
        <v>0</v>
      </c>
      <c r="BT370" s="229">
        <f>SUMIF(LUG!$BA$5:$BG$5,BT$177,LUG!$BA16:$BG16)</f>
        <v>0</v>
      </c>
      <c r="BU370" s="229">
        <f>SUMIF(LUG!$BA$5:$BG$5,BU$177,LUG!$BA16:$BG16)</f>
        <v>0</v>
      </c>
      <c r="BV370" s="229">
        <f>SUMIF(LUG!$BA$5:$BG$5,BV$177,LUG!$BA16:$BG16)</f>
        <v>0</v>
      </c>
      <c r="BW370" s="229">
        <f>SUMIF(LUG!$BA$5:$BG$5,BW$177,LUG!$BA16:$BG16)</f>
        <v>0</v>
      </c>
      <c r="BX370" s="230">
        <f>SUMIF(LUG!$BA$5:$BG$5,BX$177,LUG!$BA16:$BG16)</f>
        <v>0</v>
      </c>
      <c r="BY370" s="998">
        <f>SUMIF(LUG!$BA$5:$BG$5,BY$177,LUG!$BA16:$BG16)</f>
        <v>0</v>
      </c>
      <c r="CB370" s="252"/>
      <c r="CC370" s="61" t="e">
        <f t="shared" si="70"/>
        <v>#N/A</v>
      </c>
      <c r="CD370" s="61">
        <f t="shared" si="71"/>
        <v>0</v>
      </c>
      <c r="CE370" s="105" t="str">
        <f t="shared" si="82"/>
        <v/>
      </c>
      <c r="CF370" s="61" t="e">
        <f t="shared" si="72"/>
        <v>#N/A</v>
      </c>
      <c r="CG370" s="61" t="e">
        <f t="shared" si="73"/>
        <v>#N/A</v>
      </c>
      <c r="CH370" s="521">
        <f>LUG!AL16-CW370+CR370</f>
        <v>0</v>
      </c>
      <c r="CI370" s="228">
        <f>SUMIF(LUG!$G$121:$M$121,CI$178,LUG!$AM16:$AS16)+SUMIF($CS$178:$CV$178,CI$178,$CS370:$CV370)</f>
        <v>0</v>
      </c>
      <c r="CJ370" s="229">
        <f>SUMIF(LUG!$G$121:$M$121,CJ$178,LUG!$AM16:$AS16)+SUMIF($CS$178:$CV$178,CJ$178,$CS370:$CV370)</f>
        <v>0</v>
      </c>
      <c r="CK370" s="230">
        <f>SUMIF(LUG!$G$121:$M$121,CK$178,LUG!$AM16:$AS16)+SUMIF($CS$178:$CV$178,CK$178,$CS370:$CV370)</f>
        <v>0</v>
      </c>
      <c r="CL370" s="230">
        <f>SUMIF(LUG!$G$121:$M$121,CL$178,LUG!$AM16:$AS16)+SUMIF($CS$178:$CV$178,CL$178,$CS370:$CV370)</f>
        <v>0</v>
      </c>
      <c r="CM370" s="230">
        <f>SUMIF(LUG!$G$121:$M$121,CM$178,LUG!$AM16:$AS16)+SUMIF($CS$178:$CV$178,CM$178,$CS370:$CV370)</f>
        <v>0</v>
      </c>
      <c r="CN370" s="230">
        <f>SUMIF(LUG!$G$121:$M$121,CN$178,LUG!$AM16:$AS16)+SUMIF($CS$178:$CV$178,CN$178,$CS370:$CV370)</f>
        <v>0</v>
      </c>
      <c r="CO370" s="230">
        <f>SUMIF(LUG!$G$121:$M$121,CO$178,LUG!$AM16:$AS16)+SUMIF($CS$178:$CV$178,CO$178,$CS370:$CV370)</f>
        <v>0</v>
      </c>
      <c r="CP370" s="230">
        <f>SUMIF(LUG!$G$121:$M$121,CP$178,LUG!$AM16:$AS16)+SUMIF($CS$178:$CV$178,CP$178,$CS370:$CV370)</f>
        <v>0</v>
      </c>
      <c r="CQ370" s="231">
        <f>SUMIF(LUG!$G$121:$M$121,CQ$178,LUG!$AM16:$AS16)+SUMIF($CS$178:$CV$178,CQ$178,$CS370:$CV370)</f>
        <v>0</v>
      </c>
      <c r="CR370" s="521">
        <f>LUG!AU16</f>
        <v>0</v>
      </c>
      <c r="CS370" s="228">
        <f>LUG!AV16</f>
        <v>0</v>
      </c>
      <c r="CT370" s="229">
        <f>LUG!AW16</f>
        <v>0</v>
      </c>
      <c r="CU370" s="230">
        <f>LUG!AX16</f>
        <v>0</v>
      </c>
      <c r="CV370" s="231">
        <f>LUG!AY16</f>
        <v>0</v>
      </c>
      <c r="CW370" s="521">
        <f>SUM(LUG!AU16:AY16)</f>
        <v>0</v>
      </c>
      <c r="CX370" s="521">
        <f>LUG!AK16</f>
        <v>0</v>
      </c>
      <c r="CY370" s="2"/>
    </row>
    <row r="371" spans="1:103" ht="14.25" hidden="1" customHeight="1" x14ac:dyDescent="0.2">
      <c r="A371" s="2"/>
      <c r="B371" s="105">
        <f t="shared" si="74"/>
        <v>45483</v>
      </c>
      <c r="C371" s="146">
        <f>IF(AND(E371&gt;(N$557-1),E371&lt;(R$557+1)),W$551,IF(ISERROR(HLOOKUP(E371,$N$550:$U$550,1,FALSE)),HLOOKUP(WEEKDAY(E371,2),IMPOSTAZIONI!$C$52:$P$57,6,FALSE),$W$550))</f>
        <v>0</v>
      </c>
      <c r="D371" s="71" t="str">
        <f t="shared" si="75"/>
        <v/>
      </c>
      <c r="E371" s="2258">
        <f t="shared" si="80"/>
        <v>45483</v>
      </c>
      <c r="F371" s="2259"/>
      <c r="G371" s="2228" t="str">
        <f>LUG!E17</f>
        <v xml:space="preserve">disattivato  </v>
      </c>
      <c r="H371" s="2229"/>
      <c r="I371" s="2230"/>
      <c r="J371" s="262" t="str">
        <f t="shared" si="65"/>
        <v/>
      </c>
      <c r="K371" s="263"/>
      <c r="L371" s="2217">
        <f t="shared" si="81"/>
        <v>28</v>
      </c>
      <c r="M371" s="2218"/>
      <c r="N371" s="261"/>
      <c r="O371" s="261"/>
      <c r="P371" s="261"/>
      <c r="Q371" s="2219">
        <f t="shared" si="76"/>
        <v>45483</v>
      </c>
      <c r="R371" s="2219"/>
      <c r="S371" s="261"/>
      <c r="T371" s="1173">
        <f t="shared" si="66"/>
        <v>1</v>
      </c>
      <c r="U371" s="261"/>
      <c r="V371" s="261"/>
      <c r="W371" s="261"/>
      <c r="X371" s="261"/>
      <c r="Y371" s="261"/>
      <c r="Z371" s="261"/>
      <c r="AA371" s="261"/>
      <c r="AB371" s="261"/>
      <c r="AC371" s="261"/>
      <c r="AD371" s="261"/>
      <c r="AE371" s="261"/>
      <c r="AF371" s="261"/>
      <c r="AG371" s="1173">
        <f t="shared" si="77"/>
        <v>0</v>
      </c>
      <c r="AH371" s="61" t="str">
        <f t="shared" si="78"/>
        <v/>
      </c>
      <c r="AI371" s="89" t="e">
        <f t="shared" si="79"/>
        <v>#N/A</v>
      </c>
      <c r="AJ371" s="2"/>
      <c r="AK371" s="61">
        <f>IF(G371=G$547,0,IF(OR(G371&lt;&gt;0,CH371&lt;&gt;0,C371="L"),COUNTIF(AK$180:AK370,"&gt;0")+1,0))</f>
        <v>0</v>
      </c>
      <c r="AL371" s="61" t="str">
        <f t="shared" si="67"/>
        <v/>
      </c>
      <c r="AM371" s="61" t="e">
        <f t="shared" si="68"/>
        <v>#N/A</v>
      </c>
      <c r="AN371" s="89" t="e">
        <f t="shared" si="69"/>
        <v>#N/A</v>
      </c>
      <c r="AO371" s="230">
        <f>SUM(LUG!X17:AD17)-BD371+AY371</f>
        <v>0</v>
      </c>
      <c r="AP371" s="228">
        <f>SUMIF(LUG!$G$121:$M$121,AP$178,LUG!$P17:$V17)+SUMIF($AZ$178:$BC$178,AP$178,$AZ371:$BC371)</f>
        <v>0</v>
      </c>
      <c r="AQ371" s="229">
        <f>SUMIF(LUG!$G$121:$M$121,AQ$178,LUG!$P17:$V17)+SUMIF($AZ$178:$BC$178,AQ$178,$AZ371:$BC371)</f>
        <v>0</v>
      </c>
      <c r="AR371" s="230">
        <f>SUMIF(LUG!$G$121:$M$121,AR$178,LUG!$P17:$V17)+SUMIF($AZ$178:$BC$178,AR$178,$AZ371:$BC371)</f>
        <v>0</v>
      </c>
      <c r="AS371" s="230">
        <f>SUMIF(LUG!$G$121:$M$121,AS$178,LUG!$P17:$V17)+SUMIF($AZ$178:$BC$178,AS$178,$AZ371:$BC371)</f>
        <v>0</v>
      </c>
      <c r="AT371" s="230">
        <f>SUMIF(LUG!$G$121:$M$121,AT$178,LUG!$P17:$V17)+SUMIF($AZ$178:$BC$178,AT$178,$AZ371:$BC371)</f>
        <v>0</v>
      </c>
      <c r="AU371" s="230">
        <f>SUMIF(LUG!$G$121:$M$121,AU$178,LUG!$P17:$V17)+SUMIF($AZ$178:$BC$178,AU$178,$AZ371:$BC371)</f>
        <v>0</v>
      </c>
      <c r="AV371" s="230">
        <f>SUMIF(LUG!$G$121:$M$121,AV$178,LUG!$P17:$V17)+SUMIF($AZ$178:$BC$178,AV$178,$AZ371:$BC371)</f>
        <v>0</v>
      </c>
      <c r="AW371" s="230">
        <f>SUMIF(LUG!$G$121:$M$121,AW$178,LUG!$P17:$V17)+SUMIF($AZ$178:$BC$178,AW$178,$AZ371:$BC371)</f>
        <v>0</v>
      </c>
      <c r="AX371" s="231">
        <f>SUMIF(LUG!$G$121:$M$121,AX$178,LUG!$P17:$V17)+SUMIF($AZ$178:$BC$178,AX$178,$AZ371:$BC371)</f>
        <v>0</v>
      </c>
      <c r="AY371" s="232">
        <f>LUG!AF17</f>
        <v>0</v>
      </c>
      <c r="AZ371" s="228">
        <f>LUG!AG17</f>
        <v>0</v>
      </c>
      <c r="BA371" s="229">
        <f>LUG!AH17</f>
        <v>0</v>
      </c>
      <c r="BB371" s="230">
        <f>LUG!AI17</f>
        <v>0</v>
      </c>
      <c r="BC371" s="231">
        <f>LUG!AJ17</f>
        <v>0</v>
      </c>
      <c r="BD371" s="228">
        <f>SUMIF(LUG!$G$120:$M$120,"&gt;0",LUG!$X17:$AD17)</f>
        <v>0</v>
      </c>
      <c r="BE371" s="696"/>
      <c r="BF371" s="228">
        <f>SUMIF(LUG!$BA$6:$BG$6,BF$177,LUG!$BA17:$BG17)</f>
        <v>0</v>
      </c>
      <c r="BG371" s="229">
        <f>SUMIF(LUG!$BA$6:$BG$6,BG$177,LUG!$BA17:$BG17)</f>
        <v>0</v>
      </c>
      <c r="BH371" s="229">
        <f>SUMIF(LUG!$BA$6:$BG$6,BH$177,LUG!$BA17:$BG17)</f>
        <v>0</v>
      </c>
      <c r="BI371" s="229">
        <f>SUMIF(LUG!$BA$6:$BG$6,BI$177,LUG!$BA17:$BG17)</f>
        <v>0</v>
      </c>
      <c r="BJ371" s="229">
        <f>SUMIF(LUG!$BA$6:$BG$6,BJ$177,LUG!$BA17:$BG17)</f>
        <v>0</v>
      </c>
      <c r="BK371" s="229">
        <f>SUMIF(LUG!$BA$6:$BG$6,BK$177,LUG!$BA17:$BG17)</f>
        <v>0</v>
      </c>
      <c r="BL371" s="229">
        <f>SUMIF(LUG!$BA$6:$BG$6,BL$177,LUG!$BA17:$BG17)</f>
        <v>0</v>
      </c>
      <c r="BM371" s="229">
        <f>SUMIF(LUG!$BA$6:$BG$6,BM$177,LUG!$BA17:$BG17)</f>
        <v>0</v>
      </c>
      <c r="BN371" s="229">
        <f>SUMIF(LUG!$BA$6:$BG$6,BN$177,LUG!$BA17:$BG17)</f>
        <v>0</v>
      </c>
      <c r="BO371" s="231">
        <f>SUMIF(LUG!$BA$6:$BG$6,BO$177,LUG!$BA17:$BG17)</f>
        <v>0</v>
      </c>
      <c r="BP371" s="231">
        <f>SUMIF(LUG!$BA$6:$BG$6,BP$177,LUG!$BA17:$BG17)</f>
        <v>0</v>
      </c>
      <c r="BQ371" s="252"/>
      <c r="BR371" s="228">
        <f>SUMIF(LUG!$BA$5:$BG$5,BR$177,LUG!$BA17:$BG17)</f>
        <v>0</v>
      </c>
      <c r="BS371" s="229">
        <f>SUMIF(LUG!$BA$5:$BG$5,BS$177,LUG!$BA17:$BG17)</f>
        <v>0</v>
      </c>
      <c r="BT371" s="229">
        <f>SUMIF(LUG!$BA$5:$BG$5,BT$177,LUG!$BA17:$BG17)</f>
        <v>0</v>
      </c>
      <c r="BU371" s="229">
        <f>SUMIF(LUG!$BA$5:$BG$5,BU$177,LUG!$BA17:$BG17)</f>
        <v>0</v>
      </c>
      <c r="BV371" s="229">
        <f>SUMIF(LUG!$BA$5:$BG$5,BV$177,LUG!$BA17:$BG17)</f>
        <v>0</v>
      </c>
      <c r="BW371" s="229">
        <f>SUMIF(LUG!$BA$5:$BG$5,BW$177,LUG!$BA17:$BG17)</f>
        <v>0</v>
      </c>
      <c r="BX371" s="230">
        <f>SUMIF(LUG!$BA$5:$BG$5,BX$177,LUG!$BA17:$BG17)</f>
        <v>0</v>
      </c>
      <c r="BY371" s="998">
        <f>SUMIF(LUG!$BA$5:$BG$5,BY$177,LUG!$BA17:$BG17)</f>
        <v>0</v>
      </c>
      <c r="CB371" s="252"/>
      <c r="CC371" s="61" t="e">
        <f t="shared" si="70"/>
        <v>#N/A</v>
      </c>
      <c r="CD371" s="61">
        <f t="shared" si="71"/>
        <v>0</v>
      </c>
      <c r="CE371" s="105" t="str">
        <f t="shared" si="82"/>
        <v/>
      </c>
      <c r="CF371" s="61" t="e">
        <f t="shared" si="72"/>
        <v>#N/A</v>
      </c>
      <c r="CG371" s="61" t="e">
        <f t="shared" si="73"/>
        <v>#N/A</v>
      </c>
      <c r="CH371" s="521">
        <f>LUG!AL17-CW371+CR371</f>
        <v>0</v>
      </c>
      <c r="CI371" s="228">
        <f>SUMIF(LUG!$G$121:$M$121,CI$178,LUG!$AM17:$AS17)+SUMIF($CS$178:$CV$178,CI$178,$CS371:$CV371)</f>
        <v>0</v>
      </c>
      <c r="CJ371" s="229">
        <f>SUMIF(LUG!$G$121:$M$121,CJ$178,LUG!$AM17:$AS17)+SUMIF($CS$178:$CV$178,CJ$178,$CS371:$CV371)</f>
        <v>0</v>
      </c>
      <c r="CK371" s="230">
        <f>SUMIF(LUG!$G$121:$M$121,CK$178,LUG!$AM17:$AS17)+SUMIF($CS$178:$CV$178,CK$178,$CS371:$CV371)</f>
        <v>0</v>
      </c>
      <c r="CL371" s="230">
        <f>SUMIF(LUG!$G$121:$M$121,CL$178,LUG!$AM17:$AS17)+SUMIF($CS$178:$CV$178,CL$178,$CS371:$CV371)</f>
        <v>0</v>
      </c>
      <c r="CM371" s="230">
        <f>SUMIF(LUG!$G$121:$M$121,CM$178,LUG!$AM17:$AS17)+SUMIF($CS$178:$CV$178,CM$178,$CS371:$CV371)</f>
        <v>0</v>
      </c>
      <c r="CN371" s="230">
        <f>SUMIF(LUG!$G$121:$M$121,CN$178,LUG!$AM17:$AS17)+SUMIF($CS$178:$CV$178,CN$178,$CS371:$CV371)</f>
        <v>0</v>
      </c>
      <c r="CO371" s="230">
        <f>SUMIF(LUG!$G$121:$M$121,CO$178,LUG!$AM17:$AS17)+SUMIF($CS$178:$CV$178,CO$178,$CS371:$CV371)</f>
        <v>0</v>
      </c>
      <c r="CP371" s="230">
        <f>SUMIF(LUG!$G$121:$M$121,CP$178,LUG!$AM17:$AS17)+SUMIF($CS$178:$CV$178,CP$178,$CS371:$CV371)</f>
        <v>0</v>
      </c>
      <c r="CQ371" s="231">
        <f>SUMIF(LUG!$G$121:$M$121,CQ$178,LUG!$AM17:$AS17)+SUMIF($CS$178:$CV$178,CQ$178,$CS371:$CV371)</f>
        <v>0</v>
      </c>
      <c r="CR371" s="521">
        <f>LUG!AU17</f>
        <v>0</v>
      </c>
      <c r="CS371" s="228">
        <f>LUG!AV17</f>
        <v>0</v>
      </c>
      <c r="CT371" s="229">
        <f>LUG!AW17</f>
        <v>0</v>
      </c>
      <c r="CU371" s="230">
        <f>LUG!AX17</f>
        <v>0</v>
      </c>
      <c r="CV371" s="231">
        <f>LUG!AY17</f>
        <v>0</v>
      </c>
      <c r="CW371" s="521">
        <f>SUM(LUG!AU17:AY17)</f>
        <v>0</v>
      </c>
      <c r="CX371" s="521">
        <f>LUG!AK17</f>
        <v>0</v>
      </c>
      <c r="CY371" s="2"/>
    </row>
    <row r="372" spans="1:103" ht="14.25" hidden="1" customHeight="1" x14ac:dyDescent="0.2">
      <c r="A372" s="2"/>
      <c r="B372" s="105">
        <f t="shared" si="74"/>
        <v>45484</v>
      </c>
      <c r="C372" s="146">
        <f>IF(AND(E372&gt;(N$557-1),E372&lt;(R$557+1)),W$551,IF(ISERROR(HLOOKUP(E372,$N$550:$U$550,1,FALSE)),HLOOKUP(WEEKDAY(E372,2),IMPOSTAZIONI!$C$52:$P$57,6,FALSE),$W$550))</f>
        <v>0</v>
      </c>
      <c r="D372" s="71" t="str">
        <f t="shared" si="75"/>
        <v/>
      </c>
      <c r="E372" s="2258">
        <f t="shared" si="80"/>
        <v>45484</v>
      </c>
      <c r="F372" s="2259"/>
      <c r="G372" s="2228" t="str">
        <f>LUG!E18</f>
        <v xml:space="preserve">disattivato  </v>
      </c>
      <c r="H372" s="2229"/>
      <c r="I372" s="2230"/>
      <c r="J372" s="262" t="str">
        <f t="shared" ref="J372:J435" si="83">IF(E372=T$5,"&gt;","")</f>
        <v/>
      </c>
      <c r="K372" s="263"/>
      <c r="L372" s="2217">
        <f t="shared" si="81"/>
        <v>28</v>
      </c>
      <c r="M372" s="2218"/>
      <c r="N372" s="261"/>
      <c r="O372" s="261"/>
      <c r="P372" s="261"/>
      <c r="Q372" s="2219">
        <f t="shared" si="76"/>
        <v>45484</v>
      </c>
      <c r="R372" s="2219"/>
      <c r="S372" s="261"/>
      <c r="T372" s="1173">
        <f t="shared" ref="T372:T435" si="84">IF(OR(G372&lt;&gt;0,CH372&lt;&gt;0),1,0)</f>
        <v>1</v>
      </c>
      <c r="U372" s="261"/>
      <c r="V372" s="261"/>
      <c r="W372" s="261"/>
      <c r="X372" s="261"/>
      <c r="Y372" s="261"/>
      <c r="Z372" s="261"/>
      <c r="AA372" s="261"/>
      <c r="AB372" s="261"/>
      <c r="AC372" s="261"/>
      <c r="AD372" s="261"/>
      <c r="AE372" s="261"/>
      <c r="AF372" s="261"/>
      <c r="AG372" s="1173">
        <f t="shared" si="77"/>
        <v>0</v>
      </c>
      <c r="AH372" s="61" t="str">
        <f t="shared" si="78"/>
        <v/>
      </c>
      <c r="AI372" s="89" t="e">
        <f t="shared" si="79"/>
        <v>#N/A</v>
      </c>
      <c r="AJ372" s="2"/>
      <c r="AK372" s="61">
        <f>IF(G372=G$547,0,IF(OR(G372&lt;&gt;0,CH372&lt;&gt;0,C372="L"),COUNTIF(AK$180:AK371,"&gt;0")+1,0))</f>
        <v>0</v>
      </c>
      <c r="AL372" s="61" t="str">
        <f t="shared" ref="AL372:AL435" si="85">IF(AL$177=5,AH372,IF(AK372=0,"",IF(AL$177=1,IF(AND(AK372&gt;($CD$549-1),AK372&lt;($CD$550+1)),"Y",""),IF(AL$177=2,IF(AL$176=MONTH(E372),"Y",""),IF(AL$177=3,"Y",IF(AL$177=4,IF(AND(E372&gt;(AO$177-1),E372&lt;(AO$178+1)),"Y",""),IF(AL$177=5,IF(AG372=1,"Y",""),"")))))))</f>
        <v/>
      </c>
      <c r="AM372" s="61" t="e">
        <f t="shared" ref="AM372:AM435" si="86">IF(AM$175=AM$174,CG372,IF(AND(AN$177&gt;0,AN$178&gt;0),IF(AND(E372&gt;(AN$177-1),E372&lt;(AN$178+1),OR(AO372&lt;&gt;0,AN372=AM$177)),"X",""),""))</f>
        <v>#N/A</v>
      </c>
      <c r="AN372" s="89" t="e">
        <f t="shared" ref="AN372:AN435" si="87">IF(AND(E372&gt;(AN$177-1),E372&lt;(AN$178+1)),C372,0)</f>
        <v>#N/A</v>
      </c>
      <c r="AO372" s="230">
        <f>SUM(LUG!X18:AD18)-BD372+AY372</f>
        <v>0</v>
      </c>
      <c r="AP372" s="228">
        <f>SUMIF(LUG!$G$121:$M$121,AP$178,LUG!$P18:$V18)+SUMIF($AZ$178:$BC$178,AP$178,$AZ372:$BC372)</f>
        <v>0</v>
      </c>
      <c r="AQ372" s="229">
        <f>SUMIF(LUG!$G$121:$M$121,AQ$178,LUG!$P18:$V18)+SUMIF($AZ$178:$BC$178,AQ$178,$AZ372:$BC372)</f>
        <v>0</v>
      </c>
      <c r="AR372" s="230">
        <f>SUMIF(LUG!$G$121:$M$121,AR$178,LUG!$P18:$V18)+SUMIF($AZ$178:$BC$178,AR$178,$AZ372:$BC372)</f>
        <v>0</v>
      </c>
      <c r="AS372" s="230">
        <f>SUMIF(LUG!$G$121:$M$121,AS$178,LUG!$P18:$V18)+SUMIF($AZ$178:$BC$178,AS$178,$AZ372:$BC372)</f>
        <v>0</v>
      </c>
      <c r="AT372" s="230">
        <f>SUMIF(LUG!$G$121:$M$121,AT$178,LUG!$P18:$V18)+SUMIF($AZ$178:$BC$178,AT$178,$AZ372:$BC372)</f>
        <v>0</v>
      </c>
      <c r="AU372" s="230">
        <f>SUMIF(LUG!$G$121:$M$121,AU$178,LUG!$P18:$V18)+SUMIF($AZ$178:$BC$178,AU$178,$AZ372:$BC372)</f>
        <v>0</v>
      </c>
      <c r="AV372" s="230">
        <f>SUMIF(LUG!$G$121:$M$121,AV$178,LUG!$P18:$V18)+SUMIF($AZ$178:$BC$178,AV$178,$AZ372:$BC372)</f>
        <v>0</v>
      </c>
      <c r="AW372" s="230">
        <f>SUMIF(LUG!$G$121:$M$121,AW$178,LUG!$P18:$V18)+SUMIF($AZ$178:$BC$178,AW$178,$AZ372:$BC372)</f>
        <v>0</v>
      </c>
      <c r="AX372" s="231">
        <f>SUMIF(LUG!$G$121:$M$121,AX$178,LUG!$P18:$V18)+SUMIF($AZ$178:$BC$178,AX$178,$AZ372:$BC372)</f>
        <v>0</v>
      </c>
      <c r="AY372" s="232">
        <f>LUG!AF18</f>
        <v>0</v>
      </c>
      <c r="AZ372" s="228">
        <f>LUG!AG18</f>
        <v>0</v>
      </c>
      <c r="BA372" s="229">
        <f>LUG!AH18</f>
        <v>0</v>
      </c>
      <c r="BB372" s="230">
        <f>LUG!AI18</f>
        <v>0</v>
      </c>
      <c r="BC372" s="231">
        <f>LUG!AJ18</f>
        <v>0</v>
      </c>
      <c r="BD372" s="228">
        <f>SUMIF(LUG!$G$120:$M$120,"&gt;0",LUG!$X18:$AD18)</f>
        <v>0</v>
      </c>
      <c r="BE372" s="696"/>
      <c r="BF372" s="228">
        <f>SUMIF(LUG!$BA$6:$BG$6,BF$177,LUG!$BA18:$BG18)</f>
        <v>0</v>
      </c>
      <c r="BG372" s="229">
        <f>SUMIF(LUG!$BA$6:$BG$6,BG$177,LUG!$BA18:$BG18)</f>
        <v>0</v>
      </c>
      <c r="BH372" s="229">
        <f>SUMIF(LUG!$BA$6:$BG$6,BH$177,LUG!$BA18:$BG18)</f>
        <v>0</v>
      </c>
      <c r="BI372" s="229">
        <f>SUMIF(LUG!$BA$6:$BG$6,BI$177,LUG!$BA18:$BG18)</f>
        <v>0</v>
      </c>
      <c r="BJ372" s="229">
        <f>SUMIF(LUG!$BA$6:$BG$6,BJ$177,LUG!$BA18:$BG18)</f>
        <v>0</v>
      </c>
      <c r="BK372" s="229">
        <f>SUMIF(LUG!$BA$6:$BG$6,BK$177,LUG!$BA18:$BG18)</f>
        <v>0</v>
      </c>
      <c r="BL372" s="229">
        <f>SUMIF(LUG!$BA$6:$BG$6,BL$177,LUG!$BA18:$BG18)</f>
        <v>0</v>
      </c>
      <c r="BM372" s="229">
        <f>SUMIF(LUG!$BA$6:$BG$6,BM$177,LUG!$BA18:$BG18)</f>
        <v>0</v>
      </c>
      <c r="BN372" s="229">
        <f>SUMIF(LUG!$BA$6:$BG$6,BN$177,LUG!$BA18:$BG18)</f>
        <v>0</v>
      </c>
      <c r="BO372" s="231">
        <f>SUMIF(LUG!$BA$6:$BG$6,BO$177,LUG!$BA18:$BG18)</f>
        <v>0</v>
      </c>
      <c r="BP372" s="231">
        <f>SUMIF(LUG!$BA$6:$BG$6,BP$177,LUG!$BA18:$BG18)</f>
        <v>0</v>
      </c>
      <c r="BQ372" s="252"/>
      <c r="BR372" s="228">
        <f>SUMIF(LUG!$BA$5:$BG$5,BR$177,LUG!$BA18:$BG18)</f>
        <v>0</v>
      </c>
      <c r="BS372" s="229">
        <f>SUMIF(LUG!$BA$5:$BG$5,BS$177,LUG!$BA18:$BG18)</f>
        <v>0</v>
      </c>
      <c r="BT372" s="229">
        <f>SUMIF(LUG!$BA$5:$BG$5,BT$177,LUG!$BA18:$BG18)</f>
        <v>0</v>
      </c>
      <c r="BU372" s="229">
        <f>SUMIF(LUG!$BA$5:$BG$5,BU$177,LUG!$BA18:$BG18)</f>
        <v>0</v>
      </c>
      <c r="BV372" s="229">
        <f>SUMIF(LUG!$BA$5:$BG$5,BV$177,LUG!$BA18:$BG18)</f>
        <v>0</v>
      </c>
      <c r="BW372" s="229">
        <f>SUMIF(LUG!$BA$5:$BG$5,BW$177,LUG!$BA18:$BG18)</f>
        <v>0</v>
      </c>
      <c r="BX372" s="230">
        <f>SUMIF(LUG!$BA$5:$BG$5,BX$177,LUG!$BA18:$BG18)</f>
        <v>0</v>
      </c>
      <c r="BY372" s="998">
        <f>SUMIF(LUG!$BA$5:$BG$5,BY$177,LUG!$BA18:$BG18)</f>
        <v>0</v>
      </c>
      <c r="CB372" s="252"/>
      <c r="CC372" s="61" t="e">
        <f t="shared" ref="CC372:CC435" si="88">IF(AM372="X",AK372,0)</f>
        <v>#N/A</v>
      </c>
      <c r="CD372" s="61">
        <f t="shared" ref="CD372:CD435" si="89">IF(AL372="Y",AK372,0)</f>
        <v>0</v>
      </c>
      <c r="CE372" s="105" t="str">
        <f t="shared" si="82"/>
        <v/>
      </c>
      <c r="CF372" s="61" t="e">
        <f t="shared" ref="CF372:CF435" si="90">IF(CG372="X",AK372,0)</f>
        <v>#N/A</v>
      </c>
      <c r="CG372" s="61" t="e">
        <f t="shared" ref="CG372:CG435" si="91">IF(AND(L372&gt;(AI$177-1),L372&lt;(AI$178+1),OR(AO372&lt;&gt;0,AI372=CG$177)),"X","")</f>
        <v>#N/A</v>
      </c>
      <c r="CH372" s="521">
        <f>LUG!AL18-CW372+CR372</f>
        <v>0</v>
      </c>
      <c r="CI372" s="228">
        <f>SUMIF(LUG!$G$121:$M$121,CI$178,LUG!$AM18:$AS18)+SUMIF($CS$178:$CV$178,CI$178,$CS372:$CV372)</f>
        <v>0</v>
      </c>
      <c r="CJ372" s="229">
        <f>SUMIF(LUG!$G$121:$M$121,CJ$178,LUG!$AM18:$AS18)+SUMIF($CS$178:$CV$178,CJ$178,$CS372:$CV372)</f>
        <v>0</v>
      </c>
      <c r="CK372" s="230">
        <f>SUMIF(LUG!$G$121:$M$121,CK$178,LUG!$AM18:$AS18)+SUMIF($CS$178:$CV$178,CK$178,$CS372:$CV372)</f>
        <v>0</v>
      </c>
      <c r="CL372" s="230">
        <f>SUMIF(LUG!$G$121:$M$121,CL$178,LUG!$AM18:$AS18)+SUMIF($CS$178:$CV$178,CL$178,$CS372:$CV372)</f>
        <v>0</v>
      </c>
      <c r="CM372" s="230">
        <f>SUMIF(LUG!$G$121:$M$121,CM$178,LUG!$AM18:$AS18)+SUMIF($CS$178:$CV$178,CM$178,$CS372:$CV372)</f>
        <v>0</v>
      </c>
      <c r="CN372" s="230">
        <f>SUMIF(LUG!$G$121:$M$121,CN$178,LUG!$AM18:$AS18)+SUMIF($CS$178:$CV$178,CN$178,$CS372:$CV372)</f>
        <v>0</v>
      </c>
      <c r="CO372" s="230">
        <f>SUMIF(LUG!$G$121:$M$121,CO$178,LUG!$AM18:$AS18)+SUMIF($CS$178:$CV$178,CO$178,$CS372:$CV372)</f>
        <v>0</v>
      </c>
      <c r="CP372" s="230">
        <f>SUMIF(LUG!$G$121:$M$121,CP$178,LUG!$AM18:$AS18)+SUMIF($CS$178:$CV$178,CP$178,$CS372:$CV372)</f>
        <v>0</v>
      </c>
      <c r="CQ372" s="231">
        <f>SUMIF(LUG!$G$121:$M$121,CQ$178,LUG!$AM18:$AS18)+SUMIF($CS$178:$CV$178,CQ$178,$CS372:$CV372)</f>
        <v>0</v>
      </c>
      <c r="CR372" s="521">
        <f>LUG!AU18</f>
        <v>0</v>
      </c>
      <c r="CS372" s="228">
        <f>LUG!AV18</f>
        <v>0</v>
      </c>
      <c r="CT372" s="229">
        <f>LUG!AW18</f>
        <v>0</v>
      </c>
      <c r="CU372" s="230">
        <f>LUG!AX18</f>
        <v>0</v>
      </c>
      <c r="CV372" s="231">
        <f>LUG!AY18</f>
        <v>0</v>
      </c>
      <c r="CW372" s="521">
        <f>SUM(LUG!AU18:AY18)</f>
        <v>0</v>
      </c>
      <c r="CX372" s="521">
        <f>LUG!AK18</f>
        <v>0</v>
      </c>
      <c r="CY372" s="2"/>
    </row>
    <row r="373" spans="1:103" ht="14.25" hidden="1" customHeight="1" x14ac:dyDescent="0.2">
      <c r="A373" s="2"/>
      <c r="B373" s="105">
        <f t="shared" ref="B373:B436" si="92">E373</f>
        <v>45485</v>
      </c>
      <c r="C373" s="146">
        <f>IF(AND(E373&gt;(N$557-1),E373&lt;(R$557+1)),W$551,IF(ISERROR(HLOOKUP(E373,$N$550:$U$550,1,FALSE)),HLOOKUP(WEEKDAY(E373,2),IMPOSTAZIONI!$C$52:$P$57,6,FALSE),$W$550))</f>
        <v>0</v>
      </c>
      <c r="D373" s="71" t="str">
        <f t="shared" ref="D373:D436" si="93">IF(C373="L",MONTH(E373),"")</f>
        <v/>
      </c>
      <c r="E373" s="2258">
        <f t="shared" si="80"/>
        <v>45485</v>
      </c>
      <c r="F373" s="2259"/>
      <c r="G373" s="2228" t="str">
        <f>LUG!E19</f>
        <v xml:space="preserve">disattivato  </v>
      </c>
      <c r="H373" s="2229"/>
      <c r="I373" s="2230"/>
      <c r="J373" s="262" t="str">
        <f t="shared" si="83"/>
        <v/>
      </c>
      <c r="K373" s="263"/>
      <c r="L373" s="2217">
        <f t="shared" si="81"/>
        <v>28</v>
      </c>
      <c r="M373" s="2218"/>
      <c r="N373" s="261"/>
      <c r="O373" s="261"/>
      <c r="P373" s="261"/>
      <c r="Q373" s="2219">
        <f t="shared" ref="Q373:Q436" si="94">E373</f>
        <v>45485</v>
      </c>
      <c r="R373" s="2219"/>
      <c r="S373" s="261"/>
      <c r="T373" s="1173">
        <f t="shared" si="84"/>
        <v>1</v>
      </c>
      <c r="U373" s="261"/>
      <c r="V373" s="261"/>
      <c r="W373" s="261"/>
      <c r="X373" s="261"/>
      <c r="Y373" s="261"/>
      <c r="Z373" s="261"/>
      <c r="AA373" s="261"/>
      <c r="AB373" s="261"/>
      <c r="AC373" s="261"/>
      <c r="AD373" s="261"/>
      <c r="AE373" s="261"/>
      <c r="AF373" s="261"/>
      <c r="AG373" s="1173">
        <f t="shared" ref="AG373:AG436" si="95">IF(AND(L373&gt;(AG$176-1),L373&lt;(AG$177+1)),1,0)</f>
        <v>0</v>
      </c>
      <c r="AH373" s="61" t="str">
        <f t="shared" ref="AH373:AH436" si="96">IF(AK373=0,"",IF(AH$177=5,IF(AND(L373&gt;(AG$176-1),L373&lt;(AG$177+1)),"Y",""),""))</f>
        <v/>
      </c>
      <c r="AI373" s="89" t="e">
        <f t="shared" ref="AI373:AI436" si="97">IF(AND($L373&gt;(AI$177-1),$L373&lt;(AI$178+1)),$C373,0)</f>
        <v>#N/A</v>
      </c>
      <c r="AJ373" s="2"/>
      <c r="AK373" s="61">
        <f>IF(G373=G$547,0,IF(OR(G373&lt;&gt;0,CH373&lt;&gt;0,C373="L"),COUNTIF(AK$180:AK372,"&gt;0")+1,0))</f>
        <v>0</v>
      </c>
      <c r="AL373" s="61" t="str">
        <f t="shared" si="85"/>
        <v/>
      </c>
      <c r="AM373" s="61" t="e">
        <f t="shared" si="86"/>
        <v>#N/A</v>
      </c>
      <c r="AN373" s="89" t="e">
        <f t="shared" si="87"/>
        <v>#N/A</v>
      </c>
      <c r="AO373" s="230">
        <f>SUM(LUG!X19:AD19)-BD373+AY373</f>
        <v>0</v>
      </c>
      <c r="AP373" s="228">
        <f>SUMIF(LUG!$G$121:$M$121,AP$178,LUG!$P19:$V19)+SUMIF($AZ$178:$BC$178,AP$178,$AZ373:$BC373)</f>
        <v>0</v>
      </c>
      <c r="AQ373" s="229">
        <f>SUMIF(LUG!$G$121:$M$121,AQ$178,LUG!$P19:$V19)+SUMIF($AZ$178:$BC$178,AQ$178,$AZ373:$BC373)</f>
        <v>0</v>
      </c>
      <c r="AR373" s="230">
        <f>SUMIF(LUG!$G$121:$M$121,AR$178,LUG!$P19:$V19)+SUMIF($AZ$178:$BC$178,AR$178,$AZ373:$BC373)</f>
        <v>0</v>
      </c>
      <c r="AS373" s="230">
        <f>SUMIF(LUG!$G$121:$M$121,AS$178,LUG!$P19:$V19)+SUMIF($AZ$178:$BC$178,AS$178,$AZ373:$BC373)</f>
        <v>0</v>
      </c>
      <c r="AT373" s="230">
        <f>SUMIF(LUG!$G$121:$M$121,AT$178,LUG!$P19:$V19)+SUMIF($AZ$178:$BC$178,AT$178,$AZ373:$BC373)</f>
        <v>0</v>
      </c>
      <c r="AU373" s="230">
        <f>SUMIF(LUG!$G$121:$M$121,AU$178,LUG!$P19:$V19)+SUMIF($AZ$178:$BC$178,AU$178,$AZ373:$BC373)</f>
        <v>0</v>
      </c>
      <c r="AV373" s="230">
        <f>SUMIF(LUG!$G$121:$M$121,AV$178,LUG!$P19:$V19)+SUMIF($AZ$178:$BC$178,AV$178,$AZ373:$BC373)</f>
        <v>0</v>
      </c>
      <c r="AW373" s="230">
        <f>SUMIF(LUG!$G$121:$M$121,AW$178,LUG!$P19:$V19)+SUMIF($AZ$178:$BC$178,AW$178,$AZ373:$BC373)</f>
        <v>0</v>
      </c>
      <c r="AX373" s="231">
        <f>SUMIF(LUG!$G$121:$M$121,AX$178,LUG!$P19:$V19)+SUMIF($AZ$178:$BC$178,AX$178,$AZ373:$BC373)</f>
        <v>0</v>
      </c>
      <c r="AY373" s="232">
        <f>LUG!AF19</f>
        <v>0</v>
      </c>
      <c r="AZ373" s="228">
        <f>LUG!AG19</f>
        <v>0</v>
      </c>
      <c r="BA373" s="229">
        <f>LUG!AH19</f>
        <v>0</v>
      </c>
      <c r="BB373" s="230">
        <f>LUG!AI19</f>
        <v>0</v>
      </c>
      <c r="BC373" s="231">
        <f>LUG!AJ19</f>
        <v>0</v>
      </c>
      <c r="BD373" s="228">
        <f>SUMIF(LUG!$G$120:$M$120,"&gt;0",LUG!$X19:$AD19)</f>
        <v>0</v>
      </c>
      <c r="BE373" s="696"/>
      <c r="BF373" s="228">
        <f>SUMIF(LUG!$BA$6:$BG$6,BF$177,LUG!$BA19:$BG19)</f>
        <v>0</v>
      </c>
      <c r="BG373" s="229">
        <f>SUMIF(LUG!$BA$6:$BG$6,BG$177,LUG!$BA19:$BG19)</f>
        <v>0</v>
      </c>
      <c r="BH373" s="229">
        <f>SUMIF(LUG!$BA$6:$BG$6,BH$177,LUG!$BA19:$BG19)</f>
        <v>0</v>
      </c>
      <c r="BI373" s="229">
        <f>SUMIF(LUG!$BA$6:$BG$6,BI$177,LUG!$BA19:$BG19)</f>
        <v>0</v>
      </c>
      <c r="BJ373" s="229">
        <f>SUMIF(LUG!$BA$6:$BG$6,BJ$177,LUG!$BA19:$BG19)</f>
        <v>0</v>
      </c>
      <c r="BK373" s="229">
        <f>SUMIF(LUG!$BA$6:$BG$6,BK$177,LUG!$BA19:$BG19)</f>
        <v>0</v>
      </c>
      <c r="BL373" s="229">
        <f>SUMIF(LUG!$BA$6:$BG$6,BL$177,LUG!$BA19:$BG19)</f>
        <v>0</v>
      </c>
      <c r="BM373" s="229">
        <f>SUMIF(LUG!$BA$6:$BG$6,BM$177,LUG!$BA19:$BG19)</f>
        <v>0</v>
      </c>
      <c r="BN373" s="229">
        <f>SUMIF(LUG!$BA$6:$BG$6,BN$177,LUG!$BA19:$BG19)</f>
        <v>0</v>
      </c>
      <c r="BO373" s="231">
        <f>SUMIF(LUG!$BA$6:$BG$6,BO$177,LUG!$BA19:$BG19)</f>
        <v>0</v>
      </c>
      <c r="BP373" s="231">
        <f>SUMIF(LUG!$BA$6:$BG$6,BP$177,LUG!$BA19:$BG19)</f>
        <v>0</v>
      </c>
      <c r="BQ373" s="252"/>
      <c r="BR373" s="228">
        <f>SUMIF(LUG!$BA$5:$BG$5,BR$177,LUG!$BA19:$BG19)</f>
        <v>0</v>
      </c>
      <c r="BS373" s="229">
        <f>SUMIF(LUG!$BA$5:$BG$5,BS$177,LUG!$BA19:$BG19)</f>
        <v>0</v>
      </c>
      <c r="BT373" s="229">
        <f>SUMIF(LUG!$BA$5:$BG$5,BT$177,LUG!$BA19:$BG19)</f>
        <v>0</v>
      </c>
      <c r="BU373" s="229">
        <f>SUMIF(LUG!$BA$5:$BG$5,BU$177,LUG!$BA19:$BG19)</f>
        <v>0</v>
      </c>
      <c r="BV373" s="229">
        <f>SUMIF(LUG!$BA$5:$BG$5,BV$177,LUG!$BA19:$BG19)</f>
        <v>0</v>
      </c>
      <c r="BW373" s="229">
        <f>SUMIF(LUG!$BA$5:$BG$5,BW$177,LUG!$BA19:$BG19)</f>
        <v>0</v>
      </c>
      <c r="BX373" s="230">
        <f>SUMIF(LUG!$BA$5:$BG$5,BX$177,LUG!$BA19:$BG19)</f>
        <v>0</v>
      </c>
      <c r="BY373" s="998">
        <f>SUMIF(LUG!$BA$5:$BG$5,BY$177,LUG!$BA19:$BG19)</f>
        <v>0</v>
      </c>
      <c r="CB373" s="252"/>
      <c r="CC373" s="61" t="e">
        <f t="shared" si="88"/>
        <v>#N/A</v>
      </c>
      <c r="CD373" s="61">
        <f t="shared" si="89"/>
        <v>0</v>
      </c>
      <c r="CE373" s="105" t="str">
        <f t="shared" si="82"/>
        <v/>
      </c>
      <c r="CF373" s="61" t="e">
        <f t="shared" si="90"/>
        <v>#N/A</v>
      </c>
      <c r="CG373" s="61" t="e">
        <f t="shared" si="91"/>
        <v>#N/A</v>
      </c>
      <c r="CH373" s="521">
        <f>LUG!AL19-CW373+CR373</f>
        <v>0</v>
      </c>
      <c r="CI373" s="228">
        <f>SUMIF(LUG!$G$121:$M$121,CI$178,LUG!$AM19:$AS19)+SUMIF($CS$178:$CV$178,CI$178,$CS373:$CV373)</f>
        <v>0</v>
      </c>
      <c r="CJ373" s="229">
        <f>SUMIF(LUG!$G$121:$M$121,CJ$178,LUG!$AM19:$AS19)+SUMIF($CS$178:$CV$178,CJ$178,$CS373:$CV373)</f>
        <v>0</v>
      </c>
      <c r="CK373" s="230">
        <f>SUMIF(LUG!$G$121:$M$121,CK$178,LUG!$AM19:$AS19)+SUMIF($CS$178:$CV$178,CK$178,$CS373:$CV373)</f>
        <v>0</v>
      </c>
      <c r="CL373" s="230">
        <f>SUMIF(LUG!$G$121:$M$121,CL$178,LUG!$AM19:$AS19)+SUMIF($CS$178:$CV$178,CL$178,$CS373:$CV373)</f>
        <v>0</v>
      </c>
      <c r="CM373" s="230">
        <f>SUMIF(LUG!$G$121:$M$121,CM$178,LUG!$AM19:$AS19)+SUMIF($CS$178:$CV$178,CM$178,$CS373:$CV373)</f>
        <v>0</v>
      </c>
      <c r="CN373" s="230">
        <f>SUMIF(LUG!$G$121:$M$121,CN$178,LUG!$AM19:$AS19)+SUMIF($CS$178:$CV$178,CN$178,$CS373:$CV373)</f>
        <v>0</v>
      </c>
      <c r="CO373" s="230">
        <f>SUMIF(LUG!$G$121:$M$121,CO$178,LUG!$AM19:$AS19)+SUMIF($CS$178:$CV$178,CO$178,$CS373:$CV373)</f>
        <v>0</v>
      </c>
      <c r="CP373" s="230">
        <f>SUMIF(LUG!$G$121:$M$121,CP$178,LUG!$AM19:$AS19)+SUMIF($CS$178:$CV$178,CP$178,$CS373:$CV373)</f>
        <v>0</v>
      </c>
      <c r="CQ373" s="231">
        <f>SUMIF(LUG!$G$121:$M$121,CQ$178,LUG!$AM19:$AS19)+SUMIF($CS$178:$CV$178,CQ$178,$CS373:$CV373)</f>
        <v>0</v>
      </c>
      <c r="CR373" s="521">
        <f>LUG!AU19</f>
        <v>0</v>
      </c>
      <c r="CS373" s="228">
        <f>LUG!AV19</f>
        <v>0</v>
      </c>
      <c r="CT373" s="229">
        <f>LUG!AW19</f>
        <v>0</v>
      </c>
      <c r="CU373" s="230">
        <f>LUG!AX19</f>
        <v>0</v>
      </c>
      <c r="CV373" s="231">
        <f>LUG!AY19</f>
        <v>0</v>
      </c>
      <c r="CW373" s="521">
        <f>SUM(LUG!AU19:AY19)</f>
        <v>0</v>
      </c>
      <c r="CX373" s="521">
        <f>LUG!AK19</f>
        <v>0</v>
      </c>
      <c r="CY373" s="2"/>
    </row>
    <row r="374" spans="1:103" ht="14.25" hidden="1" customHeight="1" x14ac:dyDescent="0.2">
      <c r="A374" s="2"/>
      <c r="B374" s="105">
        <f t="shared" si="92"/>
        <v>45486</v>
      </c>
      <c r="C374" s="146">
        <f>IF(AND(E374&gt;(N$557-1),E374&lt;(R$557+1)),W$551,IF(ISERROR(HLOOKUP(E374,$N$550:$U$550,1,FALSE)),HLOOKUP(WEEKDAY(E374,2),IMPOSTAZIONI!$C$52:$P$57,6,FALSE),$W$550))</f>
        <v>0</v>
      </c>
      <c r="D374" s="71" t="str">
        <f t="shared" si="93"/>
        <v/>
      </c>
      <c r="E374" s="2258">
        <f t="shared" ref="E374:E437" si="98">E373+1</f>
        <v>45486</v>
      </c>
      <c r="F374" s="2259"/>
      <c r="G374" s="2228" t="str">
        <f>LUG!E20</f>
        <v xml:space="preserve">disattivato  </v>
      </c>
      <c r="H374" s="2229"/>
      <c r="I374" s="2230"/>
      <c r="J374" s="262" t="str">
        <f t="shared" si="83"/>
        <v/>
      </c>
      <c r="K374" s="263"/>
      <c r="L374" s="2217">
        <f t="shared" si="81"/>
        <v>28</v>
      </c>
      <c r="M374" s="2218"/>
      <c r="N374" s="261"/>
      <c r="O374" s="261"/>
      <c r="P374" s="261"/>
      <c r="Q374" s="2219">
        <f t="shared" si="94"/>
        <v>45486</v>
      </c>
      <c r="R374" s="2219"/>
      <c r="S374" s="261"/>
      <c r="T374" s="1173">
        <f t="shared" si="84"/>
        <v>1</v>
      </c>
      <c r="U374" s="261"/>
      <c r="V374" s="261"/>
      <c r="W374" s="261"/>
      <c r="X374" s="261"/>
      <c r="Y374" s="261"/>
      <c r="Z374" s="261"/>
      <c r="AA374" s="261"/>
      <c r="AB374" s="261"/>
      <c r="AC374" s="261"/>
      <c r="AD374" s="261"/>
      <c r="AE374" s="261"/>
      <c r="AF374" s="261"/>
      <c r="AG374" s="1173">
        <f t="shared" si="95"/>
        <v>0</v>
      </c>
      <c r="AH374" s="61" t="str">
        <f t="shared" si="96"/>
        <v/>
      </c>
      <c r="AI374" s="89" t="e">
        <f t="shared" si="97"/>
        <v>#N/A</v>
      </c>
      <c r="AJ374" s="2"/>
      <c r="AK374" s="61">
        <f>IF(G374=G$547,0,IF(OR(G374&lt;&gt;0,CH374&lt;&gt;0,C374="L"),COUNTIF(AK$180:AK373,"&gt;0")+1,0))</f>
        <v>0</v>
      </c>
      <c r="AL374" s="61" t="str">
        <f t="shared" si="85"/>
        <v/>
      </c>
      <c r="AM374" s="61" t="e">
        <f t="shared" si="86"/>
        <v>#N/A</v>
      </c>
      <c r="AN374" s="89" t="e">
        <f t="shared" si="87"/>
        <v>#N/A</v>
      </c>
      <c r="AO374" s="230">
        <f>SUM(LUG!X20:AD20)-BD374+AY374</f>
        <v>0</v>
      </c>
      <c r="AP374" s="228">
        <f>SUMIF(LUG!$G$121:$M$121,AP$178,LUG!$P20:$V20)+SUMIF($AZ$178:$BC$178,AP$178,$AZ374:$BC374)</f>
        <v>0</v>
      </c>
      <c r="AQ374" s="229">
        <f>SUMIF(LUG!$G$121:$M$121,AQ$178,LUG!$P20:$V20)+SUMIF($AZ$178:$BC$178,AQ$178,$AZ374:$BC374)</f>
        <v>0</v>
      </c>
      <c r="AR374" s="230">
        <f>SUMIF(LUG!$G$121:$M$121,AR$178,LUG!$P20:$V20)+SUMIF($AZ$178:$BC$178,AR$178,$AZ374:$BC374)</f>
        <v>0</v>
      </c>
      <c r="AS374" s="230">
        <f>SUMIF(LUG!$G$121:$M$121,AS$178,LUG!$P20:$V20)+SUMIF($AZ$178:$BC$178,AS$178,$AZ374:$BC374)</f>
        <v>0</v>
      </c>
      <c r="AT374" s="230">
        <f>SUMIF(LUG!$G$121:$M$121,AT$178,LUG!$P20:$V20)+SUMIF($AZ$178:$BC$178,AT$178,$AZ374:$BC374)</f>
        <v>0</v>
      </c>
      <c r="AU374" s="230">
        <f>SUMIF(LUG!$G$121:$M$121,AU$178,LUG!$P20:$V20)+SUMIF($AZ$178:$BC$178,AU$178,$AZ374:$BC374)</f>
        <v>0</v>
      </c>
      <c r="AV374" s="230">
        <f>SUMIF(LUG!$G$121:$M$121,AV$178,LUG!$P20:$V20)+SUMIF($AZ$178:$BC$178,AV$178,$AZ374:$BC374)</f>
        <v>0</v>
      </c>
      <c r="AW374" s="230">
        <f>SUMIF(LUG!$G$121:$M$121,AW$178,LUG!$P20:$V20)+SUMIF($AZ$178:$BC$178,AW$178,$AZ374:$BC374)</f>
        <v>0</v>
      </c>
      <c r="AX374" s="231">
        <f>SUMIF(LUG!$G$121:$M$121,AX$178,LUG!$P20:$V20)+SUMIF($AZ$178:$BC$178,AX$178,$AZ374:$BC374)</f>
        <v>0</v>
      </c>
      <c r="AY374" s="232">
        <f>LUG!AF20</f>
        <v>0</v>
      </c>
      <c r="AZ374" s="228">
        <f>LUG!AG20</f>
        <v>0</v>
      </c>
      <c r="BA374" s="229">
        <f>LUG!AH20</f>
        <v>0</v>
      </c>
      <c r="BB374" s="230">
        <f>LUG!AI20</f>
        <v>0</v>
      </c>
      <c r="BC374" s="231">
        <f>LUG!AJ20</f>
        <v>0</v>
      </c>
      <c r="BD374" s="228">
        <f>SUMIF(LUG!$G$120:$M$120,"&gt;0",LUG!$X20:$AD20)</f>
        <v>0</v>
      </c>
      <c r="BE374" s="696"/>
      <c r="BF374" s="228">
        <f>SUMIF(LUG!$BA$6:$BG$6,BF$177,LUG!$BA20:$BG20)</f>
        <v>0</v>
      </c>
      <c r="BG374" s="229">
        <f>SUMIF(LUG!$BA$6:$BG$6,BG$177,LUG!$BA20:$BG20)</f>
        <v>0</v>
      </c>
      <c r="BH374" s="229">
        <f>SUMIF(LUG!$BA$6:$BG$6,BH$177,LUG!$BA20:$BG20)</f>
        <v>0</v>
      </c>
      <c r="BI374" s="229">
        <f>SUMIF(LUG!$BA$6:$BG$6,BI$177,LUG!$BA20:$BG20)</f>
        <v>0</v>
      </c>
      <c r="BJ374" s="229">
        <f>SUMIF(LUG!$BA$6:$BG$6,BJ$177,LUG!$BA20:$BG20)</f>
        <v>0</v>
      </c>
      <c r="BK374" s="229">
        <f>SUMIF(LUG!$BA$6:$BG$6,BK$177,LUG!$BA20:$BG20)</f>
        <v>0</v>
      </c>
      <c r="BL374" s="229">
        <f>SUMIF(LUG!$BA$6:$BG$6,BL$177,LUG!$BA20:$BG20)</f>
        <v>0</v>
      </c>
      <c r="BM374" s="229">
        <f>SUMIF(LUG!$BA$6:$BG$6,BM$177,LUG!$BA20:$BG20)</f>
        <v>0</v>
      </c>
      <c r="BN374" s="229">
        <f>SUMIF(LUG!$BA$6:$BG$6,BN$177,LUG!$BA20:$BG20)</f>
        <v>0</v>
      </c>
      <c r="BO374" s="231">
        <f>SUMIF(LUG!$BA$6:$BG$6,BO$177,LUG!$BA20:$BG20)</f>
        <v>0</v>
      </c>
      <c r="BP374" s="231">
        <f>SUMIF(LUG!$BA$6:$BG$6,BP$177,LUG!$BA20:$BG20)</f>
        <v>0</v>
      </c>
      <c r="BQ374" s="252"/>
      <c r="BR374" s="228">
        <f>SUMIF(LUG!$BA$5:$BG$5,BR$177,LUG!$BA20:$BG20)</f>
        <v>0</v>
      </c>
      <c r="BS374" s="229">
        <f>SUMIF(LUG!$BA$5:$BG$5,BS$177,LUG!$BA20:$BG20)</f>
        <v>0</v>
      </c>
      <c r="BT374" s="229">
        <f>SUMIF(LUG!$BA$5:$BG$5,BT$177,LUG!$BA20:$BG20)</f>
        <v>0</v>
      </c>
      <c r="BU374" s="229">
        <f>SUMIF(LUG!$BA$5:$BG$5,BU$177,LUG!$BA20:$BG20)</f>
        <v>0</v>
      </c>
      <c r="BV374" s="229">
        <f>SUMIF(LUG!$BA$5:$BG$5,BV$177,LUG!$BA20:$BG20)</f>
        <v>0</v>
      </c>
      <c r="BW374" s="229">
        <f>SUMIF(LUG!$BA$5:$BG$5,BW$177,LUG!$BA20:$BG20)</f>
        <v>0</v>
      </c>
      <c r="BX374" s="230">
        <f>SUMIF(LUG!$BA$5:$BG$5,BX$177,LUG!$BA20:$BG20)</f>
        <v>0</v>
      </c>
      <c r="BY374" s="998">
        <f>SUMIF(LUG!$BA$5:$BG$5,BY$177,LUG!$BA20:$BG20)</f>
        <v>0</v>
      </c>
      <c r="CB374" s="252"/>
      <c r="CC374" s="61" t="e">
        <f t="shared" si="88"/>
        <v>#N/A</v>
      </c>
      <c r="CD374" s="61">
        <f t="shared" si="89"/>
        <v>0</v>
      </c>
      <c r="CE374" s="105" t="str">
        <f t="shared" si="82"/>
        <v/>
      </c>
      <c r="CF374" s="61" t="e">
        <f t="shared" si="90"/>
        <v>#N/A</v>
      </c>
      <c r="CG374" s="61" t="e">
        <f t="shared" si="91"/>
        <v>#N/A</v>
      </c>
      <c r="CH374" s="521">
        <f>LUG!AL20-CW374+CR374</f>
        <v>0</v>
      </c>
      <c r="CI374" s="228">
        <f>SUMIF(LUG!$G$121:$M$121,CI$178,LUG!$AM20:$AS20)+SUMIF($CS$178:$CV$178,CI$178,$CS374:$CV374)</f>
        <v>0</v>
      </c>
      <c r="CJ374" s="229">
        <f>SUMIF(LUG!$G$121:$M$121,CJ$178,LUG!$AM20:$AS20)+SUMIF($CS$178:$CV$178,CJ$178,$CS374:$CV374)</f>
        <v>0</v>
      </c>
      <c r="CK374" s="230">
        <f>SUMIF(LUG!$G$121:$M$121,CK$178,LUG!$AM20:$AS20)+SUMIF($CS$178:$CV$178,CK$178,$CS374:$CV374)</f>
        <v>0</v>
      </c>
      <c r="CL374" s="230">
        <f>SUMIF(LUG!$G$121:$M$121,CL$178,LUG!$AM20:$AS20)+SUMIF($CS$178:$CV$178,CL$178,$CS374:$CV374)</f>
        <v>0</v>
      </c>
      <c r="CM374" s="230">
        <f>SUMIF(LUG!$G$121:$M$121,CM$178,LUG!$AM20:$AS20)+SUMIF($CS$178:$CV$178,CM$178,$CS374:$CV374)</f>
        <v>0</v>
      </c>
      <c r="CN374" s="230">
        <f>SUMIF(LUG!$G$121:$M$121,CN$178,LUG!$AM20:$AS20)+SUMIF($CS$178:$CV$178,CN$178,$CS374:$CV374)</f>
        <v>0</v>
      </c>
      <c r="CO374" s="230">
        <f>SUMIF(LUG!$G$121:$M$121,CO$178,LUG!$AM20:$AS20)+SUMIF($CS$178:$CV$178,CO$178,$CS374:$CV374)</f>
        <v>0</v>
      </c>
      <c r="CP374" s="230">
        <f>SUMIF(LUG!$G$121:$M$121,CP$178,LUG!$AM20:$AS20)+SUMIF($CS$178:$CV$178,CP$178,$CS374:$CV374)</f>
        <v>0</v>
      </c>
      <c r="CQ374" s="231">
        <f>SUMIF(LUG!$G$121:$M$121,CQ$178,LUG!$AM20:$AS20)+SUMIF($CS$178:$CV$178,CQ$178,$CS374:$CV374)</f>
        <v>0</v>
      </c>
      <c r="CR374" s="521">
        <f>LUG!AU20</f>
        <v>0</v>
      </c>
      <c r="CS374" s="228">
        <f>LUG!AV20</f>
        <v>0</v>
      </c>
      <c r="CT374" s="229">
        <f>LUG!AW20</f>
        <v>0</v>
      </c>
      <c r="CU374" s="230">
        <f>LUG!AX20</f>
        <v>0</v>
      </c>
      <c r="CV374" s="231">
        <f>LUG!AY20</f>
        <v>0</v>
      </c>
      <c r="CW374" s="521">
        <f>SUM(LUG!AU20:AY20)</f>
        <v>0</v>
      </c>
      <c r="CX374" s="521">
        <f>LUG!AK20</f>
        <v>0</v>
      </c>
      <c r="CY374" s="2"/>
    </row>
    <row r="375" spans="1:103" ht="14.25" hidden="1" customHeight="1" x14ac:dyDescent="0.2">
      <c r="A375" s="2"/>
      <c r="B375" s="105">
        <f t="shared" si="92"/>
        <v>45487</v>
      </c>
      <c r="C375" s="146">
        <f>IF(AND(E375&gt;(N$557-1),E375&lt;(R$557+1)),W$551,IF(ISERROR(HLOOKUP(E375,$N$550:$U$550,1,FALSE)),HLOOKUP(WEEKDAY(E375,2),IMPOSTAZIONI!$C$52:$P$57,6,FALSE),$W$550))</f>
        <v>0</v>
      </c>
      <c r="D375" s="71" t="str">
        <f t="shared" si="93"/>
        <v/>
      </c>
      <c r="E375" s="2258">
        <f t="shared" si="98"/>
        <v>45487</v>
      </c>
      <c r="F375" s="2259"/>
      <c r="G375" s="2228" t="str">
        <f>LUG!E21</f>
        <v xml:space="preserve">disattivato  </v>
      </c>
      <c r="H375" s="2229"/>
      <c r="I375" s="2230"/>
      <c r="J375" s="262" t="str">
        <f t="shared" si="83"/>
        <v/>
      </c>
      <c r="K375" s="263"/>
      <c r="L375" s="2220">
        <f t="shared" si="81"/>
        <v>28</v>
      </c>
      <c r="M375" s="2221"/>
      <c r="N375" s="261"/>
      <c r="O375" s="261"/>
      <c r="P375" s="261"/>
      <c r="Q375" s="2219">
        <f t="shared" si="94"/>
        <v>45487</v>
      </c>
      <c r="R375" s="2219"/>
      <c r="S375" s="261"/>
      <c r="T375" s="1173">
        <f t="shared" si="84"/>
        <v>1</v>
      </c>
      <c r="U375" s="261"/>
      <c r="V375" s="261"/>
      <c r="W375" s="261"/>
      <c r="X375" s="261"/>
      <c r="Y375" s="261"/>
      <c r="Z375" s="261"/>
      <c r="AA375" s="261"/>
      <c r="AB375" s="261"/>
      <c r="AC375" s="261"/>
      <c r="AD375" s="261"/>
      <c r="AE375" s="261"/>
      <c r="AF375" s="261"/>
      <c r="AG375" s="1173">
        <f t="shared" si="95"/>
        <v>0</v>
      </c>
      <c r="AH375" s="61" t="str">
        <f t="shared" si="96"/>
        <v/>
      </c>
      <c r="AI375" s="89" t="e">
        <f t="shared" si="97"/>
        <v>#N/A</v>
      </c>
      <c r="AJ375" s="2"/>
      <c r="AK375" s="61">
        <f>IF(G375=G$547,0,IF(OR(G375&lt;&gt;0,CH375&lt;&gt;0,C375="L"),COUNTIF(AK$180:AK374,"&gt;0")+1,0))</f>
        <v>0</v>
      </c>
      <c r="AL375" s="61" t="str">
        <f t="shared" si="85"/>
        <v/>
      </c>
      <c r="AM375" s="61" t="e">
        <f t="shared" si="86"/>
        <v>#N/A</v>
      </c>
      <c r="AN375" s="89" t="e">
        <f t="shared" si="87"/>
        <v>#N/A</v>
      </c>
      <c r="AO375" s="230">
        <f>SUM(LUG!X21:AD21)-BD375+AY375</f>
        <v>0</v>
      </c>
      <c r="AP375" s="228">
        <f>SUMIF(LUG!$G$121:$M$121,AP$178,LUG!$P21:$V21)+SUMIF($AZ$178:$BC$178,AP$178,$AZ375:$BC375)</f>
        <v>0</v>
      </c>
      <c r="AQ375" s="229">
        <f>SUMIF(LUG!$G$121:$M$121,AQ$178,LUG!$P21:$V21)+SUMIF($AZ$178:$BC$178,AQ$178,$AZ375:$BC375)</f>
        <v>0</v>
      </c>
      <c r="AR375" s="230">
        <f>SUMIF(LUG!$G$121:$M$121,AR$178,LUG!$P21:$V21)+SUMIF($AZ$178:$BC$178,AR$178,$AZ375:$BC375)</f>
        <v>0</v>
      </c>
      <c r="AS375" s="230">
        <f>SUMIF(LUG!$G$121:$M$121,AS$178,LUG!$P21:$V21)+SUMIF($AZ$178:$BC$178,AS$178,$AZ375:$BC375)</f>
        <v>0</v>
      </c>
      <c r="AT375" s="230">
        <f>SUMIF(LUG!$G$121:$M$121,AT$178,LUG!$P21:$V21)+SUMIF($AZ$178:$BC$178,AT$178,$AZ375:$BC375)</f>
        <v>0</v>
      </c>
      <c r="AU375" s="230">
        <f>SUMIF(LUG!$G$121:$M$121,AU$178,LUG!$P21:$V21)+SUMIF($AZ$178:$BC$178,AU$178,$AZ375:$BC375)</f>
        <v>0</v>
      </c>
      <c r="AV375" s="230">
        <f>SUMIF(LUG!$G$121:$M$121,AV$178,LUG!$P21:$V21)+SUMIF($AZ$178:$BC$178,AV$178,$AZ375:$BC375)</f>
        <v>0</v>
      </c>
      <c r="AW375" s="230">
        <f>SUMIF(LUG!$G$121:$M$121,AW$178,LUG!$P21:$V21)+SUMIF($AZ$178:$BC$178,AW$178,$AZ375:$BC375)</f>
        <v>0</v>
      </c>
      <c r="AX375" s="231">
        <f>SUMIF(LUG!$G$121:$M$121,AX$178,LUG!$P21:$V21)+SUMIF($AZ$178:$BC$178,AX$178,$AZ375:$BC375)</f>
        <v>0</v>
      </c>
      <c r="AY375" s="232">
        <f>LUG!AF21</f>
        <v>0</v>
      </c>
      <c r="AZ375" s="228">
        <f>LUG!AG21</f>
        <v>0</v>
      </c>
      <c r="BA375" s="229">
        <f>LUG!AH21</f>
        <v>0</v>
      </c>
      <c r="BB375" s="230">
        <f>LUG!AI21</f>
        <v>0</v>
      </c>
      <c r="BC375" s="231">
        <f>LUG!AJ21</f>
        <v>0</v>
      </c>
      <c r="BD375" s="228">
        <f>SUMIF(LUG!$G$120:$M$120,"&gt;0",LUG!$X21:$AD21)</f>
        <v>0</v>
      </c>
      <c r="BE375" s="696"/>
      <c r="BF375" s="228">
        <f>SUMIF(LUG!$BA$6:$BG$6,BF$177,LUG!$BA21:$BG21)</f>
        <v>0</v>
      </c>
      <c r="BG375" s="229">
        <f>SUMIF(LUG!$BA$6:$BG$6,BG$177,LUG!$BA21:$BG21)</f>
        <v>0</v>
      </c>
      <c r="BH375" s="229">
        <f>SUMIF(LUG!$BA$6:$BG$6,BH$177,LUG!$BA21:$BG21)</f>
        <v>0</v>
      </c>
      <c r="BI375" s="229">
        <f>SUMIF(LUG!$BA$6:$BG$6,BI$177,LUG!$BA21:$BG21)</f>
        <v>0</v>
      </c>
      <c r="BJ375" s="229">
        <f>SUMIF(LUG!$BA$6:$BG$6,BJ$177,LUG!$BA21:$BG21)</f>
        <v>0</v>
      </c>
      <c r="BK375" s="229">
        <f>SUMIF(LUG!$BA$6:$BG$6,BK$177,LUG!$BA21:$BG21)</f>
        <v>0</v>
      </c>
      <c r="BL375" s="229">
        <f>SUMIF(LUG!$BA$6:$BG$6,BL$177,LUG!$BA21:$BG21)</f>
        <v>0</v>
      </c>
      <c r="BM375" s="229">
        <f>SUMIF(LUG!$BA$6:$BG$6,BM$177,LUG!$BA21:$BG21)</f>
        <v>0</v>
      </c>
      <c r="BN375" s="229">
        <f>SUMIF(LUG!$BA$6:$BG$6,BN$177,LUG!$BA21:$BG21)</f>
        <v>0</v>
      </c>
      <c r="BO375" s="231">
        <f>SUMIF(LUG!$BA$6:$BG$6,BO$177,LUG!$BA21:$BG21)</f>
        <v>0</v>
      </c>
      <c r="BP375" s="231">
        <f>SUMIF(LUG!$BA$6:$BG$6,BP$177,LUG!$BA21:$BG21)</f>
        <v>0</v>
      </c>
      <c r="BQ375" s="252"/>
      <c r="BR375" s="228">
        <f>SUMIF(LUG!$BA$5:$BG$5,BR$177,LUG!$BA21:$BG21)</f>
        <v>0</v>
      </c>
      <c r="BS375" s="229">
        <f>SUMIF(LUG!$BA$5:$BG$5,BS$177,LUG!$BA21:$BG21)</f>
        <v>0</v>
      </c>
      <c r="BT375" s="229">
        <f>SUMIF(LUG!$BA$5:$BG$5,BT$177,LUG!$BA21:$BG21)</f>
        <v>0</v>
      </c>
      <c r="BU375" s="229">
        <f>SUMIF(LUG!$BA$5:$BG$5,BU$177,LUG!$BA21:$BG21)</f>
        <v>0</v>
      </c>
      <c r="BV375" s="229">
        <f>SUMIF(LUG!$BA$5:$BG$5,BV$177,LUG!$BA21:$BG21)</f>
        <v>0</v>
      </c>
      <c r="BW375" s="229">
        <f>SUMIF(LUG!$BA$5:$BG$5,BW$177,LUG!$BA21:$BG21)</f>
        <v>0</v>
      </c>
      <c r="BX375" s="230">
        <f>SUMIF(LUG!$BA$5:$BG$5,BX$177,LUG!$BA21:$BG21)</f>
        <v>0</v>
      </c>
      <c r="BY375" s="998">
        <f>SUMIF(LUG!$BA$5:$BG$5,BY$177,LUG!$BA21:$BG21)</f>
        <v>0</v>
      </c>
      <c r="CB375" s="252"/>
      <c r="CC375" s="61" t="e">
        <f t="shared" si="88"/>
        <v>#N/A</v>
      </c>
      <c r="CD375" s="61">
        <f t="shared" si="89"/>
        <v>0</v>
      </c>
      <c r="CE375" s="105" t="str">
        <f t="shared" si="82"/>
        <v/>
      </c>
      <c r="CF375" s="61" t="e">
        <f t="shared" si="90"/>
        <v>#N/A</v>
      </c>
      <c r="CG375" s="61" t="e">
        <f t="shared" si="91"/>
        <v>#N/A</v>
      </c>
      <c r="CH375" s="521">
        <f>LUG!AL21-CW375+CR375</f>
        <v>0</v>
      </c>
      <c r="CI375" s="228">
        <f>SUMIF(LUG!$G$121:$M$121,CI$178,LUG!$AM21:$AS21)+SUMIF($CS$178:$CV$178,CI$178,$CS375:$CV375)</f>
        <v>0</v>
      </c>
      <c r="CJ375" s="229">
        <f>SUMIF(LUG!$G$121:$M$121,CJ$178,LUG!$AM21:$AS21)+SUMIF($CS$178:$CV$178,CJ$178,$CS375:$CV375)</f>
        <v>0</v>
      </c>
      <c r="CK375" s="230">
        <f>SUMIF(LUG!$G$121:$M$121,CK$178,LUG!$AM21:$AS21)+SUMIF($CS$178:$CV$178,CK$178,$CS375:$CV375)</f>
        <v>0</v>
      </c>
      <c r="CL375" s="230">
        <f>SUMIF(LUG!$G$121:$M$121,CL$178,LUG!$AM21:$AS21)+SUMIF($CS$178:$CV$178,CL$178,$CS375:$CV375)</f>
        <v>0</v>
      </c>
      <c r="CM375" s="230">
        <f>SUMIF(LUG!$G$121:$M$121,CM$178,LUG!$AM21:$AS21)+SUMIF($CS$178:$CV$178,CM$178,$CS375:$CV375)</f>
        <v>0</v>
      </c>
      <c r="CN375" s="230">
        <f>SUMIF(LUG!$G$121:$M$121,CN$178,LUG!$AM21:$AS21)+SUMIF($CS$178:$CV$178,CN$178,$CS375:$CV375)</f>
        <v>0</v>
      </c>
      <c r="CO375" s="230">
        <f>SUMIF(LUG!$G$121:$M$121,CO$178,LUG!$AM21:$AS21)+SUMIF($CS$178:$CV$178,CO$178,$CS375:$CV375)</f>
        <v>0</v>
      </c>
      <c r="CP375" s="230">
        <f>SUMIF(LUG!$G$121:$M$121,CP$178,LUG!$AM21:$AS21)+SUMIF($CS$178:$CV$178,CP$178,$CS375:$CV375)</f>
        <v>0</v>
      </c>
      <c r="CQ375" s="231">
        <f>SUMIF(LUG!$G$121:$M$121,CQ$178,LUG!$AM21:$AS21)+SUMIF($CS$178:$CV$178,CQ$178,$CS375:$CV375)</f>
        <v>0</v>
      </c>
      <c r="CR375" s="521">
        <f>LUG!AU21</f>
        <v>0</v>
      </c>
      <c r="CS375" s="228">
        <f>LUG!AV21</f>
        <v>0</v>
      </c>
      <c r="CT375" s="229">
        <f>LUG!AW21</f>
        <v>0</v>
      </c>
      <c r="CU375" s="230">
        <f>LUG!AX21</f>
        <v>0</v>
      </c>
      <c r="CV375" s="231">
        <f>LUG!AY21</f>
        <v>0</v>
      </c>
      <c r="CW375" s="521">
        <f>SUM(LUG!AU21:AY21)</f>
        <v>0</v>
      </c>
      <c r="CX375" s="521">
        <f>LUG!AK21</f>
        <v>0</v>
      </c>
      <c r="CY375" s="2"/>
    </row>
    <row r="376" spans="1:103" ht="14.25" hidden="1" customHeight="1" x14ac:dyDescent="0.2">
      <c r="A376" s="2"/>
      <c r="B376" s="105">
        <f t="shared" si="92"/>
        <v>45488</v>
      </c>
      <c r="C376" s="146">
        <f>IF(AND(E376&gt;(N$557-1),E376&lt;(R$557+1)),W$551,IF(ISERROR(HLOOKUP(E376,$N$550:$U$550,1,FALSE)),HLOOKUP(WEEKDAY(E376,2),IMPOSTAZIONI!$C$52:$P$57,6,FALSE),$W$550))</f>
        <v>0</v>
      </c>
      <c r="D376" s="71" t="str">
        <f t="shared" si="93"/>
        <v/>
      </c>
      <c r="E376" s="2258">
        <f t="shared" si="98"/>
        <v>45488</v>
      </c>
      <c r="F376" s="2259"/>
      <c r="G376" s="2228" t="str">
        <f>LUG!E22</f>
        <v xml:space="preserve">disattivato  </v>
      </c>
      <c r="H376" s="2229"/>
      <c r="I376" s="2230"/>
      <c r="J376" s="262" t="str">
        <f t="shared" si="83"/>
        <v/>
      </c>
      <c r="K376" s="263"/>
      <c r="L376" s="2222">
        <f t="shared" si="81"/>
        <v>29</v>
      </c>
      <c r="M376" s="2223"/>
      <c r="N376" s="261"/>
      <c r="O376" s="261"/>
      <c r="P376" s="261"/>
      <c r="Q376" s="2219">
        <f t="shared" si="94"/>
        <v>45488</v>
      </c>
      <c r="R376" s="2219"/>
      <c r="S376" s="261"/>
      <c r="T376" s="1173">
        <f t="shared" si="84"/>
        <v>1</v>
      </c>
      <c r="U376" s="261"/>
      <c r="V376" s="261"/>
      <c r="W376" s="261"/>
      <c r="X376" s="261"/>
      <c r="Y376" s="261"/>
      <c r="Z376" s="261"/>
      <c r="AA376" s="261"/>
      <c r="AB376" s="261"/>
      <c r="AC376" s="261"/>
      <c r="AD376" s="261"/>
      <c r="AE376" s="261"/>
      <c r="AF376" s="261"/>
      <c r="AG376" s="1173">
        <f t="shared" si="95"/>
        <v>0</v>
      </c>
      <c r="AH376" s="61" t="str">
        <f t="shared" si="96"/>
        <v/>
      </c>
      <c r="AI376" s="89" t="e">
        <f t="shared" si="97"/>
        <v>#N/A</v>
      </c>
      <c r="AJ376" s="2"/>
      <c r="AK376" s="61">
        <f>IF(G376=G$547,0,IF(OR(G376&lt;&gt;0,CH376&lt;&gt;0,C376="L"),COUNTIF(AK$180:AK375,"&gt;0")+1,0))</f>
        <v>0</v>
      </c>
      <c r="AL376" s="61" t="str">
        <f t="shared" si="85"/>
        <v/>
      </c>
      <c r="AM376" s="61" t="e">
        <f t="shared" si="86"/>
        <v>#N/A</v>
      </c>
      <c r="AN376" s="89" t="e">
        <f t="shared" si="87"/>
        <v>#N/A</v>
      </c>
      <c r="AO376" s="230">
        <f>SUM(LUG!X22:AD22)-BD376+AY376</f>
        <v>0</v>
      </c>
      <c r="AP376" s="228">
        <f>SUMIF(LUG!$G$121:$M$121,AP$178,LUG!$P22:$V22)+SUMIF($AZ$178:$BC$178,AP$178,$AZ376:$BC376)</f>
        <v>0</v>
      </c>
      <c r="AQ376" s="229">
        <f>SUMIF(LUG!$G$121:$M$121,AQ$178,LUG!$P22:$V22)+SUMIF($AZ$178:$BC$178,AQ$178,$AZ376:$BC376)</f>
        <v>0</v>
      </c>
      <c r="AR376" s="230">
        <f>SUMIF(LUG!$G$121:$M$121,AR$178,LUG!$P22:$V22)+SUMIF($AZ$178:$BC$178,AR$178,$AZ376:$BC376)</f>
        <v>0</v>
      </c>
      <c r="AS376" s="230">
        <f>SUMIF(LUG!$G$121:$M$121,AS$178,LUG!$P22:$V22)+SUMIF($AZ$178:$BC$178,AS$178,$AZ376:$BC376)</f>
        <v>0</v>
      </c>
      <c r="AT376" s="230">
        <f>SUMIF(LUG!$G$121:$M$121,AT$178,LUG!$P22:$V22)+SUMIF($AZ$178:$BC$178,AT$178,$AZ376:$BC376)</f>
        <v>0</v>
      </c>
      <c r="AU376" s="230">
        <f>SUMIF(LUG!$G$121:$M$121,AU$178,LUG!$P22:$V22)+SUMIF($AZ$178:$BC$178,AU$178,$AZ376:$BC376)</f>
        <v>0</v>
      </c>
      <c r="AV376" s="230">
        <f>SUMIF(LUG!$G$121:$M$121,AV$178,LUG!$P22:$V22)+SUMIF($AZ$178:$BC$178,AV$178,$AZ376:$BC376)</f>
        <v>0</v>
      </c>
      <c r="AW376" s="230">
        <f>SUMIF(LUG!$G$121:$M$121,AW$178,LUG!$P22:$V22)+SUMIF($AZ$178:$BC$178,AW$178,$AZ376:$BC376)</f>
        <v>0</v>
      </c>
      <c r="AX376" s="231">
        <f>SUMIF(LUG!$G$121:$M$121,AX$178,LUG!$P22:$V22)+SUMIF($AZ$178:$BC$178,AX$178,$AZ376:$BC376)</f>
        <v>0</v>
      </c>
      <c r="AY376" s="232">
        <f>LUG!AF22</f>
        <v>0</v>
      </c>
      <c r="AZ376" s="228">
        <f>LUG!AG22</f>
        <v>0</v>
      </c>
      <c r="BA376" s="229">
        <f>LUG!AH22</f>
        <v>0</v>
      </c>
      <c r="BB376" s="230">
        <f>LUG!AI22</f>
        <v>0</v>
      </c>
      <c r="BC376" s="231">
        <f>LUG!AJ22</f>
        <v>0</v>
      </c>
      <c r="BD376" s="228">
        <f>SUMIF(LUG!$G$120:$M$120,"&gt;0",LUG!$X22:$AD22)</f>
        <v>0</v>
      </c>
      <c r="BE376" s="696"/>
      <c r="BF376" s="228">
        <f>SUMIF(LUG!$BA$6:$BG$6,BF$177,LUG!$BA22:$BG22)</f>
        <v>0</v>
      </c>
      <c r="BG376" s="229">
        <f>SUMIF(LUG!$BA$6:$BG$6,BG$177,LUG!$BA22:$BG22)</f>
        <v>0</v>
      </c>
      <c r="BH376" s="229">
        <f>SUMIF(LUG!$BA$6:$BG$6,BH$177,LUG!$BA22:$BG22)</f>
        <v>0</v>
      </c>
      <c r="BI376" s="229">
        <f>SUMIF(LUG!$BA$6:$BG$6,BI$177,LUG!$BA22:$BG22)</f>
        <v>0</v>
      </c>
      <c r="BJ376" s="229">
        <f>SUMIF(LUG!$BA$6:$BG$6,BJ$177,LUG!$BA22:$BG22)</f>
        <v>0</v>
      </c>
      <c r="BK376" s="229">
        <f>SUMIF(LUG!$BA$6:$BG$6,BK$177,LUG!$BA22:$BG22)</f>
        <v>0</v>
      </c>
      <c r="BL376" s="229">
        <f>SUMIF(LUG!$BA$6:$BG$6,BL$177,LUG!$BA22:$BG22)</f>
        <v>0</v>
      </c>
      <c r="BM376" s="229">
        <f>SUMIF(LUG!$BA$6:$BG$6,BM$177,LUG!$BA22:$BG22)</f>
        <v>0</v>
      </c>
      <c r="BN376" s="229">
        <f>SUMIF(LUG!$BA$6:$BG$6,BN$177,LUG!$BA22:$BG22)</f>
        <v>0</v>
      </c>
      <c r="BO376" s="231">
        <f>SUMIF(LUG!$BA$6:$BG$6,BO$177,LUG!$BA22:$BG22)</f>
        <v>0</v>
      </c>
      <c r="BP376" s="231">
        <f>SUMIF(LUG!$BA$6:$BG$6,BP$177,LUG!$BA22:$BG22)</f>
        <v>0</v>
      </c>
      <c r="BQ376" s="252"/>
      <c r="BR376" s="228">
        <f>SUMIF(LUG!$BA$5:$BG$5,BR$177,LUG!$BA22:$BG22)</f>
        <v>0</v>
      </c>
      <c r="BS376" s="229">
        <f>SUMIF(LUG!$BA$5:$BG$5,BS$177,LUG!$BA22:$BG22)</f>
        <v>0</v>
      </c>
      <c r="BT376" s="229">
        <f>SUMIF(LUG!$BA$5:$BG$5,BT$177,LUG!$BA22:$BG22)</f>
        <v>0</v>
      </c>
      <c r="BU376" s="229">
        <f>SUMIF(LUG!$BA$5:$BG$5,BU$177,LUG!$BA22:$BG22)</f>
        <v>0</v>
      </c>
      <c r="BV376" s="229">
        <f>SUMIF(LUG!$BA$5:$BG$5,BV$177,LUG!$BA22:$BG22)</f>
        <v>0</v>
      </c>
      <c r="BW376" s="229">
        <f>SUMIF(LUG!$BA$5:$BG$5,BW$177,LUG!$BA22:$BG22)</f>
        <v>0</v>
      </c>
      <c r="BX376" s="230">
        <f>SUMIF(LUG!$BA$5:$BG$5,BX$177,LUG!$BA22:$BG22)</f>
        <v>0</v>
      </c>
      <c r="BY376" s="998">
        <f>SUMIF(LUG!$BA$5:$BG$5,BY$177,LUG!$BA22:$BG22)</f>
        <v>0</v>
      </c>
      <c r="CB376" s="252"/>
      <c r="CC376" s="61" t="e">
        <f t="shared" si="88"/>
        <v>#N/A</v>
      </c>
      <c r="CD376" s="61">
        <f t="shared" si="89"/>
        <v>0</v>
      </c>
      <c r="CE376" s="105" t="str">
        <f t="shared" si="82"/>
        <v/>
      </c>
      <c r="CF376" s="61" t="e">
        <f t="shared" si="90"/>
        <v>#N/A</v>
      </c>
      <c r="CG376" s="61" t="e">
        <f t="shared" si="91"/>
        <v>#N/A</v>
      </c>
      <c r="CH376" s="521">
        <f>LUG!AL22-CW376+CR376</f>
        <v>0</v>
      </c>
      <c r="CI376" s="228">
        <f>SUMIF(LUG!$G$121:$M$121,CI$178,LUG!$AM22:$AS22)+SUMIF($CS$178:$CV$178,CI$178,$CS376:$CV376)</f>
        <v>0</v>
      </c>
      <c r="CJ376" s="229">
        <f>SUMIF(LUG!$G$121:$M$121,CJ$178,LUG!$AM22:$AS22)+SUMIF($CS$178:$CV$178,CJ$178,$CS376:$CV376)</f>
        <v>0</v>
      </c>
      <c r="CK376" s="230">
        <f>SUMIF(LUG!$G$121:$M$121,CK$178,LUG!$AM22:$AS22)+SUMIF($CS$178:$CV$178,CK$178,$CS376:$CV376)</f>
        <v>0</v>
      </c>
      <c r="CL376" s="230">
        <f>SUMIF(LUG!$G$121:$M$121,CL$178,LUG!$AM22:$AS22)+SUMIF($CS$178:$CV$178,CL$178,$CS376:$CV376)</f>
        <v>0</v>
      </c>
      <c r="CM376" s="230">
        <f>SUMIF(LUG!$G$121:$M$121,CM$178,LUG!$AM22:$AS22)+SUMIF($CS$178:$CV$178,CM$178,$CS376:$CV376)</f>
        <v>0</v>
      </c>
      <c r="CN376" s="230">
        <f>SUMIF(LUG!$G$121:$M$121,CN$178,LUG!$AM22:$AS22)+SUMIF($CS$178:$CV$178,CN$178,$CS376:$CV376)</f>
        <v>0</v>
      </c>
      <c r="CO376" s="230">
        <f>SUMIF(LUG!$G$121:$M$121,CO$178,LUG!$AM22:$AS22)+SUMIF($CS$178:$CV$178,CO$178,$CS376:$CV376)</f>
        <v>0</v>
      </c>
      <c r="CP376" s="230">
        <f>SUMIF(LUG!$G$121:$M$121,CP$178,LUG!$AM22:$AS22)+SUMIF($CS$178:$CV$178,CP$178,$CS376:$CV376)</f>
        <v>0</v>
      </c>
      <c r="CQ376" s="231">
        <f>SUMIF(LUG!$G$121:$M$121,CQ$178,LUG!$AM22:$AS22)+SUMIF($CS$178:$CV$178,CQ$178,$CS376:$CV376)</f>
        <v>0</v>
      </c>
      <c r="CR376" s="521">
        <f>LUG!AU22</f>
        <v>0</v>
      </c>
      <c r="CS376" s="228">
        <f>LUG!AV22</f>
        <v>0</v>
      </c>
      <c r="CT376" s="229">
        <f>LUG!AW22</f>
        <v>0</v>
      </c>
      <c r="CU376" s="230">
        <f>LUG!AX22</f>
        <v>0</v>
      </c>
      <c r="CV376" s="231">
        <f>LUG!AY22</f>
        <v>0</v>
      </c>
      <c r="CW376" s="521">
        <f>SUM(LUG!AU22:AY22)</f>
        <v>0</v>
      </c>
      <c r="CX376" s="521">
        <f>LUG!AK22</f>
        <v>0</v>
      </c>
      <c r="CY376" s="2"/>
    </row>
    <row r="377" spans="1:103" ht="14.25" hidden="1" customHeight="1" x14ac:dyDescent="0.2">
      <c r="A377" s="2"/>
      <c r="B377" s="105">
        <f t="shared" si="92"/>
        <v>45489</v>
      </c>
      <c r="C377" s="146">
        <f>IF(AND(E377&gt;(N$557-1),E377&lt;(R$557+1)),W$551,IF(ISERROR(HLOOKUP(E377,$N$550:$U$550,1,FALSE)),HLOOKUP(WEEKDAY(E377,2),IMPOSTAZIONI!$C$52:$P$57,6,FALSE),$W$550))</f>
        <v>0</v>
      </c>
      <c r="D377" s="71" t="str">
        <f t="shared" si="93"/>
        <v/>
      </c>
      <c r="E377" s="2258">
        <f t="shared" si="98"/>
        <v>45489</v>
      </c>
      <c r="F377" s="2259"/>
      <c r="G377" s="2228" t="str">
        <f>LUG!E23</f>
        <v xml:space="preserve">disattivato  </v>
      </c>
      <c r="H377" s="2229"/>
      <c r="I377" s="2230"/>
      <c r="J377" s="262" t="str">
        <f t="shared" si="83"/>
        <v/>
      </c>
      <c r="K377" s="263"/>
      <c r="L377" s="2217">
        <f t="shared" si="81"/>
        <v>29</v>
      </c>
      <c r="M377" s="2218"/>
      <c r="N377" s="261"/>
      <c r="O377" s="261"/>
      <c r="P377" s="261"/>
      <c r="Q377" s="2219">
        <f t="shared" si="94"/>
        <v>45489</v>
      </c>
      <c r="R377" s="2219"/>
      <c r="S377" s="261"/>
      <c r="T377" s="1173">
        <f t="shared" si="84"/>
        <v>1</v>
      </c>
      <c r="U377" s="261"/>
      <c r="V377" s="261"/>
      <c r="W377" s="261"/>
      <c r="X377" s="261"/>
      <c r="Y377" s="261"/>
      <c r="Z377" s="261"/>
      <c r="AA377" s="261"/>
      <c r="AB377" s="261"/>
      <c r="AC377" s="261"/>
      <c r="AD377" s="261"/>
      <c r="AE377" s="261"/>
      <c r="AF377" s="261"/>
      <c r="AG377" s="1173">
        <f t="shared" si="95"/>
        <v>0</v>
      </c>
      <c r="AH377" s="61" t="str">
        <f t="shared" si="96"/>
        <v/>
      </c>
      <c r="AI377" s="89" t="e">
        <f t="shared" si="97"/>
        <v>#N/A</v>
      </c>
      <c r="AJ377" s="2"/>
      <c r="AK377" s="61">
        <f>IF(G377=G$547,0,IF(OR(G377&lt;&gt;0,CH377&lt;&gt;0,C377="L"),COUNTIF(AK$180:AK376,"&gt;0")+1,0))</f>
        <v>0</v>
      </c>
      <c r="AL377" s="61" t="str">
        <f t="shared" si="85"/>
        <v/>
      </c>
      <c r="AM377" s="61" t="e">
        <f t="shared" si="86"/>
        <v>#N/A</v>
      </c>
      <c r="AN377" s="89" t="e">
        <f t="shared" si="87"/>
        <v>#N/A</v>
      </c>
      <c r="AO377" s="230">
        <f>SUM(LUG!X23:AD23)-BD377+AY377</f>
        <v>0</v>
      </c>
      <c r="AP377" s="228">
        <f>SUMIF(LUG!$G$121:$M$121,AP$178,LUG!$P23:$V23)+SUMIF($AZ$178:$BC$178,AP$178,$AZ377:$BC377)</f>
        <v>0</v>
      </c>
      <c r="AQ377" s="229">
        <f>SUMIF(LUG!$G$121:$M$121,AQ$178,LUG!$P23:$V23)+SUMIF($AZ$178:$BC$178,AQ$178,$AZ377:$BC377)</f>
        <v>0</v>
      </c>
      <c r="AR377" s="230">
        <f>SUMIF(LUG!$G$121:$M$121,AR$178,LUG!$P23:$V23)+SUMIF($AZ$178:$BC$178,AR$178,$AZ377:$BC377)</f>
        <v>0</v>
      </c>
      <c r="AS377" s="230">
        <f>SUMIF(LUG!$G$121:$M$121,AS$178,LUG!$P23:$V23)+SUMIF($AZ$178:$BC$178,AS$178,$AZ377:$BC377)</f>
        <v>0</v>
      </c>
      <c r="AT377" s="230">
        <f>SUMIF(LUG!$G$121:$M$121,AT$178,LUG!$P23:$V23)+SUMIF($AZ$178:$BC$178,AT$178,$AZ377:$BC377)</f>
        <v>0</v>
      </c>
      <c r="AU377" s="230">
        <f>SUMIF(LUG!$G$121:$M$121,AU$178,LUG!$P23:$V23)+SUMIF($AZ$178:$BC$178,AU$178,$AZ377:$BC377)</f>
        <v>0</v>
      </c>
      <c r="AV377" s="230">
        <f>SUMIF(LUG!$G$121:$M$121,AV$178,LUG!$P23:$V23)+SUMIF($AZ$178:$BC$178,AV$178,$AZ377:$BC377)</f>
        <v>0</v>
      </c>
      <c r="AW377" s="230">
        <f>SUMIF(LUG!$G$121:$M$121,AW$178,LUG!$P23:$V23)+SUMIF($AZ$178:$BC$178,AW$178,$AZ377:$BC377)</f>
        <v>0</v>
      </c>
      <c r="AX377" s="231">
        <f>SUMIF(LUG!$G$121:$M$121,AX$178,LUG!$P23:$V23)+SUMIF($AZ$178:$BC$178,AX$178,$AZ377:$BC377)</f>
        <v>0</v>
      </c>
      <c r="AY377" s="232">
        <f>LUG!AF23</f>
        <v>0</v>
      </c>
      <c r="AZ377" s="228">
        <f>LUG!AG23</f>
        <v>0</v>
      </c>
      <c r="BA377" s="229">
        <f>LUG!AH23</f>
        <v>0</v>
      </c>
      <c r="BB377" s="230">
        <f>LUG!AI23</f>
        <v>0</v>
      </c>
      <c r="BC377" s="231">
        <f>LUG!AJ23</f>
        <v>0</v>
      </c>
      <c r="BD377" s="228">
        <f>SUMIF(LUG!$G$120:$M$120,"&gt;0",LUG!$X23:$AD23)</f>
        <v>0</v>
      </c>
      <c r="BE377" s="696"/>
      <c r="BF377" s="228">
        <f>SUMIF(LUG!$BA$6:$BG$6,BF$177,LUG!$BA23:$BG23)</f>
        <v>0</v>
      </c>
      <c r="BG377" s="229">
        <f>SUMIF(LUG!$BA$6:$BG$6,BG$177,LUG!$BA23:$BG23)</f>
        <v>0</v>
      </c>
      <c r="BH377" s="229">
        <f>SUMIF(LUG!$BA$6:$BG$6,BH$177,LUG!$BA23:$BG23)</f>
        <v>0</v>
      </c>
      <c r="BI377" s="229">
        <f>SUMIF(LUG!$BA$6:$BG$6,BI$177,LUG!$BA23:$BG23)</f>
        <v>0</v>
      </c>
      <c r="BJ377" s="229">
        <f>SUMIF(LUG!$BA$6:$BG$6,BJ$177,LUG!$BA23:$BG23)</f>
        <v>0</v>
      </c>
      <c r="BK377" s="229">
        <f>SUMIF(LUG!$BA$6:$BG$6,BK$177,LUG!$BA23:$BG23)</f>
        <v>0</v>
      </c>
      <c r="BL377" s="229">
        <f>SUMIF(LUG!$BA$6:$BG$6,BL$177,LUG!$BA23:$BG23)</f>
        <v>0</v>
      </c>
      <c r="BM377" s="229">
        <f>SUMIF(LUG!$BA$6:$BG$6,BM$177,LUG!$BA23:$BG23)</f>
        <v>0</v>
      </c>
      <c r="BN377" s="229">
        <f>SUMIF(LUG!$BA$6:$BG$6,BN$177,LUG!$BA23:$BG23)</f>
        <v>0</v>
      </c>
      <c r="BO377" s="231">
        <f>SUMIF(LUG!$BA$6:$BG$6,BO$177,LUG!$BA23:$BG23)</f>
        <v>0</v>
      </c>
      <c r="BP377" s="231">
        <f>SUMIF(LUG!$BA$6:$BG$6,BP$177,LUG!$BA23:$BG23)</f>
        <v>0</v>
      </c>
      <c r="BQ377" s="252"/>
      <c r="BR377" s="228">
        <f>SUMIF(LUG!$BA$5:$BG$5,BR$177,LUG!$BA23:$BG23)</f>
        <v>0</v>
      </c>
      <c r="BS377" s="229">
        <f>SUMIF(LUG!$BA$5:$BG$5,BS$177,LUG!$BA23:$BG23)</f>
        <v>0</v>
      </c>
      <c r="BT377" s="229">
        <f>SUMIF(LUG!$BA$5:$BG$5,BT$177,LUG!$BA23:$BG23)</f>
        <v>0</v>
      </c>
      <c r="BU377" s="229">
        <f>SUMIF(LUG!$BA$5:$BG$5,BU$177,LUG!$BA23:$BG23)</f>
        <v>0</v>
      </c>
      <c r="BV377" s="229">
        <f>SUMIF(LUG!$BA$5:$BG$5,BV$177,LUG!$BA23:$BG23)</f>
        <v>0</v>
      </c>
      <c r="BW377" s="229">
        <f>SUMIF(LUG!$BA$5:$BG$5,BW$177,LUG!$BA23:$BG23)</f>
        <v>0</v>
      </c>
      <c r="BX377" s="230">
        <f>SUMIF(LUG!$BA$5:$BG$5,BX$177,LUG!$BA23:$BG23)</f>
        <v>0</v>
      </c>
      <c r="BY377" s="998">
        <f>SUMIF(LUG!$BA$5:$BG$5,BY$177,LUG!$BA23:$BG23)</f>
        <v>0</v>
      </c>
      <c r="CB377" s="252"/>
      <c r="CC377" s="61" t="e">
        <f t="shared" si="88"/>
        <v>#N/A</v>
      </c>
      <c r="CD377" s="61">
        <f t="shared" si="89"/>
        <v>0</v>
      </c>
      <c r="CE377" s="105" t="str">
        <f t="shared" si="82"/>
        <v/>
      </c>
      <c r="CF377" s="61" t="e">
        <f t="shared" si="90"/>
        <v>#N/A</v>
      </c>
      <c r="CG377" s="61" t="e">
        <f t="shared" si="91"/>
        <v>#N/A</v>
      </c>
      <c r="CH377" s="521">
        <f>LUG!AL23-CW377+CR377</f>
        <v>0</v>
      </c>
      <c r="CI377" s="228">
        <f>SUMIF(LUG!$G$121:$M$121,CI$178,LUG!$AM23:$AS23)+SUMIF($CS$178:$CV$178,CI$178,$CS377:$CV377)</f>
        <v>0</v>
      </c>
      <c r="CJ377" s="229">
        <f>SUMIF(LUG!$G$121:$M$121,CJ$178,LUG!$AM23:$AS23)+SUMIF($CS$178:$CV$178,CJ$178,$CS377:$CV377)</f>
        <v>0</v>
      </c>
      <c r="CK377" s="230">
        <f>SUMIF(LUG!$G$121:$M$121,CK$178,LUG!$AM23:$AS23)+SUMIF($CS$178:$CV$178,CK$178,$CS377:$CV377)</f>
        <v>0</v>
      </c>
      <c r="CL377" s="230">
        <f>SUMIF(LUG!$G$121:$M$121,CL$178,LUG!$AM23:$AS23)+SUMIF($CS$178:$CV$178,CL$178,$CS377:$CV377)</f>
        <v>0</v>
      </c>
      <c r="CM377" s="230">
        <f>SUMIF(LUG!$G$121:$M$121,CM$178,LUG!$AM23:$AS23)+SUMIF($CS$178:$CV$178,CM$178,$CS377:$CV377)</f>
        <v>0</v>
      </c>
      <c r="CN377" s="230">
        <f>SUMIF(LUG!$G$121:$M$121,CN$178,LUG!$AM23:$AS23)+SUMIF($CS$178:$CV$178,CN$178,$CS377:$CV377)</f>
        <v>0</v>
      </c>
      <c r="CO377" s="230">
        <f>SUMIF(LUG!$G$121:$M$121,CO$178,LUG!$AM23:$AS23)+SUMIF($CS$178:$CV$178,CO$178,$CS377:$CV377)</f>
        <v>0</v>
      </c>
      <c r="CP377" s="230">
        <f>SUMIF(LUG!$G$121:$M$121,CP$178,LUG!$AM23:$AS23)+SUMIF($CS$178:$CV$178,CP$178,$CS377:$CV377)</f>
        <v>0</v>
      </c>
      <c r="CQ377" s="231">
        <f>SUMIF(LUG!$G$121:$M$121,CQ$178,LUG!$AM23:$AS23)+SUMIF($CS$178:$CV$178,CQ$178,$CS377:$CV377)</f>
        <v>0</v>
      </c>
      <c r="CR377" s="521">
        <f>LUG!AU23</f>
        <v>0</v>
      </c>
      <c r="CS377" s="228">
        <f>LUG!AV23</f>
        <v>0</v>
      </c>
      <c r="CT377" s="229">
        <f>LUG!AW23</f>
        <v>0</v>
      </c>
      <c r="CU377" s="230">
        <f>LUG!AX23</f>
        <v>0</v>
      </c>
      <c r="CV377" s="231">
        <f>LUG!AY23</f>
        <v>0</v>
      </c>
      <c r="CW377" s="521">
        <f>SUM(LUG!AU23:AY23)</f>
        <v>0</v>
      </c>
      <c r="CX377" s="521">
        <f>LUG!AK23</f>
        <v>0</v>
      </c>
      <c r="CY377" s="2"/>
    </row>
    <row r="378" spans="1:103" ht="14.25" hidden="1" customHeight="1" x14ac:dyDescent="0.2">
      <c r="A378" s="2"/>
      <c r="B378" s="105">
        <f t="shared" si="92"/>
        <v>45490</v>
      </c>
      <c r="C378" s="146">
        <f>IF(AND(E378&gt;(N$557-1),E378&lt;(R$557+1)),W$551,IF(ISERROR(HLOOKUP(E378,$N$550:$U$550,1,FALSE)),HLOOKUP(WEEKDAY(E378,2),IMPOSTAZIONI!$C$52:$P$57,6,FALSE),$W$550))</f>
        <v>0</v>
      </c>
      <c r="D378" s="71" t="str">
        <f t="shared" si="93"/>
        <v/>
      </c>
      <c r="E378" s="2258">
        <f t="shared" si="98"/>
        <v>45490</v>
      </c>
      <c r="F378" s="2259"/>
      <c r="G378" s="2228" t="str">
        <f>LUG!E24</f>
        <v xml:space="preserve">disattivato  </v>
      </c>
      <c r="H378" s="2229"/>
      <c r="I378" s="2230"/>
      <c r="J378" s="262" t="str">
        <f t="shared" si="83"/>
        <v/>
      </c>
      <c r="K378" s="263"/>
      <c r="L378" s="2217">
        <f t="shared" si="81"/>
        <v>29</v>
      </c>
      <c r="M378" s="2218"/>
      <c r="N378" s="261"/>
      <c r="O378" s="261"/>
      <c r="P378" s="261"/>
      <c r="Q378" s="2219">
        <f t="shared" si="94"/>
        <v>45490</v>
      </c>
      <c r="R378" s="2219"/>
      <c r="S378" s="261"/>
      <c r="T378" s="1173">
        <f t="shared" si="84"/>
        <v>1</v>
      </c>
      <c r="U378" s="261"/>
      <c r="V378" s="261"/>
      <c r="W378" s="261"/>
      <c r="X378" s="261"/>
      <c r="Y378" s="261"/>
      <c r="Z378" s="261"/>
      <c r="AA378" s="261"/>
      <c r="AB378" s="261"/>
      <c r="AC378" s="261"/>
      <c r="AD378" s="261"/>
      <c r="AE378" s="261"/>
      <c r="AF378" s="261"/>
      <c r="AG378" s="1173">
        <f t="shared" si="95"/>
        <v>0</v>
      </c>
      <c r="AH378" s="61" t="str">
        <f t="shared" si="96"/>
        <v/>
      </c>
      <c r="AI378" s="89" t="e">
        <f t="shared" si="97"/>
        <v>#N/A</v>
      </c>
      <c r="AJ378" s="2"/>
      <c r="AK378" s="61">
        <f>IF(G378=G$547,0,IF(OR(G378&lt;&gt;0,CH378&lt;&gt;0,C378="L"),COUNTIF(AK$180:AK377,"&gt;0")+1,0))</f>
        <v>0</v>
      </c>
      <c r="AL378" s="61" t="str">
        <f t="shared" si="85"/>
        <v/>
      </c>
      <c r="AM378" s="61" t="e">
        <f t="shared" si="86"/>
        <v>#N/A</v>
      </c>
      <c r="AN378" s="89" t="e">
        <f t="shared" si="87"/>
        <v>#N/A</v>
      </c>
      <c r="AO378" s="230">
        <f>SUM(LUG!X24:AD24)-BD378+AY378</f>
        <v>0</v>
      </c>
      <c r="AP378" s="228">
        <f>SUMIF(LUG!$G$121:$M$121,AP$178,LUG!$P24:$V24)+SUMIF($AZ$178:$BC$178,AP$178,$AZ378:$BC378)</f>
        <v>0</v>
      </c>
      <c r="AQ378" s="229">
        <f>SUMIF(LUG!$G$121:$M$121,AQ$178,LUG!$P24:$V24)+SUMIF($AZ$178:$BC$178,AQ$178,$AZ378:$BC378)</f>
        <v>0</v>
      </c>
      <c r="AR378" s="230">
        <f>SUMIF(LUG!$G$121:$M$121,AR$178,LUG!$P24:$V24)+SUMIF($AZ$178:$BC$178,AR$178,$AZ378:$BC378)</f>
        <v>0</v>
      </c>
      <c r="AS378" s="230">
        <f>SUMIF(LUG!$G$121:$M$121,AS$178,LUG!$P24:$V24)+SUMIF($AZ$178:$BC$178,AS$178,$AZ378:$BC378)</f>
        <v>0</v>
      </c>
      <c r="AT378" s="230">
        <f>SUMIF(LUG!$G$121:$M$121,AT$178,LUG!$P24:$V24)+SUMIF($AZ$178:$BC$178,AT$178,$AZ378:$BC378)</f>
        <v>0</v>
      </c>
      <c r="AU378" s="230">
        <f>SUMIF(LUG!$G$121:$M$121,AU$178,LUG!$P24:$V24)+SUMIF($AZ$178:$BC$178,AU$178,$AZ378:$BC378)</f>
        <v>0</v>
      </c>
      <c r="AV378" s="230">
        <f>SUMIF(LUG!$G$121:$M$121,AV$178,LUG!$P24:$V24)+SUMIF($AZ$178:$BC$178,AV$178,$AZ378:$BC378)</f>
        <v>0</v>
      </c>
      <c r="AW378" s="230">
        <f>SUMIF(LUG!$G$121:$M$121,AW$178,LUG!$P24:$V24)+SUMIF($AZ$178:$BC$178,AW$178,$AZ378:$BC378)</f>
        <v>0</v>
      </c>
      <c r="AX378" s="231">
        <f>SUMIF(LUG!$G$121:$M$121,AX$178,LUG!$P24:$V24)+SUMIF($AZ$178:$BC$178,AX$178,$AZ378:$BC378)</f>
        <v>0</v>
      </c>
      <c r="AY378" s="232">
        <f>LUG!AF24</f>
        <v>0</v>
      </c>
      <c r="AZ378" s="228">
        <f>LUG!AG24</f>
        <v>0</v>
      </c>
      <c r="BA378" s="229">
        <f>LUG!AH24</f>
        <v>0</v>
      </c>
      <c r="BB378" s="230">
        <f>LUG!AI24</f>
        <v>0</v>
      </c>
      <c r="BC378" s="231">
        <f>LUG!AJ24</f>
        <v>0</v>
      </c>
      <c r="BD378" s="228">
        <f>SUMIF(LUG!$G$120:$M$120,"&gt;0",LUG!$X24:$AD24)</f>
        <v>0</v>
      </c>
      <c r="BE378" s="696"/>
      <c r="BF378" s="228">
        <f>SUMIF(LUG!$BA$6:$BG$6,BF$177,LUG!$BA24:$BG24)</f>
        <v>0</v>
      </c>
      <c r="BG378" s="229">
        <f>SUMIF(LUG!$BA$6:$BG$6,BG$177,LUG!$BA24:$BG24)</f>
        <v>0</v>
      </c>
      <c r="BH378" s="229">
        <f>SUMIF(LUG!$BA$6:$BG$6,BH$177,LUG!$BA24:$BG24)</f>
        <v>0</v>
      </c>
      <c r="BI378" s="229">
        <f>SUMIF(LUG!$BA$6:$BG$6,BI$177,LUG!$BA24:$BG24)</f>
        <v>0</v>
      </c>
      <c r="BJ378" s="229">
        <f>SUMIF(LUG!$BA$6:$BG$6,BJ$177,LUG!$BA24:$BG24)</f>
        <v>0</v>
      </c>
      <c r="BK378" s="229">
        <f>SUMIF(LUG!$BA$6:$BG$6,BK$177,LUG!$BA24:$BG24)</f>
        <v>0</v>
      </c>
      <c r="BL378" s="229">
        <f>SUMIF(LUG!$BA$6:$BG$6,BL$177,LUG!$BA24:$BG24)</f>
        <v>0</v>
      </c>
      <c r="BM378" s="229">
        <f>SUMIF(LUG!$BA$6:$BG$6,BM$177,LUG!$BA24:$BG24)</f>
        <v>0</v>
      </c>
      <c r="BN378" s="229">
        <f>SUMIF(LUG!$BA$6:$BG$6,BN$177,LUG!$BA24:$BG24)</f>
        <v>0</v>
      </c>
      <c r="BO378" s="231">
        <f>SUMIF(LUG!$BA$6:$BG$6,BO$177,LUG!$BA24:$BG24)</f>
        <v>0</v>
      </c>
      <c r="BP378" s="231">
        <f>SUMIF(LUG!$BA$6:$BG$6,BP$177,LUG!$BA24:$BG24)</f>
        <v>0</v>
      </c>
      <c r="BQ378" s="252"/>
      <c r="BR378" s="228">
        <f>SUMIF(LUG!$BA$5:$BG$5,BR$177,LUG!$BA24:$BG24)</f>
        <v>0</v>
      </c>
      <c r="BS378" s="229">
        <f>SUMIF(LUG!$BA$5:$BG$5,BS$177,LUG!$BA24:$BG24)</f>
        <v>0</v>
      </c>
      <c r="BT378" s="229">
        <f>SUMIF(LUG!$BA$5:$BG$5,BT$177,LUG!$BA24:$BG24)</f>
        <v>0</v>
      </c>
      <c r="BU378" s="229">
        <f>SUMIF(LUG!$BA$5:$BG$5,BU$177,LUG!$BA24:$BG24)</f>
        <v>0</v>
      </c>
      <c r="BV378" s="229">
        <f>SUMIF(LUG!$BA$5:$BG$5,BV$177,LUG!$BA24:$BG24)</f>
        <v>0</v>
      </c>
      <c r="BW378" s="229">
        <f>SUMIF(LUG!$BA$5:$BG$5,BW$177,LUG!$BA24:$BG24)</f>
        <v>0</v>
      </c>
      <c r="BX378" s="230">
        <f>SUMIF(LUG!$BA$5:$BG$5,BX$177,LUG!$BA24:$BG24)</f>
        <v>0</v>
      </c>
      <c r="BY378" s="998">
        <f>SUMIF(LUG!$BA$5:$BG$5,BY$177,LUG!$BA24:$BG24)</f>
        <v>0</v>
      </c>
      <c r="CB378" s="252"/>
      <c r="CC378" s="61" t="e">
        <f t="shared" si="88"/>
        <v>#N/A</v>
      </c>
      <c r="CD378" s="61">
        <f t="shared" si="89"/>
        <v>0</v>
      </c>
      <c r="CE378" s="105" t="str">
        <f t="shared" si="82"/>
        <v/>
      </c>
      <c r="CF378" s="61" t="e">
        <f t="shared" si="90"/>
        <v>#N/A</v>
      </c>
      <c r="CG378" s="61" t="e">
        <f t="shared" si="91"/>
        <v>#N/A</v>
      </c>
      <c r="CH378" s="521">
        <f>LUG!AL24-CW378+CR378</f>
        <v>0</v>
      </c>
      <c r="CI378" s="228">
        <f>SUMIF(LUG!$G$121:$M$121,CI$178,LUG!$AM24:$AS24)+SUMIF($CS$178:$CV$178,CI$178,$CS378:$CV378)</f>
        <v>0</v>
      </c>
      <c r="CJ378" s="229">
        <f>SUMIF(LUG!$G$121:$M$121,CJ$178,LUG!$AM24:$AS24)+SUMIF($CS$178:$CV$178,CJ$178,$CS378:$CV378)</f>
        <v>0</v>
      </c>
      <c r="CK378" s="230">
        <f>SUMIF(LUG!$G$121:$M$121,CK$178,LUG!$AM24:$AS24)+SUMIF($CS$178:$CV$178,CK$178,$CS378:$CV378)</f>
        <v>0</v>
      </c>
      <c r="CL378" s="230">
        <f>SUMIF(LUG!$G$121:$M$121,CL$178,LUG!$AM24:$AS24)+SUMIF($CS$178:$CV$178,CL$178,$CS378:$CV378)</f>
        <v>0</v>
      </c>
      <c r="CM378" s="230">
        <f>SUMIF(LUG!$G$121:$M$121,CM$178,LUG!$AM24:$AS24)+SUMIF($CS$178:$CV$178,CM$178,$CS378:$CV378)</f>
        <v>0</v>
      </c>
      <c r="CN378" s="230">
        <f>SUMIF(LUG!$G$121:$M$121,CN$178,LUG!$AM24:$AS24)+SUMIF($CS$178:$CV$178,CN$178,$CS378:$CV378)</f>
        <v>0</v>
      </c>
      <c r="CO378" s="230">
        <f>SUMIF(LUG!$G$121:$M$121,CO$178,LUG!$AM24:$AS24)+SUMIF($CS$178:$CV$178,CO$178,$CS378:$CV378)</f>
        <v>0</v>
      </c>
      <c r="CP378" s="230">
        <f>SUMIF(LUG!$G$121:$M$121,CP$178,LUG!$AM24:$AS24)+SUMIF($CS$178:$CV$178,CP$178,$CS378:$CV378)</f>
        <v>0</v>
      </c>
      <c r="CQ378" s="231">
        <f>SUMIF(LUG!$G$121:$M$121,CQ$178,LUG!$AM24:$AS24)+SUMIF($CS$178:$CV$178,CQ$178,$CS378:$CV378)</f>
        <v>0</v>
      </c>
      <c r="CR378" s="521">
        <f>LUG!AU24</f>
        <v>0</v>
      </c>
      <c r="CS378" s="228">
        <f>LUG!AV24</f>
        <v>0</v>
      </c>
      <c r="CT378" s="229">
        <f>LUG!AW24</f>
        <v>0</v>
      </c>
      <c r="CU378" s="230">
        <f>LUG!AX24</f>
        <v>0</v>
      </c>
      <c r="CV378" s="231">
        <f>LUG!AY24</f>
        <v>0</v>
      </c>
      <c r="CW378" s="521">
        <f>SUM(LUG!AU24:AY24)</f>
        <v>0</v>
      </c>
      <c r="CX378" s="521">
        <f>LUG!AK24</f>
        <v>0</v>
      </c>
      <c r="CY378" s="2"/>
    </row>
    <row r="379" spans="1:103" ht="14.25" hidden="1" customHeight="1" x14ac:dyDescent="0.2">
      <c r="A379" s="2"/>
      <c r="B379" s="105">
        <f t="shared" si="92"/>
        <v>45491</v>
      </c>
      <c r="C379" s="146">
        <f>IF(AND(E379&gt;(N$557-1),E379&lt;(R$557+1)),W$551,IF(ISERROR(HLOOKUP(E379,$N$550:$U$550,1,FALSE)),HLOOKUP(WEEKDAY(E379,2),IMPOSTAZIONI!$C$52:$P$57,6,FALSE),$W$550))</f>
        <v>0</v>
      </c>
      <c r="D379" s="71" t="str">
        <f t="shared" si="93"/>
        <v/>
      </c>
      <c r="E379" s="2258">
        <f t="shared" si="98"/>
        <v>45491</v>
      </c>
      <c r="F379" s="2259"/>
      <c r="G379" s="2228" t="str">
        <f>LUG!E25</f>
        <v xml:space="preserve">disattivato  </v>
      </c>
      <c r="H379" s="2229"/>
      <c r="I379" s="2230"/>
      <c r="J379" s="262" t="str">
        <f t="shared" si="83"/>
        <v/>
      </c>
      <c r="K379" s="263"/>
      <c r="L379" s="2217">
        <f t="shared" si="81"/>
        <v>29</v>
      </c>
      <c r="M379" s="2218"/>
      <c r="N379" s="261"/>
      <c r="O379" s="261"/>
      <c r="P379" s="261"/>
      <c r="Q379" s="2219">
        <f t="shared" si="94"/>
        <v>45491</v>
      </c>
      <c r="R379" s="2219"/>
      <c r="S379" s="261"/>
      <c r="T379" s="1173">
        <f t="shared" si="84"/>
        <v>1</v>
      </c>
      <c r="U379" s="261"/>
      <c r="V379" s="261"/>
      <c r="W379" s="261"/>
      <c r="X379" s="261"/>
      <c r="Y379" s="261"/>
      <c r="Z379" s="261"/>
      <c r="AA379" s="261"/>
      <c r="AB379" s="261"/>
      <c r="AC379" s="261"/>
      <c r="AD379" s="261"/>
      <c r="AE379" s="261"/>
      <c r="AF379" s="261"/>
      <c r="AG379" s="1173">
        <f t="shared" si="95"/>
        <v>0</v>
      </c>
      <c r="AH379" s="61" t="str">
        <f t="shared" si="96"/>
        <v/>
      </c>
      <c r="AI379" s="89" t="e">
        <f t="shared" si="97"/>
        <v>#N/A</v>
      </c>
      <c r="AJ379" s="2"/>
      <c r="AK379" s="61">
        <f>IF(G379=G$547,0,IF(OR(G379&lt;&gt;0,CH379&lt;&gt;0,C379="L"),COUNTIF(AK$180:AK378,"&gt;0")+1,0))</f>
        <v>0</v>
      </c>
      <c r="AL379" s="61" t="str">
        <f t="shared" si="85"/>
        <v/>
      </c>
      <c r="AM379" s="61" t="e">
        <f t="shared" si="86"/>
        <v>#N/A</v>
      </c>
      <c r="AN379" s="89" t="e">
        <f t="shared" si="87"/>
        <v>#N/A</v>
      </c>
      <c r="AO379" s="230">
        <f>SUM(LUG!X25:AD25)-BD379+AY379</f>
        <v>0</v>
      </c>
      <c r="AP379" s="228">
        <f>SUMIF(LUG!$G$121:$M$121,AP$178,LUG!$P25:$V25)+SUMIF($AZ$178:$BC$178,AP$178,$AZ379:$BC379)</f>
        <v>0</v>
      </c>
      <c r="AQ379" s="229">
        <f>SUMIF(LUG!$G$121:$M$121,AQ$178,LUG!$P25:$V25)+SUMIF($AZ$178:$BC$178,AQ$178,$AZ379:$BC379)</f>
        <v>0</v>
      </c>
      <c r="AR379" s="230">
        <f>SUMIF(LUG!$G$121:$M$121,AR$178,LUG!$P25:$V25)+SUMIF($AZ$178:$BC$178,AR$178,$AZ379:$BC379)</f>
        <v>0</v>
      </c>
      <c r="AS379" s="230">
        <f>SUMIF(LUG!$G$121:$M$121,AS$178,LUG!$P25:$V25)+SUMIF($AZ$178:$BC$178,AS$178,$AZ379:$BC379)</f>
        <v>0</v>
      </c>
      <c r="AT379" s="230">
        <f>SUMIF(LUG!$G$121:$M$121,AT$178,LUG!$P25:$V25)+SUMIF($AZ$178:$BC$178,AT$178,$AZ379:$BC379)</f>
        <v>0</v>
      </c>
      <c r="AU379" s="230">
        <f>SUMIF(LUG!$G$121:$M$121,AU$178,LUG!$P25:$V25)+SUMIF($AZ$178:$BC$178,AU$178,$AZ379:$BC379)</f>
        <v>0</v>
      </c>
      <c r="AV379" s="230">
        <f>SUMIF(LUG!$G$121:$M$121,AV$178,LUG!$P25:$V25)+SUMIF($AZ$178:$BC$178,AV$178,$AZ379:$BC379)</f>
        <v>0</v>
      </c>
      <c r="AW379" s="230">
        <f>SUMIF(LUG!$G$121:$M$121,AW$178,LUG!$P25:$V25)+SUMIF($AZ$178:$BC$178,AW$178,$AZ379:$BC379)</f>
        <v>0</v>
      </c>
      <c r="AX379" s="231">
        <f>SUMIF(LUG!$G$121:$M$121,AX$178,LUG!$P25:$V25)+SUMIF($AZ$178:$BC$178,AX$178,$AZ379:$BC379)</f>
        <v>0</v>
      </c>
      <c r="AY379" s="232">
        <f>LUG!AF25</f>
        <v>0</v>
      </c>
      <c r="AZ379" s="228">
        <f>LUG!AG25</f>
        <v>0</v>
      </c>
      <c r="BA379" s="229">
        <f>LUG!AH25</f>
        <v>0</v>
      </c>
      <c r="BB379" s="230">
        <f>LUG!AI25</f>
        <v>0</v>
      </c>
      <c r="BC379" s="231">
        <f>LUG!AJ25</f>
        <v>0</v>
      </c>
      <c r="BD379" s="228">
        <f>SUMIF(LUG!$G$120:$M$120,"&gt;0",LUG!$X25:$AD25)</f>
        <v>0</v>
      </c>
      <c r="BE379" s="696"/>
      <c r="BF379" s="228">
        <f>SUMIF(LUG!$BA$6:$BG$6,BF$177,LUG!$BA25:$BG25)</f>
        <v>0</v>
      </c>
      <c r="BG379" s="229">
        <f>SUMIF(LUG!$BA$6:$BG$6,BG$177,LUG!$BA25:$BG25)</f>
        <v>0</v>
      </c>
      <c r="BH379" s="229">
        <f>SUMIF(LUG!$BA$6:$BG$6,BH$177,LUG!$BA25:$BG25)</f>
        <v>0</v>
      </c>
      <c r="BI379" s="229">
        <f>SUMIF(LUG!$BA$6:$BG$6,BI$177,LUG!$BA25:$BG25)</f>
        <v>0</v>
      </c>
      <c r="BJ379" s="229">
        <f>SUMIF(LUG!$BA$6:$BG$6,BJ$177,LUG!$BA25:$BG25)</f>
        <v>0</v>
      </c>
      <c r="BK379" s="229">
        <f>SUMIF(LUG!$BA$6:$BG$6,BK$177,LUG!$BA25:$BG25)</f>
        <v>0</v>
      </c>
      <c r="BL379" s="229">
        <f>SUMIF(LUG!$BA$6:$BG$6,BL$177,LUG!$BA25:$BG25)</f>
        <v>0</v>
      </c>
      <c r="BM379" s="229">
        <f>SUMIF(LUG!$BA$6:$BG$6,BM$177,LUG!$BA25:$BG25)</f>
        <v>0</v>
      </c>
      <c r="BN379" s="229">
        <f>SUMIF(LUG!$BA$6:$BG$6,BN$177,LUG!$BA25:$BG25)</f>
        <v>0</v>
      </c>
      <c r="BO379" s="231">
        <f>SUMIF(LUG!$BA$6:$BG$6,BO$177,LUG!$BA25:$BG25)</f>
        <v>0</v>
      </c>
      <c r="BP379" s="231">
        <f>SUMIF(LUG!$BA$6:$BG$6,BP$177,LUG!$BA25:$BG25)</f>
        <v>0</v>
      </c>
      <c r="BQ379" s="252"/>
      <c r="BR379" s="228">
        <f>SUMIF(LUG!$BA$5:$BG$5,BR$177,LUG!$BA25:$BG25)</f>
        <v>0</v>
      </c>
      <c r="BS379" s="229">
        <f>SUMIF(LUG!$BA$5:$BG$5,BS$177,LUG!$BA25:$BG25)</f>
        <v>0</v>
      </c>
      <c r="BT379" s="229">
        <f>SUMIF(LUG!$BA$5:$BG$5,BT$177,LUG!$BA25:$BG25)</f>
        <v>0</v>
      </c>
      <c r="BU379" s="229">
        <f>SUMIF(LUG!$BA$5:$BG$5,BU$177,LUG!$BA25:$BG25)</f>
        <v>0</v>
      </c>
      <c r="BV379" s="229">
        <f>SUMIF(LUG!$BA$5:$BG$5,BV$177,LUG!$BA25:$BG25)</f>
        <v>0</v>
      </c>
      <c r="BW379" s="229">
        <f>SUMIF(LUG!$BA$5:$BG$5,BW$177,LUG!$BA25:$BG25)</f>
        <v>0</v>
      </c>
      <c r="BX379" s="230">
        <f>SUMIF(LUG!$BA$5:$BG$5,BX$177,LUG!$BA25:$BG25)</f>
        <v>0</v>
      </c>
      <c r="BY379" s="998">
        <f>SUMIF(LUG!$BA$5:$BG$5,BY$177,LUG!$BA25:$BG25)</f>
        <v>0</v>
      </c>
      <c r="CB379" s="252"/>
      <c r="CC379" s="61" t="e">
        <f t="shared" si="88"/>
        <v>#N/A</v>
      </c>
      <c r="CD379" s="61">
        <f t="shared" si="89"/>
        <v>0</v>
      </c>
      <c r="CE379" s="105" t="str">
        <f t="shared" si="82"/>
        <v/>
      </c>
      <c r="CF379" s="61" t="e">
        <f t="shared" si="90"/>
        <v>#N/A</v>
      </c>
      <c r="CG379" s="61" t="e">
        <f t="shared" si="91"/>
        <v>#N/A</v>
      </c>
      <c r="CH379" s="521">
        <f>LUG!AL25-CW379+CR379</f>
        <v>0</v>
      </c>
      <c r="CI379" s="228">
        <f>SUMIF(LUG!$G$121:$M$121,CI$178,LUG!$AM25:$AS25)+SUMIF($CS$178:$CV$178,CI$178,$CS379:$CV379)</f>
        <v>0</v>
      </c>
      <c r="CJ379" s="229">
        <f>SUMIF(LUG!$G$121:$M$121,CJ$178,LUG!$AM25:$AS25)+SUMIF($CS$178:$CV$178,CJ$178,$CS379:$CV379)</f>
        <v>0</v>
      </c>
      <c r="CK379" s="230">
        <f>SUMIF(LUG!$G$121:$M$121,CK$178,LUG!$AM25:$AS25)+SUMIF($CS$178:$CV$178,CK$178,$CS379:$CV379)</f>
        <v>0</v>
      </c>
      <c r="CL379" s="230">
        <f>SUMIF(LUG!$G$121:$M$121,CL$178,LUG!$AM25:$AS25)+SUMIF($CS$178:$CV$178,CL$178,$CS379:$CV379)</f>
        <v>0</v>
      </c>
      <c r="CM379" s="230">
        <f>SUMIF(LUG!$G$121:$M$121,CM$178,LUG!$AM25:$AS25)+SUMIF($CS$178:$CV$178,CM$178,$CS379:$CV379)</f>
        <v>0</v>
      </c>
      <c r="CN379" s="230">
        <f>SUMIF(LUG!$G$121:$M$121,CN$178,LUG!$AM25:$AS25)+SUMIF($CS$178:$CV$178,CN$178,$CS379:$CV379)</f>
        <v>0</v>
      </c>
      <c r="CO379" s="230">
        <f>SUMIF(LUG!$G$121:$M$121,CO$178,LUG!$AM25:$AS25)+SUMIF($CS$178:$CV$178,CO$178,$CS379:$CV379)</f>
        <v>0</v>
      </c>
      <c r="CP379" s="230">
        <f>SUMIF(LUG!$G$121:$M$121,CP$178,LUG!$AM25:$AS25)+SUMIF($CS$178:$CV$178,CP$178,$CS379:$CV379)</f>
        <v>0</v>
      </c>
      <c r="CQ379" s="231">
        <f>SUMIF(LUG!$G$121:$M$121,CQ$178,LUG!$AM25:$AS25)+SUMIF($CS$178:$CV$178,CQ$178,$CS379:$CV379)</f>
        <v>0</v>
      </c>
      <c r="CR379" s="521">
        <f>LUG!AU25</f>
        <v>0</v>
      </c>
      <c r="CS379" s="228">
        <f>LUG!AV25</f>
        <v>0</v>
      </c>
      <c r="CT379" s="229">
        <f>LUG!AW25</f>
        <v>0</v>
      </c>
      <c r="CU379" s="230">
        <f>LUG!AX25</f>
        <v>0</v>
      </c>
      <c r="CV379" s="231">
        <f>LUG!AY25</f>
        <v>0</v>
      </c>
      <c r="CW379" s="521">
        <f>SUM(LUG!AU25:AY25)</f>
        <v>0</v>
      </c>
      <c r="CX379" s="521">
        <f>LUG!AK25</f>
        <v>0</v>
      </c>
      <c r="CY379" s="2"/>
    </row>
    <row r="380" spans="1:103" ht="14.25" hidden="1" customHeight="1" x14ac:dyDescent="0.2">
      <c r="A380" s="2"/>
      <c r="B380" s="105">
        <f t="shared" si="92"/>
        <v>45492</v>
      </c>
      <c r="C380" s="146">
        <f>IF(AND(E380&gt;(N$557-1),E380&lt;(R$557+1)),W$551,IF(ISERROR(HLOOKUP(E380,$N$550:$U$550,1,FALSE)),HLOOKUP(WEEKDAY(E380,2),IMPOSTAZIONI!$C$52:$P$57,6,FALSE),$W$550))</f>
        <v>0</v>
      </c>
      <c r="D380" s="71" t="str">
        <f t="shared" si="93"/>
        <v/>
      </c>
      <c r="E380" s="2258">
        <f t="shared" si="98"/>
        <v>45492</v>
      </c>
      <c r="F380" s="2259"/>
      <c r="G380" s="2228" t="str">
        <f>LUG!E26</f>
        <v xml:space="preserve">disattivato  </v>
      </c>
      <c r="H380" s="2229"/>
      <c r="I380" s="2230"/>
      <c r="J380" s="262" t="str">
        <f t="shared" si="83"/>
        <v/>
      </c>
      <c r="K380" s="263"/>
      <c r="L380" s="2217">
        <f t="shared" si="81"/>
        <v>29</v>
      </c>
      <c r="M380" s="2218"/>
      <c r="N380" s="261"/>
      <c r="O380" s="261"/>
      <c r="P380" s="261"/>
      <c r="Q380" s="2219">
        <f t="shared" si="94"/>
        <v>45492</v>
      </c>
      <c r="R380" s="2219"/>
      <c r="S380" s="261"/>
      <c r="T380" s="1173">
        <f t="shared" si="84"/>
        <v>1</v>
      </c>
      <c r="U380" s="261"/>
      <c r="V380" s="261"/>
      <c r="W380" s="261"/>
      <c r="X380" s="261"/>
      <c r="Y380" s="261"/>
      <c r="Z380" s="261"/>
      <c r="AA380" s="261"/>
      <c r="AB380" s="261"/>
      <c r="AC380" s="261"/>
      <c r="AD380" s="261"/>
      <c r="AE380" s="261"/>
      <c r="AF380" s="261"/>
      <c r="AG380" s="1173">
        <f t="shared" si="95"/>
        <v>0</v>
      </c>
      <c r="AH380" s="61" t="str">
        <f t="shared" si="96"/>
        <v/>
      </c>
      <c r="AI380" s="89" t="e">
        <f t="shared" si="97"/>
        <v>#N/A</v>
      </c>
      <c r="AJ380" s="2"/>
      <c r="AK380" s="61">
        <f>IF(G380=G$547,0,IF(OR(G380&lt;&gt;0,CH380&lt;&gt;0,C380="L"),COUNTIF(AK$180:AK379,"&gt;0")+1,0))</f>
        <v>0</v>
      </c>
      <c r="AL380" s="61" t="str">
        <f t="shared" si="85"/>
        <v/>
      </c>
      <c r="AM380" s="61" t="e">
        <f t="shared" si="86"/>
        <v>#N/A</v>
      </c>
      <c r="AN380" s="89" t="e">
        <f t="shared" si="87"/>
        <v>#N/A</v>
      </c>
      <c r="AO380" s="230">
        <f>SUM(LUG!X26:AD26)-BD380+AY380</f>
        <v>0</v>
      </c>
      <c r="AP380" s="228">
        <f>SUMIF(LUG!$G$121:$M$121,AP$178,LUG!$P26:$V26)+SUMIF($AZ$178:$BC$178,AP$178,$AZ380:$BC380)</f>
        <v>0</v>
      </c>
      <c r="AQ380" s="229">
        <f>SUMIF(LUG!$G$121:$M$121,AQ$178,LUG!$P26:$V26)+SUMIF($AZ$178:$BC$178,AQ$178,$AZ380:$BC380)</f>
        <v>0</v>
      </c>
      <c r="AR380" s="230">
        <f>SUMIF(LUG!$G$121:$M$121,AR$178,LUG!$P26:$V26)+SUMIF($AZ$178:$BC$178,AR$178,$AZ380:$BC380)</f>
        <v>0</v>
      </c>
      <c r="AS380" s="230">
        <f>SUMIF(LUG!$G$121:$M$121,AS$178,LUG!$P26:$V26)+SUMIF($AZ$178:$BC$178,AS$178,$AZ380:$BC380)</f>
        <v>0</v>
      </c>
      <c r="AT380" s="230">
        <f>SUMIF(LUG!$G$121:$M$121,AT$178,LUG!$P26:$V26)+SUMIF($AZ$178:$BC$178,AT$178,$AZ380:$BC380)</f>
        <v>0</v>
      </c>
      <c r="AU380" s="230">
        <f>SUMIF(LUG!$G$121:$M$121,AU$178,LUG!$P26:$V26)+SUMIF($AZ$178:$BC$178,AU$178,$AZ380:$BC380)</f>
        <v>0</v>
      </c>
      <c r="AV380" s="230">
        <f>SUMIF(LUG!$G$121:$M$121,AV$178,LUG!$P26:$V26)+SUMIF($AZ$178:$BC$178,AV$178,$AZ380:$BC380)</f>
        <v>0</v>
      </c>
      <c r="AW380" s="230">
        <f>SUMIF(LUG!$G$121:$M$121,AW$178,LUG!$P26:$V26)+SUMIF($AZ$178:$BC$178,AW$178,$AZ380:$BC380)</f>
        <v>0</v>
      </c>
      <c r="AX380" s="231">
        <f>SUMIF(LUG!$G$121:$M$121,AX$178,LUG!$P26:$V26)+SUMIF($AZ$178:$BC$178,AX$178,$AZ380:$BC380)</f>
        <v>0</v>
      </c>
      <c r="AY380" s="232">
        <f>LUG!AF26</f>
        <v>0</v>
      </c>
      <c r="AZ380" s="228">
        <f>LUG!AG26</f>
        <v>0</v>
      </c>
      <c r="BA380" s="229">
        <f>LUG!AH26</f>
        <v>0</v>
      </c>
      <c r="BB380" s="230">
        <f>LUG!AI26</f>
        <v>0</v>
      </c>
      <c r="BC380" s="231">
        <f>LUG!AJ26</f>
        <v>0</v>
      </c>
      <c r="BD380" s="228">
        <f>SUMIF(LUG!$G$120:$M$120,"&gt;0",LUG!$X26:$AD26)</f>
        <v>0</v>
      </c>
      <c r="BE380" s="696"/>
      <c r="BF380" s="228">
        <f>SUMIF(LUG!$BA$6:$BG$6,BF$177,LUG!$BA26:$BG26)</f>
        <v>0</v>
      </c>
      <c r="BG380" s="229">
        <f>SUMIF(LUG!$BA$6:$BG$6,BG$177,LUG!$BA26:$BG26)</f>
        <v>0</v>
      </c>
      <c r="BH380" s="229">
        <f>SUMIF(LUG!$BA$6:$BG$6,BH$177,LUG!$BA26:$BG26)</f>
        <v>0</v>
      </c>
      <c r="BI380" s="229">
        <f>SUMIF(LUG!$BA$6:$BG$6,BI$177,LUG!$BA26:$BG26)</f>
        <v>0</v>
      </c>
      <c r="BJ380" s="229">
        <f>SUMIF(LUG!$BA$6:$BG$6,BJ$177,LUG!$BA26:$BG26)</f>
        <v>0</v>
      </c>
      <c r="BK380" s="229">
        <f>SUMIF(LUG!$BA$6:$BG$6,BK$177,LUG!$BA26:$BG26)</f>
        <v>0</v>
      </c>
      <c r="BL380" s="229">
        <f>SUMIF(LUG!$BA$6:$BG$6,BL$177,LUG!$BA26:$BG26)</f>
        <v>0</v>
      </c>
      <c r="BM380" s="229">
        <f>SUMIF(LUG!$BA$6:$BG$6,BM$177,LUG!$BA26:$BG26)</f>
        <v>0</v>
      </c>
      <c r="BN380" s="229">
        <f>SUMIF(LUG!$BA$6:$BG$6,BN$177,LUG!$BA26:$BG26)</f>
        <v>0</v>
      </c>
      <c r="BO380" s="231">
        <f>SUMIF(LUG!$BA$6:$BG$6,BO$177,LUG!$BA26:$BG26)</f>
        <v>0</v>
      </c>
      <c r="BP380" s="231">
        <f>SUMIF(LUG!$BA$6:$BG$6,BP$177,LUG!$BA26:$BG26)</f>
        <v>0</v>
      </c>
      <c r="BQ380" s="252"/>
      <c r="BR380" s="228">
        <f>SUMIF(LUG!$BA$5:$BG$5,BR$177,LUG!$BA26:$BG26)</f>
        <v>0</v>
      </c>
      <c r="BS380" s="229">
        <f>SUMIF(LUG!$BA$5:$BG$5,BS$177,LUG!$BA26:$BG26)</f>
        <v>0</v>
      </c>
      <c r="BT380" s="229">
        <f>SUMIF(LUG!$BA$5:$BG$5,BT$177,LUG!$BA26:$BG26)</f>
        <v>0</v>
      </c>
      <c r="BU380" s="229">
        <f>SUMIF(LUG!$BA$5:$BG$5,BU$177,LUG!$BA26:$BG26)</f>
        <v>0</v>
      </c>
      <c r="BV380" s="229">
        <f>SUMIF(LUG!$BA$5:$BG$5,BV$177,LUG!$BA26:$BG26)</f>
        <v>0</v>
      </c>
      <c r="BW380" s="229">
        <f>SUMIF(LUG!$BA$5:$BG$5,BW$177,LUG!$BA26:$BG26)</f>
        <v>0</v>
      </c>
      <c r="BX380" s="230">
        <f>SUMIF(LUG!$BA$5:$BG$5,BX$177,LUG!$BA26:$BG26)</f>
        <v>0</v>
      </c>
      <c r="BY380" s="998">
        <f>SUMIF(LUG!$BA$5:$BG$5,BY$177,LUG!$BA26:$BG26)</f>
        <v>0</v>
      </c>
      <c r="CB380" s="252"/>
      <c r="CC380" s="61" t="e">
        <f t="shared" si="88"/>
        <v>#N/A</v>
      </c>
      <c r="CD380" s="61">
        <f t="shared" si="89"/>
        <v>0</v>
      </c>
      <c r="CE380" s="105" t="str">
        <f t="shared" si="82"/>
        <v/>
      </c>
      <c r="CF380" s="61" t="e">
        <f t="shared" si="90"/>
        <v>#N/A</v>
      </c>
      <c r="CG380" s="61" t="e">
        <f t="shared" si="91"/>
        <v>#N/A</v>
      </c>
      <c r="CH380" s="521">
        <f>LUG!AL26-CW380+CR380</f>
        <v>0</v>
      </c>
      <c r="CI380" s="228">
        <f>SUMIF(LUG!$G$121:$M$121,CI$178,LUG!$AM26:$AS26)+SUMIF($CS$178:$CV$178,CI$178,$CS380:$CV380)</f>
        <v>0</v>
      </c>
      <c r="CJ380" s="229">
        <f>SUMIF(LUG!$G$121:$M$121,CJ$178,LUG!$AM26:$AS26)+SUMIF($CS$178:$CV$178,CJ$178,$CS380:$CV380)</f>
        <v>0</v>
      </c>
      <c r="CK380" s="230">
        <f>SUMIF(LUG!$G$121:$M$121,CK$178,LUG!$AM26:$AS26)+SUMIF($CS$178:$CV$178,CK$178,$CS380:$CV380)</f>
        <v>0</v>
      </c>
      <c r="CL380" s="230">
        <f>SUMIF(LUG!$G$121:$M$121,CL$178,LUG!$AM26:$AS26)+SUMIF($CS$178:$CV$178,CL$178,$CS380:$CV380)</f>
        <v>0</v>
      </c>
      <c r="CM380" s="230">
        <f>SUMIF(LUG!$G$121:$M$121,CM$178,LUG!$AM26:$AS26)+SUMIF($CS$178:$CV$178,CM$178,$CS380:$CV380)</f>
        <v>0</v>
      </c>
      <c r="CN380" s="230">
        <f>SUMIF(LUG!$G$121:$M$121,CN$178,LUG!$AM26:$AS26)+SUMIF($CS$178:$CV$178,CN$178,$CS380:$CV380)</f>
        <v>0</v>
      </c>
      <c r="CO380" s="230">
        <f>SUMIF(LUG!$G$121:$M$121,CO$178,LUG!$AM26:$AS26)+SUMIF($CS$178:$CV$178,CO$178,$CS380:$CV380)</f>
        <v>0</v>
      </c>
      <c r="CP380" s="230">
        <f>SUMIF(LUG!$G$121:$M$121,CP$178,LUG!$AM26:$AS26)+SUMIF($CS$178:$CV$178,CP$178,$CS380:$CV380)</f>
        <v>0</v>
      </c>
      <c r="CQ380" s="231">
        <f>SUMIF(LUG!$G$121:$M$121,CQ$178,LUG!$AM26:$AS26)+SUMIF($CS$178:$CV$178,CQ$178,$CS380:$CV380)</f>
        <v>0</v>
      </c>
      <c r="CR380" s="521">
        <f>LUG!AU26</f>
        <v>0</v>
      </c>
      <c r="CS380" s="228">
        <f>LUG!AV26</f>
        <v>0</v>
      </c>
      <c r="CT380" s="229">
        <f>LUG!AW26</f>
        <v>0</v>
      </c>
      <c r="CU380" s="230">
        <f>LUG!AX26</f>
        <v>0</v>
      </c>
      <c r="CV380" s="231">
        <f>LUG!AY26</f>
        <v>0</v>
      </c>
      <c r="CW380" s="521">
        <f>SUM(LUG!AU26:AY26)</f>
        <v>0</v>
      </c>
      <c r="CX380" s="521">
        <f>LUG!AK26</f>
        <v>0</v>
      </c>
      <c r="CY380" s="2"/>
    </row>
    <row r="381" spans="1:103" ht="14.25" hidden="1" customHeight="1" x14ac:dyDescent="0.2">
      <c r="A381" s="2"/>
      <c r="B381" s="105">
        <f t="shared" si="92"/>
        <v>45493</v>
      </c>
      <c r="C381" s="146">
        <f>IF(AND(E381&gt;(N$557-1),E381&lt;(R$557+1)),W$551,IF(ISERROR(HLOOKUP(E381,$N$550:$U$550,1,FALSE)),HLOOKUP(WEEKDAY(E381,2),IMPOSTAZIONI!$C$52:$P$57,6,FALSE),$W$550))</f>
        <v>0</v>
      </c>
      <c r="D381" s="71" t="str">
        <f t="shared" si="93"/>
        <v/>
      </c>
      <c r="E381" s="2258">
        <f t="shared" si="98"/>
        <v>45493</v>
      </c>
      <c r="F381" s="2259"/>
      <c r="G381" s="2228" t="str">
        <f>LUG!E27</f>
        <v xml:space="preserve">disattivato  </v>
      </c>
      <c r="H381" s="2229"/>
      <c r="I381" s="2230"/>
      <c r="J381" s="262" t="str">
        <f t="shared" si="83"/>
        <v/>
      </c>
      <c r="K381" s="263"/>
      <c r="L381" s="2217">
        <f t="shared" si="81"/>
        <v>29</v>
      </c>
      <c r="M381" s="2218"/>
      <c r="N381" s="261"/>
      <c r="O381" s="261"/>
      <c r="P381" s="261"/>
      <c r="Q381" s="2219">
        <f t="shared" si="94"/>
        <v>45493</v>
      </c>
      <c r="R381" s="2219"/>
      <c r="S381" s="261"/>
      <c r="T381" s="1173">
        <f t="shared" si="84"/>
        <v>1</v>
      </c>
      <c r="U381" s="261"/>
      <c r="V381" s="261"/>
      <c r="W381" s="261"/>
      <c r="X381" s="261"/>
      <c r="Y381" s="261"/>
      <c r="Z381" s="261"/>
      <c r="AA381" s="261"/>
      <c r="AB381" s="261"/>
      <c r="AC381" s="261"/>
      <c r="AD381" s="261"/>
      <c r="AE381" s="261"/>
      <c r="AF381" s="261"/>
      <c r="AG381" s="1173">
        <f t="shared" si="95"/>
        <v>0</v>
      </c>
      <c r="AH381" s="61" t="str">
        <f t="shared" si="96"/>
        <v/>
      </c>
      <c r="AI381" s="89" t="e">
        <f t="shared" si="97"/>
        <v>#N/A</v>
      </c>
      <c r="AJ381" s="2"/>
      <c r="AK381" s="61">
        <f>IF(G381=G$547,0,IF(OR(G381&lt;&gt;0,CH381&lt;&gt;0,C381="L"),COUNTIF(AK$180:AK380,"&gt;0")+1,0))</f>
        <v>0</v>
      </c>
      <c r="AL381" s="61" t="str">
        <f t="shared" si="85"/>
        <v/>
      </c>
      <c r="AM381" s="61" t="e">
        <f t="shared" si="86"/>
        <v>#N/A</v>
      </c>
      <c r="AN381" s="89" t="e">
        <f t="shared" si="87"/>
        <v>#N/A</v>
      </c>
      <c r="AO381" s="230">
        <f>SUM(LUG!X27:AD27)-BD381+AY381</f>
        <v>0</v>
      </c>
      <c r="AP381" s="228">
        <f>SUMIF(LUG!$G$121:$M$121,AP$178,LUG!$P27:$V27)+SUMIF($AZ$178:$BC$178,AP$178,$AZ381:$BC381)</f>
        <v>0</v>
      </c>
      <c r="AQ381" s="229">
        <f>SUMIF(LUG!$G$121:$M$121,AQ$178,LUG!$P27:$V27)+SUMIF($AZ$178:$BC$178,AQ$178,$AZ381:$BC381)</f>
        <v>0</v>
      </c>
      <c r="AR381" s="230">
        <f>SUMIF(LUG!$G$121:$M$121,AR$178,LUG!$P27:$V27)+SUMIF($AZ$178:$BC$178,AR$178,$AZ381:$BC381)</f>
        <v>0</v>
      </c>
      <c r="AS381" s="230">
        <f>SUMIF(LUG!$G$121:$M$121,AS$178,LUG!$P27:$V27)+SUMIF($AZ$178:$BC$178,AS$178,$AZ381:$BC381)</f>
        <v>0</v>
      </c>
      <c r="AT381" s="230">
        <f>SUMIF(LUG!$G$121:$M$121,AT$178,LUG!$P27:$V27)+SUMIF($AZ$178:$BC$178,AT$178,$AZ381:$BC381)</f>
        <v>0</v>
      </c>
      <c r="AU381" s="230">
        <f>SUMIF(LUG!$G$121:$M$121,AU$178,LUG!$P27:$V27)+SUMIF($AZ$178:$BC$178,AU$178,$AZ381:$BC381)</f>
        <v>0</v>
      </c>
      <c r="AV381" s="230">
        <f>SUMIF(LUG!$G$121:$M$121,AV$178,LUG!$P27:$V27)+SUMIF($AZ$178:$BC$178,AV$178,$AZ381:$BC381)</f>
        <v>0</v>
      </c>
      <c r="AW381" s="230">
        <f>SUMIF(LUG!$G$121:$M$121,AW$178,LUG!$P27:$V27)+SUMIF($AZ$178:$BC$178,AW$178,$AZ381:$BC381)</f>
        <v>0</v>
      </c>
      <c r="AX381" s="231">
        <f>SUMIF(LUG!$G$121:$M$121,AX$178,LUG!$P27:$V27)+SUMIF($AZ$178:$BC$178,AX$178,$AZ381:$BC381)</f>
        <v>0</v>
      </c>
      <c r="AY381" s="232">
        <f>LUG!AF27</f>
        <v>0</v>
      </c>
      <c r="AZ381" s="228">
        <f>LUG!AG27</f>
        <v>0</v>
      </c>
      <c r="BA381" s="229">
        <f>LUG!AH27</f>
        <v>0</v>
      </c>
      <c r="BB381" s="230">
        <f>LUG!AI27</f>
        <v>0</v>
      </c>
      <c r="BC381" s="231">
        <f>LUG!AJ27</f>
        <v>0</v>
      </c>
      <c r="BD381" s="228">
        <f>SUMIF(LUG!$G$120:$M$120,"&gt;0",LUG!$X27:$AD27)</f>
        <v>0</v>
      </c>
      <c r="BE381" s="696"/>
      <c r="BF381" s="228">
        <f>SUMIF(LUG!$BA$6:$BG$6,BF$177,LUG!$BA27:$BG27)</f>
        <v>0</v>
      </c>
      <c r="BG381" s="229">
        <f>SUMIF(LUG!$BA$6:$BG$6,BG$177,LUG!$BA27:$BG27)</f>
        <v>0</v>
      </c>
      <c r="BH381" s="229">
        <f>SUMIF(LUG!$BA$6:$BG$6,BH$177,LUG!$BA27:$BG27)</f>
        <v>0</v>
      </c>
      <c r="BI381" s="229">
        <f>SUMIF(LUG!$BA$6:$BG$6,BI$177,LUG!$BA27:$BG27)</f>
        <v>0</v>
      </c>
      <c r="BJ381" s="229">
        <f>SUMIF(LUG!$BA$6:$BG$6,BJ$177,LUG!$BA27:$BG27)</f>
        <v>0</v>
      </c>
      <c r="BK381" s="229">
        <f>SUMIF(LUG!$BA$6:$BG$6,BK$177,LUG!$BA27:$BG27)</f>
        <v>0</v>
      </c>
      <c r="BL381" s="229">
        <f>SUMIF(LUG!$BA$6:$BG$6,BL$177,LUG!$BA27:$BG27)</f>
        <v>0</v>
      </c>
      <c r="BM381" s="229">
        <f>SUMIF(LUG!$BA$6:$BG$6,BM$177,LUG!$BA27:$BG27)</f>
        <v>0</v>
      </c>
      <c r="BN381" s="229">
        <f>SUMIF(LUG!$BA$6:$BG$6,BN$177,LUG!$BA27:$BG27)</f>
        <v>0</v>
      </c>
      <c r="BO381" s="231">
        <f>SUMIF(LUG!$BA$6:$BG$6,BO$177,LUG!$BA27:$BG27)</f>
        <v>0</v>
      </c>
      <c r="BP381" s="231">
        <f>SUMIF(LUG!$BA$6:$BG$6,BP$177,LUG!$BA27:$BG27)</f>
        <v>0</v>
      </c>
      <c r="BQ381" s="252"/>
      <c r="BR381" s="228">
        <f>SUMIF(LUG!$BA$5:$BG$5,BR$177,LUG!$BA27:$BG27)</f>
        <v>0</v>
      </c>
      <c r="BS381" s="229">
        <f>SUMIF(LUG!$BA$5:$BG$5,BS$177,LUG!$BA27:$BG27)</f>
        <v>0</v>
      </c>
      <c r="BT381" s="229">
        <f>SUMIF(LUG!$BA$5:$BG$5,BT$177,LUG!$BA27:$BG27)</f>
        <v>0</v>
      </c>
      <c r="BU381" s="229">
        <f>SUMIF(LUG!$BA$5:$BG$5,BU$177,LUG!$BA27:$BG27)</f>
        <v>0</v>
      </c>
      <c r="BV381" s="229">
        <f>SUMIF(LUG!$BA$5:$BG$5,BV$177,LUG!$BA27:$BG27)</f>
        <v>0</v>
      </c>
      <c r="BW381" s="229">
        <f>SUMIF(LUG!$BA$5:$BG$5,BW$177,LUG!$BA27:$BG27)</f>
        <v>0</v>
      </c>
      <c r="BX381" s="230">
        <f>SUMIF(LUG!$BA$5:$BG$5,BX$177,LUG!$BA27:$BG27)</f>
        <v>0</v>
      </c>
      <c r="BY381" s="998">
        <f>SUMIF(LUG!$BA$5:$BG$5,BY$177,LUG!$BA27:$BG27)</f>
        <v>0</v>
      </c>
      <c r="CB381" s="252"/>
      <c r="CC381" s="61" t="e">
        <f t="shared" si="88"/>
        <v>#N/A</v>
      </c>
      <c r="CD381" s="61">
        <f t="shared" si="89"/>
        <v>0</v>
      </c>
      <c r="CE381" s="105" t="str">
        <f t="shared" si="82"/>
        <v/>
      </c>
      <c r="CF381" s="61" t="e">
        <f t="shared" si="90"/>
        <v>#N/A</v>
      </c>
      <c r="CG381" s="61" t="e">
        <f t="shared" si="91"/>
        <v>#N/A</v>
      </c>
      <c r="CH381" s="521">
        <f>LUG!AL27-CW381+CR381</f>
        <v>0</v>
      </c>
      <c r="CI381" s="228">
        <f>SUMIF(LUG!$G$121:$M$121,CI$178,LUG!$AM27:$AS27)+SUMIF($CS$178:$CV$178,CI$178,$CS381:$CV381)</f>
        <v>0</v>
      </c>
      <c r="CJ381" s="229">
        <f>SUMIF(LUG!$G$121:$M$121,CJ$178,LUG!$AM27:$AS27)+SUMIF($CS$178:$CV$178,CJ$178,$CS381:$CV381)</f>
        <v>0</v>
      </c>
      <c r="CK381" s="230">
        <f>SUMIF(LUG!$G$121:$M$121,CK$178,LUG!$AM27:$AS27)+SUMIF($CS$178:$CV$178,CK$178,$CS381:$CV381)</f>
        <v>0</v>
      </c>
      <c r="CL381" s="230">
        <f>SUMIF(LUG!$G$121:$M$121,CL$178,LUG!$AM27:$AS27)+SUMIF($CS$178:$CV$178,CL$178,$CS381:$CV381)</f>
        <v>0</v>
      </c>
      <c r="CM381" s="230">
        <f>SUMIF(LUG!$G$121:$M$121,CM$178,LUG!$AM27:$AS27)+SUMIF($CS$178:$CV$178,CM$178,$CS381:$CV381)</f>
        <v>0</v>
      </c>
      <c r="CN381" s="230">
        <f>SUMIF(LUG!$G$121:$M$121,CN$178,LUG!$AM27:$AS27)+SUMIF($CS$178:$CV$178,CN$178,$CS381:$CV381)</f>
        <v>0</v>
      </c>
      <c r="CO381" s="230">
        <f>SUMIF(LUG!$G$121:$M$121,CO$178,LUG!$AM27:$AS27)+SUMIF($CS$178:$CV$178,CO$178,$CS381:$CV381)</f>
        <v>0</v>
      </c>
      <c r="CP381" s="230">
        <f>SUMIF(LUG!$G$121:$M$121,CP$178,LUG!$AM27:$AS27)+SUMIF($CS$178:$CV$178,CP$178,$CS381:$CV381)</f>
        <v>0</v>
      </c>
      <c r="CQ381" s="231">
        <f>SUMIF(LUG!$G$121:$M$121,CQ$178,LUG!$AM27:$AS27)+SUMIF($CS$178:$CV$178,CQ$178,$CS381:$CV381)</f>
        <v>0</v>
      </c>
      <c r="CR381" s="521">
        <f>LUG!AU27</f>
        <v>0</v>
      </c>
      <c r="CS381" s="228">
        <f>LUG!AV27</f>
        <v>0</v>
      </c>
      <c r="CT381" s="229">
        <f>LUG!AW27</f>
        <v>0</v>
      </c>
      <c r="CU381" s="230">
        <f>LUG!AX27</f>
        <v>0</v>
      </c>
      <c r="CV381" s="231">
        <f>LUG!AY27</f>
        <v>0</v>
      </c>
      <c r="CW381" s="521">
        <f>SUM(LUG!AU27:AY27)</f>
        <v>0</v>
      </c>
      <c r="CX381" s="521">
        <f>LUG!AK27</f>
        <v>0</v>
      </c>
      <c r="CY381" s="2"/>
    </row>
    <row r="382" spans="1:103" ht="14.25" hidden="1" customHeight="1" x14ac:dyDescent="0.2">
      <c r="A382" s="2"/>
      <c r="B382" s="105">
        <f t="shared" si="92"/>
        <v>45494</v>
      </c>
      <c r="C382" s="146">
        <f>IF(AND(E382&gt;(N$557-1),E382&lt;(R$557+1)),W$551,IF(ISERROR(HLOOKUP(E382,$N$550:$U$550,1,FALSE)),HLOOKUP(WEEKDAY(E382,2),IMPOSTAZIONI!$C$52:$P$57,6,FALSE),$W$550))</f>
        <v>0</v>
      </c>
      <c r="D382" s="71" t="str">
        <f t="shared" si="93"/>
        <v/>
      </c>
      <c r="E382" s="2258">
        <f t="shared" si="98"/>
        <v>45494</v>
      </c>
      <c r="F382" s="2259"/>
      <c r="G382" s="2228" t="str">
        <f>LUG!E28</f>
        <v xml:space="preserve">disattivato  </v>
      </c>
      <c r="H382" s="2229"/>
      <c r="I382" s="2230"/>
      <c r="J382" s="262" t="str">
        <f t="shared" si="83"/>
        <v/>
      </c>
      <c r="K382" s="263"/>
      <c r="L382" s="2220">
        <f t="shared" ref="L382:L445" si="99">L375+1</f>
        <v>29</v>
      </c>
      <c r="M382" s="2221"/>
      <c r="N382" s="261"/>
      <c r="O382" s="261"/>
      <c r="P382" s="261"/>
      <c r="Q382" s="2219">
        <f t="shared" si="94"/>
        <v>45494</v>
      </c>
      <c r="R382" s="2219"/>
      <c r="S382" s="261"/>
      <c r="T382" s="1173">
        <f t="shared" si="84"/>
        <v>1</v>
      </c>
      <c r="U382" s="261"/>
      <c r="V382" s="261"/>
      <c r="W382" s="261"/>
      <c r="X382" s="261"/>
      <c r="Y382" s="261"/>
      <c r="Z382" s="261"/>
      <c r="AA382" s="261"/>
      <c r="AB382" s="261"/>
      <c r="AC382" s="261"/>
      <c r="AD382" s="261"/>
      <c r="AE382" s="261"/>
      <c r="AF382" s="261"/>
      <c r="AG382" s="1173">
        <f t="shared" si="95"/>
        <v>0</v>
      </c>
      <c r="AH382" s="61" t="str">
        <f t="shared" si="96"/>
        <v/>
      </c>
      <c r="AI382" s="89" t="e">
        <f t="shared" si="97"/>
        <v>#N/A</v>
      </c>
      <c r="AJ382" s="2"/>
      <c r="AK382" s="61">
        <f>IF(G382=G$547,0,IF(OR(G382&lt;&gt;0,CH382&lt;&gt;0,C382="L"),COUNTIF(AK$180:AK381,"&gt;0")+1,0))</f>
        <v>0</v>
      </c>
      <c r="AL382" s="61" t="str">
        <f t="shared" si="85"/>
        <v/>
      </c>
      <c r="AM382" s="61" t="e">
        <f t="shared" si="86"/>
        <v>#N/A</v>
      </c>
      <c r="AN382" s="89" t="e">
        <f t="shared" si="87"/>
        <v>#N/A</v>
      </c>
      <c r="AO382" s="230">
        <f>SUM(LUG!X28:AD28)-BD382+AY382</f>
        <v>0</v>
      </c>
      <c r="AP382" s="228">
        <f>SUMIF(LUG!$G$121:$M$121,AP$178,LUG!$P28:$V28)+SUMIF($AZ$178:$BC$178,AP$178,$AZ382:$BC382)</f>
        <v>0</v>
      </c>
      <c r="AQ382" s="229">
        <f>SUMIF(LUG!$G$121:$M$121,AQ$178,LUG!$P28:$V28)+SUMIF($AZ$178:$BC$178,AQ$178,$AZ382:$BC382)</f>
        <v>0</v>
      </c>
      <c r="AR382" s="230">
        <f>SUMIF(LUG!$G$121:$M$121,AR$178,LUG!$P28:$V28)+SUMIF($AZ$178:$BC$178,AR$178,$AZ382:$BC382)</f>
        <v>0</v>
      </c>
      <c r="AS382" s="230">
        <f>SUMIF(LUG!$G$121:$M$121,AS$178,LUG!$P28:$V28)+SUMIF($AZ$178:$BC$178,AS$178,$AZ382:$BC382)</f>
        <v>0</v>
      </c>
      <c r="AT382" s="230">
        <f>SUMIF(LUG!$G$121:$M$121,AT$178,LUG!$P28:$V28)+SUMIF($AZ$178:$BC$178,AT$178,$AZ382:$BC382)</f>
        <v>0</v>
      </c>
      <c r="AU382" s="230">
        <f>SUMIF(LUG!$G$121:$M$121,AU$178,LUG!$P28:$V28)+SUMIF($AZ$178:$BC$178,AU$178,$AZ382:$BC382)</f>
        <v>0</v>
      </c>
      <c r="AV382" s="230">
        <f>SUMIF(LUG!$G$121:$M$121,AV$178,LUG!$P28:$V28)+SUMIF($AZ$178:$BC$178,AV$178,$AZ382:$BC382)</f>
        <v>0</v>
      </c>
      <c r="AW382" s="230">
        <f>SUMIF(LUG!$G$121:$M$121,AW$178,LUG!$P28:$V28)+SUMIF($AZ$178:$BC$178,AW$178,$AZ382:$BC382)</f>
        <v>0</v>
      </c>
      <c r="AX382" s="231">
        <f>SUMIF(LUG!$G$121:$M$121,AX$178,LUG!$P28:$V28)+SUMIF($AZ$178:$BC$178,AX$178,$AZ382:$BC382)</f>
        <v>0</v>
      </c>
      <c r="AY382" s="232">
        <f>LUG!AF28</f>
        <v>0</v>
      </c>
      <c r="AZ382" s="228">
        <f>LUG!AG28</f>
        <v>0</v>
      </c>
      <c r="BA382" s="229">
        <f>LUG!AH28</f>
        <v>0</v>
      </c>
      <c r="BB382" s="230">
        <f>LUG!AI28</f>
        <v>0</v>
      </c>
      <c r="BC382" s="231">
        <f>LUG!AJ28</f>
        <v>0</v>
      </c>
      <c r="BD382" s="228">
        <f>SUMIF(LUG!$G$120:$M$120,"&gt;0",LUG!$X28:$AD28)</f>
        <v>0</v>
      </c>
      <c r="BE382" s="696"/>
      <c r="BF382" s="228">
        <f>SUMIF(LUG!$BA$6:$BG$6,BF$177,LUG!$BA28:$BG28)</f>
        <v>0</v>
      </c>
      <c r="BG382" s="229">
        <f>SUMIF(LUG!$BA$6:$BG$6,BG$177,LUG!$BA28:$BG28)</f>
        <v>0</v>
      </c>
      <c r="BH382" s="229">
        <f>SUMIF(LUG!$BA$6:$BG$6,BH$177,LUG!$BA28:$BG28)</f>
        <v>0</v>
      </c>
      <c r="BI382" s="229">
        <f>SUMIF(LUG!$BA$6:$BG$6,BI$177,LUG!$BA28:$BG28)</f>
        <v>0</v>
      </c>
      <c r="BJ382" s="229">
        <f>SUMIF(LUG!$BA$6:$BG$6,BJ$177,LUG!$BA28:$BG28)</f>
        <v>0</v>
      </c>
      <c r="BK382" s="229">
        <f>SUMIF(LUG!$BA$6:$BG$6,BK$177,LUG!$BA28:$BG28)</f>
        <v>0</v>
      </c>
      <c r="BL382" s="229">
        <f>SUMIF(LUG!$BA$6:$BG$6,BL$177,LUG!$BA28:$BG28)</f>
        <v>0</v>
      </c>
      <c r="BM382" s="229">
        <f>SUMIF(LUG!$BA$6:$BG$6,BM$177,LUG!$BA28:$BG28)</f>
        <v>0</v>
      </c>
      <c r="BN382" s="229">
        <f>SUMIF(LUG!$BA$6:$BG$6,BN$177,LUG!$BA28:$BG28)</f>
        <v>0</v>
      </c>
      <c r="BO382" s="231">
        <f>SUMIF(LUG!$BA$6:$BG$6,BO$177,LUG!$BA28:$BG28)</f>
        <v>0</v>
      </c>
      <c r="BP382" s="231">
        <f>SUMIF(LUG!$BA$6:$BG$6,BP$177,LUG!$BA28:$BG28)</f>
        <v>0</v>
      </c>
      <c r="BQ382" s="252"/>
      <c r="BR382" s="228">
        <f>SUMIF(LUG!$BA$5:$BG$5,BR$177,LUG!$BA28:$BG28)</f>
        <v>0</v>
      </c>
      <c r="BS382" s="229">
        <f>SUMIF(LUG!$BA$5:$BG$5,BS$177,LUG!$BA28:$BG28)</f>
        <v>0</v>
      </c>
      <c r="BT382" s="229">
        <f>SUMIF(LUG!$BA$5:$BG$5,BT$177,LUG!$BA28:$BG28)</f>
        <v>0</v>
      </c>
      <c r="BU382" s="229">
        <f>SUMIF(LUG!$BA$5:$BG$5,BU$177,LUG!$BA28:$BG28)</f>
        <v>0</v>
      </c>
      <c r="BV382" s="229">
        <f>SUMIF(LUG!$BA$5:$BG$5,BV$177,LUG!$BA28:$BG28)</f>
        <v>0</v>
      </c>
      <c r="BW382" s="229">
        <f>SUMIF(LUG!$BA$5:$BG$5,BW$177,LUG!$BA28:$BG28)</f>
        <v>0</v>
      </c>
      <c r="BX382" s="230">
        <f>SUMIF(LUG!$BA$5:$BG$5,BX$177,LUG!$BA28:$BG28)</f>
        <v>0</v>
      </c>
      <c r="BY382" s="998">
        <f>SUMIF(LUG!$BA$5:$BG$5,BY$177,LUG!$BA28:$BG28)</f>
        <v>0</v>
      </c>
      <c r="CB382" s="252"/>
      <c r="CC382" s="61" t="e">
        <f t="shared" si="88"/>
        <v>#N/A</v>
      </c>
      <c r="CD382" s="61">
        <f t="shared" si="89"/>
        <v>0</v>
      </c>
      <c r="CE382" s="105" t="str">
        <f t="shared" si="82"/>
        <v/>
      </c>
      <c r="CF382" s="61" t="e">
        <f t="shared" si="90"/>
        <v>#N/A</v>
      </c>
      <c r="CG382" s="61" t="e">
        <f t="shared" si="91"/>
        <v>#N/A</v>
      </c>
      <c r="CH382" s="521">
        <f>LUG!AL28-CW382+CR382</f>
        <v>0</v>
      </c>
      <c r="CI382" s="228">
        <f>SUMIF(LUG!$G$121:$M$121,CI$178,LUG!$AM28:$AS28)+SUMIF($CS$178:$CV$178,CI$178,$CS382:$CV382)</f>
        <v>0</v>
      </c>
      <c r="CJ382" s="229">
        <f>SUMIF(LUG!$G$121:$M$121,CJ$178,LUG!$AM28:$AS28)+SUMIF($CS$178:$CV$178,CJ$178,$CS382:$CV382)</f>
        <v>0</v>
      </c>
      <c r="CK382" s="230">
        <f>SUMIF(LUG!$G$121:$M$121,CK$178,LUG!$AM28:$AS28)+SUMIF($CS$178:$CV$178,CK$178,$CS382:$CV382)</f>
        <v>0</v>
      </c>
      <c r="CL382" s="230">
        <f>SUMIF(LUG!$G$121:$M$121,CL$178,LUG!$AM28:$AS28)+SUMIF($CS$178:$CV$178,CL$178,$CS382:$CV382)</f>
        <v>0</v>
      </c>
      <c r="CM382" s="230">
        <f>SUMIF(LUG!$G$121:$M$121,CM$178,LUG!$AM28:$AS28)+SUMIF($CS$178:$CV$178,CM$178,$CS382:$CV382)</f>
        <v>0</v>
      </c>
      <c r="CN382" s="230">
        <f>SUMIF(LUG!$G$121:$M$121,CN$178,LUG!$AM28:$AS28)+SUMIF($CS$178:$CV$178,CN$178,$CS382:$CV382)</f>
        <v>0</v>
      </c>
      <c r="CO382" s="230">
        <f>SUMIF(LUG!$G$121:$M$121,CO$178,LUG!$AM28:$AS28)+SUMIF($CS$178:$CV$178,CO$178,$CS382:$CV382)</f>
        <v>0</v>
      </c>
      <c r="CP382" s="230">
        <f>SUMIF(LUG!$G$121:$M$121,CP$178,LUG!$AM28:$AS28)+SUMIF($CS$178:$CV$178,CP$178,$CS382:$CV382)</f>
        <v>0</v>
      </c>
      <c r="CQ382" s="231">
        <f>SUMIF(LUG!$G$121:$M$121,CQ$178,LUG!$AM28:$AS28)+SUMIF($CS$178:$CV$178,CQ$178,$CS382:$CV382)</f>
        <v>0</v>
      </c>
      <c r="CR382" s="521">
        <f>LUG!AU28</f>
        <v>0</v>
      </c>
      <c r="CS382" s="228">
        <f>LUG!AV28</f>
        <v>0</v>
      </c>
      <c r="CT382" s="229">
        <f>LUG!AW28</f>
        <v>0</v>
      </c>
      <c r="CU382" s="230">
        <f>LUG!AX28</f>
        <v>0</v>
      </c>
      <c r="CV382" s="231">
        <f>LUG!AY28</f>
        <v>0</v>
      </c>
      <c r="CW382" s="521">
        <f>SUM(LUG!AU28:AY28)</f>
        <v>0</v>
      </c>
      <c r="CX382" s="521">
        <f>LUG!AK28</f>
        <v>0</v>
      </c>
      <c r="CY382" s="2"/>
    </row>
    <row r="383" spans="1:103" ht="14.25" hidden="1" customHeight="1" x14ac:dyDescent="0.2">
      <c r="A383" s="2"/>
      <c r="B383" s="105">
        <f t="shared" si="92"/>
        <v>45495</v>
      </c>
      <c r="C383" s="146">
        <f>IF(AND(E383&gt;(N$557-1),E383&lt;(R$557+1)),W$551,IF(ISERROR(HLOOKUP(E383,$N$550:$U$550,1,FALSE)),HLOOKUP(WEEKDAY(E383,2),IMPOSTAZIONI!$C$52:$P$57,6,FALSE),$W$550))</f>
        <v>0</v>
      </c>
      <c r="D383" s="71" t="str">
        <f t="shared" si="93"/>
        <v/>
      </c>
      <c r="E383" s="2258">
        <f t="shared" si="98"/>
        <v>45495</v>
      </c>
      <c r="F383" s="2259"/>
      <c r="G383" s="2228" t="str">
        <f>LUG!E29</f>
        <v xml:space="preserve">disattivato  </v>
      </c>
      <c r="H383" s="2229"/>
      <c r="I383" s="2230"/>
      <c r="J383" s="262" t="str">
        <f t="shared" si="83"/>
        <v/>
      </c>
      <c r="K383" s="263"/>
      <c r="L383" s="2222">
        <f t="shared" si="99"/>
        <v>30</v>
      </c>
      <c r="M383" s="2223"/>
      <c r="N383" s="261"/>
      <c r="O383" s="261"/>
      <c r="P383" s="261"/>
      <c r="Q383" s="2219">
        <f t="shared" si="94"/>
        <v>45495</v>
      </c>
      <c r="R383" s="2219"/>
      <c r="S383" s="261"/>
      <c r="T383" s="1173">
        <f t="shared" si="84"/>
        <v>1</v>
      </c>
      <c r="U383" s="261"/>
      <c r="V383" s="261"/>
      <c r="W383" s="261"/>
      <c r="X383" s="261"/>
      <c r="Y383" s="261"/>
      <c r="Z383" s="261"/>
      <c r="AA383" s="261"/>
      <c r="AB383" s="261"/>
      <c r="AC383" s="261"/>
      <c r="AD383" s="261"/>
      <c r="AE383" s="261"/>
      <c r="AF383" s="261"/>
      <c r="AG383" s="1173">
        <f t="shared" si="95"/>
        <v>0</v>
      </c>
      <c r="AH383" s="61" t="str">
        <f t="shared" si="96"/>
        <v/>
      </c>
      <c r="AI383" s="89" t="e">
        <f t="shared" si="97"/>
        <v>#N/A</v>
      </c>
      <c r="AJ383" s="2"/>
      <c r="AK383" s="61">
        <f>IF(G383=G$547,0,IF(OR(G383&lt;&gt;0,CH383&lt;&gt;0,C383="L"),COUNTIF(AK$180:AK382,"&gt;0")+1,0))</f>
        <v>0</v>
      </c>
      <c r="AL383" s="61" t="str">
        <f t="shared" si="85"/>
        <v/>
      </c>
      <c r="AM383" s="61" t="e">
        <f t="shared" si="86"/>
        <v>#N/A</v>
      </c>
      <c r="AN383" s="89" t="e">
        <f t="shared" si="87"/>
        <v>#N/A</v>
      </c>
      <c r="AO383" s="230">
        <f>SUM(LUG!X29:AD29)-BD383+AY383</f>
        <v>0</v>
      </c>
      <c r="AP383" s="228">
        <f>SUMIF(LUG!$G$121:$M$121,AP$178,LUG!$P29:$V29)+SUMIF($AZ$178:$BC$178,AP$178,$AZ383:$BC383)</f>
        <v>0</v>
      </c>
      <c r="AQ383" s="229">
        <f>SUMIF(LUG!$G$121:$M$121,AQ$178,LUG!$P29:$V29)+SUMIF($AZ$178:$BC$178,AQ$178,$AZ383:$BC383)</f>
        <v>0</v>
      </c>
      <c r="AR383" s="230">
        <f>SUMIF(LUG!$G$121:$M$121,AR$178,LUG!$P29:$V29)+SUMIF($AZ$178:$BC$178,AR$178,$AZ383:$BC383)</f>
        <v>0</v>
      </c>
      <c r="AS383" s="230">
        <f>SUMIF(LUG!$G$121:$M$121,AS$178,LUG!$P29:$V29)+SUMIF($AZ$178:$BC$178,AS$178,$AZ383:$BC383)</f>
        <v>0</v>
      </c>
      <c r="AT383" s="230">
        <f>SUMIF(LUG!$G$121:$M$121,AT$178,LUG!$P29:$V29)+SUMIF($AZ$178:$BC$178,AT$178,$AZ383:$BC383)</f>
        <v>0</v>
      </c>
      <c r="AU383" s="230">
        <f>SUMIF(LUG!$G$121:$M$121,AU$178,LUG!$P29:$V29)+SUMIF($AZ$178:$BC$178,AU$178,$AZ383:$BC383)</f>
        <v>0</v>
      </c>
      <c r="AV383" s="230">
        <f>SUMIF(LUG!$G$121:$M$121,AV$178,LUG!$P29:$V29)+SUMIF($AZ$178:$BC$178,AV$178,$AZ383:$BC383)</f>
        <v>0</v>
      </c>
      <c r="AW383" s="230">
        <f>SUMIF(LUG!$G$121:$M$121,AW$178,LUG!$P29:$V29)+SUMIF($AZ$178:$BC$178,AW$178,$AZ383:$BC383)</f>
        <v>0</v>
      </c>
      <c r="AX383" s="231">
        <f>SUMIF(LUG!$G$121:$M$121,AX$178,LUG!$P29:$V29)+SUMIF($AZ$178:$BC$178,AX$178,$AZ383:$BC383)</f>
        <v>0</v>
      </c>
      <c r="AY383" s="232">
        <f>LUG!AF29</f>
        <v>0</v>
      </c>
      <c r="AZ383" s="228">
        <f>LUG!AG29</f>
        <v>0</v>
      </c>
      <c r="BA383" s="229">
        <f>LUG!AH29</f>
        <v>0</v>
      </c>
      <c r="BB383" s="230">
        <f>LUG!AI29</f>
        <v>0</v>
      </c>
      <c r="BC383" s="231">
        <f>LUG!AJ29</f>
        <v>0</v>
      </c>
      <c r="BD383" s="228">
        <f>SUMIF(LUG!$G$120:$M$120,"&gt;0",LUG!$X29:$AD29)</f>
        <v>0</v>
      </c>
      <c r="BE383" s="696"/>
      <c r="BF383" s="228">
        <f>SUMIF(LUG!$BA$6:$BG$6,BF$177,LUG!$BA29:$BG29)</f>
        <v>0</v>
      </c>
      <c r="BG383" s="229">
        <f>SUMIF(LUG!$BA$6:$BG$6,BG$177,LUG!$BA29:$BG29)</f>
        <v>0</v>
      </c>
      <c r="BH383" s="229">
        <f>SUMIF(LUG!$BA$6:$BG$6,BH$177,LUG!$BA29:$BG29)</f>
        <v>0</v>
      </c>
      <c r="BI383" s="229">
        <f>SUMIF(LUG!$BA$6:$BG$6,BI$177,LUG!$BA29:$BG29)</f>
        <v>0</v>
      </c>
      <c r="BJ383" s="229">
        <f>SUMIF(LUG!$BA$6:$BG$6,BJ$177,LUG!$BA29:$BG29)</f>
        <v>0</v>
      </c>
      <c r="BK383" s="229">
        <f>SUMIF(LUG!$BA$6:$BG$6,BK$177,LUG!$BA29:$BG29)</f>
        <v>0</v>
      </c>
      <c r="BL383" s="229">
        <f>SUMIF(LUG!$BA$6:$BG$6,BL$177,LUG!$BA29:$BG29)</f>
        <v>0</v>
      </c>
      <c r="BM383" s="229">
        <f>SUMIF(LUG!$BA$6:$BG$6,BM$177,LUG!$BA29:$BG29)</f>
        <v>0</v>
      </c>
      <c r="BN383" s="229">
        <f>SUMIF(LUG!$BA$6:$BG$6,BN$177,LUG!$BA29:$BG29)</f>
        <v>0</v>
      </c>
      <c r="BO383" s="231">
        <f>SUMIF(LUG!$BA$6:$BG$6,BO$177,LUG!$BA29:$BG29)</f>
        <v>0</v>
      </c>
      <c r="BP383" s="231">
        <f>SUMIF(LUG!$BA$6:$BG$6,BP$177,LUG!$BA29:$BG29)</f>
        <v>0</v>
      </c>
      <c r="BQ383" s="252"/>
      <c r="BR383" s="228">
        <f>SUMIF(LUG!$BA$5:$BG$5,BR$177,LUG!$BA29:$BG29)</f>
        <v>0</v>
      </c>
      <c r="BS383" s="229">
        <f>SUMIF(LUG!$BA$5:$BG$5,BS$177,LUG!$BA29:$BG29)</f>
        <v>0</v>
      </c>
      <c r="BT383" s="229">
        <f>SUMIF(LUG!$BA$5:$BG$5,BT$177,LUG!$BA29:$BG29)</f>
        <v>0</v>
      </c>
      <c r="BU383" s="229">
        <f>SUMIF(LUG!$BA$5:$BG$5,BU$177,LUG!$BA29:$BG29)</f>
        <v>0</v>
      </c>
      <c r="BV383" s="229">
        <f>SUMIF(LUG!$BA$5:$BG$5,BV$177,LUG!$BA29:$BG29)</f>
        <v>0</v>
      </c>
      <c r="BW383" s="229">
        <f>SUMIF(LUG!$BA$5:$BG$5,BW$177,LUG!$BA29:$BG29)</f>
        <v>0</v>
      </c>
      <c r="BX383" s="230">
        <f>SUMIF(LUG!$BA$5:$BG$5,BX$177,LUG!$BA29:$BG29)</f>
        <v>0</v>
      </c>
      <c r="BY383" s="998">
        <f>SUMIF(LUG!$BA$5:$BG$5,BY$177,LUG!$BA29:$BG29)</f>
        <v>0</v>
      </c>
      <c r="CB383" s="252"/>
      <c r="CC383" s="61" t="e">
        <f t="shared" si="88"/>
        <v>#N/A</v>
      </c>
      <c r="CD383" s="61">
        <f t="shared" si="89"/>
        <v>0</v>
      </c>
      <c r="CE383" s="105" t="str">
        <f t="shared" si="82"/>
        <v/>
      </c>
      <c r="CF383" s="61" t="e">
        <f t="shared" si="90"/>
        <v>#N/A</v>
      </c>
      <c r="CG383" s="61" t="e">
        <f t="shared" si="91"/>
        <v>#N/A</v>
      </c>
      <c r="CH383" s="521">
        <f>LUG!AL29-CW383+CR383</f>
        <v>0</v>
      </c>
      <c r="CI383" s="228">
        <f>SUMIF(LUG!$G$121:$M$121,CI$178,LUG!$AM29:$AS29)+SUMIF($CS$178:$CV$178,CI$178,$CS383:$CV383)</f>
        <v>0</v>
      </c>
      <c r="CJ383" s="229">
        <f>SUMIF(LUG!$G$121:$M$121,CJ$178,LUG!$AM29:$AS29)+SUMIF($CS$178:$CV$178,CJ$178,$CS383:$CV383)</f>
        <v>0</v>
      </c>
      <c r="CK383" s="230">
        <f>SUMIF(LUG!$G$121:$M$121,CK$178,LUG!$AM29:$AS29)+SUMIF($CS$178:$CV$178,CK$178,$CS383:$CV383)</f>
        <v>0</v>
      </c>
      <c r="CL383" s="230">
        <f>SUMIF(LUG!$G$121:$M$121,CL$178,LUG!$AM29:$AS29)+SUMIF($CS$178:$CV$178,CL$178,$CS383:$CV383)</f>
        <v>0</v>
      </c>
      <c r="CM383" s="230">
        <f>SUMIF(LUG!$G$121:$M$121,CM$178,LUG!$AM29:$AS29)+SUMIF($CS$178:$CV$178,CM$178,$CS383:$CV383)</f>
        <v>0</v>
      </c>
      <c r="CN383" s="230">
        <f>SUMIF(LUG!$G$121:$M$121,CN$178,LUG!$AM29:$AS29)+SUMIF($CS$178:$CV$178,CN$178,$CS383:$CV383)</f>
        <v>0</v>
      </c>
      <c r="CO383" s="230">
        <f>SUMIF(LUG!$G$121:$M$121,CO$178,LUG!$AM29:$AS29)+SUMIF($CS$178:$CV$178,CO$178,$CS383:$CV383)</f>
        <v>0</v>
      </c>
      <c r="CP383" s="230">
        <f>SUMIF(LUG!$G$121:$M$121,CP$178,LUG!$AM29:$AS29)+SUMIF($CS$178:$CV$178,CP$178,$CS383:$CV383)</f>
        <v>0</v>
      </c>
      <c r="CQ383" s="231">
        <f>SUMIF(LUG!$G$121:$M$121,CQ$178,LUG!$AM29:$AS29)+SUMIF($CS$178:$CV$178,CQ$178,$CS383:$CV383)</f>
        <v>0</v>
      </c>
      <c r="CR383" s="521">
        <f>LUG!AU29</f>
        <v>0</v>
      </c>
      <c r="CS383" s="228">
        <f>LUG!AV29</f>
        <v>0</v>
      </c>
      <c r="CT383" s="229">
        <f>LUG!AW29</f>
        <v>0</v>
      </c>
      <c r="CU383" s="230">
        <f>LUG!AX29</f>
        <v>0</v>
      </c>
      <c r="CV383" s="231">
        <f>LUG!AY29</f>
        <v>0</v>
      </c>
      <c r="CW383" s="521">
        <f>SUM(LUG!AU29:AY29)</f>
        <v>0</v>
      </c>
      <c r="CX383" s="521">
        <f>LUG!AK29</f>
        <v>0</v>
      </c>
      <c r="CY383" s="2"/>
    </row>
    <row r="384" spans="1:103" ht="14.25" hidden="1" customHeight="1" x14ac:dyDescent="0.2">
      <c r="A384" s="2"/>
      <c r="B384" s="105">
        <f t="shared" si="92"/>
        <v>45496</v>
      </c>
      <c r="C384" s="146">
        <f>IF(AND(E384&gt;(N$557-1),E384&lt;(R$557+1)),W$551,IF(ISERROR(HLOOKUP(E384,$N$550:$U$550,1,FALSE)),HLOOKUP(WEEKDAY(E384,2),IMPOSTAZIONI!$C$52:$P$57,6,FALSE),$W$550))</f>
        <v>0</v>
      </c>
      <c r="D384" s="71" t="str">
        <f t="shared" si="93"/>
        <v/>
      </c>
      <c r="E384" s="2258">
        <f t="shared" si="98"/>
        <v>45496</v>
      </c>
      <c r="F384" s="2259"/>
      <c r="G384" s="2228" t="str">
        <f>LUG!E30</f>
        <v xml:space="preserve">disattivato  </v>
      </c>
      <c r="H384" s="2229"/>
      <c r="I384" s="2230"/>
      <c r="J384" s="262" t="str">
        <f t="shared" si="83"/>
        <v/>
      </c>
      <c r="K384" s="263"/>
      <c r="L384" s="2217">
        <f t="shared" si="99"/>
        <v>30</v>
      </c>
      <c r="M384" s="2218"/>
      <c r="N384" s="261"/>
      <c r="O384" s="261"/>
      <c r="P384" s="261"/>
      <c r="Q384" s="2219">
        <f t="shared" si="94"/>
        <v>45496</v>
      </c>
      <c r="R384" s="2219"/>
      <c r="S384" s="261"/>
      <c r="T384" s="1173">
        <f t="shared" si="84"/>
        <v>1</v>
      </c>
      <c r="U384" s="261"/>
      <c r="V384" s="261"/>
      <c r="W384" s="261"/>
      <c r="X384" s="261"/>
      <c r="Y384" s="261"/>
      <c r="Z384" s="261"/>
      <c r="AA384" s="261"/>
      <c r="AB384" s="261"/>
      <c r="AC384" s="261"/>
      <c r="AD384" s="261"/>
      <c r="AE384" s="261"/>
      <c r="AF384" s="261"/>
      <c r="AG384" s="1173">
        <f t="shared" si="95"/>
        <v>0</v>
      </c>
      <c r="AH384" s="61" t="str">
        <f t="shared" si="96"/>
        <v/>
      </c>
      <c r="AI384" s="89" t="e">
        <f t="shared" si="97"/>
        <v>#N/A</v>
      </c>
      <c r="AJ384" s="2"/>
      <c r="AK384" s="61">
        <f>IF(G384=G$547,0,IF(OR(G384&lt;&gt;0,CH384&lt;&gt;0,C384="L"),COUNTIF(AK$180:AK383,"&gt;0")+1,0))</f>
        <v>0</v>
      </c>
      <c r="AL384" s="61" t="str">
        <f t="shared" si="85"/>
        <v/>
      </c>
      <c r="AM384" s="61" t="e">
        <f t="shared" si="86"/>
        <v>#N/A</v>
      </c>
      <c r="AN384" s="89" t="e">
        <f t="shared" si="87"/>
        <v>#N/A</v>
      </c>
      <c r="AO384" s="230">
        <f>SUM(LUG!X30:AD30)-BD384+AY384</f>
        <v>0</v>
      </c>
      <c r="AP384" s="228">
        <f>SUMIF(LUG!$G$121:$M$121,AP$178,LUG!$P30:$V30)+SUMIF($AZ$178:$BC$178,AP$178,$AZ384:$BC384)</f>
        <v>0</v>
      </c>
      <c r="AQ384" s="229">
        <f>SUMIF(LUG!$G$121:$M$121,AQ$178,LUG!$P30:$V30)+SUMIF($AZ$178:$BC$178,AQ$178,$AZ384:$BC384)</f>
        <v>0</v>
      </c>
      <c r="AR384" s="230">
        <f>SUMIF(LUG!$G$121:$M$121,AR$178,LUG!$P30:$V30)+SUMIF($AZ$178:$BC$178,AR$178,$AZ384:$BC384)</f>
        <v>0</v>
      </c>
      <c r="AS384" s="230">
        <f>SUMIF(LUG!$G$121:$M$121,AS$178,LUG!$P30:$V30)+SUMIF($AZ$178:$BC$178,AS$178,$AZ384:$BC384)</f>
        <v>0</v>
      </c>
      <c r="AT384" s="230">
        <f>SUMIF(LUG!$G$121:$M$121,AT$178,LUG!$P30:$V30)+SUMIF($AZ$178:$BC$178,AT$178,$AZ384:$BC384)</f>
        <v>0</v>
      </c>
      <c r="AU384" s="230">
        <f>SUMIF(LUG!$G$121:$M$121,AU$178,LUG!$P30:$V30)+SUMIF($AZ$178:$BC$178,AU$178,$AZ384:$BC384)</f>
        <v>0</v>
      </c>
      <c r="AV384" s="230">
        <f>SUMIF(LUG!$G$121:$M$121,AV$178,LUG!$P30:$V30)+SUMIF($AZ$178:$BC$178,AV$178,$AZ384:$BC384)</f>
        <v>0</v>
      </c>
      <c r="AW384" s="230">
        <f>SUMIF(LUG!$G$121:$M$121,AW$178,LUG!$P30:$V30)+SUMIF($AZ$178:$BC$178,AW$178,$AZ384:$BC384)</f>
        <v>0</v>
      </c>
      <c r="AX384" s="231">
        <f>SUMIF(LUG!$G$121:$M$121,AX$178,LUG!$P30:$V30)+SUMIF($AZ$178:$BC$178,AX$178,$AZ384:$BC384)</f>
        <v>0</v>
      </c>
      <c r="AY384" s="232">
        <f>LUG!AF30</f>
        <v>0</v>
      </c>
      <c r="AZ384" s="228">
        <f>LUG!AG30</f>
        <v>0</v>
      </c>
      <c r="BA384" s="229">
        <f>LUG!AH30</f>
        <v>0</v>
      </c>
      <c r="BB384" s="230">
        <f>LUG!AI30</f>
        <v>0</v>
      </c>
      <c r="BC384" s="231">
        <f>LUG!AJ30</f>
        <v>0</v>
      </c>
      <c r="BD384" s="228">
        <f>SUMIF(LUG!$G$120:$M$120,"&gt;0",LUG!$X30:$AD30)</f>
        <v>0</v>
      </c>
      <c r="BE384" s="696"/>
      <c r="BF384" s="228">
        <f>SUMIF(LUG!$BA$6:$BG$6,BF$177,LUG!$BA30:$BG30)</f>
        <v>0</v>
      </c>
      <c r="BG384" s="229">
        <f>SUMIF(LUG!$BA$6:$BG$6,BG$177,LUG!$BA30:$BG30)</f>
        <v>0</v>
      </c>
      <c r="BH384" s="229">
        <f>SUMIF(LUG!$BA$6:$BG$6,BH$177,LUG!$BA30:$BG30)</f>
        <v>0</v>
      </c>
      <c r="BI384" s="229">
        <f>SUMIF(LUG!$BA$6:$BG$6,BI$177,LUG!$BA30:$BG30)</f>
        <v>0</v>
      </c>
      <c r="BJ384" s="229">
        <f>SUMIF(LUG!$BA$6:$BG$6,BJ$177,LUG!$BA30:$BG30)</f>
        <v>0</v>
      </c>
      <c r="BK384" s="229">
        <f>SUMIF(LUG!$BA$6:$BG$6,BK$177,LUG!$BA30:$BG30)</f>
        <v>0</v>
      </c>
      <c r="BL384" s="229">
        <f>SUMIF(LUG!$BA$6:$BG$6,BL$177,LUG!$BA30:$BG30)</f>
        <v>0</v>
      </c>
      <c r="BM384" s="229">
        <f>SUMIF(LUG!$BA$6:$BG$6,BM$177,LUG!$BA30:$BG30)</f>
        <v>0</v>
      </c>
      <c r="BN384" s="229">
        <f>SUMIF(LUG!$BA$6:$BG$6,BN$177,LUG!$BA30:$BG30)</f>
        <v>0</v>
      </c>
      <c r="BO384" s="231">
        <f>SUMIF(LUG!$BA$6:$BG$6,BO$177,LUG!$BA30:$BG30)</f>
        <v>0</v>
      </c>
      <c r="BP384" s="231">
        <f>SUMIF(LUG!$BA$6:$BG$6,BP$177,LUG!$BA30:$BG30)</f>
        <v>0</v>
      </c>
      <c r="BQ384" s="252"/>
      <c r="BR384" s="228">
        <f>SUMIF(LUG!$BA$5:$BG$5,BR$177,LUG!$BA30:$BG30)</f>
        <v>0</v>
      </c>
      <c r="BS384" s="229">
        <f>SUMIF(LUG!$BA$5:$BG$5,BS$177,LUG!$BA30:$BG30)</f>
        <v>0</v>
      </c>
      <c r="BT384" s="229">
        <f>SUMIF(LUG!$BA$5:$BG$5,BT$177,LUG!$BA30:$BG30)</f>
        <v>0</v>
      </c>
      <c r="BU384" s="229">
        <f>SUMIF(LUG!$BA$5:$BG$5,BU$177,LUG!$BA30:$BG30)</f>
        <v>0</v>
      </c>
      <c r="BV384" s="229">
        <f>SUMIF(LUG!$BA$5:$BG$5,BV$177,LUG!$BA30:$BG30)</f>
        <v>0</v>
      </c>
      <c r="BW384" s="229">
        <f>SUMIF(LUG!$BA$5:$BG$5,BW$177,LUG!$BA30:$BG30)</f>
        <v>0</v>
      </c>
      <c r="BX384" s="230">
        <f>SUMIF(LUG!$BA$5:$BG$5,BX$177,LUG!$BA30:$BG30)</f>
        <v>0</v>
      </c>
      <c r="BY384" s="998">
        <f>SUMIF(LUG!$BA$5:$BG$5,BY$177,LUG!$BA30:$BG30)</f>
        <v>0</v>
      </c>
      <c r="CB384" s="252"/>
      <c r="CC384" s="61" t="e">
        <f t="shared" si="88"/>
        <v>#N/A</v>
      </c>
      <c r="CD384" s="61">
        <f t="shared" si="89"/>
        <v>0</v>
      </c>
      <c r="CE384" s="105" t="str">
        <f t="shared" si="82"/>
        <v/>
      </c>
      <c r="CF384" s="61" t="e">
        <f t="shared" si="90"/>
        <v>#N/A</v>
      </c>
      <c r="CG384" s="61" t="e">
        <f t="shared" si="91"/>
        <v>#N/A</v>
      </c>
      <c r="CH384" s="521">
        <f>LUG!AL30-CW384+CR384</f>
        <v>0</v>
      </c>
      <c r="CI384" s="228">
        <f>SUMIF(LUG!$G$121:$M$121,CI$178,LUG!$AM30:$AS30)+SUMIF($CS$178:$CV$178,CI$178,$CS384:$CV384)</f>
        <v>0</v>
      </c>
      <c r="CJ384" s="229">
        <f>SUMIF(LUG!$G$121:$M$121,CJ$178,LUG!$AM30:$AS30)+SUMIF($CS$178:$CV$178,CJ$178,$CS384:$CV384)</f>
        <v>0</v>
      </c>
      <c r="CK384" s="230">
        <f>SUMIF(LUG!$G$121:$M$121,CK$178,LUG!$AM30:$AS30)+SUMIF($CS$178:$CV$178,CK$178,$CS384:$CV384)</f>
        <v>0</v>
      </c>
      <c r="CL384" s="230">
        <f>SUMIF(LUG!$G$121:$M$121,CL$178,LUG!$AM30:$AS30)+SUMIF($CS$178:$CV$178,CL$178,$CS384:$CV384)</f>
        <v>0</v>
      </c>
      <c r="CM384" s="230">
        <f>SUMIF(LUG!$G$121:$M$121,CM$178,LUG!$AM30:$AS30)+SUMIF($CS$178:$CV$178,CM$178,$CS384:$CV384)</f>
        <v>0</v>
      </c>
      <c r="CN384" s="230">
        <f>SUMIF(LUG!$G$121:$M$121,CN$178,LUG!$AM30:$AS30)+SUMIF($CS$178:$CV$178,CN$178,$CS384:$CV384)</f>
        <v>0</v>
      </c>
      <c r="CO384" s="230">
        <f>SUMIF(LUG!$G$121:$M$121,CO$178,LUG!$AM30:$AS30)+SUMIF($CS$178:$CV$178,CO$178,$CS384:$CV384)</f>
        <v>0</v>
      </c>
      <c r="CP384" s="230">
        <f>SUMIF(LUG!$G$121:$M$121,CP$178,LUG!$AM30:$AS30)+SUMIF($CS$178:$CV$178,CP$178,$CS384:$CV384)</f>
        <v>0</v>
      </c>
      <c r="CQ384" s="231">
        <f>SUMIF(LUG!$G$121:$M$121,CQ$178,LUG!$AM30:$AS30)+SUMIF($CS$178:$CV$178,CQ$178,$CS384:$CV384)</f>
        <v>0</v>
      </c>
      <c r="CR384" s="521">
        <f>LUG!AU30</f>
        <v>0</v>
      </c>
      <c r="CS384" s="228">
        <f>LUG!AV30</f>
        <v>0</v>
      </c>
      <c r="CT384" s="229">
        <f>LUG!AW30</f>
        <v>0</v>
      </c>
      <c r="CU384" s="230">
        <f>LUG!AX30</f>
        <v>0</v>
      </c>
      <c r="CV384" s="231">
        <f>LUG!AY30</f>
        <v>0</v>
      </c>
      <c r="CW384" s="521">
        <f>SUM(LUG!AU30:AY30)</f>
        <v>0</v>
      </c>
      <c r="CX384" s="521">
        <f>LUG!AK30</f>
        <v>0</v>
      </c>
      <c r="CY384" s="2"/>
    </row>
    <row r="385" spans="1:103" ht="14.25" hidden="1" customHeight="1" x14ac:dyDescent="0.2">
      <c r="A385" s="2"/>
      <c r="B385" s="105">
        <f t="shared" si="92"/>
        <v>45497</v>
      </c>
      <c r="C385" s="146">
        <f>IF(AND(E385&gt;(N$557-1),E385&lt;(R$557+1)),W$551,IF(ISERROR(HLOOKUP(E385,$N$550:$U$550,1,FALSE)),HLOOKUP(WEEKDAY(E385,2),IMPOSTAZIONI!$C$52:$P$57,6,FALSE),$W$550))</f>
        <v>0</v>
      </c>
      <c r="D385" s="71" t="str">
        <f t="shared" si="93"/>
        <v/>
      </c>
      <c r="E385" s="2258">
        <f t="shared" si="98"/>
        <v>45497</v>
      </c>
      <c r="F385" s="2259"/>
      <c r="G385" s="2228" t="str">
        <f>LUG!E31</f>
        <v xml:space="preserve">disattivato  </v>
      </c>
      <c r="H385" s="2229"/>
      <c r="I385" s="2230"/>
      <c r="J385" s="262" t="str">
        <f t="shared" si="83"/>
        <v/>
      </c>
      <c r="K385" s="263"/>
      <c r="L385" s="2217">
        <f t="shared" si="99"/>
        <v>30</v>
      </c>
      <c r="M385" s="2218"/>
      <c r="N385" s="261"/>
      <c r="O385" s="261"/>
      <c r="P385" s="261"/>
      <c r="Q385" s="2219">
        <f t="shared" si="94"/>
        <v>45497</v>
      </c>
      <c r="R385" s="2219"/>
      <c r="S385" s="261"/>
      <c r="T385" s="1173">
        <f t="shared" si="84"/>
        <v>1</v>
      </c>
      <c r="U385" s="261"/>
      <c r="V385" s="261"/>
      <c r="W385" s="261"/>
      <c r="X385" s="261"/>
      <c r="Y385" s="261"/>
      <c r="Z385" s="261"/>
      <c r="AA385" s="261"/>
      <c r="AB385" s="261"/>
      <c r="AC385" s="261"/>
      <c r="AD385" s="261"/>
      <c r="AE385" s="261"/>
      <c r="AF385" s="261"/>
      <c r="AG385" s="1173">
        <f t="shared" si="95"/>
        <v>0</v>
      </c>
      <c r="AH385" s="61" t="str">
        <f t="shared" si="96"/>
        <v/>
      </c>
      <c r="AI385" s="89" t="e">
        <f t="shared" si="97"/>
        <v>#N/A</v>
      </c>
      <c r="AJ385" s="2"/>
      <c r="AK385" s="61">
        <f>IF(G385=G$547,0,IF(OR(G385&lt;&gt;0,CH385&lt;&gt;0,C385="L"),COUNTIF(AK$180:AK384,"&gt;0")+1,0))</f>
        <v>0</v>
      </c>
      <c r="AL385" s="61" t="str">
        <f t="shared" si="85"/>
        <v/>
      </c>
      <c r="AM385" s="61" t="e">
        <f t="shared" si="86"/>
        <v>#N/A</v>
      </c>
      <c r="AN385" s="89" t="e">
        <f t="shared" si="87"/>
        <v>#N/A</v>
      </c>
      <c r="AO385" s="230">
        <f>SUM(LUG!X31:AD31)-BD385+AY385</f>
        <v>0</v>
      </c>
      <c r="AP385" s="228">
        <f>SUMIF(LUG!$G$121:$M$121,AP$178,LUG!$P31:$V31)+SUMIF($AZ$178:$BC$178,AP$178,$AZ385:$BC385)</f>
        <v>0</v>
      </c>
      <c r="AQ385" s="229">
        <f>SUMIF(LUG!$G$121:$M$121,AQ$178,LUG!$P31:$V31)+SUMIF($AZ$178:$BC$178,AQ$178,$AZ385:$BC385)</f>
        <v>0</v>
      </c>
      <c r="AR385" s="230">
        <f>SUMIF(LUG!$G$121:$M$121,AR$178,LUG!$P31:$V31)+SUMIF($AZ$178:$BC$178,AR$178,$AZ385:$BC385)</f>
        <v>0</v>
      </c>
      <c r="AS385" s="230">
        <f>SUMIF(LUG!$G$121:$M$121,AS$178,LUG!$P31:$V31)+SUMIF($AZ$178:$BC$178,AS$178,$AZ385:$BC385)</f>
        <v>0</v>
      </c>
      <c r="AT385" s="230">
        <f>SUMIF(LUG!$G$121:$M$121,AT$178,LUG!$P31:$V31)+SUMIF($AZ$178:$BC$178,AT$178,$AZ385:$BC385)</f>
        <v>0</v>
      </c>
      <c r="AU385" s="230">
        <f>SUMIF(LUG!$G$121:$M$121,AU$178,LUG!$P31:$V31)+SUMIF($AZ$178:$BC$178,AU$178,$AZ385:$BC385)</f>
        <v>0</v>
      </c>
      <c r="AV385" s="230">
        <f>SUMIF(LUG!$G$121:$M$121,AV$178,LUG!$P31:$V31)+SUMIF($AZ$178:$BC$178,AV$178,$AZ385:$BC385)</f>
        <v>0</v>
      </c>
      <c r="AW385" s="230">
        <f>SUMIF(LUG!$G$121:$M$121,AW$178,LUG!$P31:$V31)+SUMIF($AZ$178:$BC$178,AW$178,$AZ385:$BC385)</f>
        <v>0</v>
      </c>
      <c r="AX385" s="231">
        <f>SUMIF(LUG!$G$121:$M$121,AX$178,LUG!$P31:$V31)+SUMIF($AZ$178:$BC$178,AX$178,$AZ385:$BC385)</f>
        <v>0</v>
      </c>
      <c r="AY385" s="232">
        <f>LUG!AF31</f>
        <v>0</v>
      </c>
      <c r="AZ385" s="228">
        <f>LUG!AG31</f>
        <v>0</v>
      </c>
      <c r="BA385" s="229">
        <f>LUG!AH31</f>
        <v>0</v>
      </c>
      <c r="BB385" s="230">
        <f>LUG!AI31</f>
        <v>0</v>
      </c>
      <c r="BC385" s="231">
        <f>LUG!AJ31</f>
        <v>0</v>
      </c>
      <c r="BD385" s="228">
        <f>SUMIF(LUG!$G$120:$M$120,"&gt;0",LUG!$X31:$AD31)</f>
        <v>0</v>
      </c>
      <c r="BE385" s="696"/>
      <c r="BF385" s="228">
        <f>SUMIF(LUG!$BA$6:$BG$6,BF$177,LUG!$BA31:$BG31)</f>
        <v>0</v>
      </c>
      <c r="BG385" s="229">
        <f>SUMIF(LUG!$BA$6:$BG$6,BG$177,LUG!$BA31:$BG31)</f>
        <v>0</v>
      </c>
      <c r="BH385" s="229">
        <f>SUMIF(LUG!$BA$6:$BG$6,BH$177,LUG!$BA31:$BG31)</f>
        <v>0</v>
      </c>
      <c r="BI385" s="229">
        <f>SUMIF(LUG!$BA$6:$BG$6,BI$177,LUG!$BA31:$BG31)</f>
        <v>0</v>
      </c>
      <c r="BJ385" s="229">
        <f>SUMIF(LUG!$BA$6:$BG$6,BJ$177,LUG!$BA31:$BG31)</f>
        <v>0</v>
      </c>
      <c r="BK385" s="229">
        <f>SUMIF(LUG!$BA$6:$BG$6,BK$177,LUG!$BA31:$BG31)</f>
        <v>0</v>
      </c>
      <c r="BL385" s="229">
        <f>SUMIF(LUG!$BA$6:$BG$6,BL$177,LUG!$BA31:$BG31)</f>
        <v>0</v>
      </c>
      <c r="BM385" s="229">
        <f>SUMIF(LUG!$BA$6:$BG$6,BM$177,LUG!$BA31:$BG31)</f>
        <v>0</v>
      </c>
      <c r="BN385" s="229">
        <f>SUMIF(LUG!$BA$6:$BG$6,BN$177,LUG!$BA31:$BG31)</f>
        <v>0</v>
      </c>
      <c r="BO385" s="231">
        <f>SUMIF(LUG!$BA$6:$BG$6,BO$177,LUG!$BA31:$BG31)</f>
        <v>0</v>
      </c>
      <c r="BP385" s="231">
        <f>SUMIF(LUG!$BA$6:$BG$6,BP$177,LUG!$BA31:$BG31)</f>
        <v>0</v>
      </c>
      <c r="BQ385" s="252"/>
      <c r="BR385" s="228">
        <f>SUMIF(LUG!$BA$5:$BG$5,BR$177,LUG!$BA31:$BG31)</f>
        <v>0</v>
      </c>
      <c r="BS385" s="229">
        <f>SUMIF(LUG!$BA$5:$BG$5,BS$177,LUG!$BA31:$BG31)</f>
        <v>0</v>
      </c>
      <c r="BT385" s="229">
        <f>SUMIF(LUG!$BA$5:$BG$5,BT$177,LUG!$BA31:$BG31)</f>
        <v>0</v>
      </c>
      <c r="BU385" s="229">
        <f>SUMIF(LUG!$BA$5:$BG$5,BU$177,LUG!$BA31:$BG31)</f>
        <v>0</v>
      </c>
      <c r="BV385" s="229">
        <f>SUMIF(LUG!$BA$5:$BG$5,BV$177,LUG!$BA31:$BG31)</f>
        <v>0</v>
      </c>
      <c r="BW385" s="229">
        <f>SUMIF(LUG!$BA$5:$BG$5,BW$177,LUG!$BA31:$BG31)</f>
        <v>0</v>
      </c>
      <c r="BX385" s="230">
        <f>SUMIF(LUG!$BA$5:$BG$5,BX$177,LUG!$BA31:$BG31)</f>
        <v>0</v>
      </c>
      <c r="BY385" s="998">
        <f>SUMIF(LUG!$BA$5:$BG$5,BY$177,LUG!$BA31:$BG31)</f>
        <v>0</v>
      </c>
      <c r="CB385" s="252"/>
      <c r="CC385" s="61" t="e">
        <f t="shared" si="88"/>
        <v>#N/A</v>
      </c>
      <c r="CD385" s="61">
        <f t="shared" si="89"/>
        <v>0</v>
      </c>
      <c r="CE385" s="105" t="str">
        <f t="shared" si="82"/>
        <v/>
      </c>
      <c r="CF385" s="61" t="e">
        <f t="shared" si="90"/>
        <v>#N/A</v>
      </c>
      <c r="CG385" s="61" t="e">
        <f t="shared" si="91"/>
        <v>#N/A</v>
      </c>
      <c r="CH385" s="521">
        <f>LUG!AL31-CW385+CR385</f>
        <v>0</v>
      </c>
      <c r="CI385" s="228">
        <f>SUMIF(LUG!$G$121:$M$121,CI$178,LUG!$AM31:$AS31)+SUMIF($CS$178:$CV$178,CI$178,$CS385:$CV385)</f>
        <v>0</v>
      </c>
      <c r="CJ385" s="229">
        <f>SUMIF(LUG!$G$121:$M$121,CJ$178,LUG!$AM31:$AS31)+SUMIF($CS$178:$CV$178,CJ$178,$CS385:$CV385)</f>
        <v>0</v>
      </c>
      <c r="CK385" s="230">
        <f>SUMIF(LUG!$G$121:$M$121,CK$178,LUG!$AM31:$AS31)+SUMIF($CS$178:$CV$178,CK$178,$CS385:$CV385)</f>
        <v>0</v>
      </c>
      <c r="CL385" s="230">
        <f>SUMIF(LUG!$G$121:$M$121,CL$178,LUG!$AM31:$AS31)+SUMIF($CS$178:$CV$178,CL$178,$CS385:$CV385)</f>
        <v>0</v>
      </c>
      <c r="CM385" s="230">
        <f>SUMIF(LUG!$G$121:$M$121,CM$178,LUG!$AM31:$AS31)+SUMIF($CS$178:$CV$178,CM$178,$CS385:$CV385)</f>
        <v>0</v>
      </c>
      <c r="CN385" s="230">
        <f>SUMIF(LUG!$G$121:$M$121,CN$178,LUG!$AM31:$AS31)+SUMIF($CS$178:$CV$178,CN$178,$CS385:$CV385)</f>
        <v>0</v>
      </c>
      <c r="CO385" s="230">
        <f>SUMIF(LUG!$G$121:$M$121,CO$178,LUG!$AM31:$AS31)+SUMIF($CS$178:$CV$178,CO$178,$CS385:$CV385)</f>
        <v>0</v>
      </c>
      <c r="CP385" s="230">
        <f>SUMIF(LUG!$G$121:$M$121,CP$178,LUG!$AM31:$AS31)+SUMIF($CS$178:$CV$178,CP$178,$CS385:$CV385)</f>
        <v>0</v>
      </c>
      <c r="CQ385" s="231">
        <f>SUMIF(LUG!$G$121:$M$121,CQ$178,LUG!$AM31:$AS31)+SUMIF($CS$178:$CV$178,CQ$178,$CS385:$CV385)</f>
        <v>0</v>
      </c>
      <c r="CR385" s="521">
        <f>LUG!AU31</f>
        <v>0</v>
      </c>
      <c r="CS385" s="228">
        <f>LUG!AV31</f>
        <v>0</v>
      </c>
      <c r="CT385" s="229">
        <f>LUG!AW31</f>
        <v>0</v>
      </c>
      <c r="CU385" s="230">
        <f>LUG!AX31</f>
        <v>0</v>
      </c>
      <c r="CV385" s="231">
        <f>LUG!AY31</f>
        <v>0</v>
      </c>
      <c r="CW385" s="521">
        <f>SUM(LUG!AU31:AY31)</f>
        <v>0</v>
      </c>
      <c r="CX385" s="521">
        <f>LUG!AK31</f>
        <v>0</v>
      </c>
      <c r="CY385" s="2"/>
    </row>
    <row r="386" spans="1:103" ht="14.25" hidden="1" customHeight="1" x14ac:dyDescent="0.2">
      <c r="A386" s="2"/>
      <c r="B386" s="105">
        <f t="shared" si="92"/>
        <v>45498</v>
      </c>
      <c r="C386" s="146">
        <f>IF(AND(E386&gt;(N$557-1),E386&lt;(R$557+1)),W$551,IF(ISERROR(HLOOKUP(E386,$N$550:$U$550,1,FALSE)),HLOOKUP(WEEKDAY(E386,2),IMPOSTAZIONI!$C$52:$P$57,6,FALSE),$W$550))</f>
        <v>0</v>
      </c>
      <c r="D386" s="71" t="str">
        <f t="shared" si="93"/>
        <v/>
      </c>
      <c r="E386" s="2258">
        <f t="shared" si="98"/>
        <v>45498</v>
      </c>
      <c r="F386" s="2259"/>
      <c r="G386" s="2228" t="str">
        <f>LUG!E32</f>
        <v xml:space="preserve">disattivato  </v>
      </c>
      <c r="H386" s="2229"/>
      <c r="I386" s="2230"/>
      <c r="J386" s="262" t="str">
        <f t="shared" si="83"/>
        <v/>
      </c>
      <c r="K386" s="263"/>
      <c r="L386" s="2217">
        <f t="shared" si="99"/>
        <v>30</v>
      </c>
      <c r="M386" s="2218"/>
      <c r="N386" s="261"/>
      <c r="O386" s="261"/>
      <c r="P386" s="261"/>
      <c r="Q386" s="2219">
        <f t="shared" si="94"/>
        <v>45498</v>
      </c>
      <c r="R386" s="2219"/>
      <c r="S386" s="261"/>
      <c r="T386" s="1173">
        <f t="shared" si="84"/>
        <v>1</v>
      </c>
      <c r="U386" s="261"/>
      <c r="V386" s="261"/>
      <c r="W386" s="261"/>
      <c r="X386" s="261"/>
      <c r="Y386" s="261"/>
      <c r="Z386" s="261"/>
      <c r="AA386" s="261"/>
      <c r="AB386" s="261"/>
      <c r="AC386" s="261"/>
      <c r="AD386" s="261"/>
      <c r="AE386" s="261"/>
      <c r="AF386" s="261"/>
      <c r="AG386" s="1173">
        <f t="shared" si="95"/>
        <v>0</v>
      </c>
      <c r="AH386" s="61" t="str">
        <f t="shared" si="96"/>
        <v/>
      </c>
      <c r="AI386" s="89" t="e">
        <f t="shared" si="97"/>
        <v>#N/A</v>
      </c>
      <c r="AJ386" s="2"/>
      <c r="AK386" s="61">
        <f>IF(G386=G$547,0,IF(OR(G386&lt;&gt;0,CH386&lt;&gt;0,C386="L"),COUNTIF(AK$180:AK385,"&gt;0")+1,0))</f>
        <v>0</v>
      </c>
      <c r="AL386" s="61" t="str">
        <f t="shared" si="85"/>
        <v/>
      </c>
      <c r="AM386" s="61" t="e">
        <f t="shared" si="86"/>
        <v>#N/A</v>
      </c>
      <c r="AN386" s="89" t="e">
        <f t="shared" si="87"/>
        <v>#N/A</v>
      </c>
      <c r="AO386" s="230">
        <f>SUM(LUG!X32:AD32)-BD386+AY386</f>
        <v>0</v>
      </c>
      <c r="AP386" s="228">
        <f>SUMIF(LUG!$G$121:$M$121,AP$178,LUG!$P32:$V32)+SUMIF($AZ$178:$BC$178,AP$178,$AZ386:$BC386)</f>
        <v>0</v>
      </c>
      <c r="AQ386" s="229">
        <f>SUMIF(LUG!$G$121:$M$121,AQ$178,LUG!$P32:$V32)+SUMIF($AZ$178:$BC$178,AQ$178,$AZ386:$BC386)</f>
        <v>0</v>
      </c>
      <c r="AR386" s="230">
        <f>SUMIF(LUG!$G$121:$M$121,AR$178,LUG!$P32:$V32)+SUMIF($AZ$178:$BC$178,AR$178,$AZ386:$BC386)</f>
        <v>0</v>
      </c>
      <c r="AS386" s="230">
        <f>SUMIF(LUG!$G$121:$M$121,AS$178,LUG!$P32:$V32)+SUMIF($AZ$178:$BC$178,AS$178,$AZ386:$BC386)</f>
        <v>0</v>
      </c>
      <c r="AT386" s="230">
        <f>SUMIF(LUG!$G$121:$M$121,AT$178,LUG!$P32:$V32)+SUMIF($AZ$178:$BC$178,AT$178,$AZ386:$BC386)</f>
        <v>0</v>
      </c>
      <c r="AU386" s="230">
        <f>SUMIF(LUG!$G$121:$M$121,AU$178,LUG!$P32:$V32)+SUMIF($AZ$178:$BC$178,AU$178,$AZ386:$BC386)</f>
        <v>0</v>
      </c>
      <c r="AV386" s="230">
        <f>SUMIF(LUG!$G$121:$M$121,AV$178,LUG!$P32:$V32)+SUMIF($AZ$178:$BC$178,AV$178,$AZ386:$BC386)</f>
        <v>0</v>
      </c>
      <c r="AW386" s="230">
        <f>SUMIF(LUG!$G$121:$M$121,AW$178,LUG!$P32:$V32)+SUMIF($AZ$178:$BC$178,AW$178,$AZ386:$BC386)</f>
        <v>0</v>
      </c>
      <c r="AX386" s="231">
        <f>SUMIF(LUG!$G$121:$M$121,AX$178,LUG!$P32:$V32)+SUMIF($AZ$178:$BC$178,AX$178,$AZ386:$BC386)</f>
        <v>0</v>
      </c>
      <c r="AY386" s="232">
        <f>LUG!AF32</f>
        <v>0</v>
      </c>
      <c r="AZ386" s="228">
        <f>LUG!AG32</f>
        <v>0</v>
      </c>
      <c r="BA386" s="229">
        <f>LUG!AH32</f>
        <v>0</v>
      </c>
      <c r="BB386" s="230">
        <f>LUG!AI32</f>
        <v>0</v>
      </c>
      <c r="BC386" s="231">
        <f>LUG!AJ32</f>
        <v>0</v>
      </c>
      <c r="BD386" s="228">
        <f>SUMIF(LUG!$G$120:$M$120,"&gt;0",LUG!$X32:$AD32)</f>
        <v>0</v>
      </c>
      <c r="BE386" s="696"/>
      <c r="BF386" s="228">
        <f>SUMIF(LUG!$BA$6:$BG$6,BF$177,LUG!$BA32:$BG32)</f>
        <v>0</v>
      </c>
      <c r="BG386" s="229">
        <f>SUMIF(LUG!$BA$6:$BG$6,BG$177,LUG!$BA32:$BG32)</f>
        <v>0</v>
      </c>
      <c r="BH386" s="229">
        <f>SUMIF(LUG!$BA$6:$BG$6,BH$177,LUG!$BA32:$BG32)</f>
        <v>0</v>
      </c>
      <c r="BI386" s="229">
        <f>SUMIF(LUG!$BA$6:$BG$6,BI$177,LUG!$BA32:$BG32)</f>
        <v>0</v>
      </c>
      <c r="BJ386" s="229">
        <f>SUMIF(LUG!$BA$6:$BG$6,BJ$177,LUG!$BA32:$BG32)</f>
        <v>0</v>
      </c>
      <c r="BK386" s="229">
        <f>SUMIF(LUG!$BA$6:$BG$6,BK$177,LUG!$BA32:$BG32)</f>
        <v>0</v>
      </c>
      <c r="BL386" s="229">
        <f>SUMIF(LUG!$BA$6:$BG$6,BL$177,LUG!$BA32:$BG32)</f>
        <v>0</v>
      </c>
      <c r="BM386" s="229">
        <f>SUMIF(LUG!$BA$6:$BG$6,BM$177,LUG!$BA32:$BG32)</f>
        <v>0</v>
      </c>
      <c r="BN386" s="229">
        <f>SUMIF(LUG!$BA$6:$BG$6,BN$177,LUG!$BA32:$BG32)</f>
        <v>0</v>
      </c>
      <c r="BO386" s="231">
        <f>SUMIF(LUG!$BA$6:$BG$6,BO$177,LUG!$BA32:$BG32)</f>
        <v>0</v>
      </c>
      <c r="BP386" s="231">
        <f>SUMIF(LUG!$BA$6:$BG$6,BP$177,LUG!$BA32:$BG32)</f>
        <v>0</v>
      </c>
      <c r="BQ386" s="252"/>
      <c r="BR386" s="228">
        <f>SUMIF(LUG!$BA$5:$BG$5,BR$177,LUG!$BA32:$BG32)</f>
        <v>0</v>
      </c>
      <c r="BS386" s="229">
        <f>SUMIF(LUG!$BA$5:$BG$5,BS$177,LUG!$BA32:$BG32)</f>
        <v>0</v>
      </c>
      <c r="BT386" s="229">
        <f>SUMIF(LUG!$BA$5:$BG$5,BT$177,LUG!$BA32:$BG32)</f>
        <v>0</v>
      </c>
      <c r="BU386" s="229">
        <f>SUMIF(LUG!$BA$5:$BG$5,BU$177,LUG!$BA32:$BG32)</f>
        <v>0</v>
      </c>
      <c r="BV386" s="229">
        <f>SUMIF(LUG!$BA$5:$BG$5,BV$177,LUG!$BA32:$BG32)</f>
        <v>0</v>
      </c>
      <c r="BW386" s="229">
        <f>SUMIF(LUG!$BA$5:$BG$5,BW$177,LUG!$BA32:$BG32)</f>
        <v>0</v>
      </c>
      <c r="BX386" s="230">
        <f>SUMIF(LUG!$BA$5:$BG$5,BX$177,LUG!$BA32:$BG32)</f>
        <v>0</v>
      </c>
      <c r="BY386" s="998">
        <f>SUMIF(LUG!$BA$5:$BG$5,BY$177,LUG!$BA32:$BG32)</f>
        <v>0</v>
      </c>
      <c r="CB386" s="252"/>
      <c r="CC386" s="61" t="e">
        <f t="shared" si="88"/>
        <v>#N/A</v>
      </c>
      <c r="CD386" s="61">
        <f t="shared" si="89"/>
        <v>0</v>
      </c>
      <c r="CE386" s="105" t="str">
        <f t="shared" si="82"/>
        <v/>
      </c>
      <c r="CF386" s="61" t="e">
        <f t="shared" si="90"/>
        <v>#N/A</v>
      </c>
      <c r="CG386" s="61" t="e">
        <f t="shared" si="91"/>
        <v>#N/A</v>
      </c>
      <c r="CH386" s="521">
        <f>LUG!AL32-CW386+CR386</f>
        <v>0</v>
      </c>
      <c r="CI386" s="228">
        <f>SUMIF(LUG!$G$121:$M$121,CI$178,LUG!$AM32:$AS32)+SUMIF($CS$178:$CV$178,CI$178,$CS386:$CV386)</f>
        <v>0</v>
      </c>
      <c r="CJ386" s="229">
        <f>SUMIF(LUG!$G$121:$M$121,CJ$178,LUG!$AM32:$AS32)+SUMIF($CS$178:$CV$178,CJ$178,$CS386:$CV386)</f>
        <v>0</v>
      </c>
      <c r="CK386" s="230">
        <f>SUMIF(LUG!$G$121:$M$121,CK$178,LUG!$AM32:$AS32)+SUMIF($CS$178:$CV$178,CK$178,$CS386:$CV386)</f>
        <v>0</v>
      </c>
      <c r="CL386" s="230">
        <f>SUMIF(LUG!$G$121:$M$121,CL$178,LUG!$AM32:$AS32)+SUMIF($CS$178:$CV$178,CL$178,$CS386:$CV386)</f>
        <v>0</v>
      </c>
      <c r="CM386" s="230">
        <f>SUMIF(LUG!$G$121:$M$121,CM$178,LUG!$AM32:$AS32)+SUMIF($CS$178:$CV$178,CM$178,$CS386:$CV386)</f>
        <v>0</v>
      </c>
      <c r="CN386" s="230">
        <f>SUMIF(LUG!$G$121:$M$121,CN$178,LUG!$AM32:$AS32)+SUMIF($CS$178:$CV$178,CN$178,$CS386:$CV386)</f>
        <v>0</v>
      </c>
      <c r="CO386" s="230">
        <f>SUMIF(LUG!$G$121:$M$121,CO$178,LUG!$AM32:$AS32)+SUMIF($CS$178:$CV$178,CO$178,$CS386:$CV386)</f>
        <v>0</v>
      </c>
      <c r="CP386" s="230">
        <f>SUMIF(LUG!$G$121:$M$121,CP$178,LUG!$AM32:$AS32)+SUMIF($CS$178:$CV$178,CP$178,$CS386:$CV386)</f>
        <v>0</v>
      </c>
      <c r="CQ386" s="231">
        <f>SUMIF(LUG!$G$121:$M$121,CQ$178,LUG!$AM32:$AS32)+SUMIF($CS$178:$CV$178,CQ$178,$CS386:$CV386)</f>
        <v>0</v>
      </c>
      <c r="CR386" s="521">
        <f>LUG!AU32</f>
        <v>0</v>
      </c>
      <c r="CS386" s="228">
        <f>LUG!AV32</f>
        <v>0</v>
      </c>
      <c r="CT386" s="229">
        <f>LUG!AW32</f>
        <v>0</v>
      </c>
      <c r="CU386" s="230">
        <f>LUG!AX32</f>
        <v>0</v>
      </c>
      <c r="CV386" s="231">
        <f>LUG!AY32</f>
        <v>0</v>
      </c>
      <c r="CW386" s="521">
        <f>SUM(LUG!AU32:AY32)</f>
        <v>0</v>
      </c>
      <c r="CX386" s="521">
        <f>LUG!AK32</f>
        <v>0</v>
      </c>
      <c r="CY386" s="2"/>
    </row>
    <row r="387" spans="1:103" ht="14.25" hidden="1" customHeight="1" x14ac:dyDescent="0.2">
      <c r="A387" s="2"/>
      <c r="B387" s="105">
        <f t="shared" si="92"/>
        <v>45499</v>
      </c>
      <c r="C387" s="146">
        <f>IF(AND(E387&gt;(N$557-1),E387&lt;(R$557+1)),W$551,IF(ISERROR(HLOOKUP(E387,$N$550:$U$550,1,FALSE)),HLOOKUP(WEEKDAY(E387,2),IMPOSTAZIONI!$C$52:$P$57,6,FALSE),$W$550))</f>
        <v>0</v>
      </c>
      <c r="D387" s="71" t="str">
        <f t="shared" si="93"/>
        <v/>
      </c>
      <c r="E387" s="2258">
        <f t="shared" si="98"/>
        <v>45499</v>
      </c>
      <c r="F387" s="2259"/>
      <c r="G387" s="2228" t="str">
        <f>LUG!E33</f>
        <v xml:space="preserve">disattivato  </v>
      </c>
      <c r="H387" s="2229"/>
      <c r="I387" s="2230"/>
      <c r="J387" s="262" t="str">
        <f t="shared" si="83"/>
        <v/>
      </c>
      <c r="K387" s="263"/>
      <c r="L387" s="2217">
        <f t="shared" si="99"/>
        <v>30</v>
      </c>
      <c r="M387" s="2218"/>
      <c r="N387" s="261"/>
      <c r="O387" s="261"/>
      <c r="P387" s="261"/>
      <c r="Q387" s="2219">
        <f t="shared" si="94"/>
        <v>45499</v>
      </c>
      <c r="R387" s="2219"/>
      <c r="S387" s="261"/>
      <c r="T387" s="1173">
        <f t="shared" si="84"/>
        <v>1</v>
      </c>
      <c r="U387" s="261"/>
      <c r="V387" s="261"/>
      <c r="W387" s="261"/>
      <c r="X387" s="261"/>
      <c r="Y387" s="261"/>
      <c r="Z387" s="261"/>
      <c r="AA387" s="261"/>
      <c r="AB387" s="261"/>
      <c r="AC387" s="261"/>
      <c r="AD387" s="261"/>
      <c r="AE387" s="261"/>
      <c r="AF387" s="261"/>
      <c r="AG387" s="1173">
        <f t="shared" si="95"/>
        <v>0</v>
      </c>
      <c r="AH387" s="61" t="str">
        <f t="shared" si="96"/>
        <v/>
      </c>
      <c r="AI387" s="89" t="e">
        <f t="shared" si="97"/>
        <v>#N/A</v>
      </c>
      <c r="AJ387" s="2"/>
      <c r="AK387" s="61">
        <f>IF(G387=G$547,0,IF(OR(G387&lt;&gt;0,CH387&lt;&gt;0,C387="L"),COUNTIF(AK$180:AK386,"&gt;0")+1,0))</f>
        <v>0</v>
      </c>
      <c r="AL387" s="61" t="str">
        <f t="shared" si="85"/>
        <v/>
      </c>
      <c r="AM387" s="61" t="e">
        <f t="shared" si="86"/>
        <v>#N/A</v>
      </c>
      <c r="AN387" s="89" t="e">
        <f t="shared" si="87"/>
        <v>#N/A</v>
      </c>
      <c r="AO387" s="230">
        <f>SUM(LUG!X33:AD33)-BD387+AY387</f>
        <v>0</v>
      </c>
      <c r="AP387" s="228">
        <f>SUMIF(LUG!$G$121:$M$121,AP$178,LUG!$P33:$V33)+SUMIF($AZ$178:$BC$178,AP$178,$AZ387:$BC387)</f>
        <v>0</v>
      </c>
      <c r="AQ387" s="229">
        <f>SUMIF(LUG!$G$121:$M$121,AQ$178,LUG!$P33:$V33)+SUMIF($AZ$178:$BC$178,AQ$178,$AZ387:$BC387)</f>
        <v>0</v>
      </c>
      <c r="AR387" s="230">
        <f>SUMIF(LUG!$G$121:$M$121,AR$178,LUG!$P33:$V33)+SUMIF($AZ$178:$BC$178,AR$178,$AZ387:$BC387)</f>
        <v>0</v>
      </c>
      <c r="AS387" s="230">
        <f>SUMIF(LUG!$G$121:$M$121,AS$178,LUG!$P33:$V33)+SUMIF($AZ$178:$BC$178,AS$178,$AZ387:$BC387)</f>
        <v>0</v>
      </c>
      <c r="AT387" s="230">
        <f>SUMIF(LUG!$G$121:$M$121,AT$178,LUG!$P33:$V33)+SUMIF($AZ$178:$BC$178,AT$178,$AZ387:$BC387)</f>
        <v>0</v>
      </c>
      <c r="AU387" s="230">
        <f>SUMIF(LUG!$G$121:$M$121,AU$178,LUG!$P33:$V33)+SUMIF($AZ$178:$BC$178,AU$178,$AZ387:$BC387)</f>
        <v>0</v>
      </c>
      <c r="AV387" s="230">
        <f>SUMIF(LUG!$G$121:$M$121,AV$178,LUG!$P33:$V33)+SUMIF($AZ$178:$BC$178,AV$178,$AZ387:$BC387)</f>
        <v>0</v>
      </c>
      <c r="AW387" s="230">
        <f>SUMIF(LUG!$G$121:$M$121,AW$178,LUG!$P33:$V33)+SUMIF($AZ$178:$BC$178,AW$178,$AZ387:$BC387)</f>
        <v>0</v>
      </c>
      <c r="AX387" s="231">
        <f>SUMIF(LUG!$G$121:$M$121,AX$178,LUG!$P33:$V33)+SUMIF($AZ$178:$BC$178,AX$178,$AZ387:$BC387)</f>
        <v>0</v>
      </c>
      <c r="AY387" s="232">
        <f>LUG!AF33</f>
        <v>0</v>
      </c>
      <c r="AZ387" s="228">
        <f>LUG!AG33</f>
        <v>0</v>
      </c>
      <c r="BA387" s="229">
        <f>LUG!AH33</f>
        <v>0</v>
      </c>
      <c r="BB387" s="230">
        <f>LUG!AI33</f>
        <v>0</v>
      </c>
      <c r="BC387" s="231">
        <f>LUG!AJ33</f>
        <v>0</v>
      </c>
      <c r="BD387" s="228">
        <f>SUMIF(LUG!$G$120:$M$120,"&gt;0",LUG!$X33:$AD33)</f>
        <v>0</v>
      </c>
      <c r="BE387" s="696"/>
      <c r="BF387" s="228">
        <f>SUMIF(LUG!$BA$6:$BG$6,BF$177,LUG!$BA33:$BG33)</f>
        <v>0</v>
      </c>
      <c r="BG387" s="229">
        <f>SUMIF(LUG!$BA$6:$BG$6,BG$177,LUG!$BA33:$BG33)</f>
        <v>0</v>
      </c>
      <c r="BH387" s="229">
        <f>SUMIF(LUG!$BA$6:$BG$6,BH$177,LUG!$BA33:$BG33)</f>
        <v>0</v>
      </c>
      <c r="BI387" s="229">
        <f>SUMIF(LUG!$BA$6:$BG$6,BI$177,LUG!$BA33:$BG33)</f>
        <v>0</v>
      </c>
      <c r="BJ387" s="229">
        <f>SUMIF(LUG!$BA$6:$BG$6,BJ$177,LUG!$BA33:$BG33)</f>
        <v>0</v>
      </c>
      <c r="BK387" s="229">
        <f>SUMIF(LUG!$BA$6:$BG$6,BK$177,LUG!$BA33:$BG33)</f>
        <v>0</v>
      </c>
      <c r="BL387" s="229">
        <f>SUMIF(LUG!$BA$6:$BG$6,BL$177,LUG!$BA33:$BG33)</f>
        <v>0</v>
      </c>
      <c r="BM387" s="229">
        <f>SUMIF(LUG!$BA$6:$BG$6,BM$177,LUG!$BA33:$BG33)</f>
        <v>0</v>
      </c>
      <c r="BN387" s="229">
        <f>SUMIF(LUG!$BA$6:$BG$6,BN$177,LUG!$BA33:$BG33)</f>
        <v>0</v>
      </c>
      <c r="BO387" s="231">
        <f>SUMIF(LUG!$BA$6:$BG$6,BO$177,LUG!$BA33:$BG33)</f>
        <v>0</v>
      </c>
      <c r="BP387" s="231">
        <f>SUMIF(LUG!$BA$6:$BG$6,BP$177,LUG!$BA33:$BG33)</f>
        <v>0</v>
      </c>
      <c r="BQ387" s="252"/>
      <c r="BR387" s="228">
        <f>SUMIF(LUG!$BA$5:$BG$5,BR$177,LUG!$BA33:$BG33)</f>
        <v>0</v>
      </c>
      <c r="BS387" s="229">
        <f>SUMIF(LUG!$BA$5:$BG$5,BS$177,LUG!$BA33:$BG33)</f>
        <v>0</v>
      </c>
      <c r="BT387" s="229">
        <f>SUMIF(LUG!$BA$5:$BG$5,BT$177,LUG!$BA33:$BG33)</f>
        <v>0</v>
      </c>
      <c r="BU387" s="229">
        <f>SUMIF(LUG!$BA$5:$BG$5,BU$177,LUG!$BA33:$BG33)</f>
        <v>0</v>
      </c>
      <c r="BV387" s="229">
        <f>SUMIF(LUG!$BA$5:$BG$5,BV$177,LUG!$BA33:$BG33)</f>
        <v>0</v>
      </c>
      <c r="BW387" s="229">
        <f>SUMIF(LUG!$BA$5:$BG$5,BW$177,LUG!$BA33:$BG33)</f>
        <v>0</v>
      </c>
      <c r="BX387" s="230">
        <f>SUMIF(LUG!$BA$5:$BG$5,BX$177,LUG!$BA33:$BG33)</f>
        <v>0</v>
      </c>
      <c r="BY387" s="998">
        <f>SUMIF(LUG!$BA$5:$BG$5,BY$177,LUG!$BA33:$BG33)</f>
        <v>0</v>
      </c>
      <c r="CB387" s="252"/>
      <c r="CC387" s="61" t="e">
        <f t="shared" si="88"/>
        <v>#N/A</v>
      </c>
      <c r="CD387" s="61">
        <f t="shared" si="89"/>
        <v>0</v>
      </c>
      <c r="CE387" s="105" t="str">
        <f t="shared" si="82"/>
        <v/>
      </c>
      <c r="CF387" s="61" t="e">
        <f t="shared" si="90"/>
        <v>#N/A</v>
      </c>
      <c r="CG387" s="61" t="e">
        <f t="shared" si="91"/>
        <v>#N/A</v>
      </c>
      <c r="CH387" s="521">
        <f>LUG!AL33-CW387+CR387</f>
        <v>0</v>
      </c>
      <c r="CI387" s="228">
        <f>SUMIF(LUG!$G$121:$M$121,CI$178,LUG!$AM33:$AS33)+SUMIF($CS$178:$CV$178,CI$178,$CS387:$CV387)</f>
        <v>0</v>
      </c>
      <c r="CJ387" s="229">
        <f>SUMIF(LUG!$G$121:$M$121,CJ$178,LUG!$AM33:$AS33)+SUMIF($CS$178:$CV$178,CJ$178,$CS387:$CV387)</f>
        <v>0</v>
      </c>
      <c r="CK387" s="230">
        <f>SUMIF(LUG!$G$121:$M$121,CK$178,LUG!$AM33:$AS33)+SUMIF($CS$178:$CV$178,CK$178,$CS387:$CV387)</f>
        <v>0</v>
      </c>
      <c r="CL387" s="230">
        <f>SUMIF(LUG!$G$121:$M$121,CL$178,LUG!$AM33:$AS33)+SUMIF($CS$178:$CV$178,CL$178,$CS387:$CV387)</f>
        <v>0</v>
      </c>
      <c r="CM387" s="230">
        <f>SUMIF(LUG!$G$121:$M$121,CM$178,LUG!$AM33:$AS33)+SUMIF($CS$178:$CV$178,CM$178,$CS387:$CV387)</f>
        <v>0</v>
      </c>
      <c r="CN387" s="230">
        <f>SUMIF(LUG!$G$121:$M$121,CN$178,LUG!$AM33:$AS33)+SUMIF($CS$178:$CV$178,CN$178,$CS387:$CV387)</f>
        <v>0</v>
      </c>
      <c r="CO387" s="230">
        <f>SUMIF(LUG!$G$121:$M$121,CO$178,LUG!$AM33:$AS33)+SUMIF($CS$178:$CV$178,CO$178,$CS387:$CV387)</f>
        <v>0</v>
      </c>
      <c r="CP387" s="230">
        <f>SUMIF(LUG!$G$121:$M$121,CP$178,LUG!$AM33:$AS33)+SUMIF($CS$178:$CV$178,CP$178,$CS387:$CV387)</f>
        <v>0</v>
      </c>
      <c r="CQ387" s="231">
        <f>SUMIF(LUG!$G$121:$M$121,CQ$178,LUG!$AM33:$AS33)+SUMIF($CS$178:$CV$178,CQ$178,$CS387:$CV387)</f>
        <v>0</v>
      </c>
      <c r="CR387" s="521">
        <f>LUG!AU33</f>
        <v>0</v>
      </c>
      <c r="CS387" s="228">
        <f>LUG!AV33</f>
        <v>0</v>
      </c>
      <c r="CT387" s="229">
        <f>LUG!AW33</f>
        <v>0</v>
      </c>
      <c r="CU387" s="230">
        <f>LUG!AX33</f>
        <v>0</v>
      </c>
      <c r="CV387" s="231">
        <f>LUG!AY33</f>
        <v>0</v>
      </c>
      <c r="CW387" s="521">
        <f>SUM(LUG!AU33:AY33)</f>
        <v>0</v>
      </c>
      <c r="CX387" s="521">
        <f>LUG!AK33</f>
        <v>0</v>
      </c>
      <c r="CY387" s="2"/>
    </row>
    <row r="388" spans="1:103" ht="14.25" hidden="1" customHeight="1" x14ac:dyDescent="0.2">
      <c r="A388" s="2"/>
      <c r="B388" s="105">
        <f t="shared" si="92"/>
        <v>45500</v>
      </c>
      <c r="C388" s="146">
        <f>IF(AND(E388&gt;(N$557-1),E388&lt;(R$557+1)),W$551,IF(ISERROR(HLOOKUP(E388,$N$550:$U$550,1,FALSE)),HLOOKUP(WEEKDAY(E388,2),IMPOSTAZIONI!$C$52:$P$57,6,FALSE),$W$550))</f>
        <v>0</v>
      </c>
      <c r="D388" s="71" t="str">
        <f t="shared" si="93"/>
        <v/>
      </c>
      <c r="E388" s="2258">
        <f t="shared" si="98"/>
        <v>45500</v>
      </c>
      <c r="F388" s="2259"/>
      <c r="G388" s="2228" t="str">
        <f>LUG!E34</f>
        <v xml:space="preserve">disattivato  </v>
      </c>
      <c r="H388" s="2229"/>
      <c r="I388" s="2230"/>
      <c r="J388" s="262" t="str">
        <f t="shared" si="83"/>
        <v/>
      </c>
      <c r="K388" s="263"/>
      <c r="L388" s="2217">
        <f t="shared" si="99"/>
        <v>30</v>
      </c>
      <c r="M388" s="2218"/>
      <c r="N388" s="261"/>
      <c r="O388" s="261"/>
      <c r="P388" s="261"/>
      <c r="Q388" s="2219">
        <f t="shared" si="94"/>
        <v>45500</v>
      </c>
      <c r="R388" s="2219"/>
      <c r="S388" s="261"/>
      <c r="T388" s="1173">
        <f t="shared" si="84"/>
        <v>1</v>
      </c>
      <c r="U388" s="261"/>
      <c r="V388" s="261"/>
      <c r="W388" s="261"/>
      <c r="X388" s="261"/>
      <c r="Y388" s="261"/>
      <c r="Z388" s="261"/>
      <c r="AA388" s="261"/>
      <c r="AB388" s="261"/>
      <c r="AC388" s="261"/>
      <c r="AD388" s="261"/>
      <c r="AE388" s="261"/>
      <c r="AF388" s="261"/>
      <c r="AG388" s="1173">
        <f t="shared" si="95"/>
        <v>0</v>
      </c>
      <c r="AH388" s="61" t="str">
        <f t="shared" si="96"/>
        <v/>
      </c>
      <c r="AI388" s="89" t="e">
        <f t="shared" si="97"/>
        <v>#N/A</v>
      </c>
      <c r="AJ388" s="2"/>
      <c r="AK388" s="61">
        <f>IF(G388=G$547,0,IF(OR(G388&lt;&gt;0,CH388&lt;&gt;0,C388="L"),COUNTIF(AK$180:AK387,"&gt;0")+1,0))</f>
        <v>0</v>
      </c>
      <c r="AL388" s="61" t="str">
        <f t="shared" si="85"/>
        <v/>
      </c>
      <c r="AM388" s="61" t="e">
        <f t="shared" si="86"/>
        <v>#N/A</v>
      </c>
      <c r="AN388" s="89" t="e">
        <f t="shared" si="87"/>
        <v>#N/A</v>
      </c>
      <c r="AO388" s="230">
        <f>SUM(LUG!X34:AD34)-BD388+AY388</f>
        <v>0</v>
      </c>
      <c r="AP388" s="228">
        <f>SUMIF(LUG!$G$121:$M$121,AP$178,LUG!$P34:$V34)+SUMIF($AZ$178:$BC$178,AP$178,$AZ388:$BC388)</f>
        <v>0</v>
      </c>
      <c r="AQ388" s="229">
        <f>SUMIF(LUG!$G$121:$M$121,AQ$178,LUG!$P34:$V34)+SUMIF($AZ$178:$BC$178,AQ$178,$AZ388:$BC388)</f>
        <v>0</v>
      </c>
      <c r="AR388" s="230">
        <f>SUMIF(LUG!$G$121:$M$121,AR$178,LUG!$P34:$V34)+SUMIF($AZ$178:$BC$178,AR$178,$AZ388:$BC388)</f>
        <v>0</v>
      </c>
      <c r="AS388" s="230">
        <f>SUMIF(LUG!$G$121:$M$121,AS$178,LUG!$P34:$V34)+SUMIF($AZ$178:$BC$178,AS$178,$AZ388:$BC388)</f>
        <v>0</v>
      </c>
      <c r="AT388" s="230">
        <f>SUMIF(LUG!$G$121:$M$121,AT$178,LUG!$P34:$V34)+SUMIF($AZ$178:$BC$178,AT$178,$AZ388:$BC388)</f>
        <v>0</v>
      </c>
      <c r="AU388" s="230">
        <f>SUMIF(LUG!$G$121:$M$121,AU$178,LUG!$P34:$V34)+SUMIF($AZ$178:$BC$178,AU$178,$AZ388:$BC388)</f>
        <v>0</v>
      </c>
      <c r="AV388" s="230">
        <f>SUMIF(LUG!$G$121:$M$121,AV$178,LUG!$P34:$V34)+SUMIF($AZ$178:$BC$178,AV$178,$AZ388:$BC388)</f>
        <v>0</v>
      </c>
      <c r="AW388" s="230">
        <f>SUMIF(LUG!$G$121:$M$121,AW$178,LUG!$P34:$V34)+SUMIF($AZ$178:$BC$178,AW$178,$AZ388:$BC388)</f>
        <v>0</v>
      </c>
      <c r="AX388" s="231">
        <f>SUMIF(LUG!$G$121:$M$121,AX$178,LUG!$P34:$V34)+SUMIF($AZ$178:$BC$178,AX$178,$AZ388:$BC388)</f>
        <v>0</v>
      </c>
      <c r="AY388" s="232">
        <f>LUG!AF34</f>
        <v>0</v>
      </c>
      <c r="AZ388" s="228">
        <f>LUG!AG34</f>
        <v>0</v>
      </c>
      <c r="BA388" s="229">
        <f>LUG!AH34</f>
        <v>0</v>
      </c>
      <c r="BB388" s="230">
        <f>LUG!AI34</f>
        <v>0</v>
      </c>
      <c r="BC388" s="231">
        <f>LUG!AJ34</f>
        <v>0</v>
      </c>
      <c r="BD388" s="228">
        <f>SUMIF(LUG!$G$120:$M$120,"&gt;0",LUG!$X34:$AD34)</f>
        <v>0</v>
      </c>
      <c r="BE388" s="696"/>
      <c r="BF388" s="228">
        <f>SUMIF(LUG!$BA$6:$BG$6,BF$177,LUG!$BA34:$BG34)</f>
        <v>0</v>
      </c>
      <c r="BG388" s="229">
        <f>SUMIF(LUG!$BA$6:$BG$6,BG$177,LUG!$BA34:$BG34)</f>
        <v>0</v>
      </c>
      <c r="BH388" s="229">
        <f>SUMIF(LUG!$BA$6:$BG$6,BH$177,LUG!$BA34:$BG34)</f>
        <v>0</v>
      </c>
      <c r="BI388" s="229">
        <f>SUMIF(LUG!$BA$6:$BG$6,BI$177,LUG!$BA34:$BG34)</f>
        <v>0</v>
      </c>
      <c r="BJ388" s="229">
        <f>SUMIF(LUG!$BA$6:$BG$6,BJ$177,LUG!$BA34:$BG34)</f>
        <v>0</v>
      </c>
      <c r="BK388" s="229">
        <f>SUMIF(LUG!$BA$6:$BG$6,BK$177,LUG!$BA34:$BG34)</f>
        <v>0</v>
      </c>
      <c r="BL388" s="229">
        <f>SUMIF(LUG!$BA$6:$BG$6,BL$177,LUG!$BA34:$BG34)</f>
        <v>0</v>
      </c>
      <c r="BM388" s="229">
        <f>SUMIF(LUG!$BA$6:$BG$6,BM$177,LUG!$BA34:$BG34)</f>
        <v>0</v>
      </c>
      <c r="BN388" s="229">
        <f>SUMIF(LUG!$BA$6:$BG$6,BN$177,LUG!$BA34:$BG34)</f>
        <v>0</v>
      </c>
      <c r="BO388" s="231">
        <f>SUMIF(LUG!$BA$6:$BG$6,BO$177,LUG!$BA34:$BG34)</f>
        <v>0</v>
      </c>
      <c r="BP388" s="231">
        <f>SUMIF(LUG!$BA$6:$BG$6,BP$177,LUG!$BA34:$BG34)</f>
        <v>0</v>
      </c>
      <c r="BQ388" s="252"/>
      <c r="BR388" s="228">
        <f>SUMIF(LUG!$BA$5:$BG$5,BR$177,LUG!$BA34:$BG34)</f>
        <v>0</v>
      </c>
      <c r="BS388" s="229">
        <f>SUMIF(LUG!$BA$5:$BG$5,BS$177,LUG!$BA34:$BG34)</f>
        <v>0</v>
      </c>
      <c r="BT388" s="229">
        <f>SUMIF(LUG!$BA$5:$BG$5,BT$177,LUG!$BA34:$BG34)</f>
        <v>0</v>
      </c>
      <c r="BU388" s="229">
        <f>SUMIF(LUG!$BA$5:$BG$5,BU$177,LUG!$BA34:$BG34)</f>
        <v>0</v>
      </c>
      <c r="BV388" s="229">
        <f>SUMIF(LUG!$BA$5:$BG$5,BV$177,LUG!$BA34:$BG34)</f>
        <v>0</v>
      </c>
      <c r="BW388" s="229">
        <f>SUMIF(LUG!$BA$5:$BG$5,BW$177,LUG!$BA34:$BG34)</f>
        <v>0</v>
      </c>
      <c r="BX388" s="230">
        <f>SUMIF(LUG!$BA$5:$BG$5,BX$177,LUG!$BA34:$BG34)</f>
        <v>0</v>
      </c>
      <c r="BY388" s="998">
        <f>SUMIF(LUG!$BA$5:$BG$5,BY$177,LUG!$BA34:$BG34)</f>
        <v>0</v>
      </c>
      <c r="CB388" s="252"/>
      <c r="CC388" s="61" t="e">
        <f t="shared" si="88"/>
        <v>#N/A</v>
      </c>
      <c r="CD388" s="61">
        <f t="shared" si="89"/>
        <v>0</v>
      </c>
      <c r="CE388" s="105" t="str">
        <f t="shared" si="82"/>
        <v/>
      </c>
      <c r="CF388" s="61" t="e">
        <f t="shared" si="90"/>
        <v>#N/A</v>
      </c>
      <c r="CG388" s="61" t="e">
        <f t="shared" si="91"/>
        <v>#N/A</v>
      </c>
      <c r="CH388" s="521">
        <f>LUG!AL34-CW388+CR388</f>
        <v>0</v>
      </c>
      <c r="CI388" s="228">
        <f>SUMIF(LUG!$G$121:$M$121,CI$178,LUG!$AM34:$AS34)+SUMIF($CS$178:$CV$178,CI$178,$CS388:$CV388)</f>
        <v>0</v>
      </c>
      <c r="CJ388" s="229">
        <f>SUMIF(LUG!$G$121:$M$121,CJ$178,LUG!$AM34:$AS34)+SUMIF($CS$178:$CV$178,CJ$178,$CS388:$CV388)</f>
        <v>0</v>
      </c>
      <c r="CK388" s="230">
        <f>SUMIF(LUG!$G$121:$M$121,CK$178,LUG!$AM34:$AS34)+SUMIF($CS$178:$CV$178,CK$178,$CS388:$CV388)</f>
        <v>0</v>
      </c>
      <c r="CL388" s="230">
        <f>SUMIF(LUG!$G$121:$M$121,CL$178,LUG!$AM34:$AS34)+SUMIF($CS$178:$CV$178,CL$178,$CS388:$CV388)</f>
        <v>0</v>
      </c>
      <c r="CM388" s="230">
        <f>SUMIF(LUG!$G$121:$M$121,CM$178,LUG!$AM34:$AS34)+SUMIF($CS$178:$CV$178,CM$178,$CS388:$CV388)</f>
        <v>0</v>
      </c>
      <c r="CN388" s="230">
        <f>SUMIF(LUG!$G$121:$M$121,CN$178,LUG!$AM34:$AS34)+SUMIF($CS$178:$CV$178,CN$178,$CS388:$CV388)</f>
        <v>0</v>
      </c>
      <c r="CO388" s="230">
        <f>SUMIF(LUG!$G$121:$M$121,CO$178,LUG!$AM34:$AS34)+SUMIF($CS$178:$CV$178,CO$178,$CS388:$CV388)</f>
        <v>0</v>
      </c>
      <c r="CP388" s="230">
        <f>SUMIF(LUG!$G$121:$M$121,CP$178,LUG!$AM34:$AS34)+SUMIF($CS$178:$CV$178,CP$178,$CS388:$CV388)</f>
        <v>0</v>
      </c>
      <c r="CQ388" s="231">
        <f>SUMIF(LUG!$G$121:$M$121,CQ$178,LUG!$AM34:$AS34)+SUMIF($CS$178:$CV$178,CQ$178,$CS388:$CV388)</f>
        <v>0</v>
      </c>
      <c r="CR388" s="521">
        <f>LUG!AU34</f>
        <v>0</v>
      </c>
      <c r="CS388" s="228">
        <f>LUG!AV34</f>
        <v>0</v>
      </c>
      <c r="CT388" s="229">
        <f>LUG!AW34</f>
        <v>0</v>
      </c>
      <c r="CU388" s="230">
        <f>LUG!AX34</f>
        <v>0</v>
      </c>
      <c r="CV388" s="231">
        <f>LUG!AY34</f>
        <v>0</v>
      </c>
      <c r="CW388" s="521">
        <f>SUM(LUG!AU34:AY34)</f>
        <v>0</v>
      </c>
      <c r="CX388" s="521">
        <f>LUG!AK34</f>
        <v>0</v>
      </c>
      <c r="CY388" s="2"/>
    </row>
    <row r="389" spans="1:103" ht="14.25" hidden="1" customHeight="1" x14ac:dyDescent="0.2">
      <c r="A389" s="2"/>
      <c r="B389" s="105">
        <f t="shared" si="92"/>
        <v>45501</v>
      </c>
      <c r="C389" s="146">
        <f>IF(AND(E389&gt;(N$557-1),E389&lt;(R$557+1)),W$551,IF(ISERROR(HLOOKUP(E389,$N$550:$U$550,1,FALSE)),HLOOKUP(WEEKDAY(E389,2),IMPOSTAZIONI!$C$52:$P$57,6,FALSE),$W$550))</f>
        <v>0</v>
      </c>
      <c r="D389" s="71" t="str">
        <f t="shared" si="93"/>
        <v/>
      </c>
      <c r="E389" s="2258">
        <f t="shared" si="98"/>
        <v>45501</v>
      </c>
      <c r="F389" s="2259"/>
      <c r="G389" s="2228" t="str">
        <f>LUG!E35</f>
        <v xml:space="preserve">disattivato  </v>
      </c>
      <c r="H389" s="2229"/>
      <c r="I389" s="2230"/>
      <c r="J389" s="262" t="str">
        <f t="shared" si="83"/>
        <v/>
      </c>
      <c r="K389" s="263"/>
      <c r="L389" s="2220">
        <f t="shared" si="99"/>
        <v>30</v>
      </c>
      <c r="M389" s="2221"/>
      <c r="N389" s="261"/>
      <c r="O389" s="261"/>
      <c r="P389" s="261"/>
      <c r="Q389" s="2219">
        <f t="shared" si="94"/>
        <v>45501</v>
      </c>
      <c r="R389" s="2219"/>
      <c r="S389" s="261"/>
      <c r="T389" s="1173">
        <f t="shared" si="84"/>
        <v>1</v>
      </c>
      <c r="U389" s="261"/>
      <c r="V389" s="261"/>
      <c r="W389" s="261"/>
      <c r="X389" s="261"/>
      <c r="Y389" s="261"/>
      <c r="Z389" s="261"/>
      <c r="AA389" s="261"/>
      <c r="AB389" s="261"/>
      <c r="AC389" s="261"/>
      <c r="AD389" s="261"/>
      <c r="AE389" s="261"/>
      <c r="AF389" s="261"/>
      <c r="AG389" s="1173">
        <f t="shared" si="95"/>
        <v>0</v>
      </c>
      <c r="AH389" s="61" t="str">
        <f t="shared" si="96"/>
        <v/>
      </c>
      <c r="AI389" s="89" t="e">
        <f t="shared" si="97"/>
        <v>#N/A</v>
      </c>
      <c r="AJ389" s="2"/>
      <c r="AK389" s="61">
        <f>IF(G389=G$547,0,IF(OR(G389&lt;&gt;0,CH389&lt;&gt;0,C389="L"),COUNTIF(AK$180:AK388,"&gt;0")+1,0))</f>
        <v>0</v>
      </c>
      <c r="AL389" s="61" t="str">
        <f t="shared" si="85"/>
        <v/>
      </c>
      <c r="AM389" s="61" t="e">
        <f t="shared" si="86"/>
        <v>#N/A</v>
      </c>
      <c r="AN389" s="89" t="e">
        <f t="shared" si="87"/>
        <v>#N/A</v>
      </c>
      <c r="AO389" s="230">
        <f>SUM(LUG!X35:AD35)-BD389+AY389</f>
        <v>0</v>
      </c>
      <c r="AP389" s="228">
        <f>SUMIF(LUG!$G$121:$M$121,AP$178,LUG!$P35:$V35)+SUMIF($AZ$178:$BC$178,AP$178,$AZ389:$BC389)</f>
        <v>0</v>
      </c>
      <c r="AQ389" s="229">
        <f>SUMIF(LUG!$G$121:$M$121,AQ$178,LUG!$P35:$V35)+SUMIF($AZ$178:$BC$178,AQ$178,$AZ389:$BC389)</f>
        <v>0</v>
      </c>
      <c r="AR389" s="230">
        <f>SUMIF(LUG!$G$121:$M$121,AR$178,LUG!$P35:$V35)+SUMIF($AZ$178:$BC$178,AR$178,$AZ389:$BC389)</f>
        <v>0</v>
      </c>
      <c r="AS389" s="230">
        <f>SUMIF(LUG!$G$121:$M$121,AS$178,LUG!$P35:$V35)+SUMIF($AZ$178:$BC$178,AS$178,$AZ389:$BC389)</f>
        <v>0</v>
      </c>
      <c r="AT389" s="230">
        <f>SUMIF(LUG!$G$121:$M$121,AT$178,LUG!$P35:$V35)+SUMIF($AZ$178:$BC$178,AT$178,$AZ389:$BC389)</f>
        <v>0</v>
      </c>
      <c r="AU389" s="230">
        <f>SUMIF(LUG!$G$121:$M$121,AU$178,LUG!$P35:$V35)+SUMIF($AZ$178:$BC$178,AU$178,$AZ389:$BC389)</f>
        <v>0</v>
      </c>
      <c r="AV389" s="230">
        <f>SUMIF(LUG!$G$121:$M$121,AV$178,LUG!$P35:$V35)+SUMIF($AZ$178:$BC$178,AV$178,$AZ389:$BC389)</f>
        <v>0</v>
      </c>
      <c r="AW389" s="230">
        <f>SUMIF(LUG!$G$121:$M$121,AW$178,LUG!$P35:$V35)+SUMIF($AZ$178:$BC$178,AW$178,$AZ389:$BC389)</f>
        <v>0</v>
      </c>
      <c r="AX389" s="231">
        <f>SUMIF(LUG!$G$121:$M$121,AX$178,LUG!$P35:$V35)+SUMIF($AZ$178:$BC$178,AX$178,$AZ389:$BC389)</f>
        <v>0</v>
      </c>
      <c r="AY389" s="232">
        <f>LUG!AF35</f>
        <v>0</v>
      </c>
      <c r="AZ389" s="228">
        <f>LUG!AG35</f>
        <v>0</v>
      </c>
      <c r="BA389" s="229">
        <f>LUG!AH35</f>
        <v>0</v>
      </c>
      <c r="BB389" s="230">
        <f>LUG!AI35</f>
        <v>0</v>
      </c>
      <c r="BC389" s="231">
        <f>LUG!AJ35</f>
        <v>0</v>
      </c>
      <c r="BD389" s="228">
        <f>SUMIF(LUG!$G$120:$M$120,"&gt;0",LUG!$X35:$AD35)</f>
        <v>0</v>
      </c>
      <c r="BE389" s="696"/>
      <c r="BF389" s="228">
        <f>SUMIF(LUG!$BA$6:$BG$6,BF$177,LUG!$BA35:$BG35)</f>
        <v>0</v>
      </c>
      <c r="BG389" s="229">
        <f>SUMIF(LUG!$BA$6:$BG$6,BG$177,LUG!$BA35:$BG35)</f>
        <v>0</v>
      </c>
      <c r="BH389" s="229">
        <f>SUMIF(LUG!$BA$6:$BG$6,BH$177,LUG!$BA35:$BG35)</f>
        <v>0</v>
      </c>
      <c r="BI389" s="229">
        <f>SUMIF(LUG!$BA$6:$BG$6,BI$177,LUG!$BA35:$BG35)</f>
        <v>0</v>
      </c>
      <c r="BJ389" s="229">
        <f>SUMIF(LUG!$BA$6:$BG$6,BJ$177,LUG!$BA35:$BG35)</f>
        <v>0</v>
      </c>
      <c r="BK389" s="229">
        <f>SUMIF(LUG!$BA$6:$BG$6,BK$177,LUG!$BA35:$BG35)</f>
        <v>0</v>
      </c>
      <c r="BL389" s="229">
        <f>SUMIF(LUG!$BA$6:$BG$6,BL$177,LUG!$BA35:$BG35)</f>
        <v>0</v>
      </c>
      <c r="BM389" s="229">
        <f>SUMIF(LUG!$BA$6:$BG$6,BM$177,LUG!$BA35:$BG35)</f>
        <v>0</v>
      </c>
      <c r="BN389" s="229">
        <f>SUMIF(LUG!$BA$6:$BG$6,BN$177,LUG!$BA35:$BG35)</f>
        <v>0</v>
      </c>
      <c r="BO389" s="231">
        <f>SUMIF(LUG!$BA$6:$BG$6,BO$177,LUG!$BA35:$BG35)</f>
        <v>0</v>
      </c>
      <c r="BP389" s="231">
        <f>SUMIF(LUG!$BA$6:$BG$6,BP$177,LUG!$BA35:$BG35)</f>
        <v>0</v>
      </c>
      <c r="BQ389" s="252"/>
      <c r="BR389" s="228">
        <f>SUMIF(LUG!$BA$5:$BG$5,BR$177,LUG!$BA35:$BG35)</f>
        <v>0</v>
      </c>
      <c r="BS389" s="229">
        <f>SUMIF(LUG!$BA$5:$BG$5,BS$177,LUG!$BA35:$BG35)</f>
        <v>0</v>
      </c>
      <c r="BT389" s="229">
        <f>SUMIF(LUG!$BA$5:$BG$5,BT$177,LUG!$BA35:$BG35)</f>
        <v>0</v>
      </c>
      <c r="BU389" s="229">
        <f>SUMIF(LUG!$BA$5:$BG$5,BU$177,LUG!$BA35:$BG35)</f>
        <v>0</v>
      </c>
      <c r="BV389" s="229">
        <f>SUMIF(LUG!$BA$5:$BG$5,BV$177,LUG!$BA35:$BG35)</f>
        <v>0</v>
      </c>
      <c r="BW389" s="229">
        <f>SUMIF(LUG!$BA$5:$BG$5,BW$177,LUG!$BA35:$BG35)</f>
        <v>0</v>
      </c>
      <c r="BX389" s="230">
        <f>SUMIF(LUG!$BA$5:$BG$5,BX$177,LUG!$BA35:$BG35)</f>
        <v>0</v>
      </c>
      <c r="BY389" s="998">
        <f>SUMIF(LUG!$BA$5:$BG$5,BY$177,LUG!$BA35:$BG35)</f>
        <v>0</v>
      </c>
      <c r="CB389" s="252"/>
      <c r="CC389" s="61" t="e">
        <f t="shared" si="88"/>
        <v>#N/A</v>
      </c>
      <c r="CD389" s="61">
        <f t="shared" si="89"/>
        <v>0</v>
      </c>
      <c r="CE389" s="105" t="str">
        <f t="shared" si="82"/>
        <v/>
      </c>
      <c r="CF389" s="61" t="e">
        <f t="shared" si="90"/>
        <v>#N/A</v>
      </c>
      <c r="CG389" s="61" t="e">
        <f t="shared" si="91"/>
        <v>#N/A</v>
      </c>
      <c r="CH389" s="521">
        <f>LUG!AL35-CW389+CR389</f>
        <v>0</v>
      </c>
      <c r="CI389" s="228">
        <f>SUMIF(LUG!$G$121:$M$121,CI$178,LUG!$AM35:$AS35)+SUMIF($CS$178:$CV$178,CI$178,$CS389:$CV389)</f>
        <v>0</v>
      </c>
      <c r="CJ389" s="229">
        <f>SUMIF(LUG!$G$121:$M$121,CJ$178,LUG!$AM35:$AS35)+SUMIF($CS$178:$CV$178,CJ$178,$CS389:$CV389)</f>
        <v>0</v>
      </c>
      <c r="CK389" s="230">
        <f>SUMIF(LUG!$G$121:$M$121,CK$178,LUG!$AM35:$AS35)+SUMIF($CS$178:$CV$178,CK$178,$CS389:$CV389)</f>
        <v>0</v>
      </c>
      <c r="CL389" s="230">
        <f>SUMIF(LUG!$G$121:$M$121,CL$178,LUG!$AM35:$AS35)+SUMIF($CS$178:$CV$178,CL$178,$CS389:$CV389)</f>
        <v>0</v>
      </c>
      <c r="CM389" s="230">
        <f>SUMIF(LUG!$G$121:$M$121,CM$178,LUG!$AM35:$AS35)+SUMIF($CS$178:$CV$178,CM$178,$CS389:$CV389)</f>
        <v>0</v>
      </c>
      <c r="CN389" s="230">
        <f>SUMIF(LUG!$G$121:$M$121,CN$178,LUG!$AM35:$AS35)+SUMIF($CS$178:$CV$178,CN$178,$CS389:$CV389)</f>
        <v>0</v>
      </c>
      <c r="CO389" s="230">
        <f>SUMIF(LUG!$G$121:$M$121,CO$178,LUG!$AM35:$AS35)+SUMIF($CS$178:$CV$178,CO$178,$CS389:$CV389)</f>
        <v>0</v>
      </c>
      <c r="CP389" s="230">
        <f>SUMIF(LUG!$G$121:$M$121,CP$178,LUG!$AM35:$AS35)+SUMIF($CS$178:$CV$178,CP$178,$CS389:$CV389)</f>
        <v>0</v>
      </c>
      <c r="CQ389" s="231">
        <f>SUMIF(LUG!$G$121:$M$121,CQ$178,LUG!$AM35:$AS35)+SUMIF($CS$178:$CV$178,CQ$178,$CS389:$CV389)</f>
        <v>0</v>
      </c>
      <c r="CR389" s="521">
        <f>LUG!AU35</f>
        <v>0</v>
      </c>
      <c r="CS389" s="228">
        <f>LUG!AV35</f>
        <v>0</v>
      </c>
      <c r="CT389" s="229">
        <f>LUG!AW35</f>
        <v>0</v>
      </c>
      <c r="CU389" s="230">
        <f>LUG!AX35</f>
        <v>0</v>
      </c>
      <c r="CV389" s="231">
        <f>LUG!AY35</f>
        <v>0</v>
      </c>
      <c r="CW389" s="521">
        <f>SUM(LUG!AU35:AY35)</f>
        <v>0</v>
      </c>
      <c r="CX389" s="521">
        <f>LUG!AK35</f>
        <v>0</v>
      </c>
      <c r="CY389" s="2"/>
    </row>
    <row r="390" spans="1:103" ht="14.25" hidden="1" customHeight="1" x14ac:dyDescent="0.2">
      <c r="A390" s="2"/>
      <c r="B390" s="105">
        <f t="shared" si="92"/>
        <v>45502</v>
      </c>
      <c r="C390" s="146">
        <f>IF(AND(E390&gt;(N$557-1),E390&lt;(R$557+1)),W$551,IF(ISERROR(HLOOKUP(E390,$N$550:$U$550,1,FALSE)),HLOOKUP(WEEKDAY(E390,2),IMPOSTAZIONI!$C$52:$P$57,6,FALSE),$W$550))</f>
        <v>0</v>
      </c>
      <c r="D390" s="71" t="str">
        <f t="shared" si="93"/>
        <v/>
      </c>
      <c r="E390" s="2258">
        <f t="shared" si="98"/>
        <v>45502</v>
      </c>
      <c r="F390" s="2259"/>
      <c r="G390" s="2228" t="str">
        <f>LUG!E36</f>
        <v xml:space="preserve">disattivato  </v>
      </c>
      <c r="H390" s="2229"/>
      <c r="I390" s="2230"/>
      <c r="J390" s="262" t="str">
        <f t="shared" si="83"/>
        <v/>
      </c>
      <c r="K390" s="263"/>
      <c r="L390" s="2222">
        <f t="shared" si="99"/>
        <v>31</v>
      </c>
      <c r="M390" s="2223"/>
      <c r="N390" s="261"/>
      <c r="O390" s="261"/>
      <c r="P390" s="261"/>
      <c r="Q390" s="2219">
        <f t="shared" si="94"/>
        <v>45502</v>
      </c>
      <c r="R390" s="2219"/>
      <c r="S390" s="261"/>
      <c r="T390" s="1173">
        <f t="shared" si="84"/>
        <v>1</v>
      </c>
      <c r="U390" s="261"/>
      <c r="V390" s="261"/>
      <c r="W390" s="261"/>
      <c r="X390" s="261"/>
      <c r="Y390" s="261"/>
      <c r="Z390" s="261"/>
      <c r="AA390" s="261"/>
      <c r="AB390" s="261"/>
      <c r="AC390" s="261"/>
      <c r="AD390" s="261"/>
      <c r="AE390" s="261"/>
      <c r="AF390" s="261"/>
      <c r="AG390" s="1173">
        <f t="shared" si="95"/>
        <v>0</v>
      </c>
      <c r="AH390" s="61" t="str">
        <f t="shared" si="96"/>
        <v/>
      </c>
      <c r="AI390" s="89" t="e">
        <f t="shared" si="97"/>
        <v>#N/A</v>
      </c>
      <c r="AJ390" s="2"/>
      <c r="AK390" s="61">
        <f>IF(G390=G$547,0,IF(OR(G390&lt;&gt;0,CH390&lt;&gt;0,C390="L"),COUNTIF(AK$180:AK389,"&gt;0")+1,0))</f>
        <v>0</v>
      </c>
      <c r="AL390" s="61" t="str">
        <f t="shared" si="85"/>
        <v/>
      </c>
      <c r="AM390" s="61" t="e">
        <f t="shared" si="86"/>
        <v>#N/A</v>
      </c>
      <c r="AN390" s="89" t="e">
        <f t="shared" si="87"/>
        <v>#N/A</v>
      </c>
      <c r="AO390" s="230">
        <f>SUM(LUG!X36:AD36)-BD390+AY390</f>
        <v>0</v>
      </c>
      <c r="AP390" s="228">
        <f>SUMIF(LUG!$G$121:$M$121,AP$178,LUG!$P36:$V36)+SUMIF($AZ$178:$BC$178,AP$178,$AZ390:$BC390)</f>
        <v>0</v>
      </c>
      <c r="AQ390" s="229">
        <f>SUMIF(LUG!$G$121:$M$121,AQ$178,LUG!$P36:$V36)+SUMIF($AZ$178:$BC$178,AQ$178,$AZ390:$BC390)</f>
        <v>0</v>
      </c>
      <c r="AR390" s="230">
        <f>SUMIF(LUG!$G$121:$M$121,AR$178,LUG!$P36:$V36)+SUMIF($AZ$178:$BC$178,AR$178,$AZ390:$BC390)</f>
        <v>0</v>
      </c>
      <c r="AS390" s="230">
        <f>SUMIF(LUG!$G$121:$M$121,AS$178,LUG!$P36:$V36)+SUMIF($AZ$178:$BC$178,AS$178,$AZ390:$BC390)</f>
        <v>0</v>
      </c>
      <c r="AT390" s="230">
        <f>SUMIF(LUG!$G$121:$M$121,AT$178,LUG!$P36:$V36)+SUMIF($AZ$178:$BC$178,AT$178,$AZ390:$BC390)</f>
        <v>0</v>
      </c>
      <c r="AU390" s="230">
        <f>SUMIF(LUG!$G$121:$M$121,AU$178,LUG!$P36:$V36)+SUMIF($AZ$178:$BC$178,AU$178,$AZ390:$BC390)</f>
        <v>0</v>
      </c>
      <c r="AV390" s="230">
        <f>SUMIF(LUG!$G$121:$M$121,AV$178,LUG!$P36:$V36)+SUMIF($AZ$178:$BC$178,AV$178,$AZ390:$BC390)</f>
        <v>0</v>
      </c>
      <c r="AW390" s="230">
        <f>SUMIF(LUG!$G$121:$M$121,AW$178,LUG!$P36:$V36)+SUMIF($AZ$178:$BC$178,AW$178,$AZ390:$BC390)</f>
        <v>0</v>
      </c>
      <c r="AX390" s="231">
        <f>SUMIF(LUG!$G$121:$M$121,AX$178,LUG!$P36:$V36)+SUMIF($AZ$178:$BC$178,AX$178,$AZ390:$BC390)</f>
        <v>0</v>
      </c>
      <c r="AY390" s="232">
        <f>LUG!AF36</f>
        <v>0</v>
      </c>
      <c r="AZ390" s="228">
        <f>LUG!AG36</f>
        <v>0</v>
      </c>
      <c r="BA390" s="229">
        <f>LUG!AH36</f>
        <v>0</v>
      </c>
      <c r="BB390" s="230">
        <f>LUG!AI36</f>
        <v>0</v>
      </c>
      <c r="BC390" s="231">
        <f>LUG!AJ36</f>
        <v>0</v>
      </c>
      <c r="BD390" s="228">
        <f>SUMIF(LUG!$G$120:$M$120,"&gt;0",LUG!$X36:$AD36)</f>
        <v>0</v>
      </c>
      <c r="BE390" s="696"/>
      <c r="BF390" s="228">
        <f>SUMIF(LUG!$BA$6:$BG$6,BF$177,LUG!$BA36:$BG36)</f>
        <v>0</v>
      </c>
      <c r="BG390" s="229">
        <f>SUMIF(LUG!$BA$6:$BG$6,BG$177,LUG!$BA36:$BG36)</f>
        <v>0</v>
      </c>
      <c r="BH390" s="229">
        <f>SUMIF(LUG!$BA$6:$BG$6,BH$177,LUG!$BA36:$BG36)</f>
        <v>0</v>
      </c>
      <c r="BI390" s="229">
        <f>SUMIF(LUG!$BA$6:$BG$6,BI$177,LUG!$BA36:$BG36)</f>
        <v>0</v>
      </c>
      <c r="BJ390" s="229">
        <f>SUMIF(LUG!$BA$6:$BG$6,BJ$177,LUG!$BA36:$BG36)</f>
        <v>0</v>
      </c>
      <c r="BK390" s="229">
        <f>SUMIF(LUG!$BA$6:$BG$6,BK$177,LUG!$BA36:$BG36)</f>
        <v>0</v>
      </c>
      <c r="BL390" s="229">
        <f>SUMIF(LUG!$BA$6:$BG$6,BL$177,LUG!$BA36:$BG36)</f>
        <v>0</v>
      </c>
      <c r="BM390" s="229">
        <f>SUMIF(LUG!$BA$6:$BG$6,BM$177,LUG!$BA36:$BG36)</f>
        <v>0</v>
      </c>
      <c r="BN390" s="229">
        <f>SUMIF(LUG!$BA$6:$BG$6,BN$177,LUG!$BA36:$BG36)</f>
        <v>0</v>
      </c>
      <c r="BO390" s="231">
        <f>SUMIF(LUG!$BA$6:$BG$6,BO$177,LUG!$BA36:$BG36)</f>
        <v>0</v>
      </c>
      <c r="BP390" s="231">
        <f>SUMIF(LUG!$BA$6:$BG$6,BP$177,LUG!$BA36:$BG36)</f>
        <v>0</v>
      </c>
      <c r="BQ390" s="252"/>
      <c r="BR390" s="228">
        <f>SUMIF(LUG!$BA$5:$BG$5,BR$177,LUG!$BA36:$BG36)</f>
        <v>0</v>
      </c>
      <c r="BS390" s="229">
        <f>SUMIF(LUG!$BA$5:$BG$5,BS$177,LUG!$BA36:$BG36)</f>
        <v>0</v>
      </c>
      <c r="BT390" s="229">
        <f>SUMIF(LUG!$BA$5:$BG$5,BT$177,LUG!$BA36:$BG36)</f>
        <v>0</v>
      </c>
      <c r="BU390" s="229">
        <f>SUMIF(LUG!$BA$5:$BG$5,BU$177,LUG!$BA36:$BG36)</f>
        <v>0</v>
      </c>
      <c r="BV390" s="229">
        <f>SUMIF(LUG!$BA$5:$BG$5,BV$177,LUG!$BA36:$BG36)</f>
        <v>0</v>
      </c>
      <c r="BW390" s="229">
        <f>SUMIF(LUG!$BA$5:$BG$5,BW$177,LUG!$BA36:$BG36)</f>
        <v>0</v>
      </c>
      <c r="BX390" s="230">
        <f>SUMIF(LUG!$BA$5:$BG$5,BX$177,LUG!$BA36:$BG36)</f>
        <v>0</v>
      </c>
      <c r="BY390" s="998">
        <f>SUMIF(LUG!$BA$5:$BG$5,BY$177,LUG!$BA36:$BG36)</f>
        <v>0</v>
      </c>
      <c r="CB390" s="252"/>
      <c r="CC390" s="61" t="e">
        <f t="shared" si="88"/>
        <v>#N/A</v>
      </c>
      <c r="CD390" s="61">
        <f t="shared" si="89"/>
        <v>0</v>
      </c>
      <c r="CE390" s="105" t="str">
        <f t="shared" si="82"/>
        <v/>
      </c>
      <c r="CF390" s="61" t="e">
        <f t="shared" si="90"/>
        <v>#N/A</v>
      </c>
      <c r="CG390" s="61" t="e">
        <f t="shared" si="91"/>
        <v>#N/A</v>
      </c>
      <c r="CH390" s="521">
        <f>LUG!AL36-CW390+CR390</f>
        <v>0</v>
      </c>
      <c r="CI390" s="228">
        <f>SUMIF(LUG!$G$121:$M$121,CI$178,LUG!$AM36:$AS36)+SUMIF($CS$178:$CV$178,CI$178,$CS390:$CV390)</f>
        <v>0</v>
      </c>
      <c r="CJ390" s="229">
        <f>SUMIF(LUG!$G$121:$M$121,CJ$178,LUG!$AM36:$AS36)+SUMIF($CS$178:$CV$178,CJ$178,$CS390:$CV390)</f>
        <v>0</v>
      </c>
      <c r="CK390" s="230">
        <f>SUMIF(LUG!$G$121:$M$121,CK$178,LUG!$AM36:$AS36)+SUMIF($CS$178:$CV$178,CK$178,$CS390:$CV390)</f>
        <v>0</v>
      </c>
      <c r="CL390" s="230">
        <f>SUMIF(LUG!$G$121:$M$121,CL$178,LUG!$AM36:$AS36)+SUMIF($CS$178:$CV$178,CL$178,$CS390:$CV390)</f>
        <v>0</v>
      </c>
      <c r="CM390" s="230">
        <f>SUMIF(LUG!$G$121:$M$121,CM$178,LUG!$AM36:$AS36)+SUMIF($CS$178:$CV$178,CM$178,$CS390:$CV390)</f>
        <v>0</v>
      </c>
      <c r="CN390" s="230">
        <f>SUMIF(LUG!$G$121:$M$121,CN$178,LUG!$AM36:$AS36)+SUMIF($CS$178:$CV$178,CN$178,$CS390:$CV390)</f>
        <v>0</v>
      </c>
      <c r="CO390" s="230">
        <f>SUMIF(LUG!$G$121:$M$121,CO$178,LUG!$AM36:$AS36)+SUMIF($CS$178:$CV$178,CO$178,$CS390:$CV390)</f>
        <v>0</v>
      </c>
      <c r="CP390" s="230">
        <f>SUMIF(LUG!$G$121:$M$121,CP$178,LUG!$AM36:$AS36)+SUMIF($CS$178:$CV$178,CP$178,$CS390:$CV390)</f>
        <v>0</v>
      </c>
      <c r="CQ390" s="231">
        <f>SUMIF(LUG!$G$121:$M$121,CQ$178,LUG!$AM36:$AS36)+SUMIF($CS$178:$CV$178,CQ$178,$CS390:$CV390)</f>
        <v>0</v>
      </c>
      <c r="CR390" s="521">
        <f>LUG!AU36</f>
        <v>0</v>
      </c>
      <c r="CS390" s="228">
        <f>LUG!AV36</f>
        <v>0</v>
      </c>
      <c r="CT390" s="229">
        <f>LUG!AW36</f>
        <v>0</v>
      </c>
      <c r="CU390" s="230">
        <f>LUG!AX36</f>
        <v>0</v>
      </c>
      <c r="CV390" s="231">
        <f>LUG!AY36</f>
        <v>0</v>
      </c>
      <c r="CW390" s="521">
        <f>SUM(LUG!AU36:AY36)</f>
        <v>0</v>
      </c>
      <c r="CX390" s="521">
        <f>LUG!AK36</f>
        <v>0</v>
      </c>
      <c r="CY390" s="2"/>
    </row>
    <row r="391" spans="1:103" ht="14.25" hidden="1" customHeight="1" x14ac:dyDescent="0.2">
      <c r="A391" s="2"/>
      <c r="B391" s="105">
        <f t="shared" si="92"/>
        <v>45503</v>
      </c>
      <c r="C391" s="146">
        <f>IF(AND(E391&gt;(N$557-1),E391&lt;(R$557+1)),W$551,IF(ISERROR(HLOOKUP(E391,$N$550:$U$550,1,FALSE)),HLOOKUP(WEEKDAY(E391,2),IMPOSTAZIONI!$C$52:$P$57,6,FALSE),$W$550))</f>
        <v>0</v>
      </c>
      <c r="D391" s="71" t="str">
        <f t="shared" si="93"/>
        <v/>
      </c>
      <c r="E391" s="2258">
        <f t="shared" si="98"/>
        <v>45503</v>
      </c>
      <c r="F391" s="2259"/>
      <c r="G391" s="2228" t="str">
        <f>LUG!E37</f>
        <v xml:space="preserve">disattivato  </v>
      </c>
      <c r="H391" s="2229"/>
      <c r="I391" s="2230"/>
      <c r="J391" s="262" t="str">
        <f t="shared" si="83"/>
        <v/>
      </c>
      <c r="K391" s="263"/>
      <c r="L391" s="2217">
        <f t="shared" si="99"/>
        <v>31</v>
      </c>
      <c r="M391" s="2218"/>
      <c r="N391" s="261"/>
      <c r="O391" s="261"/>
      <c r="P391" s="261"/>
      <c r="Q391" s="2219">
        <f t="shared" si="94"/>
        <v>45503</v>
      </c>
      <c r="R391" s="2219"/>
      <c r="S391" s="261"/>
      <c r="T391" s="1173">
        <f t="shared" si="84"/>
        <v>1</v>
      </c>
      <c r="U391" s="261"/>
      <c r="V391" s="261"/>
      <c r="W391" s="261"/>
      <c r="X391" s="261"/>
      <c r="Y391" s="261"/>
      <c r="Z391" s="261"/>
      <c r="AA391" s="261"/>
      <c r="AB391" s="261"/>
      <c r="AC391" s="261"/>
      <c r="AD391" s="261"/>
      <c r="AE391" s="261"/>
      <c r="AF391" s="261"/>
      <c r="AG391" s="1173">
        <f t="shared" si="95"/>
        <v>0</v>
      </c>
      <c r="AH391" s="61" t="str">
        <f t="shared" si="96"/>
        <v/>
      </c>
      <c r="AI391" s="89" t="e">
        <f t="shared" si="97"/>
        <v>#N/A</v>
      </c>
      <c r="AJ391" s="2"/>
      <c r="AK391" s="61">
        <f>IF(G391=G$547,0,IF(OR(G391&lt;&gt;0,CH391&lt;&gt;0,C391="L"),COUNTIF(AK$180:AK390,"&gt;0")+1,0))</f>
        <v>0</v>
      </c>
      <c r="AL391" s="61" t="str">
        <f t="shared" si="85"/>
        <v/>
      </c>
      <c r="AM391" s="61" t="e">
        <f t="shared" si="86"/>
        <v>#N/A</v>
      </c>
      <c r="AN391" s="89" t="e">
        <f t="shared" si="87"/>
        <v>#N/A</v>
      </c>
      <c r="AO391" s="230">
        <f>SUM(LUG!X37:AD37)-BD391+AY391</f>
        <v>0</v>
      </c>
      <c r="AP391" s="228">
        <f>SUMIF(LUG!$G$121:$M$121,AP$178,LUG!$P37:$V37)+SUMIF($AZ$178:$BC$178,AP$178,$AZ391:$BC391)</f>
        <v>0</v>
      </c>
      <c r="AQ391" s="229">
        <f>SUMIF(LUG!$G$121:$M$121,AQ$178,LUG!$P37:$V37)+SUMIF($AZ$178:$BC$178,AQ$178,$AZ391:$BC391)</f>
        <v>0</v>
      </c>
      <c r="AR391" s="230">
        <f>SUMIF(LUG!$G$121:$M$121,AR$178,LUG!$P37:$V37)+SUMIF($AZ$178:$BC$178,AR$178,$AZ391:$BC391)</f>
        <v>0</v>
      </c>
      <c r="AS391" s="230">
        <f>SUMIF(LUG!$G$121:$M$121,AS$178,LUG!$P37:$V37)+SUMIF($AZ$178:$BC$178,AS$178,$AZ391:$BC391)</f>
        <v>0</v>
      </c>
      <c r="AT391" s="230">
        <f>SUMIF(LUG!$G$121:$M$121,AT$178,LUG!$P37:$V37)+SUMIF($AZ$178:$BC$178,AT$178,$AZ391:$BC391)</f>
        <v>0</v>
      </c>
      <c r="AU391" s="230">
        <f>SUMIF(LUG!$G$121:$M$121,AU$178,LUG!$P37:$V37)+SUMIF($AZ$178:$BC$178,AU$178,$AZ391:$BC391)</f>
        <v>0</v>
      </c>
      <c r="AV391" s="230">
        <f>SUMIF(LUG!$G$121:$M$121,AV$178,LUG!$P37:$V37)+SUMIF($AZ$178:$BC$178,AV$178,$AZ391:$BC391)</f>
        <v>0</v>
      </c>
      <c r="AW391" s="230">
        <f>SUMIF(LUG!$G$121:$M$121,AW$178,LUG!$P37:$V37)+SUMIF($AZ$178:$BC$178,AW$178,$AZ391:$BC391)</f>
        <v>0</v>
      </c>
      <c r="AX391" s="231">
        <f>SUMIF(LUG!$G$121:$M$121,AX$178,LUG!$P37:$V37)+SUMIF($AZ$178:$BC$178,AX$178,$AZ391:$BC391)</f>
        <v>0</v>
      </c>
      <c r="AY391" s="232">
        <f>LUG!AF37</f>
        <v>0</v>
      </c>
      <c r="AZ391" s="228">
        <f>LUG!AG37</f>
        <v>0</v>
      </c>
      <c r="BA391" s="229">
        <f>LUG!AH37</f>
        <v>0</v>
      </c>
      <c r="BB391" s="230">
        <f>LUG!AI37</f>
        <v>0</v>
      </c>
      <c r="BC391" s="231">
        <f>LUG!AJ37</f>
        <v>0</v>
      </c>
      <c r="BD391" s="228">
        <f>SUMIF(LUG!$G$120:$M$120,"&gt;0",LUG!$X37:$AD37)</f>
        <v>0</v>
      </c>
      <c r="BE391" s="696"/>
      <c r="BF391" s="228">
        <f>SUMIF(LUG!$BA$6:$BG$6,BF$177,LUG!$BA37:$BG37)</f>
        <v>0</v>
      </c>
      <c r="BG391" s="229">
        <f>SUMIF(LUG!$BA$6:$BG$6,BG$177,LUG!$BA37:$BG37)</f>
        <v>0</v>
      </c>
      <c r="BH391" s="229">
        <f>SUMIF(LUG!$BA$6:$BG$6,BH$177,LUG!$BA37:$BG37)</f>
        <v>0</v>
      </c>
      <c r="BI391" s="229">
        <f>SUMIF(LUG!$BA$6:$BG$6,BI$177,LUG!$BA37:$BG37)</f>
        <v>0</v>
      </c>
      <c r="BJ391" s="229">
        <f>SUMIF(LUG!$BA$6:$BG$6,BJ$177,LUG!$BA37:$BG37)</f>
        <v>0</v>
      </c>
      <c r="BK391" s="229">
        <f>SUMIF(LUG!$BA$6:$BG$6,BK$177,LUG!$BA37:$BG37)</f>
        <v>0</v>
      </c>
      <c r="BL391" s="229">
        <f>SUMIF(LUG!$BA$6:$BG$6,BL$177,LUG!$BA37:$BG37)</f>
        <v>0</v>
      </c>
      <c r="BM391" s="229">
        <f>SUMIF(LUG!$BA$6:$BG$6,BM$177,LUG!$BA37:$BG37)</f>
        <v>0</v>
      </c>
      <c r="BN391" s="229">
        <f>SUMIF(LUG!$BA$6:$BG$6,BN$177,LUG!$BA37:$BG37)</f>
        <v>0</v>
      </c>
      <c r="BO391" s="231">
        <f>SUMIF(LUG!$BA$6:$BG$6,BO$177,LUG!$BA37:$BG37)</f>
        <v>0</v>
      </c>
      <c r="BP391" s="231">
        <f>SUMIF(LUG!$BA$6:$BG$6,BP$177,LUG!$BA37:$BG37)</f>
        <v>0</v>
      </c>
      <c r="BQ391" s="252"/>
      <c r="BR391" s="228">
        <f>SUMIF(LUG!$BA$5:$BG$5,BR$177,LUG!$BA37:$BG37)</f>
        <v>0</v>
      </c>
      <c r="BS391" s="229">
        <f>SUMIF(LUG!$BA$5:$BG$5,BS$177,LUG!$BA37:$BG37)</f>
        <v>0</v>
      </c>
      <c r="BT391" s="229">
        <f>SUMIF(LUG!$BA$5:$BG$5,BT$177,LUG!$BA37:$BG37)</f>
        <v>0</v>
      </c>
      <c r="BU391" s="229">
        <f>SUMIF(LUG!$BA$5:$BG$5,BU$177,LUG!$BA37:$BG37)</f>
        <v>0</v>
      </c>
      <c r="BV391" s="229">
        <f>SUMIF(LUG!$BA$5:$BG$5,BV$177,LUG!$BA37:$BG37)</f>
        <v>0</v>
      </c>
      <c r="BW391" s="229">
        <f>SUMIF(LUG!$BA$5:$BG$5,BW$177,LUG!$BA37:$BG37)</f>
        <v>0</v>
      </c>
      <c r="BX391" s="230">
        <f>SUMIF(LUG!$BA$5:$BG$5,BX$177,LUG!$BA37:$BG37)</f>
        <v>0</v>
      </c>
      <c r="BY391" s="998">
        <f>SUMIF(LUG!$BA$5:$BG$5,BY$177,LUG!$BA37:$BG37)</f>
        <v>0</v>
      </c>
      <c r="CB391" s="252"/>
      <c r="CC391" s="61" t="e">
        <f t="shared" si="88"/>
        <v>#N/A</v>
      </c>
      <c r="CD391" s="61">
        <f t="shared" si="89"/>
        <v>0</v>
      </c>
      <c r="CE391" s="105" t="str">
        <f t="shared" si="82"/>
        <v/>
      </c>
      <c r="CF391" s="61" t="e">
        <f t="shared" si="90"/>
        <v>#N/A</v>
      </c>
      <c r="CG391" s="61" t="e">
        <f t="shared" si="91"/>
        <v>#N/A</v>
      </c>
      <c r="CH391" s="521">
        <f>LUG!AL37-CW391+CR391</f>
        <v>0</v>
      </c>
      <c r="CI391" s="228">
        <f>SUMIF(LUG!$G$121:$M$121,CI$178,LUG!$AM37:$AS37)+SUMIF($CS$178:$CV$178,CI$178,$CS391:$CV391)</f>
        <v>0</v>
      </c>
      <c r="CJ391" s="229">
        <f>SUMIF(LUG!$G$121:$M$121,CJ$178,LUG!$AM37:$AS37)+SUMIF($CS$178:$CV$178,CJ$178,$CS391:$CV391)</f>
        <v>0</v>
      </c>
      <c r="CK391" s="230">
        <f>SUMIF(LUG!$G$121:$M$121,CK$178,LUG!$AM37:$AS37)+SUMIF($CS$178:$CV$178,CK$178,$CS391:$CV391)</f>
        <v>0</v>
      </c>
      <c r="CL391" s="230">
        <f>SUMIF(LUG!$G$121:$M$121,CL$178,LUG!$AM37:$AS37)+SUMIF($CS$178:$CV$178,CL$178,$CS391:$CV391)</f>
        <v>0</v>
      </c>
      <c r="CM391" s="230">
        <f>SUMIF(LUG!$G$121:$M$121,CM$178,LUG!$AM37:$AS37)+SUMIF($CS$178:$CV$178,CM$178,$CS391:$CV391)</f>
        <v>0</v>
      </c>
      <c r="CN391" s="230">
        <f>SUMIF(LUG!$G$121:$M$121,CN$178,LUG!$AM37:$AS37)+SUMIF($CS$178:$CV$178,CN$178,$CS391:$CV391)</f>
        <v>0</v>
      </c>
      <c r="CO391" s="230">
        <f>SUMIF(LUG!$G$121:$M$121,CO$178,LUG!$AM37:$AS37)+SUMIF($CS$178:$CV$178,CO$178,$CS391:$CV391)</f>
        <v>0</v>
      </c>
      <c r="CP391" s="230">
        <f>SUMIF(LUG!$G$121:$M$121,CP$178,LUG!$AM37:$AS37)+SUMIF($CS$178:$CV$178,CP$178,$CS391:$CV391)</f>
        <v>0</v>
      </c>
      <c r="CQ391" s="231">
        <f>SUMIF(LUG!$G$121:$M$121,CQ$178,LUG!$AM37:$AS37)+SUMIF($CS$178:$CV$178,CQ$178,$CS391:$CV391)</f>
        <v>0</v>
      </c>
      <c r="CR391" s="521">
        <f>LUG!AU37</f>
        <v>0</v>
      </c>
      <c r="CS391" s="228">
        <f>LUG!AV37</f>
        <v>0</v>
      </c>
      <c r="CT391" s="229">
        <f>LUG!AW37</f>
        <v>0</v>
      </c>
      <c r="CU391" s="230">
        <f>LUG!AX37</f>
        <v>0</v>
      </c>
      <c r="CV391" s="231">
        <f>LUG!AY37</f>
        <v>0</v>
      </c>
      <c r="CW391" s="521">
        <f>SUM(LUG!AU37:AY37)</f>
        <v>0</v>
      </c>
      <c r="CX391" s="521">
        <f>LUG!AK37</f>
        <v>0</v>
      </c>
      <c r="CY391" s="2"/>
    </row>
    <row r="392" spans="1:103" ht="14.25" hidden="1" customHeight="1" x14ac:dyDescent="0.2">
      <c r="A392" s="2"/>
      <c r="B392" s="105">
        <f t="shared" si="92"/>
        <v>45504</v>
      </c>
      <c r="C392" s="146">
        <f>IF(AND(E392&gt;(N$557-1),E392&lt;(R$557+1)),W$551,IF(ISERROR(HLOOKUP(E392,$N$550:$U$550,1,FALSE)),HLOOKUP(WEEKDAY(E392,2),IMPOSTAZIONI!$C$52:$P$57,6,FALSE),$W$550))</f>
        <v>0</v>
      </c>
      <c r="D392" s="71" t="str">
        <f t="shared" si="93"/>
        <v/>
      </c>
      <c r="E392" s="2262">
        <f t="shared" si="98"/>
        <v>45504</v>
      </c>
      <c r="F392" s="2263"/>
      <c r="G392" s="2266" t="str">
        <f>LUG!E38</f>
        <v xml:space="preserve">disattivato  </v>
      </c>
      <c r="H392" s="2267"/>
      <c r="I392" s="2268"/>
      <c r="J392" s="262" t="str">
        <f t="shared" si="83"/>
        <v/>
      </c>
      <c r="K392" s="263"/>
      <c r="L392" s="2217">
        <f t="shared" si="99"/>
        <v>31</v>
      </c>
      <c r="M392" s="2218"/>
      <c r="N392" s="261"/>
      <c r="O392" s="261"/>
      <c r="P392" s="261"/>
      <c r="Q392" s="2219">
        <f t="shared" si="94"/>
        <v>45504</v>
      </c>
      <c r="R392" s="2219"/>
      <c r="S392" s="261"/>
      <c r="T392" s="1173">
        <f t="shared" si="84"/>
        <v>1</v>
      </c>
      <c r="U392" s="261"/>
      <c r="V392" s="261"/>
      <c r="W392" s="261"/>
      <c r="X392" s="261"/>
      <c r="Y392" s="261"/>
      <c r="Z392" s="261"/>
      <c r="AA392" s="261"/>
      <c r="AB392" s="261"/>
      <c r="AC392" s="261"/>
      <c r="AD392" s="261"/>
      <c r="AE392" s="261"/>
      <c r="AF392" s="261"/>
      <c r="AG392" s="1173">
        <f t="shared" si="95"/>
        <v>0</v>
      </c>
      <c r="AH392" s="61" t="str">
        <f t="shared" si="96"/>
        <v/>
      </c>
      <c r="AI392" s="89" t="e">
        <f t="shared" si="97"/>
        <v>#N/A</v>
      </c>
      <c r="AJ392" s="2"/>
      <c r="AK392" s="61">
        <f>IF(G392=G$547,0,IF(OR(G392&lt;&gt;0,CH392&lt;&gt;0,C392="L"),COUNTIF(AK$180:AK391,"&gt;0")+1,0))</f>
        <v>0</v>
      </c>
      <c r="AL392" s="61" t="str">
        <f t="shared" si="85"/>
        <v/>
      </c>
      <c r="AM392" s="61" t="e">
        <f t="shared" si="86"/>
        <v>#N/A</v>
      </c>
      <c r="AN392" s="89" t="e">
        <f t="shared" si="87"/>
        <v>#N/A</v>
      </c>
      <c r="AO392" s="235">
        <f>SUM(LUG!X38:AD38)-BD392+AY392</f>
        <v>0</v>
      </c>
      <c r="AP392" s="233">
        <f>SUMIF(LUG!$G$121:$M$121,AP$178,LUG!$P38:$V38)+SUMIF($AZ$178:$BC$178,AP$178,$AZ392:$BC392)</f>
        <v>0</v>
      </c>
      <c r="AQ392" s="234">
        <f>SUMIF(LUG!$G$121:$M$121,AQ$178,LUG!$P38:$V38)+SUMIF($AZ$178:$BC$178,AQ$178,$AZ392:$BC392)</f>
        <v>0</v>
      </c>
      <c r="AR392" s="235">
        <f>SUMIF(LUG!$G$121:$M$121,AR$178,LUG!$P38:$V38)+SUMIF($AZ$178:$BC$178,AR$178,$AZ392:$BC392)</f>
        <v>0</v>
      </c>
      <c r="AS392" s="235">
        <f>SUMIF(LUG!$G$121:$M$121,AS$178,LUG!$P38:$V38)+SUMIF($AZ$178:$BC$178,AS$178,$AZ392:$BC392)</f>
        <v>0</v>
      </c>
      <c r="AT392" s="235">
        <f>SUMIF(LUG!$G$121:$M$121,AT$178,LUG!$P38:$V38)+SUMIF($AZ$178:$BC$178,AT$178,$AZ392:$BC392)</f>
        <v>0</v>
      </c>
      <c r="AU392" s="235">
        <f>SUMIF(LUG!$G$121:$M$121,AU$178,LUG!$P38:$V38)+SUMIF($AZ$178:$BC$178,AU$178,$AZ392:$BC392)</f>
        <v>0</v>
      </c>
      <c r="AV392" s="235">
        <f>SUMIF(LUG!$G$121:$M$121,AV$178,LUG!$P38:$V38)+SUMIF($AZ$178:$BC$178,AV$178,$AZ392:$BC392)</f>
        <v>0</v>
      </c>
      <c r="AW392" s="235">
        <f>SUMIF(LUG!$G$121:$M$121,AW$178,LUG!$P38:$V38)+SUMIF($AZ$178:$BC$178,AW$178,$AZ392:$BC392)</f>
        <v>0</v>
      </c>
      <c r="AX392" s="236">
        <f>SUMIF(LUG!$G$121:$M$121,AX$178,LUG!$P38:$V38)+SUMIF($AZ$178:$BC$178,AX$178,$AZ392:$BC392)</f>
        <v>0</v>
      </c>
      <c r="AY392" s="237">
        <f>LUG!AF38</f>
        <v>0</v>
      </c>
      <c r="AZ392" s="233">
        <f>LUG!AG38</f>
        <v>0</v>
      </c>
      <c r="BA392" s="234">
        <f>LUG!AH38</f>
        <v>0</v>
      </c>
      <c r="BB392" s="235">
        <f>LUG!AI38</f>
        <v>0</v>
      </c>
      <c r="BC392" s="236">
        <f>LUG!AJ38</f>
        <v>0</v>
      </c>
      <c r="BD392" s="233">
        <f>SUMIF(LUG!$G$120:$M$120,"&gt;0",LUG!$X38:$AD38)</f>
        <v>0</v>
      </c>
      <c r="BE392" s="696"/>
      <c r="BF392" s="233">
        <f>SUMIF(LUG!$BA$6:$BG$6,BF$177,LUG!$BA38:$BG38)</f>
        <v>0</v>
      </c>
      <c r="BG392" s="234">
        <f>SUMIF(LUG!$BA$6:$BG$6,BG$177,LUG!$BA38:$BG38)</f>
        <v>0</v>
      </c>
      <c r="BH392" s="234">
        <f>SUMIF(LUG!$BA$6:$BG$6,BH$177,LUG!$BA38:$BG38)</f>
        <v>0</v>
      </c>
      <c r="BI392" s="234">
        <f>SUMIF(LUG!$BA$6:$BG$6,BI$177,LUG!$BA38:$BG38)</f>
        <v>0</v>
      </c>
      <c r="BJ392" s="234">
        <f>SUMIF(LUG!$BA$6:$BG$6,BJ$177,LUG!$BA38:$BG38)</f>
        <v>0</v>
      </c>
      <c r="BK392" s="234">
        <f>SUMIF(LUG!$BA$6:$BG$6,BK$177,LUG!$BA38:$BG38)</f>
        <v>0</v>
      </c>
      <c r="BL392" s="234">
        <f>SUMIF(LUG!$BA$6:$BG$6,BL$177,LUG!$BA38:$BG38)</f>
        <v>0</v>
      </c>
      <c r="BM392" s="234">
        <f>SUMIF(LUG!$BA$6:$BG$6,BM$177,LUG!$BA38:$BG38)</f>
        <v>0</v>
      </c>
      <c r="BN392" s="234">
        <f>SUMIF(LUG!$BA$6:$BG$6,BN$177,LUG!$BA38:$BG38)</f>
        <v>0</v>
      </c>
      <c r="BO392" s="236">
        <f>SUMIF(LUG!$BA$6:$BG$6,BO$177,LUG!$BA38:$BG38)</f>
        <v>0</v>
      </c>
      <c r="BP392" s="236">
        <f>SUMIF(LUG!$BA$6:$BG$6,BP$177,LUG!$BA38:$BG38)</f>
        <v>0</v>
      </c>
      <c r="BQ392" s="252"/>
      <c r="BR392" s="233">
        <f>SUMIF(LUG!$BA$5:$BG$5,BR$177,LUG!$BA38:$BG38)</f>
        <v>0</v>
      </c>
      <c r="BS392" s="234">
        <f>SUMIF(LUG!$BA$5:$BG$5,BS$177,LUG!$BA38:$BG38)</f>
        <v>0</v>
      </c>
      <c r="BT392" s="234">
        <f>SUMIF(LUG!$BA$5:$BG$5,BT$177,LUG!$BA38:$BG38)</f>
        <v>0</v>
      </c>
      <c r="BU392" s="234">
        <f>SUMIF(LUG!$BA$5:$BG$5,BU$177,LUG!$BA38:$BG38)</f>
        <v>0</v>
      </c>
      <c r="BV392" s="234">
        <f>SUMIF(LUG!$BA$5:$BG$5,BV$177,LUG!$BA38:$BG38)</f>
        <v>0</v>
      </c>
      <c r="BW392" s="234">
        <f>SUMIF(LUG!$BA$5:$BG$5,BW$177,LUG!$BA38:$BG38)</f>
        <v>0</v>
      </c>
      <c r="BX392" s="235">
        <f>SUMIF(LUG!$BA$5:$BG$5,BX$177,LUG!$BA38:$BG38)</f>
        <v>0</v>
      </c>
      <c r="BY392" s="999">
        <f>SUMIF(LUG!$BA$5:$BG$5,BY$177,LUG!$BA38:$BG38)</f>
        <v>0</v>
      </c>
      <c r="CB392" s="252"/>
      <c r="CC392" s="61" t="e">
        <f t="shared" si="88"/>
        <v>#N/A</v>
      </c>
      <c r="CD392" s="61">
        <f t="shared" si="89"/>
        <v>0</v>
      </c>
      <c r="CE392" s="105" t="str">
        <f t="shared" si="82"/>
        <v/>
      </c>
      <c r="CF392" s="61" t="e">
        <f t="shared" si="90"/>
        <v>#N/A</v>
      </c>
      <c r="CG392" s="61" t="e">
        <f t="shared" si="91"/>
        <v>#N/A</v>
      </c>
      <c r="CH392" s="522">
        <f>LUG!AL38-CW392+CR392</f>
        <v>0</v>
      </c>
      <c r="CI392" s="233">
        <f>SUMIF(LUG!$G$121:$M$121,CI$178,LUG!$AM38:$AS38)+SUMIF($CS$178:$CV$178,CI$178,$CS392:$CV392)</f>
        <v>0</v>
      </c>
      <c r="CJ392" s="234">
        <f>SUMIF(LUG!$G$121:$M$121,CJ$178,LUG!$AM38:$AS38)+SUMIF($CS$178:$CV$178,CJ$178,$CS392:$CV392)</f>
        <v>0</v>
      </c>
      <c r="CK392" s="235">
        <f>SUMIF(LUG!$G$121:$M$121,CK$178,LUG!$AM38:$AS38)+SUMIF($CS$178:$CV$178,CK$178,$CS392:$CV392)</f>
        <v>0</v>
      </c>
      <c r="CL392" s="235">
        <f>SUMIF(LUG!$G$121:$M$121,CL$178,LUG!$AM38:$AS38)+SUMIF($CS$178:$CV$178,CL$178,$CS392:$CV392)</f>
        <v>0</v>
      </c>
      <c r="CM392" s="235">
        <f>SUMIF(LUG!$G$121:$M$121,CM$178,LUG!$AM38:$AS38)+SUMIF($CS$178:$CV$178,CM$178,$CS392:$CV392)</f>
        <v>0</v>
      </c>
      <c r="CN392" s="235">
        <f>SUMIF(LUG!$G$121:$M$121,CN$178,LUG!$AM38:$AS38)+SUMIF($CS$178:$CV$178,CN$178,$CS392:$CV392)</f>
        <v>0</v>
      </c>
      <c r="CO392" s="235">
        <f>SUMIF(LUG!$G$121:$M$121,CO$178,LUG!$AM38:$AS38)+SUMIF($CS$178:$CV$178,CO$178,$CS392:$CV392)</f>
        <v>0</v>
      </c>
      <c r="CP392" s="235">
        <f>SUMIF(LUG!$G$121:$M$121,CP$178,LUG!$AM38:$AS38)+SUMIF($CS$178:$CV$178,CP$178,$CS392:$CV392)</f>
        <v>0</v>
      </c>
      <c r="CQ392" s="236">
        <f>SUMIF(LUG!$G$121:$M$121,CQ$178,LUG!$AM38:$AS38)+SUMIF($CS$178:$CV$178,CQ$178,$CS392:$CV392)</f>
        <v>0</v>
      </c>
      <c r="CR392" s="522">
        <f>LUG!AU38</f>
        <v>0</v>
      </c>
      <c r="CS392" s="233">
        <f>LUG!AV38</f>
        <v>0</v>
      </c>
      <c r="CT392" s="234">
        <f>LUG!AW38</f>
        <v>0</v>
      </c>
      <c r="CU392" s="235">
        <f>LUG!AX38</f>
        <v>0</v>
      </c>
      <c r="CV392" s="236">
        <f>LUG!AY38</f>
        <v>0</v>
      </c>
      <c r="CW392" s="522">
        <f>SUM(LUG!AU38:AY38)</f>
        <v>0</v>
      </c>
      <c r="CX392" s="522">
        <f>LUG!AK38</f>
        <v>0</v>
      </c>
      <c r="CY392" s="2"/>
    </row>
    <row r="393" spans="1:103" ht="14.25" hidden="1" customHeight="1" x14ac:dyDescent="0.2">
      <c r="A393" s="2"/>
      <c r="B393" s="105">
        <f t="shared" si="92"/>
        <v>45505</v>
      </c>
      <c r="C393" s="146">
        <f>IF(AND(E393&gt;(N$558-1),E393&lt;(R$558+1)),W$551,IF(ISERROR(HLOOKUP(E393,$N$551:$U$551,1,FALSE)),HLOOKUP(WEEKDAY(E393,2),IMPOSTAZIONI!$C$52:$P$57,6,FALSE),$W$550))</f>
        <v>0</v>
      </c>
      <c r="D393" s="71" t="str">
        <f t="shared" si="93"/>
        <v/>
      </c>
      <c r="E393" s="2260">
        <f t="shared" si="98"/>
        <v>45505</v>
      </c>
      <c r="F393" s="2261"/>
      <c r="G393" s="2249" t="str">
        <f>AGO!E8</f>
        <v xml:space="preserve">disattivato  </v>
      </c>
      <c r="H393" s="2250"/>
      <c r="I393" s="2251"/>
      <c r="J393" s="262" t="str">
        <f t="shared" si="83"/>
        <v/>
      </c>
      <c r="K393" s="263"/>
      <c r="L393" s="2217">
        <f t="shared" si="99"/>
        <v>31</v>
      </c>
      <c r="M393" s="2218"/>
      <c r="N393" s="261"/>
      <c r="O393" s="261"/>
      <c r="P393" s="261"/>
      <c r="Q393" s="2219">
        <f t="shared" si="94"/>
        <v>45505</v>
      </c>
      <c r="R393" s="2219"/>
      <c r="S393" s="261"/>
      <c r="T393" s="1173">
        <f t="shared" si="84"/>
        <v>1</v>
      </c>
      <c r="U393" s="261"/>
      <c r="V393" s="261"/>
      <c r="W393" s="261"/>
      <c r="X393" s="261"/>
      <c r="Y393" s="261"/>
      <c r="Z393" s="261"/>
      <c r="AA393" s="261"/>
      <c r="AB393" s="261"/>
      <c r="AC393" s="261"/>
      <c r="AD393" s="261"/>
      <c r="AE393" s="261"/>
      <c r="AF393" s="261"/>
      <c r="AG393" s="1173">
        <f t="shared" si="95"/>
        <v>0</v>
      </c>
      <c r="AH393" s="61" t="str">
        <f t="shared" si="96"/>
        <v/>
      </c>
      <c r="AI393" s="89" t="e">
        <f t="shared" si="97"/>
        <v>#N/A</v>
      </c>
      <c r="AJ393" s="89">
        <f>IF(G393=G547,0,COUNTIF(T393:T423,"&gt;0"))</f>
        <v>0</v>
      </c>
      <c r="AK393" s="61">
        <f>IF(G393=G$547,0,IF(OR(G393&lt;&gt;0,CH393&lt;&gt;0,C393="L"),COUNTIF(AK$180:AK392,"&gt;0")+1,0))</f>
        <v>0</v>
      </c>
      <c r="AL393" s="61" t="str">
        <f t="shared" si="85"/>
        <v/>
      </c>
      <c r="AM393" s="61" t="e">
        <f t="shared" si="86"/>
        <v>#N/A</v>
      </c>
      <c r="AN393" s="89" t="e">
        <f t="shared" si="87"/>
        <v>#N/A</v>
      </c>
      <c r="AO393" s="230">
        <f>SUM(AGO!X8:AD8)-BD393+AY393</f>
        <v>0</v>
      </c>
      <c r="AP393" s="228">
        <f>SUMIF(AGO!$G$121:$M$121,AP$178,AGO!$P8:$V8)+SUMIF($AZ$178:$BC$178,AP$178,$AZ393:$BC393)</f>
        <v>0</v>
      </c>
      <c r="AQ393" s="229">
        <f>SUMIF(AGO!$G$121:$M$121,AQ$178,AGO!$P8:$V8)+SUMIF($AZ$178:$BC$178,AQ$178,$AZ393:$BC393)</f>
        <v>0</v>
      </c>
      <c r="AR393" s="230">
        <f>SUMIF(AGO!$G$121:$M$121,AR$178,AGO!$P8:$V8)+SUMIF($AZ$178:$BC$178,AR$178,$AZ393:$BC393)</f>
        <v>0</v>
      </c>
      <c r="AS393" s="230">
        <f>SUMIF(AGO!$G$121:$M$121,AS$178,AGO!$P8:$V8)+SUMIF($AZ$178:$BC$178,AS$178,$AZ393:$BC393)</f>
        <v>0</v>
      </c>
      <c r="AT393" s="230">
        <f>SUMIF(AGO!$G$121:$M$121,AT$178,AGO!$P8:$V8)+SUMIF($AZ$178:$BC$178,AT$178,$AZ393:$BC393)</f>
        <v>0</v>
      </c>
      <c r="AU393" s="230">
        <f>SUMIF(AGO!$G$121:$M$121,AU$178,AGO!$P8:$V8)+SUMIF($AZ$178:$BC$178,AU$178,$AZ393:$BC393)</f>
        <v>0</v>
      </c>
      <c r="AV393" s="230">
        <f>SUMIF(AGO!$G$121:$M$121,AV$178,AGO!$P8:$V8)+SUMIF($AZ$178:$BC$178,AV$178,$AZ393:$BC393)</f>
        <v>0</v>
      </c>
      <c r="AW393" s="230">
        <f>SUMIF(AGO!$G$121:$M$121,AW$178,AGO!$P8:$V8)+SUMIF($AZ$178:$BC$178,AW$178,$AZ393:$BC393)</f>
        <v>0</v>
      </c>
      <c r="AX393" s="231">
        <f>SUMIF(AGO!$G$121:$M$121,AX$178,AGO!$P8:$V8)+SUMIF($AZ$178:$BC$178,AX$178,$AZ393:$BC393)</f>
        <v>0</v>
      </c>
      <c r="AY393" s="232">
        <f>AGO!AF8</f>
        <v>0</v>
      </c>
      <c r="AZ393" s="228">
        <f>AGO!AG8</f>
        <v>0</v>
      </c>
      <c r="BA393" s="229">
        <f>AGO!AH8</f>
        <v>0</v>
      </c>
      <c r="BB393" s="230">
        <f>AGO!AI8</f>
        <v>0</v>
      </c>
      <c r="BC393" s="231">
        <f>AGO!AJ8</f>
        <v>0</v>
      </c>
      <c r="BD393" s="228">
        <f>SUMIF(AGO!$G$120:$M$120,"&gt;0",AGO!$X8:$AD8)</f>
        <v>0</v>
      </c>
      <c r="BE393" s="696"/>
      <c r="BF393" s="254">
        <f>SUMIF(AGO!$BA$6:$BG$6,BF$177,AGO!$BA8:$BG8)</f>
        <v>0</v>
      </c>
      <c r="BG393" s="255">
        <f>SUMIF(AGO!$BA$6:$BG$6,BG$177,AGO!$BA8:$BG8)</f>
        <v>0</v>
      </c>
      <c r="BH393" s="255">
        <f>SUMIF(AGO!$BA$6:$BG$6,BH$177,AGO!$BA8:$BG8)</f>
        <v>0</v>
      </c>
      <c r="BI393" s="255">
        <f>SUMIF(AGO!$BA$6:$BG$6,BI$177,AGO!$BA8:$BG8)</f>
        <v>0</v>
      </c>
      <c r="BJ393" s="255">
        <f>SUMIF(AGO!$BA$6:$BG$6,BJ$177,AGO!$BA8:$BG8)</f>
        <v>0</v>
      </c>
      <c r="BK393" s="255">
        <f>SUMIF(AGO!$BA$6:$BG$6,BK$177,AGO!$BA8:$BG8)</f>
        <v>0</v>
      </c>
      <c r="BL393" s="255">
        <f>SUMIF(AGO!$BA$6:$BG$6,BL$177,AGO!$BA8:$BG8)</f>
        <v>0</v>
      </c>
      <c r="BM393" s="255">
        <f>SUMIF(AGO!$BA$6:$BG$6,BM$177,AGO!$BA8:$BG8)</f>
        <v>0</v>
      </c>
      <c r="BN393" s="255">
        <f>SUMIF(AGO!$BA$6:$BG$6,BN$177,AGO!$BA8:$BG8)</f>
        <v>0</v>
      </c>
      <c r="BO393" s="256">
        <f>SUMIF(AGO!$BA$6:$BG$6,BO$177,AGO!$BA8:$BG8)</f>
        <v>0</v>
      </c>
      <c r="BP393" s="256">
        <f>SUMIF(AGO!$BA$6:$BG$6,BP$177,AGO!$BA8:$BG8)</f>
        <v>0</v>
      </c>
      <c r="BQ393" s="252"/>
      <c r="BR393" s="254">
        <f>SUMIF(AGO!$BA$5:$BG$5,BR$177,AGO!$BA8:$BG8)</f>
        <v>0</v>
      </c>
      <c r="BS393" s="255">
        <f>SUMIF(AGO!$BA$5:$BG$5,BS$177,AGO!$BA8:$BG8)</f>
        <v>0</v>
      </c>
      <c r="BT393" s="255">
        <f>SUMIF(AGO!$BA$5:$BG$5,BT$177,AGO!$BA8:$BG8)</f>
        <v>0</v>
      </c>
      <c r="BU393" s="255">
        <f>SUMIF(AGO!$BA$5:$BG$5,BU$177,AGO!$BA8:$BG8)</f>
        <v>0</v>
      </c>
      <c r="BV393" s="255">
        <f>SUMIF(AGO!$BA$5:$BG$5,BV$177,AGO!$BA8:$BG8)</f>
        <v>0</v>
      </c>
      <c r="BW393" s="255">
        <f>SUMIF(AGO!$BA$5:$BG$5,BW$177,AGO!$BA8:$BG8)</f>
        <v>0</v>
      </c>
      <c r="BX393" s="996">
        <f>SUMIF(AGO!$BA$5:$BG$5,BX$177,AGO!$BA8:$BG8)</f>
        <v>0</v>
      </c>
      <c r="BY393" s="997">
        <f>SUMIF(AGO!$BA$5:$BG$5,BY$177,AGO!$BA8:$BG8)</f>
        <v>0</v>
      </c>
      <c r="CB393" s="252"/>
      <c r="CC393" s="61" t="e">
        <f t="shared" si="88"/>
        <v>#N/A</v>
      </c>
      <c r="CD393" s="61">
        <f t="shared" si="89"/>
        <v>0</v>
      </c>
      <c r="CE393" s="105" t="str">
        <f t="shared" si="82"/>
        <v/>
      </c>
      <c r="CF393" s="61" t="e">
        <f t="shared" si="90"/>
        <v>#N/A</v>
      </c>
      <c r="CG393" s="61" t="e">
        <f t="shared" si="91"/>
        <v>#N/A</v>
      </c>
      <c r="CH393" s="523">
        <f>AGO!AL8-CW393+CR393</f>
        <v>0</v>
      </c>
      <c r="CI393" s="228">
        <f>SUMIF(AGO!$G$121:$M$121,CI$178,AGO!$AM8:$AS8)+SUMIF($CS$178:$CV$178,CI$178,$CS393:$CV393)</f>
        <v>0</v>
      </c>
      <c r="CJ393" s="229">
        <f>SUMIF(AGO!$G$121:$M$121,CJ$178,AGO!$AM8:$AS8)+SUMIF($CS$178:$CV$178,CJ$178,$CS393:$CV393)</f>
        <v>0</v>
      </c>
      <c r="CK393" s="230">
        <f>SUMIF(AGO!$G$121:$M$121,CK$178,AGO!$AM8:$AS8)+SUMIF($CS$178:$CV$178,CK$178,$CS393:$CV393)</f>
        <v>0</v>
      </c>
      <c r="CL393" s="230">
        <f>SUMIF(AGO!$G$121:$M$121,CL$178,AGO!$AM8:$AS8)+SUMIF($CS$178:$CV$178,CL$178,$CS393:$CV393)</f>
        <v>0</v>
      </c>
      <c r="CM393" s="230">
        <f>SUMIF(AGO!$G$121:$M$121,CM$178,AGO!$AM8:$AS8)+SUMIF($CS$178:$CV$178,CM$178,$CS393:$CV393)</f>
        <v>0</v>
      </c>
      <c r="CN393" s="230">
        <f>SUMIF(AGO!$G$121:$M$121,CN$178,AGO!$AM8:$AS8)+SUMIF($CS$178:$CV$178,CN$178,$CS393:$CV393)</f>
        <v>0</v>
      </c>
      <c r="CO393" s="230">
        <f>SUMIF(AGO!$G$121:$M$121,CO$178,AGO!$AM8:$AS8)+SUMIF($CS$178:$CV$178,CO$178,$CS393:$CV393)</f>
        <v>0</v>
      </c>
      <c r="CP393" s="230">
        <f>SUMIF(AGO!$G$121:$M$121,CP$178,AGO!$AM8:$AS8)+SUMIF($CS$178:$CV$178,CP$178,$CS393:$CV393)</f>
        <v>0</v>
      </c>
      <c r="CQ393" s="231">
        <f>SUMIF(AGO!$G$121:$M$121,CQ$178,AGO!$AM8:$AS8)+SUMIF($CS$178:$CV$178,CQ$178,$CS393:$CV393)</f>
        <v>0</v>
      </c>
      <c r="CR393" s="523">
        <f>AGO!AU8</f>
        <v>0</v>
      </c>
      <c r="CS393" s="228">
        <f>AGO!AV8</f>
        <v>0</v>
      </c>
      <c r="CT393" s="229">
        <f>AGO!AW8</f>
        <v>0</v>
      </c>
      <c r="CU393" s="230">
        <f>AGO!AX8</f>
        <v>0</v>
      </c>
      <c r="CV393" s="231">
        <f>AGO!AY8</f>
        <v>0</v>
      </c>
      <c r="CW393" s="523">
        <f>SUM(AGO!AU8:AY8)</f>
        <v>0</v>
      </c>
      <c r="CX393" s="523">
        <f>AGO!AK8</f>
        <v>0</v>
      </c>
      <c r="CY393" s="2"/>
    </row>
    <row r="394" spans="1:103" ht="14.25" hidden="1" customHeight="1" x14ac:dyDescent="0.2">
      <c r="A394" s="2"/>
      <c r="B394" s="105">
        <f t="shared" si="92"/>
        <v>45506</v>
      </c>
      <c r="C394" s="146">
        <f>IF(AND(E394&gt;(N$558-1),E394&lt;(R$558+1)),W$551,IF(ISERROR(HLOOKUP(E394,$N$551:$U$551,1,FALSE)),HLOOKUP(WEEKDAY(E394,2),IMPOSTAZIONI!$C$52:$P$57,6,FALSE),$W$550))</f>
        <v>0</v>
      </c>
      <c r="D394" s="71" t="str">
        <f t="shared" si="93"/>
        <v/>
      </c>
      <c r="E394" s="2258">
        <f t="shared" si="98"/>
        <v>45506</v>
      </c>
      <c r="F394" s="2259"/>
      <c r="G394" s="2228" t="str">
        <f>AGO!E9</f>
        <v xml:space="preserve">disattivato  </v>
      </c>
      <c r="H394" s="2229"/>
      <c r="I394" s="2230"/>
      <c r="J394" s="262" t="str">
        <f t="shared" si="83"/>
        <v/>
      </c>
      <c r="K394" s="263"/>
      <c r="L394" s="2217">
        <f t="shared" si="99"/>
        <v>31</v>
      </c>
      <c r="M394" s="2218"/>
      <c r="N394" s="261"/>
      <c r="O394" s="261"/>
      <c r="P394" s="261"/>
      <c r="Q394" s="2219">
        <f t="shared" si="94"/>
        <v>45506</v>
      </c>
      <c r="R394" s="2219"/>
      <c r="S394" s="261"/>
      <c r="T394" s="1173">
        <f t="shared" si="84"/>
        <v>1</v>
      </c>
      <c r="U394" s="261"/>
      <c r="V394" s="261"/>
      <c r="W394" s="261"/>
      <c r="X394" s="261"/>
      <c r="Y394" s="261"/>
      <c r="Z394" s="261"/>
      <c r="AA394" s="261"/>
      <c r="AB394" s="261"/>
      <c r="AC394" s="261"/>
      <c r="AD394" s="261"/>
      <c r="AE394" s="261"/>
      <c r="AF394" s="261"/>
      <c r="AG394" s="1173">
        <f t="shared" si="95"/>
        <v>0</v>
      </c>
      <c r="AH394" s="61" t="str">
        <f t="shared" si="96"/>
        <v/>
      </c>
      <c r="AI394" s="89" t="e">
        <f t="shared" si="97"/>
        <v>#N/A</v>
      </c>
      <c r="AJ394" s="2"/>
      <c r="AK394" s="61">
        <f>IF(G394=G$547,0,IF(OR(G394&lt;&gt;0,CH394&lt;&gt;0,C394="L"),COUNTIF(AK$180:AK393,"&gt;0")+1,0))</f>
        <v>0</v>
      </c>
      <c r="AL394" s="61" t="str">
        <f t="shared" si="85"/>
        <v/>
      </c>
      <c r="AM394" s="61" t="e">
        <f t="shared" si="86"/>
        <v>#N/A</v>
      </c>
      <c r="AN394" s="89" t="e">
        <f t="shared" si="87"/>
        <v>#N/A</v>
      </c>
      <c r="AO394" s="230">
        <f>SUM(AGO!X9:AD9)-BD394+AY394</f>
        <v>0</v>
      </c>
      <c r="AP394" s="228">
        <f>SUMIF(AGO!$G$121:$M$121,AP$178,AGO!$P9:$V9)+SUMIF($AZ$178:$BC$178,AP$178,$AZ394:$BC394)</f>
        <v>0</v>
      </c>
      <c r="AQ394" s="229">
        <f>SUMIF(AGO!$G$121:$M$121,AQ$178,AGO!$P9:$V9)+SUMIF($AZ$178:$BC$178,AQ$178,$AZ394:$BC394)</f>
        <v>0</v>
      </c>
      <c r="AR394" s="230">
        <f>SUMIF(AGO!$G$121:$M$121,AR$178,AGO!$P9:$V9)+SUMIF($AZ$178:$BC$178,AR$178,$AZ394:$BC394)</f>
        <v>0</v>
      </c>
      <c r="AS394" s="230">
        <f>SUMIF(AGO!$G$121:$M$121,AS$178,AGO!$P9:$V9)+SUMIF($AZ$178:$BC$178,AS$178,$AZ394:$BC394)</f>
        <v>0</v>
      </c>
      <c r="AT394" s="230">
        <f>SUMIF(AGO!$G$121:$M$121,AT$178,AGO!$P9:$V9)+SUMIF($AZ$178:$BC$178,AT$178,$AZ394:$BC394)</f>
        <v>0</v>
      </c>
      <c r="AU394" s="230">
        <f>SUMIF(AGO!$G$121:$M$121,AU$178,AGO!$P9:$V9)+SUMIF($AZ$178:$BC$178,AU$178,$AZ394:$BC394)</f>
        <v>0</v>
      </c>
      <c r="AV394" s="230">
        <f>SUMIF(AGO!$G$121:$M$121,AV$178,AGO!$P9:$V9)+SUMIF($AZ$178:$BC$178,AV$178,$AZ394:$BC394)</f>
        <v>0</v>
      </c>
      <c r="AW394" s="230">
        <f>SUMIF(AGO!$G$121:$M$121,AW$178,AGO!$P9:$V9)+SUMIF($AZ$178:$BC$178,AW$178,$AZ394:$BC394)</f>
        <v>0</v>
      </c>
      <c r="AX394" s="231">
        <f>SUMIF(AGO!$G$121:$M$121,AX$178,AGO!$P9:$V9)+SUMIF($AZ$178:$BC$178,AX$178,$AZ394:$BC394)</f>
        <v>0</v>
      </c>
      <c r="AY394" s="232">
        <f>AGO!AF9</f>
        <v>0</v>
      </c>
      <c r="AZ394" s="228">
        <f>AGO!AG9</f>
        <v>0</v>
      </c>
      <c r="BA394" s="229">
        <f>AGO!AH9</f>
        <v>0</v>
      </c>
      <c r="BB394" s="230">
        <f>AGO!AI9</f>
        <v>0</v>
      </c>
      <c r="BC394" s="231">
        <f>AGO!AJ9</f>
        <v>0</v>
      </c>
      <c r="BD394" s="228">
        <f>SUMIF(AGO!$G$120:$M$120,"&gt;0",AGO!$X9:$AD9)</f>
        <v>0</v>
      </c>
      <c r="BE394" s="696"/>
      <c r="BF394" s="228">
        <f>SUMIF(AGO!$BA$6:$BG$6,BF$177,AGO!$BA9:$BG9)</f>
        <v>0</v>
      </c>
      <c r="BG394" s="229">
        <f>SUMIF(AGO!$BA$6:$BG$6,BG$177,AGO!$BA9:$BG9)</f>
        <v>0</v>
      </c>
      <c r="BH394" s="229">
        <f>SUMIF(AGO!$BA$6:$BG$6,BH$177,AGO!$BA9:$BG9)</f>
        <v>0</v>
      </c>
      <c r="BI394" s="229">
        <f>SUMIF(AGO!$BA$6:$BG$6,BI$177,AGO!$BA9:$BG9)</f>
        <v>0</v>
      </c>
      <c r="BJ394" s="229">
        <f>SUMIF(AGO!$BA$6:$BG$6,BJ$177,AGO!$BA9:$BG9)</f>
        <v>0</v>
      </c>
      <c r="BK394" s="229">
        <f>SUMIF(AGO!$BA$6:$BG$6,BK$177,AGO!$BA9:$BG9)</f>
        <v>0</v>
      </c>
      <c r="BL394" s="229">
        <f>SUMIF(AGO!$BA$6:$BG$6,BL$177,AGO!$BA9:$BG9)</f>
        <v>0</v>
      </c>
      <c r="BM394" s="229">
        <f>SUMIF(AGO!$BA$6:$BG$6,BM$177,AGO!$BA9:$BG9)</f>
        <v>0</v>
      </c>
      <c r="BN394" s="229">
        <f>SUMIF(AGO!$BA$6:$BG$6,BN$177,AGO!$BA9:$BG9)</f>
        <v>0</v>
      </c>
      <c r="BO394" s="231">
        <f>SUMIF(AGO!$BA$6:$BG$6,BO$177,AGO!$BA9:$BG9)</f>
        <v>0</v>
      </c>
      <c r="BP394" s="231">
        <f>SUMIF(AGO!$BA$6:$BG$6,BP$177,AGO!$BA9:$BG9)</f>
        <v>0</v>
      </c>
      <c r="BQ394" s="252"/>
      <c r="BR394" s="228">
        <f>SUMIF(AGO!$BA$5:$BG$5,BR$177,AGO!$BA9:$BG9)</f>
        <v>0</v>
      </c>
      <c r="BS394" s="229">
        <f>SUMIF(AGO!$BA$5:$BG$5,BS$177,AGO!$BA9:$BG9)</f>
        <v>0</v>
      </c>
      <c r="BT394" s="229">
        <f>SUMIF(AGO!$BA$5:$BG$5,BT$177,AGO!$BA9:$BG9)</f>
        <v>0</v>
      </c>
      <c r="BU394" s="229">
        <f>SUMIF(AGO!$BA$5:$BG$5,BU$177,AGO!$BA9:$BG9)</f>
        <v>0</v>
      </c>
      <c r="BV394" s="229">
        <f>SUMIF(AGO!$BA$5:$BG$5,BV$177,AGO!$BA9:$BG9)</f>
        <v>0</v>
      </c>
      <c r="BW394" s="229">
        <f>SUMIF(AGO!$BA$5:$BG$5,BW$177,AGO!$BA9:$BG9)</f>
        <v>0</v>
      </c>
      <c r="BX394" s="230">
        <f>SUMIF(AGO!$BA$5:$BG$5,BX$177,AGO!$BA9:$BG9)</f>
        <v>0</v>
      </c>
      <c r="BY394" s="998">
        <f>SUMIF(AGO!$BA$5:$BG$5,BY$177,AGO!$BA9:$BG9)</f>
        <v>0</v>
      </c>
      <c r="CB394" s="252"/>
      <c r="CC394" s="61" t="e">
        <f t="shared" si="88"/>
        <v>#N/A</v>
      </c>
      <c r="CD394" s="61">
        <f t="shared" si="89"/>
        <v>0</v>
      </c>
      <c r="CE394" s="105" t="str">
        <f t="shared" si="82"/>
        <v/>
      </c>
      <c r="CF394" s="61" t="e">
        <f t="shared" si="90"/>
        <v>#N/A</v>
      </c>
      <c r="CG394" s="61" t="e">
        <f t="shared" si="91"/>
        <v>#N/A</v>
      </c>
      <c r="CH394" s="521">
        <f>AGO!AL9-CW394+CR394</f>
        <v>0</v>
      </c>
      <c r="CI394" s="228">
        <f>SUMIF(AGO!$G$121:$M$121,CI$178,AGO!$AM9:$AS9)+SUMIF($CS$178:$CV$178,CI$178,$CS394:$CV394)</f>
        <v>0</v>
      </c>
      <c r="CJ394" s="229">
        <f>SUMIF(AGO!$G$121:$M$121,CJ$178,AGO!$AM9:$AS9)+SUMIF($CS$178:$CV$178,CJ$178,$CS394:$CV394)</f>
        <v>0</v>
      </c>
      <c r="CK394" s="230">
        <f>SUMIF(AGO!$G$121:$M$121,CK$178,AGO!$AM9:$AS9)+SUMIF($CS$178:$CV$178,CK$178,$CS394:$CV394)</f>
        <v>0</v>
      </c>
      <c r="CL394" s="230">
        <f>SUMIF(AGO!$G$121:$M$121,CL$178,AGO!$AM9:$AS9)+SUMIF($CS$178:$CV$178,CL$178,$CS394:$CV394)</f>
        <v>0</v>
      </c>
      <c r="CM394" s="230">
        <f>SUMIF(AGO!$G$121:$M$121,CM$178,AGO!$AM9:$AS9)+SUMIF($CS$178:$CV$178,CM$178,$CS394:$CV394)</f>
        <v>0</v>
      </c>
      <c r="CN394" s="230">
        <f>SUMIF(AGO!$G$121:$M$121,CN$178,AGO!$AM9:$AS9)+SUMIF($CS$178:$CV$178,CN$178,$CS394:$CV394)</f>
        <v>0</v>
      </c>
      <c r="CO394" s="230">
        <f>SUMIF(AGO!$G$121:$M$121,CO$178,AGO!$AM9:$AS9)+SUMIF($CS$178:$CV$178,CO$178,$CS394:$CV394)</f>
        <v>0</v>
      </c>
      <c r="CP394" s="230">
        <f>SUMIF(AGO!$G$121:$M$121,CP$178,AGO!$AM9:$AS9)+SUMIF($CS$178:$CV$178,CP$178,$CS394:$CV394)</f>
        <v>0</v>
      </c>
      <c r="CQ394" s="231">
        <f>SUMIF(AGO!$G$121:$M$121,CQ$178,AGO!$AM9:$AS9)+SUMIF($CS$178:$CV$178,CQ$178,$CS394:$CV394)</f>
        <v>0</v>
      </c>
      <c r="CR394" s="521">
        <f>AGO!AU9</f>
        <v>0</v>
      </c>
      <c r="CS394" s="228">
        <f>AGO!AV9</f>
        <v>0</v>
      </c>
      <c r="CT394" s="229">
        <f>AGO!AW9</f>
        <v>0</v>
      </c>
      <c r="CU394" s="230">
        <f>AGO!AX9</f>
        <v>0</v>
      </c>
      <c r="CV394" s="231">
        <f>AGO!AY9</f>
        <v>0</v>
      </c>
      <c r="CW394" s="521">
        <f>SUM(AGO!AU9:AY9)</f>
        <v>0</v>
      </c>
      <c r="CX394" s="521">
        <f>AGO!AK9</f>
        <v>0</v>
      </c>
      <c r="CY394" s="2"/>
    </row>
    <row r="395" spans="1:103" ht="14.25" hidden="1" customHeight="1" x14ac:dyDescent="0.2">
      <c r="A395" s="2"/>
      <c r="B395" s="105">
        <f t="shared" si="92"/>
        <v>45507</v>
      </c>
      <c r="C395" s="146">
        <f>IF(AND(E395&gt;(N$558-1),E395&lt;(R$558+1)),W$551,IF(ISERROR(HLOOKUP(E395,$N$551:$U$551,1,FALSE)),HLOOKUP(WEEKDAY(E395,2),IMPOSTAZIONI!$C$52:$P$57,6,FALSE),$W$550))</f>
        <v>0</v>
      </c>
      <c r="D395" s="71" t="str">
        <f t="shared" si="93"/>
        <v/>
      </c>
      <c r="E395" s="2258">
        <f t="shared" si="98"/>
        <v>45507</v>
      </c>
      <c r="F395" s="2259"/>
      <c r="G395" s="2228" t="str">
        <f>AGO!E10</f>
        <v xml:space="preserve">disattivato  </v>
      </c>
      <c r="H395" s="2229"/>
      <c r="I395" s="2230"/>
      <c r="J395" s="262" t="str">
        <f t="shared" si="83"/>
        <v/>
      </c>
      <c r="K395" s="263"/>
      <c r="L395" s="2217">
        <f t="shared" si="99"/>
        <v>31</v>
      </c>
      <c r="M395" s="2218"/>
      <c r="N395" s="261"/>
      <c r="O395" s="261"/>
      <c r="P395" s="261"/>
      <c r="Q395" s="2219">
        <f t="shared" si="94"/>
        <v>45507</v>
      </c>
      <c r="R395" s="2219"/>
      <c r="S395" s="261"/>
      <c r="T395" s="1173">
        <f t="shared" si="84"/>
        <v>1</v>
      </c>
      <c r="U395" s="261"/>
      <c r="V395" s="261"/>
      <c r="W395" s="261"/>
      <c r="X395" s="261"/>
      <c r="Y395" s="261"/>
      <c r="Z395" s="261"/>
      <c r="AA395" s="261"/>
      <c r="AB395" s="261"/>
      <c r="AC395" s="261"/>
      <c r="AD395" s="261"/>
      <c r="AE395" s="261"/>
      <c r="AF395" s="261"/>
      <c r="AG395" s="1173">
        <f t="shared" si="95"/>
        <v>0</v>
      </c>
      <c r="AH395" s="61" t="str">
        <f t="shared" si="96"/>
        <v/>
      </c>
      <c r="AI395" s="89" t="e">
        <f t="shared" si="97"/>
        <v>#N/A</v>
      </c>
      <c r="AJ395" s="2"/>
      <c r="AK395" s="61">
        <f>IF(G395=G$547,0,IF(OR(G395&lt;&gt;0,CH395&lt;&gt;0,C395="L"),COUNTIF(AK$180:AK394,"&gt;0")+1,0))</f>
        <v>0</v>
      </c>
      <c r="AL395" s="61" t="str">
        <f t="shared" si="85"/>
        <v/>
      </c>
      <c r="AM395" s="61" t="e">
        <f t="shared" si="86"/>
        <v>#N/A</v>
      </c>
      <c r="AN395" s="89" t="e">
        <f t="shared" si="87"/>
        <v>#N/A</v>
      </c>
      <c r="AO395" s="230">
        <f>SUM(AGO!X10:AD10)-BD395+AY395</f>
        <v>0</v>
      </c>
      <c r="AP395" s="228">
        <f>SUMIF(AGO!$G$121:$M$121,AP$178,AGO!$P10:$V10)+SUMIF($AZ$178:$BC$178,AP$178,$AZ395:$BC395)</f>
        <v>0</v>
      </c>
      <c r="AQ395" s="229">
        <f>SUMIF(AGO!$G$121:$M$121,AQ$178,AGO!$P10:$V10)+SUMIF($AZ$178:$BC$178,AQ$178,$AZ395:$BC395)</f>
        <v>0</v>
      </c>
      <c r="AR395" s="230">
        <f>SUMIF(AGO!$G$121:$M$121,AR$178,AGO!$P10:$V10)+SUMIF($AZ$178:$BC$178,AR$178,$AZ395:$BC395)</f>
        <v>0</v>
      </c>
      <c r="AS395" s="230">
        <f>SUMIF(AGO!$G$121:$M$121,AS$178,AGO!$P10:$V10)+SUMIF($AZ$178:$BC$178,AS$178,$AZ395:$BC395)</f>
        <v>0</v>
      </c>
      <c r="AT395" s="230">
        <f>SUMIF(AGO!$G$121:$M$121,AT$178,AGO!$P10:$V10)+SUMIF($AZ$178:$BC$178,AT$178,$AZ395:$BC395)</f>
        <v>0</v>
      </c>
      <c r="AU395" s="230">
        <f>SUMIF(AGO!$G$121:$M$121,AU$178,AGO!$P10:$V10)+SUMIF($AZ$178:$BC$178,AU$178,$AZ395:$BC395)</f>
        <v>0</v>
      </c>
      <c r="AV395" s="230">
        <f>SUMIF(AGO!$G$121:$M$121,AV$178,AGO!$P10:$V10)+SUMIF($AZ$178:$BC$178,AV$178,$AZ395:$BC395)</f>
        <v>0</v>
      </c>
      <c r="AW395" s="230">
        <f>SUMIF(AGO!$G$121:$M$121,AW$178,AGO!$P10:$V10)+SUMIF($AZ$178:$BC$178,AW$178,$AZ395:$BC395)</f>
        <v>0</v>
      </c>
      <c r="AX395" s="231">
        <f>SUMIF(AGO!$G$121:$M$121,AX$178,AGO!$P10:$V10)+SUMIF($AZ$178:$BC$178,AX$178,$AZ395:$BC395)</f>
        <v>0</v>
      </c>
      <c r="AY395" s="232">
        <f>AGO!AF10</f>
        <v>0</v>
      </c>
      <c r="AZ395" s="228">
        <f>AGO!AG10</f>
        <v>0</v>
      </c>
      <c r="BA395" s="229">
        <f>AGO!AH10</f>
        <v>0</v>
      </c>
      <c r="BB395" s="230">
        <f>AGO!AI10</f>
        <v>0</v>
      </c>
      <c r="BC395" s="231">
        <f>AGO!AJ10</f>
        <v>0</v>
      </c>
      <c r="BD395" s="228">
        <f>SUMIF(AGO!$G$120:$M$120,"&gt;0",AGO!$X10:$AD10)</f>
        <v>0</v>
      </c>
      <c r="BE395" s="696"/>
      <c r="BF395" s="228">
        <f>SUMIF(AGO!$BA$6:$BG$6,BF$177,AGO!$BA10:$BG10)</f>
        <v>0</v>
      </c>
      <c r="BG395" s="229">
        <f>SUMIF(AGO!$BA$6:$BG$6,BG$177,AGO!$BA10:$BG10)</f>
        <v>0</v>
      </c>
      <c r="BH395" s="229">
        <f>SUMIF(AGO!$BA$6:$BG$6,BH$177,AGO!$BA10:$BG10)</f>
        <v>0</v>
      </c>
      <c r="BI395" s="229">
        <f>SUMIF(AGO!$BA$6:$BG$6,BI$177,AGO!$BA10:$BG10)</f>
        <v>0</v>
      </c>
      <c r="BJ395" s="229">
        <f>SUMIF(AGO!$BA$6:$BG$6,BJ$177,AGO!$BA10:$BG10)</f>
        <v>0</v>
      </c>
      <c r="BK395" s="229">
        <f>SUMIF(AGO!$BA$6:$BG$6,BK$177,AGO!$BA10:$BG10)</f>
        <v>0</v>
      </c>
      <c r="BL395" s="229">
        <f>SUMIF(AGO!$BA$6:$BG$6,BL$177,AGO!$BA10:$BG10)</f>
        <v>0</v>
      </c>
      <c r="BM395" s="229">
        <f>SUMIF(AGO!$BA$6:$BG$6,BM$177,AGO!$BA10:$BG10)</f>
        <v>0</v>
      </c>
      <c r="BN395" s="229">
        <f>SUMIF(AGO!$BA$6:$BG$6,BN$177,AGO!$BA10:$BG10)</f>
        <v>0</v>
      </c>
      <c r="BO395" s="231">
        <f>SUMIF(AGO!$BA$6:$BG$6,BO$177,AGO!$BA10:$BG10)</f>
        <v>0</v>
      </c>
      <c r="BP395" s="231">
        <f>SUMIF(AGO!$BA$6:$BG$6,BP$177,AGO!$BA10:$BG10)</f>
        <v>0</v>
      </c>
      <c r="BQ395" s="252"/>
      <c r="BR395" s="228">
        <f>SUMIF(AGO!$BA$5:$BG$5,BR$177,AGO!$BA10:$BG10)</f>
        <v>0</v>
      </c>
      <c r="BS395" s="229">
        <f>SUMIF(AGO!$BA$5:$BG$5,BS$177,AGO!$BA10:$BG10)</f>
        <v>0</v>
      </c>
      <c r="BT395" s="229">
        <f>SUMIF(AGO!$BA$5:$BG$5,BT$177,AGO!$BA10:$BG10)</f>
        <v>0</v>
      </c>
      <c r="BU395" s="229">
        <f>SUMIF(AGO!$BA$5:$BG$5,BU$177,AGO!$BA10:$BG10)</f>
        <v>0</v>
      </c>
      <c r="BV395" s="229">
        <f>SUMIF(AGO!$BA$5:$BG$5,BV$177,AGO!$BA10:$BG10)</f>
        <v>0</v>
      </c>
      <c r="BW395" s="229">
        <f>SUMIF(AGO!$BA$5:$BG$5,BW$177,AGO!$BA10:$BG10)</f>
        <v>0</v>
      </c>
      <c r="BX395" s="230">
        <f>SUMIF(AGO!$BA$5:$BG$5,BX$177,AGO!$BA10:$BG10)</f>
        <v>0</v>
      </c>
      <c r="BY395" s="998">
        <f>SUMIF(AGO!$BA$5:$BG$5,BY$177,AGO!$BA10:$BG10)</f>
        <v>0</v>
      </c>
      <c r="CB395" s="252"/>
      <c r="CC395" s="61" t="e">
        <f t="shared" si="88"/>
        <v>#N/A</v>
      </c>
      <c r="CD395" s="61">
        <f t="shared" si="89"/>
        <v>0</v>
      </c>
      <c r="CE395" s="105" t="str">
        <f t="shared" si="82"/>
        <v/>
      </c>
      <c r="CF395" s="61" t="e">
        <f t="shared" si="90"/>
        <v>#N/A</v>
      </c>
      <c r="CG395" s="61" t="e">
        <f t="shared" si="91"/>
        <v>#N/A</v>
      </c>
      <c r="CH395" s="521">
        <f>AGO!AL10-CW395+CR395</f>
        <v>0</v>
      </c>
      <c r="CI395" s="228">
        <f>SUMIF(AGO!$G$121:$M$121,CI$178,AGO!$AM10:$AS10)+SUMIF($CS$178:$CV$178,CI$178,$CS395:$CV395)</f>
        <v>0</v>
      </c>
      <c r="CJ395" s="229">
        <f>SUMIF(AGO!$G$121:$M$121,CJ$178,AGO!$AM10:$AS10)+SUMIF($CS$178:$CV$178,CJ$178,$CS395:$CV395)</f>
        <v>0</v>
      </c>
      <c r="CK395" s="230">
        <f>SUMIF(AGO!$G$121:$M$121,CK$178,AGO!$AM10:$AS10)+SUMIF($CS$178:$CV$178,CK$178,$CS395:$CV395)</f>
        <v>0</v>
      </c>
      <c r="CL395" s="230">
        <f>SUMIF(AGO!$G$121:$M$121,CL$178,AGO!$AM10:$AS10)+SUMIF($CS$178:$CV$178,CL$178,$CS395:$CV395)</f>
        <v>0</v>
      </c>
      <c r="CM395" s="230">
        <f>SUMIF(AGO!$G$121:$M$121,CM$178,AGO!$AM10:$AS10)+SUMIF($CS$178:$CV$178,CM$178,$CS395:$CV395)</f>
        <v>0</v>
      </c>
      <c r="CN395" s="230">
        <f>SUMIF(AGO!$G$121:$M$121,CN$178,AGO!$AM10:$AS10)+SUMIF($CS$178:$CV$178,CN$178,$CS395:$CV395)</f>
        <v>0</v>
      </c>
      <c r="CO395" s="230">
        <f>SUMIF(AGO!$G$121:$M$121,CO$178,AGO!$AM10:$AS10)+SUMIF($CS$178:$CV$178,CO$178,$CS395:$CV395)</f>
        <v>0</v>
      </c>
      <c r="CP395" s="230">
        <f>SUMIF(AGO!$G$121:$M$121,CP$178,AGO!$AM10:$AS10)+SUMIF($CS$178:$CV$178,CP$178,$CS395:$CV395)</f>
        <v>0</v>
      </c>
      <c r="CQ395" s="231">
        <f>SUMIF(AGO!$G$121:$M$121,CQ$178,AGO!$AM10:$AS10)+SUMIF($CS$178:$CV$178,CQ$178,$CS395:$CV395)</f>
        <v>0</v>
      </c>
      <c r="CR395" s="521">
        <f>AGO!AU10</f>
        <v>0</v>
      </c>
      <c r="CS395" s="228">
        <f>AGO!AV10</f>
        <v>0</v>
      </c>
      <c r="CT395" s="229">
        <f>AGO!AW10</f>
        <v>0</v>
      </c>
      <c r="CU395" s="230">
        <f>AGO!AX10</f>
        <v>0</v>
      </c>
      <c r="CV395" s="231">
        <f>AGO!AY10</f>
        <v>0</v>
      </c>
      <c r="CW395" s="521">
        <f>SUM(AGO!AU10:AY10)</f>
        <v>0</v>
      </c>
      <c r="CX395" s="521">
        <f>AGO!AK10</f>
        <v>0</v>
      </c>
      <c r="CY395" s="2"/>
    </row>
    <row r="396" spans="1:103" ht="14.25" hidden="1" customHeight="1" x14ac:dyDescent="0.2">
      <c r="A396" s="2"/>
      <c r="B396" s="105">
        <f t="shared" si="92"/>
        <v>45508</v>
      </c>
      <c r="C396" s="146">
        <f>IF(AND(E396&gt;(N$558-1),E396&lt;(R$558+1)),W$551,IF(ISERROR(HLOOKUP(E396,$N$551:$U$551,1,FALSE)),HLOOKUP(WEEKDAY(E396,2),IMPOSTAZIONI!$C$52:$P$57,6,FALSE),$W$550))</f>
        <v>0</v>
      </c>
      <c r="D396" s="71" t="str">
        <f t="shared" si="93"/>
        <v/>
      </c>
      <c r="E396" s="2258">
        <f t="shared" si="98"/>
        <v>45508</v>
      </c>
      <c r="F396" s="2259"/>
      <c r="G396" s="2228" t="str">
        <f>AGO!E11</f>
        <v xml:space="preserve">disattivato  </v>
      </c>
      <c r="H396" s="2229"/>
      <c r="I396" s="2230"/>
      <c r="J396" s="262" t="str">
        <f t="shared" si="83"/>
        <v/>
      </c>
      <c r="K396" s="263"/>
      <c r="L396" s="2220">
        <f t="shared" si="99"/>
        <v>31</v>
      </c>
      <c r="M396" s="2221"/>
      <c r="N396" s="261"/>
      <c r="O396" s="261"/>
      <c r="P396" s="261"/>
      <c r="Q396" s="2219">
        <f t="shared" si="94"/>
        <v>45508</v>
      </c>
      <c r="R396" s="2219"/>
      <c r="S396" s="261"/>
      <c r="T396" s="1173">
        <f t="shared" si="84"/>
        <v>1</v>
      </c>
      <c r="U396" s="261"/>
      <c r="V396" s="261"/>
      <c r="W396" s="261"/>
      <c r="X396" s="261"/>
      <c r="Y396" s="261"/>
      <c r="Z396" s="261"/>
      <c r="AA396" s="261"/>
      <c r="AB396" s="261"/>
      <c r="AC396" s="261"/>
      <c r="AD396" s="261"/>
      <c r="AE396" s="261"/>
      <c r="AF396" s="261"/>
      <c r="AG396" s="1173">
        <f t="shared" si="95"/>
        <v>0</v>
      </c>
      <c r="AH396" s="61" t="str">
        <f t="shared" si="96"/>
        <v/>
      </c>
      <c r="AI396" s="89" t="e">
        <f t="shared" si="97"/>
        <v>#N/A</v>
      </c>
      <c r="AJ396" s="2"/>
      <c r="AK396" s="61">
        <f>IF(G396=G$547,0,IF(OR(G396&lt;&gt;0,CH396&lt;&gt;0,C396="L"),COUNTIF(AK$180:AK395,"&gt;0")+1,0))</f>
        <v>0</v>
      </c>
      <c r="AL396" s="61" t="str">
        <f t="shared" si="85"/>
        <v/>
      </c>
      <c r="AM396" s="61" t="e">
        <f t="shared" si="86"/>
        <v>#N/A</v>
      </c>
      <c r="AN396" s="89" t="e">
        <f t="shared" si="87"/>
        <v>#N/A</v>
      </c>
      <c r="AO396" s="230">
        <f>SUM(AGO!X11:AD11)-BD396+AY396</f>
        <v>0</v>
      </c>
      <c r="AP396" s="228">
        <f>SUMIF(AGO!$G$121:$M$121,AP$178,AGO!$P11:$V11)+SUMIF($AZ$178:$BC$178,AP$178,$AZ396:$BC396)</f>
        <v>0</v>
      </c>
      <c r="AQ396" s="229">
        <f>SUMIF(AGO!$G$121:$M$121,AQ$178,AGO!$P11:$V11)+SUMIF($AZ$178:$BC$178,AQ$178,$AZ396:$BC396)</f>
        <v>0</v>
      </c>
      <c r="AR396" s="230">
        <f>SUMIF(AGO!$G$121:$M$121,AR$178,AGO!$P11:$V11)+SUMIF($AZ$178:$BC$178,AR$178,$AZ396:$BC396)</f>
        <v>0</v>
      </c>
      <c r="AS396" s="230">
        <f>SUMIF(AGO!$G$121:$M$121,AS$178,AGO!$P11:$V11)+SUMIF($AZ$178:$BC$178,AS$178,$AZ396:$BC396)</f>
        <v>0</v>
      </c>
      <c r="AT396" s="230">
        <f>SUMIF(AGO!$G$121:$M$121,AT$178,AGO!$P11:$V11)+SUMIF($AZ$178:$BC$178,AT$178,$AZ396:$BC396)</f>
        <v>0</v>
      </c>
      <c r="AU396" s="230">
        <f>SUMIF(AGO!$G$121:$M$121,AU$178,AGO!$P11:$V11)+SUMIF($AZ$178:$BC$178,AU$178,$AZ396:$BC396)</f>
        <v>0</v>
      </c>
      <c r="AV396" s="230">
        <f>SUMIF(AGO!$G$121:$M$121,AV$178,AGO!$P11:$V11)+SUMIF($AZ$178:$BC$178,AV$178,$AZ396:$BC396)</f>
        <v>0</v>
      </c>
      <c r="AW396" s="230">
        <f>SUMIF(AGO!$G$121:$M$121,AW$178,AGO!$P11:$V11)+SUMIF($AZ$178:$BC$178,AW$178,$AZ396:$BC396)</f>
        <v>0</v>
      </c>
      <c r="AX396" s="231">
        <f>SUMIF(AGO!$G$121:$M$121,AX$178,AGO!$P11:$V11)+SUMIF($AZ$178:$BC$178,AX$178,$AZ396:$BC396)</f>
        <v>0</v>
      </c>
      <c r="AY396" s="232">
        <f>AGO!AF11</f>
        <v>0</v>
      </c>
      <c r="AZ396" s="228">
        <f>AGO!AG11</f>
        <v>0</v>
      </c>
      <c r="BA396" s="229">
        <f>AGO!AH11</f>
        <v>0</v>
      </c>
      <c r="BB396" s="230">
        <f>AGO!AI11</f>
        <v>0</v>
      </c>
      <c r="BC396" s="231">
        <f>AGO!AJ11</f>
        <v>0</v>
      </c>
      <c r="BD396" s="228">
        <f>SUMIF(AGO!$G$120:$M$120,"&gt;0",AGO!$X11:$AD11)</f>
        <v>0</v>
      </c>
      <c r="BE396" s="696"/>
      <c r="BF396" s="228">
        <f>SUMIF(AGO!$BA$6:$BG$6,BF$177,AGO!$BA11:$BG11)</f>
        <v>0</v>
      </c>
      <c r="BG396" s="229">
        <f>SUMIF(AGO!$BA$6:$BG$6,BG$177,AGO!$BA11:$BG11)</f>
        <v>0</v>
      </c>
      <c r="BH396" s="229">
        <f>SUMIF(AGO!$BA$6:$BG$6,BH$177,AGO!$BA11:$BG11)</f>
        <v>0</v>
      </c>
      <c r="BI396" s="229">
        <f>SUMIF(AGO!$BA$6:$BG$6,BI$177,AGO!$BA11:$BG11)</f>
        <v>0</v>
      </c>
      <c r="BJ396" s="229">
        <f>SUMIF(AGO!$BA$6:$BG$6,BJ$177,AGO!$BA11:$BG11)</f>
        <v>0</v>
      </c>
      <c r="BK396" s="229">
        <f>SUMIF(AGO!$BA$6:$BG$6,BK$177,AGO!$BA11:$BG11)</f>
        <v>0</v>
      </c>
      <c r="BL396" s="229">
        <f>SUMIF(AGO!$BA$6:$BG$6,BL$177,AGO!$BA11:$BG11)</f>
        <v>0</v>
      </c>
      <c r="BM396" s="229">
        <f>SUMIF(AGO!$BA$6:$BG$6,BM$177,AGO!$BA11:$BG11)</f>
        <v>0</v>
      </c>
      <c r="BN396" s="229">
        <f>SUMIF(AGO!$BA$6:$BG$6,BN$177,AGO!$BA11:$BG11)</f>
        <v>0</v>
      </c>
      <c r="BO396" s="231">
        <f>SUMIF(AGO!$BA$6:$BG$6,BO$177,AGO!$BA11:$BG11)</f>
        <v>0</v>
      </c>
      <c r="BP396" s="231">
        <f>SUMIF(AGO!$BA$6:$BG$6,BP$177,AGO!$BA11:$BG11)</f>
        <v>0</v>
      </c>
      <c r="BQ396" s="252"/>
      <c r="BR396" s="228">
        <f>SUMIF(AGO!$BA$5:$BG$5,BR$177,AGO!$BA11:$BG11)</f>
        <v>0</v>
      </c>
      <c r="BS396" s="229">
        <f>SUMIF(AGO!$BA$5:$BG$5,BS$177,AGO!$BA11:$BG11)</f>
        <v>0</v>
      </c>
      <c r="BT396" s="229">
        <f>SUMIF(AGO!$BA$5:$BG$5,BT$177,AGO!$BA11:$BG11)</f>
        <v>0</v>
      </c>
      <c r="BU396" s="229">
        <f>SUMIF(AGO!$BA$5:$BG$5,BU$177,AGO!$BA11:$BG11)</f>
        <v>0</v>
      </c>
      <c r="BV396" s="229">
        <f>SUMIF(AGO!$BA$5:$BG$5,BV$177,AGO!$BA11:$BG11)</f>
        <v>0</v>
      </c>
      <c r="BW396" s="229">
        <f>SUMIF(AGO!$BA$5:$BG$5,BW$177,AGO!$BA11:$BG11)</f>
        <v>0</v>
      </c>
      <c r="BX396" s="230">
        <f>SUMIF(AGO!$BA$5:$BG$5,BX$177,AGO!$BA11:$BG11)</f>
        <v>0</v>
      </c>
      <c r="BY396" s="998">
        <f>SUMIF(AGO!$BA$5:$BG$5,BY$177,AGO!$BA11:$BG11)</f>
        <v>0</v>
      </c>
      <c r="CB396" s="252"/>
      <c r="CC396" s="61" t="e">
        <f t="shared" si="88"/>
        <v>#N/A</v>
      </c>
      <c r="CD396" s="61">
        <f t="shared" si="89"/>
        <v>0</v>
      </c>
      <c r="CE396" s="105" t="str">
        <f t="shared" si="82"/>
        <v/>
      </c>
      <c r="CF396" s="61" t="e">
        <f t="shared" si="90"/>
        <v>#N/A</v>
      </c>
      <c r="CG396" s="61" t="e">
        <f t="shared" si="91"/>
        <v>#N/A</v>
      </c>
      <c r="CH396" s="521">
        <f>AGO!AL11-CW396+CR396</f>
        <v>0</v>
      </c>
      <c r="CI396" s="228">
        <f>SUMIF(AGO!$G$121:$M$121,CI$178,AGO!$AM11:$AS11)+SUMIF($CS$178:$CV$178,CI$178,$CS396:$CV396)</f>
        <v>0</v>
      </c>
      <c r="CJ396" s="229">
        <f>SUMIF(AGO!$G$121:$M$121,CJ$178,AGO!$AM11:$AS11)+SUMIF($CS$178:$CV$178,CJ$178,$CS396:$CV396)</f>
        <v>0</v>
      </c>
      <c r="CK396" s="230">
        <f>SUMIF(AGO!$G$121:$M$121,CK$178,AGO!$AM11:$AS11)+SUMIF($CS$178:$CV$178,CK$178,$CS396:$CV396)</f>
        <v>0</v>
      </c>
      <c r="CL396" s="230">
        <f>SUMIF(AGO!$G$121:$M$121,CL$178,AGO!$AM11:$AS11)+SUMIF($CS$178:$CV$178,CL$178,$CS396:$CV396)</f>
        <v>0</v>
      </c>
      <c r="CM396" s="230">
        <f>SUMIF(AGO!$G$121:$M$121,CM$178,AGO!$AM11:$AS11)+SUMIF($CS$178:$CV$178,CM$178,$CS396:$CV396)</f>
        <v>0</v>
      </c>
      <c r="CN396" s="230">
        <f>SUMIF(AGO!$G$121:$M$121,CN$178,AGO!$AM11:$AS11)+SUMIF($CS$178:$CV$178,CN$178,$CS396:$CV396)</f>
        <v>0</v>
      </c>
      <c r="CO396" s="230">
        <f>SUMIF(AGO!$G$121:$M$121,CO$178,AGO!$AM11:$AS11)+SUMIF($CS$178:$CV$178,CO$178,$CS396:$CV396)</f>
        <v>0</v>
      </c>
      <c r="CP396" s="230">
        <f>SUMIF(AGO!$G$121:$M$121,CP$178,AGO!$AM11:$AS11)+SUMIF($CS$178:$CV$178,CP$178,$CS396:$CV396)</f>
        <v>0</v>
      </c>
      <c r="CQ396" s="231">
        <f>SUMIF(AGO!$G$121:$M$121,CQ$178,AGO!$AM11:$AS11)+SUMIF($CS$178:$CV$178,CQ$178,$CS396:$CV396)</f>
        <v>0</v>
      </c>
      <c r="CR396" s="521">
        <f>AGO!AU11</f>
        <v>0</v>
      </c>
      <c r="CS396" s="228">
        <f>AGO!AV11</f>
        <v>0</v>
      </c>
      <c r="CT396" s="229">
        <f>AGO!AW11</f>
        <v>0</v>
      </c>
      <c r="CU396" s="230">
        <f>AGO!AX11</f>
        <v>0</v>
      </c>
      <c r="CV396" s="231">
        <f>AGO!AY11</f>
        <v>0</v>
      </c>
      <c r="CW396" s="521">
        <f>SUM(AGO!AU11:AY11)</f>
        <v>0</v>
      </c>
      <c r="CX396" s="521">
        <f>AGO!AK11</f>
        <v>0</v>
      </c>
      <c r="CY396" s="2"/>
    </row>
    <row r="397" spans="1:103" ht="14.25" hidden="1" customHeight="1" x14ac:dyDescent="0.2">
      <c r="A397" s="2"/>
      <c r="B397" s="105">
        <f t="shared" si="92"/>
        <v>45509</v>
      </c>
      <c r="C397" s="146">
        <f>IF(AND(E397&gt;(N$558-1),E397&lt;(R$558+1)),W$551,IF(ISERROR(HLOOKUP(E397,$N$551:$U$551,1,FALSE)),HLOOKUP(WEEKDAY(E397,2),IMPOSTAZIONI!$C$52:$P$57,6,FALSE),$W$550))</f>
        <v>0</v>
      </c>
      <c r="D397" s="71" t="str">
        <f t="shared" si="93"/>
        <v/>
      </c>
      <c r="E397" s="2258">
        <f t="shared" si="98"/>
        <v>45509</v>
      </c>
      <c r="F397" s="2259"/>
      <c r="G397" s="2228" t="str">
        <f>AGO!E12</f>
        <v xml:space="preserve">disattivato  </v>
      </c>
      <c r="H397" s="2229"/>
      <c r="I397" s="2230"/>
      <c r="J397" s="262" t="str">
        <f t="shared" si="83"/>
        <v/>
      </c>
      <c r="K397" s="263"/>
      <c r="L397" s="2222">
        <f t="shared" si="99"/>
        <v>32</v>
      </c>
      <c r="M397" s="2223"/>
      <c r="N397" s="261"/>
      <c r="O397" s="261"/>
      <c r="P397" s="261"/>
      <c r="Q397" s="2219">
        <f t="shared" si="94"/>
        <v>45509</v>
      </c>
      <c r="R397" s="2219"/>
      <c r="S397" s="261"/>
      <c r="T397" s="1173">
        <f t="shared" si="84"/>
        <v>1</v>
      </c>
      <c r="U397" s="261"/>
      <c r="V397" s="261"/>
      <c r="W397" s="261"/>
      <c r="X397" s="261"/>
      <c r="Y397" s="261"/>
      <c r="Z397" s="261"/>
      <c r="AA397" s="261"/>
      <c r="AB397" s="261"/>
      <c r="AC397" s="261"/>
      <c r="AD397" s="261"/>
      <c r="AE397" s="261"/>
      <c r="AF397" s="261"/>
      <c r="AG397" s="1173">
        <f t="shared" si="95"/>
        <v>0</v>
      </c>
      <c r="AH397" s="61" t="str">
        <f t="shared" si="96"/>
        <v/>
      </c>
      <c r="AI397" s="89" t="e">
        <f t="shared" si="97"/>
        <v>#N/A</v>
      </c>
      <c r="AJ397" s="2"/>
      <c r="AK397" s="61">
        <f>IF(G397=G$547,0,IF(OR(G397&lt;&gt;0,CH397&lt;&gt;0,C397="L"),COUNTIF(AK$180:AK396,"&gt;0")+1,0))</f>
        <v>0</v>
      </c>
      <c r="AL397" s="61" t="str">
        <f t="shared" si="85"/>
        <v/>
      </c>
      <c r="AM397" s="61" t="e">
        <f t="shared" si="86"/>
        <v>#N/A</v>
      </c>
      <c r="AN397" s="89" t="e">
        <f t="shared" si="87"/>
        <v>#N/A</v>
      </c>
      <c r="AO397" s="230">
        <f>SUM(AGO!X12:AD12)-BD397+AY397</f>
        <v>0</v>
      </c>
      <c r="AP397" s="228">
        <f>SUMIF(AGO!$G$121:$M$121,AP$178,AGO!$P12:$V12)+SUMIF($AZ$178:$BC$178,AP$178,$AZ397:$BC397)</f>
        <v>0</v>
      </c>
      <c r="AQ397" s="229">
        <f>SUMIF(AGO!$G$121:$M$121,AQ$178,AGO!$P12:$V12)+SUMIF($AZ$178:$BC$178,AQ$178,$AZ397:$BC397)</f>
        <v>0</v>
      </c>
      <c r="AR397" s="230">
        <f>SUMIF(AGO!$G$121:$M$121,AR$178,AGO!$P12:$V12)+SUMIF($AZ$178:$BC$178,AR$178,$AZ397:$BC397)</f>
        <v>0</v>
      </c>
      <c r="AS397" s="230">
        <f>SUMIF(AGO!$G$121:$M$121,AS$178,AGO!$P12:$V12)+SUMIF($AZ$178:$BC$178,AS$178,$AZ397:$BC397)</f>
        <v>0</v>
      </c>
      <c r="AT397" s="230">
        <f>SUMIF(AGO!$G$121:$M$121,AT$178,AGO!$P12:$V12)+SUMIF($AZ$178:$BC$178,AT$178,$AZ397:$BC397)</f>
        <v>0</v>
      </c>
      <c r="AU397" s="230">
        <f>SUMIF(AGO!$G$121:$M$121,AU$178,AGO!$P12:$V12)+SUMIF($AZ$178:$BC$178,AU$178,$AZ397:$BC397)</f>
        <v>0</v>
      </c>
      <c r="AV397" s="230">
        <f>SUMIF(AGO!$G$121:$M$121,AV$178,AGO!$P12:$V12)+SUMIF($AZ$178:$BC$178,AV$178,$AZ397:$BC397)</f>
        <v>0</v>
      </c>
      <c r="AW397" s="230">
        <f>SUMIF(AGO!$G$121:$M$121,AW$178,AGO!$P12:$V12)+SUMIF($AZ$178:$BC$178,AW$178,$AZ397:$BC397)</f>
        <v>0</v>
      </c>
      <c r="AX397" s="231">
        <f>SUMIF(AGO!$G$121:$M$121,AX$178,AGO!$P12:$V12)+SUMIF($AZ$178:$BC$178,AX$178,$AZ397:$BC397)</f>
        <v>0</v>
      </c>
      <c r="AY397" s="232">
        <f>AGO!AF12</f>
        <v>0</v>
      </c>
      <c r="AZ397" s="228">
        <f>AGO!AG12</f>
        <v>0</v>
      </c>
      <c r="BA397" s="229">
        <f>AGO!AH12</f>
        <v>0</v>
      </c>
      <c r="BB397" s="230">
        <f>AGO!AI12</f>
        <v>0</v>
      </c>
      <c r="BC397" s="231">
        <f>AGO!AJ12</f>
        <v>0</v>
      </c>
      <c r="BD397" s="228">
        <f>SUMIF(AGO!$G$120:$M$120,"&gt;0",AGO!$X12:$AD12)</f>
        <v>0</v>
      </c>
      <c r="BE397" s="696"/>
      <c r="BF397" s="228">
        <f>SUMIF(AGO!$BA$6:$BG$6,BF$177,AGO!$BA12:$BG12)</f>
        <v>0</v>
      </c>
      <c r="BG397" s="229">
        <f>SUMIF(AGO!$BA$6:$BG$6,BG$177,AGO!$BA12:$BG12)</f>
        <v>0</v>
      </c>
      <c r="BH397" s="229">
        <f>SUMIF(AGO!$BA$6:$BG$6,BH$177,AGO!$BA12:$BG12)</f>
        <v>0</v>
      </c>
      <c r="BI397" s="229">
        <f>SUMIF(AGO!$BA$6:$BG$6,BI$177,AGO!$BA12:$BG12)</f>
        <v>0</v>
      </c>
      <c r="BJ397" s="229">
        <f>SUMIF(AGO!$BA$6:$BG$6,BJ$177,AGO!$BA12:$BG12)</f>
        <v>0</v>
      </c>
      <c r="BK397" s="229">
        <f>SUMIF(AGO!$BA$6:$BG$6,BK$177,AGO!$BA12:$BG12)</f>
        <v>0</v>
      </c>
      <c r="BL397" s="229">
        <f>SUMIF(AGO!$BA$6:$BG$6,BL$177,AGO!$BA12:$BG12)</f>
        <v>0</v>
      </c>
      <c r="BM397" s="229">
        <f>SUMIF(AGO!$BA$6:$BG$6,BM$177,AGO!$BA12:$BG12)</f>
        <v>0</v>
      </c>
      <c r="BN397" s="229">
        <f>SUMIF(AGO!$BA$6:$BG$6,BN$177,AGO!$BA12:$BG12)</f>
        <v>0</v>
      </c>
      <c r="BO397" s="231">
        <f>SUMIF(AGO!$BA$6:$BG$6,BO$177,AGO!$BA12:$BG12)</f>
        <v>0</v>
      </c>
      <c r="BP397" s="231">
        <f>SUMIF(AGO!$BA$6:$BG$6,BP$177,AGO!$BA12:$BG12)</f>
        <v>0</v>
      </c>
      <c r="BQ397" s="252"/>
      <c r="BR397" s="228">
        <f>SUMIF(AGO!$BA$5:$BG$5,BR$177,AGO!$BA12:$BG12)</f>
        <v>0</v>
      </c>
      <c r="BS397" s="229">
        <f>SUMIF(AGO!$BA$5:$BG$5,BS$177,AGO!$BA12:$BG12)</f>
        <v>0</v>
      </c>
      <c r="BT397" s="229">
        <f>SUMIF(AGO!$BA$5:$BG$5,BT$177,AGO!$BA12:$BG12)</f>
        <v>0</v>
      </c>
      <c r="BU397" s="229">
        <f>SUMIF(AGO!$BA$5:$BG$5,BU$177,AGO!$BA12:$BG12)</f>
        <v>0</v>
      </c>
      <c r="BV397" s="229">
        <f>SUMIF(AGO!$BA$5:$BG$5,BV$177,AGO!$BA12:$BG12)</f>
        <v>0</v>
      </c>
      <c r="BW397" s="229">
        <f>SUMIF(AGO!$BA$5:$BG$5,BW$177,AGO!$BA12:$BG12)</f>
        <v>0</v>
      </c>
      <c r="BX397" s="230">
        <f>SUMIF(AGO!$BA$5:$BG$5,BX$177,AGO!$BA12:$BG12)</f>
        <v>0</v>
      </c>
      <c r="BY397" s="998">
        <f>SUMIF(AGO!$BA$5:$BG$5,BY$177,AGO!$BA12:$BG12)</f>
        <v>0</v>
      </c>
      <c r="CB397" s="252"/>
      <c r="CC397" s="61" t="e">
        <f t="shared" si="88"/>
        <v>#N/A</v>
      </c>
      <c r="CD397" s="61">
        <f t="shared" si="89"/>
        <v>0</v>
      </c>
      <c r="CE397" s="105" t="str">
        <f t="shared" si="82"/>
        <v/>
      </c>
      <c r="CF397" s="61" t="e">
        <f t="shared" si="90"/>
        <v>#N/A</v>
      </c>
      <c r="CG397" s="61" t="e">
        <f t="shared" si="91"/>
        <v>#N/A</v>
      </c>
      <c r="CH397" s="521">
        <f>AGO!AL12-CW397+CR397</f>
        <v>0</v>
      </c>
      <c r="CI397" s="228">
        <f>SUMIF(AGO!$G$121:$M$121,CI$178,AGO!$AM12:$AS12)+SUMIF($CS$178:$CV$178,CI$178,$CS397:$CV397)</f>
        <v>0</v>
      </c>
      <c r="CJ397" s="229">
        <f>SUMIF(AGO!$G$121:$M$121,CJ$178,AGO!$AM12:$AS12)+SUMIF($CS$178:$CV$178,CJ$178,$CS397:$CV397)</f>
        <v>0</v>
      </c>
      <c r="CK397" s="230">
        <f>SUMIF(AGO!$G$121:$M$121,CK$178,AGO!$AM12:$AS12)+SUMIF($CS$178:$CV$178,CK$178,$CS397:$CV397)</f>
        <v>0</v>
      </c>
      <c r="CL397" s="230">
        <f>SUMIF(AGO!$G$121:$M$121,CL$178,AGO!$AM12:$AS12)+SUMIF($CS$178:$CV$178,CL$178,$CS397:$CV397)</f>
        <v>0</v>
      </c>
      <c r="CM397" s="230">
        <f>SUMIF(AGO!$G$121:$M$121,CM$178,AGO!$AM12:$AS12)+SUMIF($CS$178:$CV$178,CM$178,$CS397:$CV397)</f>
        <v>0</v>
      </c>
      <c r="CN397" s="230">
        <f>SUMIF(AGO!$G$121:$M$121,CN$178,AGO!$AM12:$AS12)+SUMIF($CS$178:$CV$178,CN$178,$CS397:$CV397)</f>
        <v>0</v>
      </c>
      <c r="CO397" s="230">
        <f>SUMIF(AGO!$G$121:$M$121,CO$178,AGO!$AM12:$AS12)+SUMIF($CS$178:$CV$178,CO$178,$CS397:$CV397)</f>
        <v>0</v>
      </c>
      <c r="CP397" s="230">
        <f>SUMIF(AGO!$G$121:$M$121,CP$178,AGO!$AM12:$AS12)+SUMIF($CS$178:$CV$178,CP$178,$CS397:$CV397)</f>
        <v>0</v>
      </c>
      <c r="CQ397" s="231">
        <f>SUMIF(AGO!$G$121:$M$121,CQ$178,AGO!$AM12:$AS12)+SUMIF($CS$178:$CV$178,CQ$178,$CS397:$CV397)</f>
        <v>0</v>
      </c>
      <c r="CR397" s="521">
        <f>AGO!AU12</f>
        <v>0</v>
      </c>
      <c r="CS397" s="228">
        <f>AGO!AV12</f>
        <v>0</v>
      </c>
      <c r="CT397" s="229">
        <f>AGO!AW12</f>
        <v>0</v>
      </c>
      <c r="CU397" s="230">
        <f>AGO!AX12</f>
        <v>0</v>
      </c>
      <c r="CV397" s="231">
        <f>AGO!AY12</f>
        <v>0</v>
      </c>
      <c r="CW397" s="521">
        <f>SUM(AGO!AU12:AY12)</f>
        <v>0</v>
      </c>
      <c r="CX397" s="521">
        <f>AGO!AK12</f>
        <v>0</v>
      </c>
      <c r="CY397" s="2"/>
    </row>
    <row r="398" spans="1:103" ht="14.25" hidden="1" customHeight="1" x14ac:dyDescent="0.2">
      <c r="A398" s="2"/>
      <c r="B398" s="105">
        <f t="shared" si="92"/>
        <v>45510</v>
      </c>
      <c r="C398" s="146">
        <f>IF(AND(E398&gt;(N$558-1),E398&lt;(R$558+1)),W$551,IF(ISERROR(HLOOKUP(E398,$N$551:$U$551,1,FALSE)),HLOOKUP(WEEKDAY(E398,2),IMPOSTAZIONI!$C$52:$P$57,6,FALSE),$W$550))</f>
        <v>0</v>
      </c>
      <c r="D398" s="71" t="str">
        <f t="shared" si="93"/>
        <v/>
      </c>
      <c r="E398" s="2258">
        <f t="shared" si="98"/>
        <v>45510</v>
      </c>
      <c r="F398" s="2259"/>
      <c r="G398" s="2228" t="str">
        <f>AGO!E13</f>
        <v xml:space="preserve">disattivato  </v>
      </c>
      <c r="H398" s="2229"/>
      <c r="I398" s="2230"/>
      <c r="J398" s="262" t="str">
        <f t="shared" si="83"/>
        <v/>
      </c>
      <c r="K398" s="263"/>
      <c r="L398" s="2217">
        <f t="shared" si="99"/>
        <v>32</v>
      </c>
      <c r="M398" s="2218"/>
      <c r="N398" s="261"/>
      <c r="O398" s="261"/>
      <c r="P398" s="261"/>
      <c r="Q398" s="2219">
        <f t="shared" si="94"/>
        <v>45510</v>
      </c>
      <c r="R398" s="2219"/>
      <c r="S398" s="261"/>
      <c r="T398" s="1173">
        <f t="shared" si="84"/>
        <v>1</v>
      </c>
      <c r="U398" s="261"/>
      <c r="V398" s="261"/>
      <c r="W398" s="261"/>
      <c r="X398" s="261"/>
      <c r="Y398" s="261"/>
      <c r="Z398" s="261"/>
      <c r="AA398" s="261"/>
      <c r="AB398" s="261"/>
      <c r="AC398" s="261"/>
      <c r="AD398" s="261"/>
      <c r="AE398" s="261"/>
      <c r="AF398" s="261"/>
      <c r="AG398" s="1173">
        <f t="shared" si="95"/>
        <v>0</v>
      </c>
      <c r="AH398" s="61" t="str">
        <f t="shared" si="96"/>
        <v/>
      </c>
      <c r="AI398" s="89" t="e">
        <f t="shared" si="97"/>
        <v>#N/A</v>
      </c>
      <c r="AJ398" s="2"/>
      <c r="AK398" s="61">
        <f>IF(G398=G$547,0,IF(OR(G398&lt;&gt;0,CH398&lt;&gt;0,C398="L"),COUNTIF(AK$180:AK397,"&gt;0")+1,0))</f>
        <v>0</v>
      </c>
      <c r="AL398" s="61" t="str">
        <f t="shared" si="85"/>
        <v/>
      </c>
      <c r="AM398" s="61" t="e">
        <f t="shared" si="86"/>
        <v>#N/A</v>
      </c>
      <c r="AN398" s="89" t="e">
        <f t="shared" si="87"/>
        <v>#N/A</v>
      </c>
      <c r="AO398" s="230">
        <f>SUM(AGO!X13:AD13)-BD398+AY398</f>
        <v>0</v>
      </c>
      <c r="AP398" s="228">
        <f>SUMIF(AGO!$G$121:$M$121,AP$178,AGO!$P13:$V13)+SUMIF($AZ$178:$BC$178,AP$178,$AZ398:$BC398)</f>
        <v>0</v>
      </c>
      <c r="AQ398" s="229">
        <f>SUMIF(AGO!$G$121:$M$121,AQ$178,AGO!$P13:$V13)+SUMIF($AZ$178:$BC$178,AQ$178,$AZ398:$BC398)</f>
        <v>0</v>
      </c>
      <c r="AR398" s="230">
        <f>SUMIF(AGO!$G$121:$M$121,AR$178,AGO!$P13:$V13)+SUMIF($AZ$178:$BC$178,AR$178,$AZ398:$BC398)</f>
        <v>0</v>
      </c>
      <c r="AS398" s="230">
        <f>SUMIF(AGO!$G$121:$M$121,AS$178,AGO!$P13:$V13)+SUMIF($AZ$178:$BC$178,AS$178,$AZ398:$BC398)</f>
        <v>0</v>
      </c>
      <c r="AT398" s="230">
        <f>SUMIF(AGO!$G$121:$M$121,AT$178,AGO!$P13:$V13)+SUMIF($AZ$178:$BC$178,AT$178,$AZ398:$BC398)</f>
        <v>0</v>
      </c>
      <c r="AU398" s="230">
        <f>SUMIF(AGO!$G$121:$M$121,AU$178,AGO!$P13:$V13)+SUMIF($AZ$178:$BC$178,AU$178,$AZ398:$BC398)</f>
        <v>0</v>
      </c>
      <c r="AV398" s="230">
        <f>SUMIF(AGO!$G$121:$M$121,AV$178,AGO!$P13:$V13)+SUMIF($AZ$178:$BC$178,AV$178,$AZ398:$BC398)</f>
        <v>0</v>
      </c>
      <c r="AW398" s="230">
        <f>SUMIF(AGO!$G$121:$M$121,AW$178,AGO!$P13:$V13)+SUMIF($AZ$178:$BC$178,AW$178,$AZ398:$BC398)</f>
        <v>0</v>
      </c>
      <c r="AX398" s="231">
        <f>SUMIF(AGO!$G$121:$M$121,AX$178,AGO!$P13:$V13)+SUMIF($AZ$178:$BC$178,AX$178,$AZ398:$BC398)</f>
        <v>0</v>
      </c>
      <c r="AY398" s="232">
        <f>AGO!AF13</f>
        <v>0</v>
      </c>
      <c r="AZ398" s="228">
        <f>AGO!AG13</f>
        <v>0</v>
      </c>
      <c r="BA398" s="229">
        <f>AGO!AH13</f>
        <v>0</v>
      </c>
      <c r="BB398" s="230">
        <f>AGO!AI13</f>
        <v>0</v>
      </c>
      <c r="BC398" s="231">
        <f>AGO!AJ13</f>
        <v>0</v>
      </c>
      <c r="BD398" s="228">
        <f>SUMIF(AGO!$G$120:$M$120,"&gt;0",AGO!$X13:$AD13)</f>
        <v>0</v>
      </c>
      <c r="BE398" s="696"/>
      <c r="BF398" s="228">
        <f>SUMIF(AGO!$BA$6:$BG$6,BF$177,AGO!$BA13:$BG13)</f>
        <v>0</v>
      </c>
      <c r="BG398" s="229">
        <f>SUMIF(AGO!$BA$6:$BG$6,BG$177,AGO!$BA13:$BG13)</f>
        <v>0</v>
      </c>
      <c r="BH398" s="229">
        <f>SUMIF(AGO!$BA$6:$BG$6,BH$177,AGO!$BA13:$BG13)</f>
        <v>0</v>
      </c>
      <c r="BI398" s="229">
        <f>SUMIF(AGO!$BA$6:$BG$6,BI$177,AGO!$BA13:$BG13)</f>
        <v>0</v>
      </c>
      <c r="BJ398" s="229">
        <f>SUMIF(AGO!$BA$6:$BG$6,BJ$177,AGO!$BA13:$BG13)</f>
        <v>0</v>
      </c>
      <c r="BK398" s="229">
        <f>SUMIF(AGO!$BA$6:$BG$6,BK$177,AGO!$BA13:$BG13)</f>
        <v>0</v>
      </c>
      <c r="BL398" s="229">
        <f>SUMIF(AGO!$BA$6:$BG$6,BL$177,AGO!$BA13:$BG13)</f>
        <v>0</v>
      </c>
      <c r="BM398" s="229">
        <f>SUMIF(AGO!$BA$6:$BG$6,BM$177,AGO!$BA13:$BG13)</f>
        <v>0</v>
      </c>
      <c r="BN398" s="229">
        <f>SUMIF(AGO!$BA$6:$BG$6,BN$177,AGO!$BA13:$BG13)</f>
        <v>0</v>
      </c>
      <c r="BO398" s="231">
        <f>SUMIF(AGO!$BA$6:$BG$6,BO$177,AGO!$BA13:$BG13)</f>
        <v>0</v>
      </c>
      <c r="BP398" s="231">
        <f>SUMIF(AGO!$BA$6:$BG$6,BP$177,AGO!$BA13:$BG13)</f>
        <v>0</v>
      </c>
      <c r="BQ398" s="252"/>
      <c r="BR398" s="228">
        <f>SUMIF(AGO!$BA$5:$BG$5,BR$177,AGO!$BA13:$BG13)</f>
        <v>0</v>
      </c>
      <c r="BS398" s="229">
        <f>SUMIF(AGO!$BA$5:$BG$5,BS$177,AGO!$BA13:$BG13)</f>
        <v>0</v>
      </c>
      <c r="BT398" s="229">
        <f>SUMIF(AGO!$BA$5:$BG$5,BT$177,AGO!$BA13:$BG13)</f>
        <v>0</v>
      </c>
      <c r="BU398" s="229">
        <f>SUMIF(AGO!$BA$5:$BG$5,BU$177,AGO!$BA13:$BG13)</f>
        <v>0</v>
      </c>
      <c r="BV398" s="229">
        <f>SUMIF(AGO!$BA$5:$BG$5,BV$177,AGO!$BA13:$BG13)</f>
        <v>0</v>
      </c>
      <c r="BW398" s="229">
        <f>SUMIF(AGO!$BA$5:$BG$5,BW$177,AGO!$BA13:$BG13)</f>
        <v>0</v>
      </c>
      <c r="BX398" s="230">
        <f>SUMIF(AGO!$BA$5:$BG$5,BX$177,AGO!$BA13:$BG13)</f>
        <v>0</v>
      </c>
      <c r="BY398" s="998">
        <f>SUMIF(AGO!$BA$5:$BG$5,BY$177,AGO!$BA13:$BG13)</f>
        <v>0</v>
      </c>
      <c r="CB398" s="252"/>
      <c r="CC398" s="61" t="e">
        <f t="shared" si="88"/>
        <v>#N/A</v>
      </c>
      <c r="CD398" s="61">
        <f t="shared" si="89"/>
        <v>0</v>
      </c>
      <c r="CE398" s="105" t="str">
        <f t="shared" si="82"/>
        <v/>
      </c>
      <c r="CF398" s="61" t="e">
        <f t="shared" si="90"/>
        <v>#N/A</v>
      </c>
      <c r="CG398" s="61" t="e">
        <f t="shared" si="91"/>
        <v>#N/A</v>
      </c>
      <c r="CH398" s="521">
        <f>AGO!AL13-CW398+CR398</f>
        <v>0</v>
      </c>
      <c r="CI398" s="228">
        <f>SUMIF(AGO!$G$121:$M$121,CI$178,AGO!$AM13:$AS13)+SUMIF($CS$178:$CV$178,CI$178,$CS398:$CV398)</f>
        <v>0</v>
      </c>
      <c r="CJ398" s="229">
        <f>SUMIF(AGO!$G$121:$M$121,CJ$178,AGO!$AM13:$AS13)+SUMIF($CS$178:$CV$178,CJ$178,$CS398:$CV398)</f>
        <v>0</v>
      </c>
      <c r="CK398" s="230">
        <f>SUMIF(AGO!$G$121:$M$121,CK$178,AGO!$AM13:$AS13)+SUMIF($CS$178:$CV$178,CK$178,$CS398:$CV398)</f>
        <v>0</v>
      </c>
      <c r="CL398" s="230">
        <f>SUMIF(AGO!$G$121:$M$121,CL$178,AGO!$AM13:$AS13)+SUMIF($CS$178:$CV$178,CL$178,$CS398:$CV398)</f>
        <v>0</v>
      </c>
      <c r="CM398" s="230">
        <f>SUMIF(AGO!$G$121:$M$121,CM$178,AGO!$AM13:$AS13)+SUMIF($CS$178:$CV$178,CM$178,$CS398:$CV398)</f>
        <v>0</v>
      </c>
      <c r="CN398" s="230">
        <f>SUMIF(AGO!$G$121:$M$121,CN$178,AGO!$AM13:$AS13)+SUMIF($CS$178:$CV$178,CN$178,$CS398:$CV398)</f>
        <v>0</v>
      </c>
      <c r="CO398" s="230">
        <f>SUMIF(AGO!$G$121:$M$121,CO$178,AGO!$AM13:$AS13)+SUMIF($CS$178:$CV$178,CO$178,$CS398:$CV398)</f>
        <v>0</v>
      </c>
      <c r="CP398" s="230">
        <f>SUMIF(AGO!$G$121:$M$121,CP$178,AGO!$AM13:$AS13)+SUMIF($CS$178:$CV$178,CP$178,$CS398:$CV398)</f>
        <v>0</v>
      </c>
      <c r="CQ398" s="231">
        <f>SUMIF(AGO!$G$121:$M$121,CQ$178,AGO!$AM13:$AS13)+SUMIF($CS$178:$CV$178,CQ$178,$CS398:$CV398)</f>
        <v>0</v>
      </c>
      <c r="CR398" s="521">
        <f>AGO!AU13</f>
        <v>0</v>
      </c>
      <c r="CS398" s="228">
        <f>AGO!AV13</f>
        <v>0</v>
      </c>
      <c r="CT398" s="229">
        <f>AGO!AW13</f>
        <v>0</v>
      </c>
      <c r="CU398" s="230">
        <f>AGO!AX13</f>
        <v>0</v>
      </c>
      <c r="CV398" s="231">
        <f>AGO!AY13</f>
        <v>0</v>
      </c>
      <c r="CW398" s="521">
        <f>SUM(AGO!AU13:AY13)</f>
        <v>0</v>
      </c>
      <c r="CX398" s="521">
        <f>AGO!AK13</f>
        <v>0</v>
      </c>
      <c r="CY398" s="2"/>
    </row>
    <row r="399" spans="1:103" ht="14.25" hidden="1" customHeight="1" x14ac:dyDescent="0.2">
      <c r="A399" s="2"/>
      <c r="B399" s="105">
        <f t="shared" si="92"/>
        <v>45511</v>
      </c>
      <c r="C399" s="146">
        <f>IF(AND(E399&gt;(N$558-1),E399&lt;(R$558+1)),W$551,IF(ISERROR(HLOOKUP(E399,$N$551:$U$551,1,FALSE)),HLOOKUP(WEEKDAY(E399,2),IMPOSTAZIONI!$C$52:$P$57,6,FALSE),$W$550))</f>
        <v>0</v>
      </c>
      <c r="D399" s="71" t="str">
        <f t="shared" si="93"/>
        <v/>
      </c>
      <c r="E399" s="2258">
        <f t="shared" si="98"/>
        <v>45511</v>
      </c>
      <c r="F399" s="2259"/>
      <c r="G399" s="2228" t="str">
        <f>AGO!E14</f>
        <v xml:space="preserve">disattivato  </v>
      </c>
      <c r="H399" s="2229"/>
      <c r="I399" s="2230"/>
      <c r="J399" s="262" t="str">
        <f t="shared" si="83"/>
        <v/>
      </c>
      <c r="K399" s="263"/>
      <c r="L399" s="2217">
        <f t="shared" si="99"/>
        <v>32</v>
      </c>
      <c r="M399" s="2218"/>
      <c r="N399" s="261"/>
      <c r="O399" s="261"/>
      <c r="P399" s="261"/>
      <c r="Q399" s="2219">
        <f t="shared" si="94"/>
        <v>45511</v>
      </c>
      <c r="R399" s="2219"/>
      <c r="S399" s="261"/>
      <c r="T399" s="1173">
        <f t="shared" si="84"/>
        <v>1</v>
      </c>
      <c r="U399" s="261"/>
      <c r="V399" s="261"/>
      <c r="W399" s="261"/>
      <c r="X399" s="261"/>
      <c r="Y399" s="261"/>
      <c r="Z399" s="261"/>
      <c r="AA399" s="261"/>
      <c r="AB399" s="261"/>
      <c r="AC399" s="261"/>
      <c r="AD399" s="261"/>
      <c r="AE399" s="261"/>
      <c r="AF399" s="261"/>
      <c r="AG399" s="1173">
        <f t="shared" si="95"/>
        <v>0</v>
      </c>
      <c r="AH399" s="61" t="str">
        <f t="shared" si="96"/>
        <v/>
      </c>
      <c r="AI399" s="89" t="e">
        <f t="shared" si="97"/>
        <v>#N/A</v>
      </c>
      <c r="AJ399" s="2"/>
      <c r="AK399" s="61">
        <f>IF(G399=G$547,0,IF(OR(G399&lt;&gt;0,CH399&lt;&gt;0,C399="L"),COUNTIF(AK$180:AK398,"&gt;0")+1,0))</f>
        <v>0</v>
      </c>
      <c r="AL399" s="61" t="str">
        <f t="shared" si="85"/>
        <v/>
      </c>
      <c r="AM399" s="61" t="e">
        <f t="shared" si="86"/>
        <v>#N/A</v>
      </c>
      <c r="AN399" s="89" t="e">
        <f t="shared" si="87"/>
        <v>#N/A</v>
      </c>
      <c r="AO399" s="230">
        <f>SUM(AGO!X14:AD14)-BD399+AY399</f>
        <v>0</v>
      </c>
      <c r="AP399" s="228">
        <f>SUMIF(AGO!$G$121:$M$121,AP$178,AGO!$P14:$V14)+SUMIF($AZ$178:$BC$178,AP$178,$AZ399:$BC399)</f>
        <v>0</v>
      </c>
      <c r="AQ399" s="229">
        <f>SUMIF(AGO!$G$121:$M$121,AQ$178,AGO!$P14:$V14)+SUMIF($AZ$178:$BC$178,AQ$178,$AZ399:$BC399)</f>
        <v>0</v>
      </c>
      <c r="AR399" s="230">
        <f>SUMIF(AGO!$G$121:$M$121,AR$178,AGO!$P14:$V14)+SUMIF($AZ$178:$BC$178,AR$178,$AZ399:$BC399)</f>
        <v>0</v>
      </c>
      <c r="AS399" s="230">
        <f>SUMIF(AGO!$G$121:$M$121,AS$178,AGO!$P14:$V14)+SUMIF($AZ$178:$BC$178,AS$178,$AZ399:$BC399)</f>
        <v>0</v>
      </c>
      <c r="AT399" s="230">
        <f>SUMIF(AGO!$G$121:$M$121,AT$178,AGO!$P14:$V14)+SUMIF($AZ$178:$BC$178,AT$178,$AZ399:$BC399)</f>
        <v>0</v>
      </c>
      <c r="AU399" s="230">
        <f>SUMIF(AGO!$G$121:$M$121,AU$178,AGO!$P14:$V14)+SUMIF($AZ$178:$BC$178,AU$178,$AZ399:$BC399)</f>
        <v>0</v>
      </c>
      <c r="AV399" s="230">
        <f>SUMIF(AGO!$G$121:$M$121,AV$178,AGO!$P14:$V14)+SUMIF($AZ$178:$BC$178,AV$178,$AZ399:$BC399)</f>
        <v>0</v>
      </c>
      <c r="AW399" s="230">
        <f>SUMIF(AGO!$G$121:$M$121,AW$178,AGO!$P14:$V14)+SUMIF($AZ$178:$BC$178,AW$178,$AZ399:$BC399)</f>
        <v>0</v>
      </c>
      <c r="AX399" s="231">
        <f>SUMIF(AGO!$G$121:$M$121,AX$178,AGO!$P14:$V14)+SUMIF($AZ$178:$BC$178,AX$178,$AZ399:$BC399)</f>
        <v>0</v>
      </c>
      <c r="AY399" s="232">
        <f>AGO!AF14</f>
        <v>0</v>
      </c>
      <c r="AZ399" s="228">
        <f>AGO!AG14</f>
        <v>0</v>
      </c>
      <c r="BA399" s="229">
        <f>AGO!AH14</f>
        <v>0</v>
      </c>
      <c r="BB399" s="230">
        <f>AGO!AI14</f>
        <v>0</v>
      </c>
      <c r="BC399" s="231">
        <f>AGO!AJ14</f>
        <v>0</v>
      </c>
      <c r="BD399" s="228">
        <f>SUMIF(AGO!$G$120:$M$120,"&gt;0",AGO!$X14:$AD14)</f>
        <v>0</v>
      </c>
      <c r="BE399" s="696"/>
      <c r="BF399" s="228">
        <f>SUMIF(AGO!$BA$6:$BG$6,BF$177,AGO!$BA14:$BG14)</f>
        <v>0</v>
      </c>
      <c r="BG399" s="229">
        <f>SUMIF(AGO!$BA$6:$BG$6,BG$177,AGO!$BA14:$BG14)</f>
        <v>0</v>
      </c>
      <c r="BH399" s="229">
        <f>SUMIF(AGO!$BA$6:$BG$6,BH$177,AGO!$BA14:$BG14)</f>
        <v>0</v>
      </c>
      <c r="BI399" s="229">
        <f>SUMIF(AGO!$BA$6:$BG$6,BI$177,AGO!$BA14:$BG14)</f>
        <v>0</v>
      </c>
      <c r="BJ399" s="229">
        <f>SUMIF(AGO!$BA$6:$BG$6,BJ$177,AGO!$BA14:$BG14)</f>
        <v>0</v>
      </c>
      <c r="BK399" s="229">
        <f>SUMIF(AGO!$BA$6:$BG$6,BK$177,AGO!$BA14:$BG14)</f>
        <v>0</v>
      </c>
      <c r="BL399" s="229">
        <f>SUMIF(AGO!$BA$6:$BG$6,BL$177,AGO!$BA14:$BG14)</f>
        <v>0</v>
      </c>
      <c r="BM399" s="229">
        <f>SUMIF(AGO!$BA$6:$BG$6,BM$177,AGO!$BA14:$BG14)</f>
        <v>0</v>
      </c>
      <c r="BN399" s="229">
        <f>SUMIF(AGO!$BA$6:$BG$6,BN$177,AGO!$BA14:$BG14)</f>
        <v>0</v>
      </c>
      <c r="BO399" s="231">
        <f>SUMIF(AGO!$BA$6:$BG$6,BO$177,AGO!$BA14:$BG14)</f>
        <v>0</v>
      </c>
      <c r="BP399" s="231">
        <f>SUMIF(AGO!$BA$6:$BG$6,BP$177,AGO!$BA14:$BG14)</f>
        <v>0</v>
      </c>
      <c r="BQ399" s="252"/>
      <c r="BR399" s="228">
        <f>SUMIF(AGO!$BA$5:$BG$5,BR$177,AGO!$BA14:$BG14)</f>
        <v>0</v>
      </c>
      <c r="BS399" s="229">
        <f>SUMIF(AGO!$BA$5:$BG$5,BS$177,AGO!$BA14:$BG14)</f>
        <v>0</v>
      </c>
      <c r="BT399" s="229">
        <f>SUMIF(AGO!$BA$5:$BG$5,BT$177,AGO!$BA14:$BG14)</f>
        <v>0</v>
      </c>
      <c r="BU399" s="229">
        <f>SUMIF(AGO!$BA$5:$BG$5,BU$177,AGO!$BA14:$BG14)</f>
        <v>0</v>
      </c>
      <c r="BV399" s="229">
        <f>SUMIF(AGO!$BA$5:$BG$5,BV$177,AGO!$BA14:$BG14)</f>
        <v>0</v>
      </c>
      <c r="BW399" s="229">
        <f>SUMIF(AGO!$BA$5:$BG$5,BW$177,AGO!$BA14:$BG14)</f>
        <v>0</v>
      </c>
      <c r="BX399" s="230">
        <f>SUMIF(AGO!$BA$5:$BG$5,BX$177,AGO!$BA14:$BG14)</f>
        <v>0</v>
      </c>
      <c r="BY399" s="998">
        <f>SUMIF(AGO!$BA$5:$BG$5,BY$177,AGO!$BA14:$BG14)</f>
        <v>0</v>
      </c>
      <c r="CB399" s="252"/>
      <c r="CC399" s="61" t="e">
        <f t="shared" si="88"/>
        <v>#N/A</v>
      </c>
      <c r="CD399" s="61">
        <f t="shared" si="89"/>
        <v>0</v>
      </c>
      <c r="CE399" s="105" t="str">
        <f t="shared" si="82"/>
        <v/>
      </c>
      <c r="CF399" s="61" t="e">
        <f t="shared" si="90"/>
        <v>#N/A</v>
      </c>
      <c r="CG399" s="61" t="e">
        <f t="shared" si="91"/>
        <v>#N/A</v>
      </c>
      <c r="CH399" s="521">
        <f>AGO!AL14-CW399+CR399</f>
        <v>0</v>
      </c>
      <c r="CI399" s="228">
        <f>SUMIF(AGO!$G$121:$M$121,CI$178,AGO!$AM14:$AS14)+SUMIF($CS$178:$CV$178,CI$178,$CS399:$CV399)</f>
        <v>0</v>
      </c>
      <c r="CJ399" s="229">
        <f>SUMIF(AGO!$G$121:$M$121,CJ$178,AGO!$AM14:$AS14)+SUMIF($CS$178:$CV$178,CJ$178,$CS399:$CV399)</f>
        <v>0</v>
      </c>
      <c r="CK399" s="230">
        <f>SUMIF(AGO!$G$121:$M$121,CK$178,AGO!$AM14:$AS14)+SUMIF($CS$178:$CV$178,CK$178,$CS399:$CV399)</f>
        <v>0</v>
      </c>
      <c r="CL399" s="230">
        <f>SUMIF(AGO!$G$121:$M$121,CL$178,AGO!$AM14:$AS14)+SUMIF($CS$178:$CV$178,CL$178,$CS399:$CV399)</f>
        <v>0</v>
      </c>
      <c r="CM399" s="230">
        <f>SUMIF(AGO!$G$121:$M$121,CM$178,AGO!$AM14:$AS14)+SUMIF($CS$178:$CV$178,CM$178,$CS399:$CV399)</f>
        <v>0</v>
      </c>
      <c r="CN399" s="230">
        <f>SUMIF(AGO!$G$121:$M$121,CN$178,AGO!$AM14:$AS14)+SUMIF($CS$178:$CV$178,CN$178,$CS399:$CV399)</f>
        <v>0</v>
      </c>
      <c r="CO399" s="230">
        <f>SUMIF(AGO!$G$121:$M$121,CO$178,AGO!$AM14:$AS14)+SUMIF($CS$178:$CV$178,CO$178,$CS399:$CV399)</f>
        <v>0</v>
      </c>
      <c r="CP399" s="230">
        <f>SUMIF(AGO!$G$121:$M$121,CP$178,AGO!$AM14:$AS14)+SUMIF($CS$178:$CV$178,CP$178,$CS399:$CV399)</f>
        <v>0</v>
      </c>
      <c r="CQ399" s="231">
        <f>SUMIF(AGO!$G$121:$M$121,CQ$178,AGO!$AM14:$AS14)+SUMIF($CS$178:$CV$178,CQ$178,$CS399:$CV399)</f>
        <v>0</v>
      </c>
      <c r="CR399" s="521">
        <f>AGO!AU14</f>
        <v>0</v>
      </c>
      <c r="CS399" s="228">
        <f>AGO!AV14</f>
        <v>0</v>
      </c>
      <c r="CT399" s="229">
        <f>AGO!AW14</f>
        <v>0</v>
      </c>
      <c r="CU399" s="230">
        <f>AGO!AX14</f>
        <v>0</v>
      </c>
      <c r="CV399" s="231">
        <f>AGO!AY14</f>
        <v>0</v>
      </c>
      <c r="CW399" s="521">
        <f>SUM(AGO!AU14:AY14)</f>
        <v>0</v>
      </c>
      <c r="CX399" s="521">
        <f>AGO!AK14</f>
        <v>0</v>
      </c>
      <c r="CY399" s="2"/>
    </row>
    <row r="400" spans="1:103" ht="14.25" hidden="1" customHeight="1" x14ac:dyDescent="0.2">
      <c r="A400" s="2"/>
      <c r="B400" s="105">
        <f t="shared" si="92"/>
        <v>45512</v>
      </c>
      <c r="C400" s="146">
        <f>IF(AND(E400&gt;(N$558-1),E400&lt;(R$558+1)),W$551,IF(ISERROR(HLOOKUP(E400,$N$551:$U$551,1,FALSE)),HLOOKUP(WEEKDAY(E400,2),IMPOSTAZIONI!$C$52:$P$57,6,FALSE),$W$550))</f>
        <v>0</v>
      </c>
      <c r="D400" s="71" t="str">
        <f t="shared" si="93"/>
        <v/>
      </c>
      <c r="E400" s="2258">
        <f t="shared" si="98"/>
        <v>45512</v>
      </c>
      <c r="F400" s="2259"/>
      <c r="G400" s="2228" t="str">
        <f>AGO!E15</f>
        <v xml:space="preserve">disattivato  </v>
      </c>
      <c r="H400" s="2229"/>
      <c r="I400" s="2230"/>
      <c r="J400" s="262" t="str">
        <f t="shared" si="83"/>
        <v/>
      </c>
      <c r="K400" s="263"/>
      <c r="L400" s="2217">
        <f t="shared" si="99"/>
        <v>32</v>
      </c>
      <c r="M400" s="2218"/>
      <c r="N400" s="261"/>
      <c r="O400" s="261"/>
      <c r="P400" s="261"/>
      <c r="Q400" s="2219">
        <f t="shared" si="94"/>
        <v>45512</v>
      </c>
      <c r="R400" s="2219"/>
      <c r="S400" s="261"/>
      <c r="T400" s="1173">
        <f t="shared" si="84"/>
        <v>1</v>
      </c>
      <c r="U400" s="261"/>
      <c r="V400" s="261"/>
      <c r="W400" s="261"/>
      <c r="X400" s="261"/>
      <c r="Y400" s="261"/>
      <c r="Z400" s="261"/>
      <c r="AA400" s="261"/>
      <c r="AB400" s="261"/>
      <c r="AC400" s="261"/>
      <c r="AD400" s="261"/>
      <c r="AE400" s="261"/>
      <c r="AF400" s="261"/>
      <c r="AG400" s="1173">
        <f t="shared" si="95"/>
        <v>0</v>
      </c>
      <c r="AH400" s="61" t="str">
        <f t="shared" si="96"/>
        <v/>
      </c>
      <c r="AI400" s="89" t="e">
        <f t="shared" si="97"/>
        <v>#N/A</v>
      </c>
      <c r="AJ400" s="2"/>
      <c r="AK400" s="61">
        <f>IF(G400=G$547,0,IF(OR(G400&lt;&gt;0,CH400&lt;&gt;0,C400="L"),COUNTIF(AK$180:AK399,"&gt;0")+1,0))</f>
        <v>0</v>
      </c>
      <c r="AL400" s="61" t="str">
        <f t="shared" si="85"/>
        <v/>
      </c>
      <c r="AM400" s="61" t="e">
        <f t="shared" si="86"/>
        <v>#N/A</v>
      </c>
      <c r="AN400" s="89" t="e">
        <f t="shared" si="87"/>
        <v>#N/A</v>
      </c>
      <c r="AO400" s="230">
        <f>SUM(AGO!X15:AD15)-BD400+AY400</f>
        <v>0</v>
      </c>
      <c r="AP400" s="228">
        <f>SUMIF(AGO!$G$121:$M$121,AP$178,AGO!$P15:$V15)+SUMIF($AZ$178:$BC$178,AP$178,$AZ400:$BC400)</f>
        <v>0</v>
      </c>
      <c r="AQ400" s="229">
        <f>SUMIF(AGO!$G$121:$M$121,AQ$178,AGO!$P15:$V15)+SUMIF($AZ$178:$BC$178,AQ$178,$AZ400:$BC400)</f>
        <v>0</v>
      </c>
      <c r="AR400" s="230">
        <f>SUMIF(AGO!$G$121:$M$121,AR$178,AGO!$P15:$V15)+SUMIF($AZ$178:$BC$178,AR$178,$AZ400:$BC400)</f>
        <v>0</v>
      </c>
      <c r="AS400" s="230">
        <f>SUMIF(AGO!$G$121:$M$121,AS$178,AGO!$P15:$V15)+SUMIF($AZ$178:$BC$178,AS$178,$AZ400:$BC400)</f>
        <v>0</v>
      </c>
      <c r="AT400" s="230">
        <f>SUMIF(AGO!$G$121:$M$121,AT$178,AGO!$P15:$V15)+SUMIF($AZ$178:$BC$178,AT$178,$AZ400:$BC400)</f>
        <v>0</v>
      </c>
      <c r="AU400" s="230">
        <f>SUMIF(AGO!$G$121:$M$121,AU$178,AGO!$P15:$V15)+SUMIF($AZ$178:$BC$178,AU$178,$AZ400:$BC400)</f>
        <v>0</v>
      </c>
      <c r="AV400" s="230">
        <f>SUMIF(AGO!$G$121:$M$121,AV$178,AGO!$P15:$V15)+SUMIF($AZ$178:$BC$178,AV$178,$AZ400:$BC400)</f>
        <v>0</v>
      </c>
      <c r="AW400" s="230">
        <f>SUMIF(AGO!$G$121:$M$121,AW$178,AGO!$P15:$V15)+SUMIF($AZ$178:$BC$178,AW$178,$AZ400:$BC400)</f>
        <v>0</v>
      </c>
      <c r="AX400" s="231">
        <f>SUMIF(AGO!$G$121:$M$121,AX$178,AGO!$P15:$V15)+SUMIF($AZ$178:$BC$178,AX$178,$AZ400:$BC400)</f>
        <v>0</v>
      </c>
      <c r="AY400" s="232">
        <f>AGO!AF15</f>
        <v>0</v>
      </c>
      <c r="AZ400" s="228">
        <f>AGO!AG15</f>
        <v>0</v>
      </c>
      <c r="BA400" s="229">
        <f>AGO!AH15</f>
        <v>0</v>
      </c>
      <c r="BB400" s="230">
        <f>AGO!AI15</f>
        <v>0</v>
      </c>
      <c r="BC400" s="231">
        <f>AGO!AJ15</f>
        <v>0</v>
      </c>
      <c r="BD400" s="228">
        <f>SUMIF(AGO!$G$120:$M$120,"&gt;0",AGO!$X15:$AD15)</f>
        <v>0</v>
      </c>
      <c r="BE400" s="696"/>
      <c r="BF400" s="228">
        <f>SUMIF(AGO!$BA$6:$BG$6,BF$177,AGO!$BA15:$BG15)</f>
        <v>0</v>
      </c>
      <c r="BG400" s="229">
        <f>SUMIF(AGO!$BA$6:$BG$6,BG$177,AGO!$BA15:$BG15)</f>
        <v>0</v>
      </c>
      <c r="BH400" s="229">
        <f>SUMIF(AGO!$BA$6:$BG$6,BH$177,AGO!$BA15:$BG15)</f>
        <v>0</v>
      </c>
      <c r="BI400" s="229">
        <f>SUMIF(AGO!$BA$6:$BG$6,BI$177,AGO!$BA15:$BG15)</f>
        <v>0</v>
      </c>
      <c r="BJ400" s="229">
        <f>SUMIF(AGO!$BA$6:$BG$6,BJ$177,AGO!$BA15:$BG15)</f>
        <v>0</v>
      </c>
      <c r="BK400" s="229">
        <f>SUMIF(AGO!$BA$6:$BG$6,BK$177,AGO!$BA15:$BG15)</f>
        <v>0</v>
      </c>
      <c r="BL400" s="229">
        <f>SUMIF(AGO!$BA$6:$BG$6,BL$177,AGO!$BA15:$BG15)</f>
        <v>0</v>
      </c>
      <c r="BM400" s="229">
        <f>SUMIF(AGO!$BA$6:$BG$6,BM$177,AGO!$BA15:$BG15)</f>
        <v>0</v>
      </c>
      <c r="BN400" s="229">
        <f>SUMIF(AGO!$BA$6:$BG$6,BN$177,AGO!$BA15:$BG15)</f>
        <v>0</v>
      </c>
      <c r="BO400" s="231">
        <f>SUMIF(AGO!$BA$6:$BG$6,BO$177,AGO!$BA15:$BG15)</f>
        <v>0</v>
      </c>
      <c r="BP400" s="231">
        <f>SUMIF(AGO!$BA$6:$BG$6,BP$177,AGO!$BA15:$BG15)</f>
        <v>0</v>
      </c>
      <c r="BQ400" s="252"/>
      <c r="BR400" s="228">
        <f>SUMIF(AGO!$BA$5:$BG$5,BR$177,AGO!$BA15:$BG15)</f>
        <v>0</v>
      </c>
      <c r="BS400" s="229">
        <f>SUMIF(AGO!$BA$5:$BG$5,BS$177,AGO!$BA15:$BG15)</f>
        <v>0</v>
      </c>
      <c r="BT400" s="229">
        <f>SUMIF(AGO!$BA$5:$BG$5,BT$177,AGO!$BA15:$BG15)</f>
        <v>0</v>
      </c>
      <c r="BU400" s="229">
        <f>SUMIF(AGO!$BA$5:$BG$5,BU$177,AGO!$BA15:$BG15)</f>
        <v>0</v>
      </c>
      <c r="BV400" s="229">
        <f>SUMIF(AGO!$BA$5:$BG$5,BV$177,AGO!$BA15:$BG15)</f>
        <v>0</v>
      </c>
      <c r="BW400" s="229">
        <f>SUMIF(AGO!$BA$5:$BG$5,BW$177,AGO!$BA15:$BG15)</f>
        <v>0</v>
      </c>
      <c r="BX400" s="230">
        <f>SUMIF(AGO!$BA$5:$BG$5,BX$177,AGO!$BA15:$BG15)</f>
        <v>0</v>
      </c>
      <c r="BY400" s="998">
        <f>SUMIF(AGO!$BA$5:$BG$5,BY$177,AGO!$BA15:$BG15)</f>
        <v>0</v>
      </c>
      <c r="CB400" s="252"/>
      <c r="CC400" s="61" t="e">
        <f t="shared" si="88"/>
        <v>#N/A</v>
      </c>
      <c r="CD400" s="61">
        <f t="shared" si="89"/>
        <v>0</v>
      </c>
      <c r="CE400" s="105" t="str">
        <f t="shared" si="82"/>
        <v/>
      </c>
      <c r="CF400" s="61" t="e">
        <f t="shared" si="90"/>
        <v>#N/A</v>
      </c>
      <c r="CG400" s="61" t="e">
        <f t="shared" si="91"/>
        <v>#N/A</v>
      </c>
      <c r="CH400" s="521">
        <f>AGO!AL15-CW400+CR400</f>
        <v>0</v>
      </c>
      <c r="CI400" s="228">
        <f>SUMIF(AGO!$G$121:$M$121,CI$178,AGO!$AM15:$AS15)+SUMIF($CS$178:$CV$178,CI$178,$CS400:$CV400)</f>
        <v>0</v>
      </c>
      <c r="CJ400" s="229">
        <f>SUMIF(AGO!$G$121:$M$121,CJ$178,AGO!$AM15:$AS15)+SUMIF($CS$178:$CV$178,CJ$178,$CS400:$CV400)</f>
        <v>0</v>
      </c>
      <c r="CK400" s="230">
        <f>SUMIF(AGO!$G$121:$M$121,CK$178,AGO!$AM15:$AS15)+SUMIF($CS$178:$CV$178,CK$178,$CS400:$CV400)</f>
        <v>0</v>
      </c>
      <c r="CL400" s="230">
        <f>SUMIF(AGO!$G$121:$M$121,CL$178,AGO!$AM15:$AS15)+SUMIF($CS$178:$CV$178,CL$178,$CS400:$CV400)</f>
        <v>0</v>
      </c>
      <c r="CM400" s="230">
        <f>SUMIF(AGO!$G$121:$M$121,CM$178,AGO!$AM15:$AS15)+SUMIF($CS$178:$CV$178,CM$178,$CS400:$CV400)</f>
        <v>0</v>
      </c>
      <c r="CN400" s="230">
        <f>SUMIF(AGO!$G$121:$M$121,CN$178,AGO!$AM15:$AS15)+SUMIF($CS$178:$CV$178,CN$178,$CS400:$CV400)</f>
        <v>0</v>
      </c>
      <c r="CO400" s="230">
        <f>SUMIF(AGO!$G$121:$M$121,CO$178,AGO!$AM15:$AS15)+SUMIF($CS$178:$CV$178,CO$178,$CS400:$CV400)</f>
        <v>0</v>
      </c>
      <c r="CP400" s="230">
        <f>SUMIF(AGO!$G$121:$M$121,CP$178,AGO!$AM15:$AS15)+SUMIF($CS$178:$CV$178,CP$178,$CS400:$CV400)</f>
        <v>0</v>
      </c>
      <c r="CQ400" s="231">
        <f>SUMIF(AGO!$G$121:$M$121,CQ$178,AGO!$AM15:$AS15)+SUMIF($CS$178:$CV$178,CQ$178,$CS400:$CV400)</f>
        <v>0</v>
      </c>
      <c r="CR400" s="521">
        <f>AGO!AU15</f>
        <v>0</v>
      </c>
      <c r="CS400" s="228">
        <f>AGO!AV15</f>
        <v>0</v>
      </c>
      <c r="CT400" s="229">
        <f>AGO!AW15</f>
        <v>0</v>
      </c>
      <c r="CU400" s="230">
        <f>AGO!AX15</f>
        <v>0</v>
      </c>
      <c r="CV400" s="231">
        <f>AGO!AY15</f>
        <v>0</v>
      </c>
      <c r="CW400" s="521">
        <f>SUM(AGO!AU15:AY15)</f>
        <v>0</v>
      </c>
      <c r="CX400" s="521">
        <f>AGO!AK15</f>
        <v>0</v>
      </c>
      <c r="CY400" s="2"/>
    </row>
    <row r="401" spans="1:103" ht="14.25" hidden="1" customHeight="1" x14ac:dyDescent="0.2">
      <c r="A401" s="2"/>
      <c r="B401" s="105">
        <f t="shared" si="92"/>
        <v>45513</v>
      </c>
      <c r="C401" s="146">
        <f>IF(AND(E401&gt;(N$558-1),E401&lt;(R$558+1)),W$551,IF(ISERROR(HLOOKUP(E401,$N$551:$U$551,1,FALSE)),HLOOKUP(WEEKDAY(E401,2),IMPOSTAZIONI!$C$52:$P$57,6,FALSE),$W$550))</f>
        <v>0</v>
      </c>
      <c r="D401" s="71" t="str">
        <f t="shared" si="93"/>
        <v/>
      </c>
      <c r="E401" s="2258">
        <f t="shared" si="98"/>
        <v>45513</v>
      </c>
      <c r="F401" s="2259"/>
      <c r="G401" s="2228" t="str">
        <f>AGO!E16</f>
        <v xml:space="preserve">disattivato  </v>
      </c>
      <c r="H401" s="2229"/>
      <c r="I401" s="2230"/>
      <c r="J401" s="262" t="str">
        <f t="shared" si="83"/>
        <v/>
      </c>
      <c r="K401" s="263"/>
      <c r="L401" s="2217">
        <f t="shared" si="99"/>
        <v>32</v>
      </c>
      <c r="M401" s="2218"/>
      <c r="N401" s="261"/>
      <c r="O401" s="261"/>
      <c r="P401" s="261"/>
      <c r="Q401" s="2219">
        <f t="shared" si="94"/>
        <v>45513</v>
      </c>
      <c r="R401" s="2219"/>
      <c r="S401" s="261"/>
      <c r="T401" s="1173">
        <f t="shared" si="84"/>
        <v>1</v>
      </c>
      <c r="U401" s="261"/>
      <c r="V401" s="261"/>
      <c r="W401" s="261"/>
      <c r="X401" s="261"/>
      <c r="Y401" s="261"/>
      <c r="Z401" s="261"/>
      <c r="AA401" s="261"/>
      <c r="AB401" s="261"/>
      <c r="AC401" s="261"/>
      <c r="AD401" s="261"/>
      <c r="AE401" s="261"/>
      <c r="AF401" s="261"/>
      <c r="AG401" s="1173">
        <f t="shared" si="95"/>
        <v>0</v>
      </c>
      <c r="AH401" s="61" t="str">
        <f t="shared" si="96"/>
        <v/>
      </c>
      <c r="AI401" s="89" t="e">
        <f t="shared" si="97"/>
        <v>#N/A</v>
      </c>
      <c r="AJ401" s="2"/>
      <c r="AK401" s="61">
        <f>IF(G401=G$547,0,IF(OR(G401&lt;&gt;0,CH401&lt;&gt;0,C401="L"),COUNTIF(AK$180:AK400,"&gt;0")+1,0))</f>
        <v>0</v>
      </c>
      <c r="AL401" s="61" t="str">
        <f t="shared" si="85"/>
        <v/>
      </c>
      <c r="AM401" s="61" t="e">
        <f t="shared" si="86"/>
        <v>#N/A</v>
      </c>
      <c r="AN401" s="89" t="e">
        <f t="shared" si="87"/>
        <v>#N/A</v>
      </c>
      <c r="AO401" s="230">
        <f>SUM(AGO!X16:AD16)-BD401+AY401</f>
        <v>0</v>
      </c>
      <c r="AP401" s="228">
        <f>SUMIF(AGO!$G$121:$M$121,AP$178,AGO!$P16:$V16)+SUMIF($AZ$178:$BC$178,AP$178,$AZ401:$BC401)</f>
        <v>0</v>
      </c>
      <c r="AQ401" s="229">
        <f>SUMIF(AGO!$G$121:$M$121,AQ$178,AGO!$P16:$V16)+SUMIF($AZ$178:$BC$178,AQ$178,$AZ401:$BC401)</f>
        <v>0</v>
      </c>
      <c r="AR401" s="230">
        <f>SUMIF(AGO!$G$121:$M$121,AR$178,AGO!$P16:$V16)+SUMIF($AZ$178:$BC$178,AR$178,$AZ401:$BC401)</f>
        <v>0</v>
      </c>
      <c r="AS401" s="230">
        <f>SUMIF(AGO!$G$121:$M$121,AS$178,AGO!$P16:$V16)+SUMIF($AZ$178:$BC$178,AS$178,$AZ401:$BC401)</f>
        <v>0</v>
      </c>
      <c r="AT401" s="230">
        <f>SUMIF(AGO!$G$121:$M$121,AT$178,AGO!$P16:$V16)+SUMIF($AZ$178:$BC$178,AT$178,$AZ401:$BC401)</f>
        <v>0</v>
      </c>
      <c r="AU401" s="230">
        <f>SUMIF(AGO!$G$121:$M$121,AU$178,AGO!$P16:$V16)+SUMIF($AZ$178:$BC$178,AU$178,$AZ401:$BC401)</f>
        <v>0</v>
      </c>
      <c r="AV401" s="230">
        <f>SUMIF(AGO!$G$121:$M$121,AV$178,AGO!$P16:$V16)+SUMIF($AZ$178:$BC$178,AV$178,$AZ401:$BC401)</f>
        <v>0</v>
      </c>
      <c r="AW401" s="230">
        <f>SUMIF(AGO!$G$121:$M$121,AW$178,AGO!$P16:$V16)+SUMIF($AZ$178:$BC$178,AW$178,$AZ401:$BC401)</f>
        <v>0</v>
      </c>
      <c r="AX401" s="231">
        <f>SUMIF(AGO!$G$121:$M$121,AX$178,AGO!$P16:$V16)+SUMIF($AZ$178:$BC$178,AX$178,$AZ401:$BC401)</f>
        <v>0</v>
      </c>
      <c r="AY401" s="232">
        <f>AGO!AF16</f>
        <v>0</v>
      </c>
      <c r="AZ401" s="228">
        <f>AGO!AG16</f>
        <v>0</v>
      </c>
      <c r="BA401" s="229">
        <f>AGO!AH16</f>
        <v>0</v>
      </c>
      <c r="BB401" s="230">
        <f>AGO!AI16</f>
        <v>0</v>
      </c>
      <c r="BC401" s="231">
        <f>AGO!AJ16</f>
        <v>0</v>
      </c>
      <c r="BD401" s="228">
        <f>SUMIF(AGO!$G$120:$M$120,"&gt;0",AGO!$X16:$AD16)</f>
        <v>0</v>
      </c>
      <c r="BE401" s="696"/>
      <c r="BF401" s="228">
        <f>SUMIF(AGO!$BA$6:$BG$6,BF$177,AGO!$BA16:$BG16)</f>
        <v>0</v>
      </c>
      <c r="BG401" s="229">
        <f>SUMIF(AGO!$BA$6:$BG$6,BG$177,AGO!$BA16:$BG16)</f>
        <v>0</v>
      </c>
      <c r="BH401" s="229">
        <f>SUMIF(AGO!$BA$6:$BG$6,BH$177,AGO!$BA16:$BG16)</f>
        <v>0</v>
      </c>
      <c r="BI401" s="229">
        <f>SUMIF(AGO!$BA$6:$BG$6,BI$177,AGO!$BA16:$BG16)</f>
        <v>0</v>
      </c>
      <c r="BJ401" s="229">
        <f>SUMIF(AGO!$BA$6:$BG$6,BJ$177,AGO!$BA16:$BG16)</f>
        <v>0</v>
      </c>
      <c r="BK401" s="229">
        <f>SUMIF(AGO!$BA$6:$BG$6,BK$177,AGO!$BA16:$BG16)</f>
        <v>0</v>
      </c>
      <c r="BL401" s="229">
        <f>SUMIF(AGO!$BA$6:$BG$6,BL$177,AGO!$BA16:$BG16)</f>
        <v>0</v>
      </c>
      <c r="BM401" s="229">
        <f>SUMIF(AGO!$BA$6:$BG$6,BM$177,AGO!$BA16:$BG16)</f>
        <v>0</v>
      </c>
      <c r="BN401" s="229">
        <f>SUMIF(AGO!$BA$6:$BG$6,BN$177,AGO!$BA16:$BG16)</f>
        <v>0</v>
      </c>
      <c r="BO401" s="231">
        <f>SUMIF(AGO!$BA$6:$BG$6,BO$177,AGO!$BA16:$BG16)</f>
        <v>0</v>
      </c>
      <c r="BP401" s="231">
        <f>SUMIF(AGO!$BA$6:$BG$6,BP$177,AGO!$BA16:$BG16)</f>
        <v>0</v>
      </c>
      <c r="BQ401" s="252"/>
      <c r="BR401" s="228">
        <f>SUMIF(AGO!$BA$5:$BG$5,BR$177,AGO!$BA16:$BG16)</f>
        <v>0</v>
      </c>
      <c r="BS401" s="229">
        <f>SUMIF(AGO!$BA$5:$BG$5,BS$177,AGO!$BA16:$BG16)</f>
        <v>0</v>
      </c>
      <c r="BT401" s="229">
        <f>SUMIF(AGO!$BA$5:$BG$5,BT$177,AGO!$BA16:$BG16)</f>
        <v>0</v>
      </c>
      <c r="BU401" s="229">
        <f>SUMIF(AGO!$BA$5:$BG$5,BU$177,AGO!$BA16:$BG16)</f>
        <v>0</v>
      </c>
      <c r="BV401" s="229">
        <f>SUMIF(AGO!$BA$5:$BG$5,BV$177,AGO!$BA16:$BG16)</f>
        <v>0</v>
      </c>
      <c r="BW401" s="229">
        <f>SUMIF(AGO!$BA$5:$BG$5,BW$177,AGO!$BA16:$BG16)</f>
        <v>0</v>
      </c>
      <c r="BX401" s="230">
        <f>SUMIF(AGO!$BA$5:$BG$5,BX$177,AGO!$BA16:$BG16)</f>
        <v>0</v>
      </c>
      <c r="BY401" s="998">
        <f>SUMIF(AGO!$BA$5:$BG$5,BY$177,AGO!$BA16:$BG16)</f>
        <v>0</v>
      </c>
      <c r="CB401" s="252"/>
      <c r="CC401" s="61" t="e">
        <f t="shared" si="88"/>
        <v>#N/A</v>
      </c>
      <c r="CD401" s="61">
        <f t="shared" si="89"/>
        <v>0</v>
      </c>
      <c r="CE401" s="105" t="str">
        <f t="shared" si="82"/>
        <v/>
      </c>
      <c r="CF401" s="61" t="e">
        <f t="shared" si="90"/>
        <v>#N/A</v>
      </c>
      <c r="CG401" s="61" t="e">
        <f t="shared" si="91"/>
        <v>#N/A</v>
      </c>
      <c r="CH401" s="521">
        <f>AGO!AL16-CW401+CR401</f>
        <v>0</v>
      </c>
      <c r="CI401" s="228">
        <f>SUMIF(AGO!$G$121:$M$121,CI$178,AGO!$AM16:$AS16)+SUMIF($CS$178:$CV$178,CI$178,$CS401:$CV401)</f>
        <v>0</v>
      </c>
      <c r="CJ401" s="229">
        <f>SUMIF(AGO!$G$121:$M$121,CJ$178,AGO!$AM16:$AS16)+SUMIF($CS$178:$CV$178,CJ$178,$CS401:$CV401)</f>
        <v>0</v>
      </c>
      <c r="CK401" s="230">
        <f>SUMIF(AGO!$G$121:$M$121,CK$178,AGO!$AM16:$AS16)+SUMIF($CS$178:$CV$178,CK$178,$CS401:$CV401)</f>
        <v>0</v>
      </c>
      <c r="CL401" s="230">
        <f>SUMIF(AGO!$G$121:$M$121,CL$178,AGO!$AM16:$AS16)+SUMIF($CS$178:$CV$178,CL$178,$CS401:$CV401)</f>
        <v>0</v>
      </c>
      <c r="CM401" s="230">
        <f>SUMIF(AGO!$G$121:$M$121,CM$178,AGO!$AM16:$AS16)+SUMIF($CS$178:$CV$178,CM$178,$CS401:$CV401)</f>
        <v>0</v>
      </c>
      <c r="CN401" s="230">
        <f>SUMIF(AGO!$G$121:$M$121,CN$178,AGO!$AM16:$AS16)+SUMIF($CS$178:$CV$178,CN$178,$CS401:$CV401)</f>
        <v>0</v>
      </c>
      <c r="CO401" s="230">
        <f>SUMIF(AGO!$G$121:$M$121,CO$178,AGO!$AM16:$AS16)+SUMIF($CS$178:$CV$178,CO$178,$CS401:$CV401)</f>
        <v>0</v>
      </c>
      <c r="CP401" s="230">
        <f>SUMIF(AGO!$G$121:$M$121,CP$178,AGO!$AM16:$AS16)+SUMIF($CS$178:$CV$178,CP$178,$CS401:$CV401)</f>
        <v>0</v>
      </c>
      <c r="CQ401" s="231">
        <f>SUMIF(AGO!$G$121:$M$121,CQ$178,AGO!$AM16:$AS16)+SUMIF($CS$178:$CV$178,CQ$178,$CS401:$CV401)</f>
        <v>0</v>
      </c>
      <c r="CR401" s="521">
        <f>AGO!AU16</f>
        <v>0</v>
      </c>
      <c r="CS401" s="228">
        <f>AGO!AV16</f>
        <v>0</v>
      </c>
      <c r="CT401" s="229">
        <f>AGO!AW16</f>
        <v>0</v>
      </c>
      <c r="CU401" s="230">
        <f>AGO!AX16</f>
        <v>0</v>
      </c>
      <c r="CV401" s="231">
        <f>AGO!AY16</f>
        <v>0</v>
      </c>
      <c r="CW401" s="521">
        <f>SUM(AGO!AU16:AY16)</f>
        <v>0</v>
      </c>
      <c r="CX401" s="521">
        <f>AGO!AK16</f>
        <v>0</v>
      </c>
      <c r="CY401" s="2"/>
    </row>
    <row r="402" spans="1:103" ht="14.25" hidden="1" customHeight="1" x14ac:dyDescent="0.2">
      <c r="A402" s="2"/>
      <c r="B402" s="105">
        <f t="shared" si="92"/>
        <v>45514</v>
      </c>
      <c r="C402" s="146">
        <f>IF(AND(E402&gt;(N$558-1),E402&lt;(R$558+1)),W$551,IF(ISERROR(HLOOKUP(E402,$N$551:$U$551,1,FALSE)),HLOOKUP(WEEKDAY(E402,2),IMPOSTAZIONI!$C$52:$P$57,6,FALSE),$W$550))</f>
        <v>0</v>
      </c>
      <c r="D402" s="71" t="str">
        <f t="shared" si="93"/>
        <v/>
      </c>
      <c r="E402" s="2258">
        <f t="shared" si="98"/>
        <v>45514</v>
      </c>
      <c r="F402" s="2259"/>
      <c r="G402" s="2228" t="str">
        <f>AGO!E17</f>
        <v xml:space="preserve">disattivato  </v>
      </c>
      <c r="H402" s="2229"/>
      <c r="I402" s="2230"/>
      <c r="J402" s="262" t="str">
        <f t="shared" si="83"/>
        <v/>
      </c>
      <c r="K402" s="263"/>
      <c r="L402" s="2217">
        <f t="shared" si="99"/>
        <v>32</v>
      </c>
      <c r="M402" s="2218"/>
      <c r="N402" s="261"/>
      <c r="O402" s="261"/>
      <c r="P402" s="261"/>
      <c r="Q402" s="2219">
        <f t="shared" si="94"/>
        <v>45514</v>
      </c>
      <c r="R402" s="2219"/>
      <c r="S402" s="261"/>
      <c r="T402" s="1173">
        <f t="shared" si="84"/>
        <v>1</v>
      </c>
      <c r="U402" s="261"/>
      <c r="V402" s="261"/>
      <c r="W402" s="261"/>
      <c r="X402" s="261"/>
      <c r="Y402" s="261"/>
      <c r="Z402" s="261"/>
      <c r="AA402" s="261"/>
      <c r="AB402" s="261"/>
      <c r="AC402" s="261"/>
      <c r="AD402" s="261"/>
      <c r="AE402" s="261"/>
      <c r="AF402" s="261"/>
      <c r="AG402" s="1173">
        <f t="shared" si="95"/>
        <v>0</v>
      </c>
      <c r="AH402" s="61" t="str">
        <f t="shared" si="96"/>
        <v/>
      </c>
      <c r="AI402" s="89" t="e">
        <f t="shared" si="97"/>
        <v>#N/A</v>
      </c>
      <c r="AJ402" s="2"/>
      <c r="AK402" s="61">
        <f>IF(G402=G$547,0,IF(OR(G402&lt;&gt;0,CH402&lt;&gt;0,C402="L"),COUNTIF(AK$180:AK401,"&gt;0")+1,0))</f>
        <v>0</v>
      </c>
      <c r="AL402" s="61" t="str">
        <f t="shared" si="85"/>
        <v/>
      </c>
      <c r="AM402" s="61" t="e">
        <f t="shared" si="86"/>
        <v>#N/A</v>
      </c>
      <c r="AN402" s="89" t="e">
        <f t="shared" si="87"/>
        <v>#N/A</v>
      </c>
      <c r="AO402" s="230">
        <f>SUM(AGO!X17:AD17)-BD402+AY402</f>
        <v>0</v>
      </c>
      <c r="AP402" s="228">
        <f>SUMIF(AGO!$G$121:$M$121,AP$178,AGO!$P17:$V17)+SUMIF($AZ$178:$BC$178,AP$178,$AZ402:$BC402)</f>
        <v>0</v>
      </c>
      <c r="AQ402" s="229">
        <f>SUMIF(AGO!$G$121:$M$121,AQ$178,AGO!$P17:$V17)+SUMIF($AZ$178:$BC$178,AQ$178,$AZ402:$BC402)</f>
        <v>0</v>
      </c>
      <c r="AR402" s="230">
        <f>SUMIF(AGO!$G$121:$M$121,AR$178,AGO!$P17:$V17)+SUMIF($AZ$178:$BC$178,AR$178,$AZ402:$BC402)</f>
        <v>0</v>
      </c>
      <c r="AS402" s="230">
        <f>SUMIF(AGO!$G$121:$M$121,AS$178,AGO!$P17:$V17)+SUMIF($AZ$178:$BC$178,AS$178,$AZ402:$BC402)</f>
        <v>0</v>
      </c>
      <c r="AT402" s="230">
        <f>SUMIF(AGO!$G$121:$M$121,AT$178,AGO!$P17:$V17)+SUMIF($AZ$178:$BC$178,AT$178,$AZ402:$BC402)</f>
        <v>0</v>
      </c>
      <c r="AU402" s="230">
        <f>SUMIF(AGO!$G$121:$M$121,AU$178,AGO!$P17:$V17)+SUMIF($AZ$178:$BC$178,AU$178,$AZ402:$BC402)</f>
        <v>0</v>
      </c>
      <c r="AV402" s="230">
        <f>SUMIF(AGO!$G$121:$M$121,AV$178,AGO!$P17:$V17)+SUMIF($AZ$178:$BC$178,AV$178,$AZ402:$BC402)</f>
        <v>0</v>
      </c>
      <c r="AW402" s="230">
        <f>SUMIF(AGO!$G$121:$M$121,AW$178,AGO!$P17:$V17)+SUMIF($AZ$178:$BC$178,AW$178,$AZ402:$BC402)</f>
        <v>0</v>
      </c>
      <c r="AX402" s="231">
        <f>SUMIF(AGO!$G$121:$M$121,AX$178,AGO!$P17:$V17)+SUMIF($AZ$178:$BC$178,AX$178,$AZ402:$BC402)</f>
        <v>0</v>
      </c>
      <c r="AY402" s="232">
        <f>AGO!AF17</f>
        <v>0</v>
      </c>
      <c r="AZ402" s="228">
        <f>AGO!AG17</f>
        <v>0</v>
      </c>
      <c r="BA402" s="229">
        <f>AGO!AH17</f>
        <v>0</v>
      </c>
      <c r="BB402" s="230">
        <f>AGO!AI17</f>
        <v>0</v>
      </c>
      <c r="BC402" s="231">
        <f>AGO!AJ17</f>
        <v>0</v>
      </c>
      <c r="BD402" s="228">
        <f>SUMIF(AGO!$G$120:$M$120,"&gt;0",AGO!$X17:$AD17)</f>
        <v>0</v>
      </c>
      <c r="BE402" s="696"/>
      <c r="BF402" s="228">
        <f>SUMIF(AGO!$BA$6:$BG$6,BF$177,AGO!$BA17:$BG17)</f>
        <v>0</v>
      </c>
      <c r="BG402" s="229">
        <f>SUMIF(AGO!$BA$6:$BG$6,BG$177,AGO!$BA17:$BG17)</f>
        <v>0</v>
      </c>
      <c r="BH402" s="229">
        <f>SUMIF(AGO!$BA$6:$BG$6,BH$177,AGO!$BA17:$BG17)</f>
        <v>0</v>
      </c>
      <c r="BI402" s="229">
        <f>SUMIF(AGO!$BA$6:$BG$6,BI$177,AGO!$BA17:$BG17)</f>
        <v>0</v>
      </c>
      <c r="BJ402" s="229">
        <f>SUMIF(AGO!$BA$6:$BG$6,BJ$177,AGO!$BA17:$BG17)</f>
        <v>0</v>
      </c>
      <c r="BK402" s="229">
        <f>SUMIF(AGO!$BA$6:$BG$6,BK$177,AGO!$BA17:$BG17)</f>
        <v>0</v>
      </c>
      <c r="BL402" s="229">
        <f>SUMIF(AGO!$BA$6:$BG$6,BL$177,AGO!$BA17:$BG17)</f>
        <v>0</v>
      </c>
      <c r="BM402" s="229">
        <f>SUMIF(AGO!$BA$6:$BG$6,BM$177,AGO!$BA17:$BG17)</f>
        <v>0</v>
      </c>
      <c r="BN402" s="229">
        <f>SUMIF(AGO!$BA$6:$BG$6,BN$177,AGO!$BA17:$BG17)</f>
        <v>0</v>
      </c>
      <c r="BO402" s="231">
        <f>SUMIF(AGO!$BA$6:$BG$6,BO$177,AGO!$BA17:$BG17)</f>
        <v>0</v>
      </c>
      <c r="BP402" s="231">
        <f>SUMIF(AGO!$BA$6:$BG$6,BP$177,AGO!$BA17:$BG17)</f>
        <v>0</v>
      </c>
      <c r="BQ402" s="252"/>
      <c r="BR402" s="228">
        <f>SUMIF(AGO!$BA$5:$BG$5,BR$177,AGO!$BA17:$BG17)</f>
        <v>0</v>
      </c>
      <c r="BS402" s="229">
        <f>SUMIF(AGO!$BA$5:$BG$5,BS$177,AGO!$BA17:$BG17)</f>
        <v>0</v>
      </c>
      <c r="BT402" s="229">
        <f>SUMIF(AGO!$BA$5:$BG$5,BT$177,AGO!$BA17:$BG17)</f>
        <v>0</v>
      </c>
      <c r="BU402" s="229">
        <f>SUMIF(AGO!$BA$5:$BG$5,BU$177,AGO!$BA17:$BG17)</f>
        <v>0</v>
      </c>
      <c r="BV402" s="229">
        <f>SUMIF(AGO!$BA$5:$BG$5,BV$177,AGO!$BA17:$BG17)</f>
        <v>0</v>
      </c>
      <c r="BW402" s="229">
        <f>SUMIF(AGO!$BA$5:$BG$5,BW$177,AGO!$BA17:$BG17)</f>
        <v>0</v>
      </c>
      <c r="BX402" s="230">
        <f>SUMIF(AGO!$BA$5:$BG$5,BX$177,AGO!$BA17:$BG17)</f>
        <v>0</v>
      </c>
      <c r="BY402" s="998">
        <f>SUMIF(AGO!$BA$5:$BG$5,BY$177,AGO!$BA17:$BG17)</f>
        <v>0</v>
      </c>
      <c r="CB402" s="252"/>
      <c r="CC402" s="61" t="e">
        <f t="shared" si="88"/>
        <v>#N/A</v>
      </c>
      <c r="CD402" s="61">
        <f t="shared" si="89"/>
        <v>0</v>
      </c>
      <c r="CE402" s="105" t="str">
        <f t="shared" si="82"/>
        <v/>
      </c>
      <c r="CF402" s="61" t="e">
        <f t="shared" si="90"/>
        <v>#N/A</v>
      </c>
      <c r="CG402" s="61" t="e">
        <f t="shared" si="91"/>
        <v>#N/A</v>
      </c>
      <c r="CH402" s="521">
        <f>AGO!AL17-CW402+CR402</f>
        <v>0</v>
      </c>
      <c r="CI402" s="228">
        <f>SUMIF(AGO!$G$121:$M$121,CI$178,AGO!$AM17:$AS17)+SUMIF($CS$178:$CV$178,CI$178,$CS402:$CV402)</f>
        <v>0</v>
      </c>
      <c r="CJ402" s="229">
        <f>SUMIF(AGO!$G$121:$M$121,CJ$178,AGO!$AM17:$AS17)+SUMIF($CS$178:$CV$178,CJ$178,$CS402:$CV402)</f>
        <v>0</v>
      </c>
      <c r="CK402" s="230">
        <f>SUMIF(AGO!$G$121:$M$121,CK$178,AGO!$AM17:$AS17)+SUMIF($CS$178:$CV$178,CK$178,$CS402:$CV402)</f>
        <v>0</v>
      </c>
      <c r="CL402" s="230">
        <f>SUMIF(AGO!$G$121:$M$121,CL$178,AGO!$AM17:$AS17)+SUMIF($CS$178:$CV$178,CL$178,$CS402:$CV402)</f>
        <v>0</v>
      </c>
      <c r="CM402" s="230">
        <f>SUMIF(AGO!$G$121:$M$121,CM$178,AGO!$AM17:$AS17)+SUMIF($CS$178:$CV$178,CM$178,$CS402:$CV402)</f>
        <v>0</v>
      </c>
      <c r="CN402" s="230">
        <f>SUMIF(AGO!$G$121:$M$121,CN$178,AGO!$AM17:$AS17)+SUMIF($CS$178:$CV$178,CN$178,$CS402:$CV402)</f>
        <v>0</v>
      </c>
      <c r="CO402" s="230">
        <f>SUMIF(AGO!$G$121:$M$121,CO$178,AGO!$AM17:$AS17)+SUMIF($CS$178:$CV$178,CO$178,$CS402:$CV402)</f>
        <v>0</v>
      </c>
      <c r="CP402" s="230">
        <f>SUMIF(AGO!$G$121:$M$121,CP$178,AGO!$AM17:$AS17)+SUMIF($CS$178:$CV$178,CP$178,$CS402:$CV402)</f>
        <v>0</v>
      </c>
      <c r="CQ402" s="231">
        <f>SUMIF(AGO!$G$121:$M$121,CQ$178,AGO!$AM17:$AS17)+SUMIF($CS$178:$CV$178,CQ$178,$CS402:$CV402)</f>
        <v>0</v>
      </c>
      <c r="CR402" s="521">
        <f>AGO!AU17</f>
        <v>0</v>
      </c>
      <c r="CS402" s="228">
        <f>AGO!AV17</f>
        <v>0</v>
      </c>
      <c r="CT402" s="229">
        <f>AGO!AW17</f>
        <v>0</v>
      </c>
      <c r="CU402" s="230">
        <f>AGO!AX17</f>
        <v>0</v>
      </c>
      <c r="CV402" s="231">
        <f>AGO!AY17</f>
        <v>0</v>
      </c>
      <c r="CW402" s="521">
        <f>SUM(AGO!AU17:AY17)</f>
        <v>0</v>
      </c>
      <c r="CX402" s="521">
        <f>AGO!AK17</f>
        <v>0</v>
      </c>
      <c r="CY402" s="2"/>
    </row>
    <row r="403" spans="1:103" ht="14.25" hidden="1" customHeight="1" x14ac:dyDescent="0.2">
      <c r="A403" s="2"/>
      <c r="B403" s="105">
        <f t="shared" si="92"/>
        <v>45515</v>
      </c>
      <c r="C403" s="146">
        <f>IF(AND(E403&gt;(N$558-1),E403&lt;(R$558+1)),W$551,IF(ISERROR(HLOOKUP(E403,$N$551:$U$551,1,FALSE)),HLOOKUP(WEEKDAY(E403,2),IMPOSTAZIONI!$C$52:$P$57,6,FALSE),$W$550))</f>
        <v>0</v>
      </c>
      <c r="D403" s="71" t="str">
        <f t="shared" si="93"/>
        <v/>
      </c>
      <c r="E403" s="2258">
        <f t="shared" si="98"/>
        <v>45515</v>
      </c>
      <c r="F403" s="2259"/>
      <c r="G403" s="2228" t="str">
        <f>AGO!E18</f>
        <v xml:space="preserve">disattivato  </v>
      </c>
      <c r="H403" s="2229"/>
      <c r="I403" s="2230"/>
      <c r="J403" s="262" t="str">
        <f t="shared" si="83"/>
        <v/>
      </c>
      <c r="K403" s="263"/>
      <c r="L403" s="2220">
        <f t="shared" si="99"/>
        <v>32</v>
      </c>
      <c r="M403" s="2221"/>
      <c r="N403" s="261"/>
      <c r="O403" s="261"/>
      <c r="P403" s="261"/>
      <c r="Q403" s="2219">
        <f t="shared" si="94"/>
        <v>45515</v>
      </c>
      <c r="R403" s="2219"/>
      <c r="S403" s="261"/>
      <c r="T403" s="1173">
        <f t="shared" si="84"/>
        <v>1</v>
      </c>
      <c r="U403" s="261"/>
      <c r="V403" s="261"/>
      <c r="W403" s="261"/>
      <c r="X403" s="261"/>
      <c r="Y403" s="261"/>
      <c r="Z403" s="261"/>
      <c r="AA403" s="261"/>
      <c r="AB403" s="261"/>
      <c r="AC403" s="261"/>
      <c r="AD403" s="261"/>
      <c r="AE403" s="261"/>
      <c r="AF403" s="261"/>
      <c r="AG403" s="1173">
        <f t="shared" si="95"/>
        <v>0</v>
      </c>
      <c r="AH403" s="61" t="str">
        <f t="shared" si="96"/>
        <v/>
      </c>
      <c r="AI403" s="89" t="e">
        <f t="shared" si="97"/>
        <v>#N/A</v>
      </c>
      <c r="AJ403" s="2"/>
      <c r="AK403" s="61">
        <f>IF(G403=G$547,0,IF(OR(G403&lt;&gt;0,CH403&lt;&gt;0,C403="L"),COUNTIF(AK$180:AK402,"&gt;0")+1,0))</f>
        <v>0</v>
      </c>
      <c r="AL403" s="61" t="str">
        <f t="shared" si="85"/>
        <v/>
      </c>
      <c r="AM403" s="61" t="e">
        <f t="shared" si="86"/>
        <v>#N/A</v>
      </c>
      <c r="AN403" s="89" t="e">
        <f t="shared" si="87"/>
        <v>#N/A</v>
      </c>
      <c r="AO403" s="230">
        <f>SUM(AGO!X18:AD18)-BD403+AY403</f>
        <v>0</v>
      </c>
      <c r="AP403" s="228">
        <f>SUMIF(AGO!$G$121:$M$121,AP$178,AGO!$P18:$V18)+SUMIF($AZ$178:$BC$178,AP$178,$AZ403:$BC403)</f>
        <v>0</v>
      </c>
      <c r="AQ403" s="229">
        <f>SUMIF(AGO!$G$121:$M$121,AQ$178,AGO!$P18:$V18)+SUMIF($AZ$178:$BC$178,AQ$178,$AZ403:$BC403)</f>
        <v>0</v>
      </c>
      <c r="AR403" s="230">
        <f>SUMIF(AGO!$G$121:$M$121,AR$178,AGO!$P18:$V18)+SUMIF($AZ$178:$BC$178,AR$178,$AZ403:$BC403)</f>
        <v>0</v>
      </c>
      <c r="AS403" s="230">
        <f>SUMIF(AGO!$G$121:$M$121,AS$178,AGO!$P18:$V18)+SUMIF($AZ$178:$BC$178,AS$178,$AZ403:$BC403)</f>
        <v>0</v>
      </c>
      <c r="AT403" s="230">
        <f>SUMIF(AGO!$G$121:$M$121,AT$178,AGO!$P18:$V18)+SUMIF($AZ$178:$BC$178,AT$178,$AZ403:$BC403)</f>
        <v>0</v>
      </c>
      <c r="AU403" s="230">
        <f>SUMIF(AGO!$G$121:$M$121,AU$178,AGO!$P18:$V18)+SUMIF($AZ$178:$BC$178,AU$178,$AZ403:$BC403)</f>
        <v>0</v>
      </c>
      <c r="AV403" s="230">
        <f>SUMIF(AGO!$G$121:$M$121,AV$178,AGO!$P18:$V18)+SUMIF($AZ$178:$BC$178,AV$178,$AZ403:$BC403)</f>
        <v>0</v>
      </c>
      <c r="AW403" s="230">
        <f>SUMIF(AGO!$G$121:$M$121,AW$178,AGO!$P18:$V18)+SUMIF($AZ$178:$BC$178,AW$178,$AZ403:$BC403)</f>
        <v>0</v>
      </c>
      <c r="AX403" s="231">
        <f>SUMIF(AGO!$G$121:$M$121,AX$178,AGO!$P18:$V18)+SUMIF($AZ$178:$BC$178,AX$178,$AZ403:$BC403)</f>
        <v>0</v>
      </c>
      <c r="AY403" s="232">
        <f>AGO!AF18</f>
        <v>0</v>
      </c>
      <c r="AZ403" s="228">
        <f>AGO!AG18</f>
        <v>0</v>
      </c>
      <c r="BA403" s="229">
        <f>AGO!AH18</f>
        <v>0</v>
      </c>
      <c r="BB403" s="230">
        <f>AGO!AI18</f>
        <v>0</v>
      </c>
      <c r="BC403" s="231">
        <f>AGO!AJ18</f>
        <v>0</v>
      </c>
      <c r="BD403" s="228">
        <f>SUMIF(AGO!$G$120:$M$120,"&gt;0",AGO!$X18:$AD18)</f>
        <v>0</v>
      </c>
      <c r="BE403" s="696"/>
      <c r="BF403" s="228">
        <f>SUMIF(AGO!$BA$6:$BG$6,BF$177,AGO!$BA18:$BG18)</f>
        <v>0</v>
      </c>
      <c r="BG403" s="229">
        <f>SUMIF(AGO!$BA$6:$BG$6,BG$177,AGO!$BA18:$BG18)</f>
        <v>0</v>
      </c>
      <c r="BH403" s="229">
        <f>SUMIF(AGO!$BA$6:$BG$6,BH$177,AGO!$BA18:$BG18)</f>
        <v>0</v>
      </c>
      <c r="BI403" s="229">
        <f>SUMIF(AGO!$BA$6:$BG$6,BI$177,AGO!$BA18:$BG18)</f>
        <v>0</v>
      </c>
      <c r="BJ403" s="229">
        <f>SUMIF(AGO!$BA$6:$BG$6,BJ$177,AGO!$BA18:$BG18)</f>
        <v>0</v>
      </c>
      <c r="BK403" s="229">
        <f>SUMIF(AGO!$BA$6:$BG$6,BK$177,AGO!$BA18:$BG18)</f>
        <v>0</v>
      </c>
      <c r="BL403" s="229">
        <f>SUMIF(AGO!$BA$6:$BG$6,BL$177,AGO!$BA18:$BG18)</f>
        <v>0</v>
      </c>
      <c r="BM403" s="229">
        <f>SUMIF(AGO!$BA$6:$BG$6,BM$177,AGO!$BA18:$BG18)</f>
        <v>0</v>
      </c>
      <c r="BN403" s="229">
        <f>SUMIF(AGO!$BA$6:$BG$6,BN$177,AGO!$BA18:$BG18)</f>
        <v>0</v>
      </c>
      <c r="BO403" s="231">
        <f>SUMIF(AGO!$BA$6:$BG$6,BO$177,AGO!$BA18:$BG18)</f>
        <v>0</v>
      </c>
      <c r="BP403" s="231">
        <f>SUMIF(AGO!$BA$6:$BG$6,BP$177,AGO!$BA18:$BG18)</f>
        <v>0</v>
      </c>
      <c r="BQ403" s="252"/>
      <c r="BR403" s="228">
        <f>SUMIF(AGO!$BA$5:$BG$5,BR$177,AGO!$BA18:$BG18)</f>
        <v>0</v>
      </c>
      <c r="BS403" s="229">
        <f>SUMIF(AGO!$BA$5:$BG$5,BS$177,AGO!$BA18:$BG18)</f>
        <v>0</v>
      </c>
      <c r="BT403" s="229">
        <f>SUMIF(AGO!$BA$5:$BG$5,BT$177,AGO!$BA18:$BG18)</f>
        <v>0</v>
      </c>
      <c r="BU403" s="229">
        <f>SUMIF(AGO!$BA$5:$BG$5,BU$177,AGO!$BA18:$BG18)</f>
        <v>0</v>
      </c>
      <c r="BV403" s="229">
        <f>SUMIF(AGO!$BA$5:$BG$5,BV$177,AGO!$BA18:$BG18)</f>
        <v>0</v>
      </c>
      <c r="BW403" s="229">
        <f>SUMIF(AGO!$BA$5:$BG$5,BW$177,AGO!$BA18:$BG18)</f>
        <v>0</v>
      </c>
      <c r="BX403" s="230">
        <f>SUMIF(AGO!$BA$5:$BG$5,BX$177,AGO!$BA18:$BG18)</f>
        <v>0</v>
      </c>
      <c r="BY403" s="998">
        <f>SUMIF(AGO!$BA$5:$BG$5,BY$177,AGO!$BA18:$BG18)</f>
        <v>0</v>
      </c>
      <c r="CB403" s="252"/>
      <c r="CC403" s="61" t="e">
        <f t="shared" si="88"/>
        <v>#N/A</v>
      </c>
      <c r="CD403" s="61">
        <f t="shared" si="89"/>
        <v>0</v>
      </c>
      <c r="CE403" s="105" t="str">
        <f t="shared" si="82"/>
        <v/>
      </c>
      <c r="CF403" s="61" t="e">
        <f t="shared" si="90"/>
        <v>#N/A</v>
      </c>
      <c r="CG403" s="61" t="e">
        <f t="shared" si="91"/>
        <v>#N/A</v>
      </c>
      <c r="CH403" s="521">
        <f>AGO!AL18-CW403+CR403</f>
        <v>0</v>
      </c>
      <c r="CI403" s="228">
        <f>SUMIF(AGO!$G$121:$M$121,CI$178,AGO!$AM18:$AS18)+SUMIF($CS$178:$CV$178,CI$178,$CS403:$CV403)</f>
        <v>0</v>
      </c>
      <c r="CJ403" s="229">
        <f>SUMIF(AGO!$G$121:$M$121,CJ$178,AGO!$AM18:$AS18)+SUMIF($CS$178:$CV$178,CJ$178,$CS403:$CV403)</f>
        <v>0</v>
      </c>
      <c r="CK403" s="230">
        <f>SUMIF(AGO!$G$121:$M$121,CK$178,AGO!$AM18:$AS18)+SUMIF($CS$178:$CV$178,CK$178,$CS403:$CV403)</f>
        <v>0</v>
      </c>
      <c r="CL403" s="230">
        <f>SUMIF(AGO!$G$121:$M$121,CL$178,AGO!$AM18:$AS18)+SUMIF($CS$178:$CV$178,CL$178,$CS403:$CV403)</f>
        <v>0</v>
      </c>
      <c r="CM403" s="230">
        <f>SUMIF(AGO!$G$121:$M$121,CM$178,AGO!$AM18:$AS18)+SUMIF($CS$178:$CV$178,CM$178,$CS403:$CV403)</f>
        <v>0</v>
      </c>
      <c r="CN403" s="230">
        <f>SUMIF(AGO!$G$121:$M$121,CN$178,AGO!$AM18:$AS18)+SUMIF($CS$178:$CV$178,CN$178,$CS403:$CV403)</f>
        <v>0</v>
      </c>
      <c r="CO403" s="230">
        <f>SUMIF(AGO!$G$121:$M$121,CO$178,AGO!$AM18:$AS18)+SUMIF($CS$178:$CV$178,CO$178,$CS403:$CV403)</f>
        <v>0</v>
      </c>
      <c r="CP403" s="230">
        <f>SUMIF(AGO!$G$121:$M$121,CP$178,AGO!$AM18:$AS18)+SUMIF($CS$178:$CV$178,CP$178,$CS403:$CV403)</f>
        <v>0</v>
      </c>
      <c r="CQ403" s="231">
        <f>SUMIF(AGO!$G$121:$M$121,CQ$178,AGO!$AM18:$AS18)+SUMIF($CS$178:$CV$178,CQ$178,$CS403:$CV403)</f>
        <v>0</v>
      </c>
      <c r="CR403" s="521">
        <f>AGO!AU18</f>
        <v>0</v>
      </c>
      <c r="CS403" s="228">
        <f>AGO!AV18</f>
        <v>0</v>
      </c>
      <c r="CT403" s="229">
        <f>AGO!AW18</f>
        <v>0</v>
      </c>
      <c r="CU403" s="230">
        <f>AGO!AX18</f>
        <v>0</v>
      </c>
      <c r="CV403" s="231">
        <f>AGO!AY18</f>
        <v>0</v>
      </c>
      <c r="CW403" s="521">
        <f>SUM(AGO!AU18:AY18)</f>
        <v>0</v>
      </c>
      <c r="CX403" s="521">
        <f>AGO!AK18</f>
        <v>0</v>
      </c>
      <c r="CY403" s="2"/>
    </row>
    <row r="404" spans="1:103" ht="14.25" hidden="1" customHeight="1" x14ac:dyDescent="0.2">
      <c r="A404" s="2"/>
      <c r="B404" s="105">
        <f t="shared" si="92"/>
        <v>45516</v>
      </c>
      <c r="C404" s="146">
        <f>IF(AND(E404&gt;(N$558-1),E404&lt;(R$558+1)),W$551,IF(ISERROR(HLOOKUP(E404,$N$551:$U$551,1,FALSE)),HLOOKUP(WEEKDAY(E404,2),IMPOSTAZIONI!$C$52:$P$57,6,FALSE),$W$550))</f>
        <v>0</v>
      </c>
      <c r="D404" s="71" t="str">
        <f t="shared" si="93"/>
        <v/>
      </c>
      <c r="E404" s="2258">
        <f t="shared" si="98"/>
        <v>45516</v>
      </c>
      <c r="F404" s="2259"/>
      <c r="G404" s="2228" t="str">
        <f>AGO!E19</f>
        <v xml:space="preserve">disattivato  </v>
      </c>
      <c r="H404" s="2229"/>
      <c r="I404" s="2230"/>
      <c r="J404" s="262" t="str">
        <f t="shared" si="83"/>
        <v/>
      </c>
      <c r="K404" s="263"/>
      <c r="L404" s="2222">
        <f t="shared" si="99"/>
        <v>33</v>
      </c>
      <c r="M404" s="2223"/>
      <c r="N404" s="261"/>
      <c r="O404" s="261"/>
      <c r="P404" s="261"/>
      <c r="Q404" s="2219">
        <f t="shared" si="94"/>
        <v>45516</v>
      </c>
      <c r="R404" s="2219"/>
      <c r="S404" s="261"/>
      <c r="T404" s="1173">
        <f t="shared" si="84"/>
        <v>1</v>
      </c>
      <c r="U404" s="261"/>
      <c r="V404" s="261"/>
      <c r="W404" s="261"/>
      <c r="X404" s="261"/>
      <c r="Y404" s="261"/>
      <c r="Z404" s="261"/>
      <c r="AA404" s="261"/>
      <c r="AB404" s="261"/>
      <c r="AC404" s="261"/>
      <c r="AD404" s="261"/>
      <c r="AE404" s="261"/>
      <c r="AF404" s="261"/>
      <c r="AG404" s="1173">
        <f t="shared" si="95"/>
        <v>0</v>
      </c>
      <c r="AH404" s="61" t="str">
        <f t="shared" si="96"/>
        <v/>
      </c>
      <c r="AI404" s="89" t="e">
        <f t="shared" si="97"/>
        <v>#N/A</v>
      </c>
      <c r="AJ404" s="2"/>
      <c r="AK404" s="61">
        <f>IF(G404=G$547,0,IF(OR(G404&lt;&gt;0,CH404&lt;&gt;0,C404="L"),COUNTIF(AK$180:AK403,"&gt;0")+1,0))</f>
        <v>0</v>
      </c>
      <c r="AL404" s="61" t="str">
        <f t="shared" si="85"/>
        <v/>
      </c>
      <c r="AM404" s="61" t="e">
        <f t="shared" si="86"/>
        <v>#N/A</v>
      </c>
      <c r="AN404" s="89" t="e">
        <f t="shared" si="87"/>
        <v>#N/A</v>
      </c>
      <c r="AO404" s="230">
        <f>SUM(AGO!X19:AD19)-BD404+AY404</f>
        <v>0</v>
      </c>
      <c r="AP404" s="228">
        <f>SUMIF(AGO!$G$121:$M$121,AP$178,AGO!$P19:$V19)+SUMIF($AZ$178:$BC$178,AP$178,$AZ404:$BC404)</f>
        <v>0</v>
      </c>
      <c r="AQ404" s="229">
        <f>SUMIF(AGO!$G$121:$M$121,AQ$178,AGO!$P19:$V19)+SUMIF($AZ$178:$BC$178,AQ$178,$AZ404:$BC404)</f>
        <v>0</v>
      </c>
      <c r="AR404" s="230">
        <f>SUMIF(AGO!$G$121:$M$121,AR$178,AGO!$P19:$V19)+SUMIF($AZ$178:$BC$178,AR$178,$AZ404:$BC404)</f>
        <v>0</v>
      </c>
      <c r="AS404" s="230">
        <f>SUMIF(AGO!$G$121:$M$121,AS$178,AGO!$P19:$V19)+SUMIF($AZ$178:$BC$178,AS$178,$AZ404:$BC404)</f>
        <v>0</v>
      </c>
      <c r="AT404" s="230">
        <f>SUMIF(AGO!$G$121:$M$121,AT$178,AGO!$P19:$V19)+SUMIF($AZ$178:$BC$178,AT$178,$AZ404:$BC404)</f>
        <v>0</v>
      </c>
      <c r="AU404" s="230">
        <f>SUMIF(AGO!$G$121:$M$121,AU$178,AGO!$P19:$V19)+SUMIF($AZ$178:$BC$178,AU$178,$AZ404:$BC404)</f>
        <v>0</v>
      </c>
      <c r="AV404" s="230">
        <f>SUMIF(AGO!$G$121:$M$121,AV$178,AGO!$P19:$V19)+SUMIF($AZ$178:$BC$178,AV$178,$AZ404:$BC404)</f>
        <v>0</v>
      </c>
      <c r="AW404" s="230">
        <f>SUMIF(AGO!$G$121:$M$121,AW$178,AGO!$P19:$V19)+SUMIF($AZ$178:$BC$178,AW$178,$AZ404:$BC404)</f>
        <v>0</v>
      </c>
      <c r="AX404" s="231">
        <f>SUMIF(AGO!$G$121:$M$121,AX$178,AGO!$P19:$V19)+SUMIF($AZ$178:$BC$178,AX$178,$AZ404:$BC404)</f>
        <v>0</v>
      </c>
      <c r="AY404" s="232">
        <f>AGO!AF19</f>
        <v>0</v>
      </c>
      <c r="AZ404" s="228">
        <f>AGO!AG19</f>
        <v>0</v>
      </c>
      <c r="BA404" s="229">
        <f>AGO!AH19</f>
        <v>0</v>
      </c>
      <c r="BB404" s="230">
        <f>AGO!AI19</f>
        <v>0</v>
      </c>
      <c r="BC404" s="231">
        <f>AGO!AJ19</f>
        <v>0</v>
      </c>
      <c r="BD404" s="228">
        <f>SUMIF(AGO!$G$120:$M$120,"&gt;0",AGO!$X19:$AD19)</f>
        <v>0</v>
      </c>
      <c r="BE404" s="696"/>
      <c r="BF404" s="228">
        <f>SUMIF(AGO!$BA$6:$BG$6,BF$177,AGO!$BA19:$BG19)</f>
        <v>0</v>
      </c>
      <c r="BG404" s="229">
        <f>SUMIF(AGO!$BA$6:$BG$6,BG$177,AGO!$BA19:$BG19)</f>
        <v>0</v>
      </c>
      <c r="BH404" s="229">
        <f>SUMIF(AGO!$BA$6:$BG$6,BH$177,AGO!$BA19:$BG19)</f>
        <v>0</v>
      </c>
      <c r="BI404" s="229">
        <f>SUMIF(AGO!$BA$6:$BG$6,BI$177,AGO!$BA19:$BG19)</f>
        <v>0</v>
      </c>
      <c r="BJ404" s="229">
        <f>SUMIF(AGO!$BA$6:$BG$6,BJ$177,AGO!$BA19:$BG19)</f>
        <v>0</v>
      </c>
      <c r="BK404" s="229">
        <f>SUMIF(AGO!$BA$6:$BG$6,BK$177,AGO!$BA19:$BG19)</f>
        <v>0</v>
      </c>
      <c r="BL404" s="229">
        <f>SUMIF(AGO!$BA$6:$BG$6,BL$177,AGO!$BA19:$BG19)</f>
        <v>0</v>
      </c>
      <c r="BM404" s="229">
        <f>SUMIF(AGO!$BA$6:$BG$6,BM$177,AGO!$BA19:$BG19)</f>
        <v>0</v>
      </c>
      <c r="BN404" s="229">
        <f>SUMIF(AGO!$BA$6:$BG$6,BN$177,AGO!$BA19:$BG19)</f>
        <v>0</v>
      </c>
      <c r="BO404" s="231">
        <f>SUMIF(AGO!$BA$6:$BG$6,BO$177,AGO!$BA19:$BG19)</f>
        <v>0</v>
      </c>
      <c r="BP404" s="231">
        <f>SUMIF(AGO!$BA$6:$BG$6,BP$177,AGO!$BA19:$BG19)</f>
        <v>0</v>
      </c>
      <c r="BQ404" s="252"/>
      <c r="BR404" s="228">
        <f>SUMIF(AGO!$BA$5:$BG$5,BR$177,AGO!$BA19:$BG19)</f>
        <v>0</v>
      </c>
      <c r="BS404" s="229">
        <f>SUMIF(AGO!$BA$5:$BG$5,BS$177,AGO!$BA19:$BG19)</f>
        <v>0</v>
      </c>
      <c r="BT404" s="229">
        <f>SUMIF(AGO!$BA$5:$BG$5,BT$177,AGO!$BA19:$BG19)</f>
        <v>0</v>
      </c>
      <c r="BU404" s="229">
        <f>SUMIF(AGO!$BA$5:$BG$5,BU$177,AGO!$BA19:$BG19)</f>
        <v>0</v>
      </c>
      <c r="BV404" s="229">
        <f>SUMIF(AGO!$BA$5:$BG$5,BV$177,AGO!$BA19:$BG19)</f>
        <v>0</v>
      </c>
      <c r="BW404" s="229">
        <f>SUMIF(AGO!$BA$5:$BG$5,BW$177,AGO!$BA19:$BG19)</f>
        <v>0</v>
      </c>
      <c r="BX404" s="230">
        <f>SUMIF(AGO!$BA$5:$BG$5,BX$177,AGO!$BA19:$BG19)</f>
        <v>0</v>
      </c>
      <c r="BY404" s="998">
        <f>SUMIF(AGO!$BA$5:$BG$5,BY$177,AGO!$BA19:$BG19)</f>
        <v>0</v>
      </c>
      <c r="CB404" s="252"/>
      <c r="CC404" s="61" t="e">
        <f t="shared" si="88"/>
        <v>#N/A</v>
      </c>
      <c r="CD404" s="61">
        <f t="shared" si="89"/>
        <v>0</v>
      </c>
      <c r="CE404" s="105" t="str">
        <f t="shared" si="82"/>
        <v/>
      </c>
      <c r="CF404" s="61" t="e">
        <f t="shared" si="90"/>
        <v>#N/A</v>
      </c>
      <c r="CG404" s="61" t="e">
        <f t="shared" si="91"/>
        <v>#N/A</v>
      </c>
      <c r="CH404" s="521">
        <f>AGO!AL19-CW404+CR404</f>
        <v>0</v>
      </c>
      <c r="CI404" s="228">
        <f>SUMIF(AGO!$G$121:$M$121,CI$178,AGO!$AM19:$AS19)+SUMIF($CS$178:$CV$178,CI$178,$CS404:$CV404)</f>
        <v>0</v>
      </c>
      <c r="CJ404" s="229">
        <f>SUMIF(AGO!$G$121:$M$121,CJ$178,AGO!$AM19:$AS19)+SUMIF($CS$178:$CV$178,CJ$178,$CS404:$CV404)</f>
        <v>0</v>
      </c>
      <c r="CK404" s="230">
        <f>SUMIF(AGO!$G$121:$M$121,CK$178,AGO!$AM19:$AS19)+SUMIF($CS$178:$CV$178,CK$178,$CS404:$CV404)</f>
        <v>0</v>
      </c>
      <c r="CL404" s="230">
        <f>SUMIF(AGO!$G$121:$M$121,CL$178,AGO!$AM19:$AS19)+SUMIF($CS$178:$CV$178,CL$178,$CS404:$CV404)</f>
        <v>0</v>
      </c>
      <c r="CM404" s="230">
        <f>SUMIF(AGO!$G$121:$M$121,CM$178,AGO!$AM19:$AS19)+SUMIF($CS$178:$CV$178,CM$178,$CS404:$CV404)</f>
        <v>0</v>
      </c>
      <c r="CN404" s="230">
        <f>SUMIF(AGO!$G$121:$M$121,CN$178,AGO!$AM19:$AS19)+SUMIF($CS$178:$CV$178,CN$178,$CS404:$CV404)</f>
        <v>0</v>
      </c>
      <c r="CO404" s="230">
        <f>SUMIF(AGO!$G$121:$M$121,CO$178,AGO!$AM19:$AS19)+SUMIF($CS$178:$CV$178,CO$178,$CS404:$CV404)</f>
        <v>0</v>
      </c>
      <c r="CP404" s="230">
        <f>SUMIF(AGO!$G$121:$M$121,CP$178,AGO!$AM19:$AS19)+SUMIF($CS$178:$CV$178,CP$178,$CS404:$CV404)</f>
        <v>0</v>
      </c>
      <c r="CQ404" s="231">
        <f>SUMIF(AGO!$G$121:$M$121,CQ$178,AGO!$AM19:$AS19)+SUMIF($CS$178:$CV$178,CQ$178,$CS404:$CV404)</f>
        <v>0</v>
      </c>
      <c r="CR404" s="521">
        <f>AGO!AU19</f>
        <v>0</v>
      </c>
      <c r="CS404" s="228">
        <f>AGO!AV19</f>
        <v>0</v>
      </c>
      <c r="CT404" s="229">
        <f>AGO!AW19</f>
        <v>0</v>
      </c>
      <c r="CU404" s="230">
        <f>AGO!AX19</f>
        <v>0</v>
      </c>
      <c r="CV404" s="231">
        <f>AGO!AY19</f>
        <v>0</v>
      </c>
      <c r="CW404" s="521">
        <f>SUM(AGO!AU19:AY19)</f>
        <v>0</v>
      </c>
      <c r="CX404" s="521">
        <f>AGO!AK19</f>
        <v>0</v>
      </c>
      <c r="CY404" s="2"/>
    </row>
    <row r="405" spans="1:103" ht="14.25" hidden="1" customHeight="1" x14ac:dyDescent="0.2">
      <c r="A405" s="2"/>
      <c r="B405" s="105">
        <f t="shared" si="92"/>
        <v>45517</v>
      </c>
      <c r="C405" s="146">
        <f>IF(AND(E405&gt;(N$558-1),E405&lt;(R$558+1)),W$551,IF(ISERROR(HLOOKUP(E405,$N$551:$U$551,1,FALSE)),HLOOKUP(WEEKDAY(E405,2),IMPOSTAZIONI!$C$52:$P$57,6,FALSE),$W$550))</f>
        <v>0</v>
      </c>
      <c r="D405" s="71" t="str">
        <f t="shared" si="93"/>
        <v/>
      </c>
      <c r="E405" s="2258">
        <f t="shared" si="98"/>
        <v>45517</v>
      </c>
      <c r="F405" s="2259"/>
      <c r="G405" s="2228" t="str">
        <f>AGO!E20</f>
        <v xml:space="preserve">disattivato  </v>
      </c>
      <c r="H405" s="2229"/>
      <c r="I405" s="2230"/>
      <c r="J405" s="262" t="str">
        <f t="shared" si="83"/>
        <v/>
      </c>
      <c r="K405" s="263"/>
      <c r="L405" s="2217">
        <f t="shared" si="99"/>
        <v>33</v>
      </c>
      <c r="M405" s="2218"/>
      <c r="N405" s="261"/>
      <c r="O405" s="261"/>
      <c r="P405" s="261"/>
      <c r="Q405" s="2219">
        <f t="shared" si="94"/>
        <v>45517</v>
      </c>
      <c r="R405" s="2219"/>
      <c r="S405" s="261"/>
      <c r="T405" s="1173">
        <f t="shared" si="84"/>
        <v>1</v>
      </c>
      <c r="U405" s="261"/>
      <c r="V405" s="261"/>
      <c r="W405" s="261"/>
      <c r="X405" s="261"/>
      <c r="Y405" s="261"/>
      <c r="Z405" s="261"/>
      <c r="AA405" s="261"/>
      <c r="AB405" s="261"/>
      <c r="AC405" s="261"/>
      <c r="AD405" s="261"/>
      <c r="AE405" s="261"/>
      <c r="AF405" s="261"/>
      <c r="AG405" s="1173">
        <f t="shared" si="95"/>
        <v>0</v>
      </c>
      <c r="AH405" s="61" t="str">
        <f t="shared" si="96"/>
        <v/>
      </c>
      <c r="AI405" s="89" t="e">
        <f t="shared" si="97"/>
        <v>#N/A</v>
      </c>
      <c r="AJ405" s="2"/>
      <c r="AK405" s="61">
        <f>IF(G405=G$547,0,IF(OR(G405&lt;&gt;0,CH405&lt;&gt;0,C405="L"),COUNTIF(AK$180:AK404,"&gt;0")+1,0))</f>
        <v>0</v>
      </c>
      <c r="AL405" s="61" t="str">
        <f t="shared" si="85"/>
        <v/>
      </c>
      <c r="AM405" s="61" t="e">
        <f t="shared" si="86"/>
        <v>#N/A</v>
      </c>
      <c r="AN405" s="89" t="e">
        <f t="shared" si="87"/>
        <v>#N/A</v>
      </c>
      <c r="AO405" s="230">
        <f>SUM(AGO!X20:AD20)-BD405+AY405</f>
        <v>0</v>
      </c>
      <c r="AP405" s="228">
        <f>SUMIF(AGO!$G$121:$M$121,AP$178,AGO!$P20:$V20)+SUMIF($AZ$178:$BC$178,AP$178,$AZ405:$BC405)</f>
        <v>0</v>
      </c>
      <c r="AQ405" s="229">
        <f>SUMIF(AGO!$G$121:$M$121,AQ$178,AGO!$P20:$V20)+SUMIF($AZ$178:$BC$178,AQ$178,$AZ405:$BC405)</f>
        <v>0</v>
      </c>
      <c r="AR405" s="230">
        <f>SUMIF(AGO!$G$121:$M$121,AR$178,AGO!$P20:$V20)+SUMIF($AZ$178:$BC$178,AR$178,$AZ405:$BC405)</f>
        <v>0</v>
      </c>
      <c r="AS405" s="230">
        <f>SUMIF(AGO!$G$121:$M$121,AS$178,AGO!$P20:$V20)+SUMIF($AZ$178:$BC$178,AS$178,$AZ405:$BC405)</f>
        <v>0</v>
      </c>
      <c r="AT405" s="230">
        <f>SUMIF(AGO!$G$121:$M$121,AT$178,AGO!$P20:$V20)+SUMIF($AZ$178:$BC$178,AT$178,$AZ405:$BC405)</f>
        <v>0</v>
      </c>
      <c r="AU405" s="230">
        <f>SUMIF(AGO!$G$121:$M$121,AU$178,AGO!$P20:$V20)+SUMIF($AZ$178:$BC$178,AU$178,$AZ405:$BC405)</f>
        <v>0</v>
      </c>
      <c r="AV405" s="230">
        <f>SUMIF(AGO!$G$121:$M$121,AV$178,AGO!$P20:$V20)+SUMIF($AZ$178:$BC$178,AV$178,$AZ405:$BC405)</f>
        <v>0</v>
      </c>
      <c r="AW405" s="230">
        <f>SUMIF(AGO!$G$121:$M$121,AW$178,AGO!$P20:$V20)+SUMIF($AZ$178:$BC$178,AW$178,$AZ405:$BC405)</f>
        <v>0</v>
      </c>
      <c r="AX405" s="231">
        <f>SUMIF(AGO!$G$121:$M$121,AX$178,AGO!$P20:$V20)+SUMIF($AZ$178:$BC$178,AX$178,$AZ405:$BC405)</f>
        <v>0</v>
      </c>
      <c r="AY405" s="232">
        <f>AGO!AF20</f>
        <v>0</v>
      </c>
      <c r="AZ405" s="228">
        <f>AGO!AG20</f>
        <v>0</v>
      </c>
      <c r="BA405" s="229">
        <f>AGO!AH20</f>
        <v>0</v>
      </c>
      <c r="BB405" s="230">
        <f>AGO!AI20</f>
        <v>0</v>
      </c>
      <c r="BC405" s="231">
        <f>AGO!AJ20</f>
        <v>0</v>
      </c>
      <c r="BD405" s="228">
        <f>SUMIF(AGO!$G$120:$M$120,"&gt;0",AGO!$X20:$AD20)</f>
        <v>0</v>
      </c>
      <c r="BE405" s="696"/>
      <c r="BF405" s="228">
        <f>SUMIF(AGO!$BA$6:$BG$6,BF$177,AGO!$BA20:$BG20)</f>
        <v>0</v>
      </c>
      <c r="BG405" s="229">
        <f>SUMIF(AGO!$BA$6:$BG$6,BG$177,AGO!$BA20:$BG20)</f>
        <v>0</v>
      </c>
      <c r="BH405" s="229">
        <f>SUMIF(AGO!$BA$6:$BG$6,BH$177,AGO!$BA20:$BG20)</f>
        <v>0</v>
      </c>
      <c r="BI405" s="229">
        <f>SUMIF(AGO!$BA$6:$BG$6,BI$177,AGO!$BA20:$BG20)</f>
        <v>0</v>
      </c>
      <c r="BJ405" s="229">
        <f>SUMIF(AGO!$BA$6:$BG$6,BJ$177,AGO!$BA20:$BG20)</f>
        <v>0</v>
      </c>
      <c r="BK405" s="229">
        <f>SUMIF(AGO!$BA$6:$BG$6,BK$177,AGO!$BA20:$BG20)</f>
        <v>0</v>
      </c>
      <c r="BL405" s="229">
        <f>SUMIF(AGO!$BA$6:$BG$6,BL$177,AGO!$BA20:$BG20)</f>
        <v>0</v>
      </c>
      <c r="BM405" s="229">
        <f>SUMIF(AGO!$BA$6:$BG$6,BM$177,AGO!$BA20:$BG20)</f>
        <v>0</v>
      </c>
      <c r="BN405" s="229">
        <f>SUMIF(AGO!$BA$6:$BG$6,BN$177,AGO!$BA20:$BG20)</f>
        <v>0</v>
      </c>
      <c r="BO405" s="231">
        <f>SUMIF(AGO!$BA$6:$BG$6,BO$177,AGO!$BA20:$BG20)</f>
        <v>0</v>
      </c>
      <c r="BP405" s="231">
        <f>SUMIF(AGO!$BA$6:$BG$6,BP$177,AGO!$BA20:$BG20)</f>
        <v>0</v>
      </c>
      <c r="BQ405" s="252"/>
      <c r="BR405" s="228">
        <f>SUMIF(AGO!$BA$5:$BG$5,BR$177,AGO!$BA20:$BG20)</f>
        <v>0</v>
      </c>
      <c r="BS405" s="229">
        <f>SUMIF(AGO!$BA$5:$BG$5,BS$177,AGO!$BA20:$BG20)</f>
        <v>0</v>
      </c>
      <c r="BT405" s="229">
        <f>SUMIF(AGO!$BA$5:$BG$5,BT$177,AGO!$BA20:$BG20)</f>
        <v>0</v>
      </c>
      <c r="BU405" s="229">
        <f>SUMIF(AGO!$BA$5:$BG$5,BU$177,AGO!$BA20:$BG20)</f>
        <v>0</v>
      </c>
      <c r="BV405" s="229">
        <f>SUMIF(AGO!$BA$5:$BG$5,BV$177,AGO!$BA20:$BG20)</f>
        <v>0</v>
      </c>
      <c r="BW405" s="229">
        <f>SUMIF(AGO!$BA$5:$BG$5,BW$177,AGO!$BA20:$BG20)</f>
        <v>0</v>
      </c>
      <c r="BX405" s="230">
        <f>SUMIF(AGO!$BA$5:$BG$5,BX$177,AGO!$BA20:$BG20)</f>
        <v>0</v>
      </c>
      <c r="BY405" s="998">
        <f>SUMIF(AGO!$BA$5:$BG$5,BY$177,AGO!$BA20:$BG20)</f>
        <v>0</v>
      </c>
      <c r="CB405" s="252"/>
      <c r="CC405" s="61" t="e">
        <f t="shared" si="88"/>
        <v>#N/A</v>
      </c>
      <c r="CD405" s="61">
        <f t="shared" si="89"/>
        <v>0</v>
      </c>
      <c r="CE405" s="105" t="str">
        <f t="shared" si="82"/>
        <v/>
      </c>
      <c r="CF405" s="61" t="e">
        <f t="shared" si="90"/>
        <v>#N/A</v>
      </c>
      <c r="CG405" s="61" t="e">
        <f t="shared" si="91"/>
        <v>#N/A</v>
      </c>
      <c r="CH405" s="521">
        <f>AGO!AL20-CW405+CR405</f>
        <v>0</v>
      </c>
      <c r="CI405" s="228">
        <f>SUMIF(AGO!$G$121:$M$121,CI$178,AGO!$AM20:$AS20)+SUMIF($CS$178:$CV$178,CI$178,$CS405:$CV405)</f>
        <v>0</v>
      </c>
      <c r="CJ405" s="229">
        <f>SUMIF(AGO!$G$121:$M$121,CJ$178,AGO!$AM20:$AS20)+SUMIF($CS$178:$CV$178,CJ$178,$CS405:$CV405)</f>
        <v>0</v>
      </c>
      <c r="CK405" s="230">
        <f>SUMIF(AGO!$G$121:$M$121,CK$178,AGO!$AM20:$AS20)+SUMIF($CS$178:$CV$178,CK$178,$CS405:$CV405)</f>
        <v>0</v>
      </c>
      <c r="CL405" s="230">
        <f>SUMIF(AGO!$G$121:$M$121,CL$178,AGO!$AM20:$AS20)+SUMIF($CS$178:$CV$178,CL$178,$CS405:$CV405)</f>
        <v>0</v>
      </c>
      <c r="CM405" s="230">
        <f>SUMIF(AGO!$G$121:$M$121,CM$178,AGO!$AM20:$AS20)+SUMIF($CS$178:$CV$178,CM$178,$CS405:$CV405)</f>
        <v>0</v>
      </c>
      <c r="CN405" s="230">
        <f>SUMIF(AGO!$G$121:$M$121,CN$178,AGO!$AM20:$AS20)+SUMIF($CS$178:$CV$178,CN$178,$CS405:$CV405)</f>
        <v>0</v>
      </c>
      <c r="CO405" s="230">
        <f>SUMIF(AGO!$G$121:$M$121,CO$178,AGO!$AM20:$AS20)+SUMIF($CS$178:$CV$178,CO$178,$CS405:$CV405)</f>
        <v>0</v>
      </c>
      <c r="CP405" s="230">
        <f>SUMIF(AGO!$G$121:$M$121,CP$178,AGO!$AM20:$AS20)+SUMIF($CS$178:$CV$178,CP$178,$CS405:$CV405)</f>
        <v>0</v>
      </c>
      <c r="CQ405" s="231">
        <f>SUMIF(AGO!$G$121:$M$121,CQ$178,AGO!$AM20:$AS20)+SUMIF($CS$178:$CV$178,CQ$178,$CS405:$CV405)</f>
        <v>0</v>
      </c>
      <c r="CR405" s="521">
        <f>AGO!AU20</f>
        <v>0</v>
      </c>
      <c r="CS405" s="228">
        <f>AGO!AV20</f>
        <v>0</v>
      </c>
      <c r="CT405" s="229">
        <f>AGO!AW20</f>
        <v>0</v>
      </c>
      <c r="CU405" s="230">
        <f>AGO!AX20</f>
        <v>0</v>
      </c>
      <c r="CV405" s="231">
        <f>AGO!AY20</f>
        <v>0</v>
      </c>
      <c r="CW405" s="521">
        <f>SUM(AGO!AU20:AY20)</f>
        <v>0</v>
      </c>
      <c r="CX405" s="521">
        <f>AGO!AK20</f>
        <v>0</v>
      </c>
      <c r="CY405" s="2"/>
    </row>
    <row r="406" spans="1:103" ht="14.25" hidden="1" customHeight="1" x14ac:dyDescent="0.2">
      <c r="A406" s="2"/>
      <c r="B406" s="105">
        <f t="shared" si="92"/>
        <v>45518</v>
      </c>
      <c r="C406" s="146">
        <f>IF(AND(E406&gt;(N$558-1),E406&lt;(R$558+1)),W$551,IF(ISERROR(HLOOKUP(E406,$N$551:$U$551,1,FALSE)),HLOOKUP(WEEKDAY(E406,2),IMPOSTAZIONI!$C$52:$P$57,6,FALSE),$W$550))</f>
        <v>0</v>
      </c>
      <c r="D406" s="71" t="str">
        <f t="shared" si="93"/>
        <v/>
      </c>
      <c r="E406" s="2258">
        <f t="shared" si="98"/>
        <v>45518</v>
      </c>
      <c r="F406" s="2259"/>
      <c r="G406" s="2228" t="str">
        <f>AGO!E21</f>
        <v xml:space="preserve">disattivato  </v>
      </c>
      <c r="H406" s="2229"/>
      <c r="I406" s="2230"/>
      <c r="J406" s="262" t="str">
        <f t="shared" si="83"/>
        <v/>
      </c>
      <c r="K406" s="263"/>
      <c r="L406" s="2217">
        <f t="shared" si="99"/>
        <v>33</v>
      </c>
      <c r="M406" s="2218"/>
      <c r="N406" s="261"/>
      <c r="O406" s="261"/>
      <c r="P406" s="261"/>
      <c r="Q406" s="2219">
        <f t="shared" si="94"/>
        <v>45518</v>
      </c>
      <c r="R406" s="2219"/>
      <c r="S406" s="261"/>
      <c r="T406" s="1173">
        <f t="shared" si="84"/>
        <v>1</v>
      </c>
      <c r="U406" s="261"/>
      <c r="V406" s="261"/>
      <c r="W406" s="261"/>
      <c r="X406" s="261"/>
      <c r="Y406" s="261"/>
      <c r="Z406" s="261"/>
      <c r="AA406" s="261"/>
      <c r="AB406" s="261"/>
      <c r="AC406" s="261"/>
      <c r="AD406" s="261"/>
      <c r="AE406" s="261"/>
      <c r="AF406" s="261"/>
      <c r="AG406" s="1173">
        <f t="shared" si="95"/>
        <v>0</v>
      </c>
      <c r="AH406" s="61" t="str">
        <f t="shared" si="96"/>
        <v/>
      </c>
      <c r="AI406" s="89" t="e">
        <f t="shared" si="97"/>
        <v>#N/A</v>
      </c>
      <c r="AJ406" s="2"/>
      <c r="AK406" s="61">
        <f>IF(G406=G$547,0,IF(OR(G406&lt;&gt;0,CH406&lt;&gt;0,C406="L"),COUNTIF(AK$180:AK405,"&gt;0")+1,0))</f>
        <v>0</v>
      </c>
      <c r="AL406" s="61" t="str">
        <f t="shared" si="85"/>
        <v/>
      </c>
      <c r="AM406" s="61" t="e">
        <f t="shared" si="86"/>
        <v>#N/A</v>
      </c>
      <c r="AN406" s="89" t="e">
        <f t="shared" si="87"/>
        <v>#N/A</v>
      </c>
      <c r="AO406" s="230">
        <f>SUM(AGO!X21:AD21)-BD406+AY406</f>
        <v>0</v>
      </c>
      <c r="AP406" s="228">
        <f>SUMIF(AGO!$G$121:$M$121,AP$178,AGO!$P21:$V21)+SUMIF($AZ$178:$BC$178,AP$178,$AZ406:$BC406)</f>
        <v>0</v>
      </c>
      <c r="AQ406" s="229">
        <f>SUMIF(AGO!$G$121:$M$121,AQ$178,AGO!$P21:$V21)+SUMIF($AZ$178:$BC$178,AQ$178,$AZ406:$BC406)</f>
        <v>0</v>
      </c>
      <c r="AR406" s="230">
        <f>SUMIF(AGO!$G$121:$M$121,AR$178,AGO!$P21:$V21)+SUMIF($AZ$178:$BC$178,AR$178,$AZ406:$BC406)</f>
        <v>0</v>
      </c>
      <c r="AS406" s="230">
        <f>SUMIF(AGO!$G$121:$M$121,AS$178,AGO!$P21:$V21)+SUMIF($AZ$178:$BC$178,AS$178,$AZ406:$BC406)</f>
        <v>0</v>
      </c>
      <c r="AT406" s="230">
        <f>SUMIF(AGO!$G$121:$M$121,AT$178,AGO!$P21:$V21)+SUMIF($AZ$178:$BC$178,AT$178,$AZ406:$BC406)</f>
        <v>0</v>
      </c>
      <c r="AU406" s="230">
        <f>SUMIF(AGO!$G$121:$M$121,AU$178,AGO!$P21:$V21)+SUMIF($AZ$178:$BC$178,AU$178,$AZ406:$BC406)</f>
        <v>0</v>
      </c>
      <c r="AV406" s="230">
        <f>SUMIF(AGO!$G$121:$M$121,AV$178,AGO!$P21:$V21)+SUMIF($AZ$178:$BC$178,AV$178,$AZ406:$BC406)</f>
        <v>0</v>
      </c>
      <c r="AW406" s="230">
        <f>SUMIF(AGO!$G$121:$M$121,AW$178,AGO!$P21:$V21)+SUMIF($AZ$178:$BC$178,AW$178,$AZ406:$BC406)</f>
        <v>0</v>
      </c>
      <c r="AX406" s="231">
        <f>SUMIF(AGO!$G$121:$M$121,AX$178,AGO!$P21:$V21)+SUMIF($AZ$178:$BC$178,AX$178,$AZ406:$BC406)</f>
        <v>0</v>
      </c>
      <c r="AY406" s="232">
        <f>AGO!AF21</f>
        <v>0</v>
      </c>
      <c r="AZ406" s="228">
        <f>AGO!AG21</f>
        <v>0</v>
      </c>
      <c r="BA406" s="229">
        <f>AGO!AH21</f>
        <v>0</v>
      </c>
      <c r="BB406" s="230">
        <f>AGO!AI21</f>
        <v>0</v>
      </c>
      <c r="BC406" s="231">
        <f>AGO!AJ21</f>
        <v>0</v>
      </c>
      <c r="BD406" s="228">
        <f>SUMIF(AGO!$G$120:$M$120,"&gt;0",AGO!$X21:$AD21)</f>
        <v>0</v>
      </c>
      <c r="BE406" s="696"/>
      <c r="BF406" s="228">
        <f>SUMIF(AGO!$BA$6:$BG$6,BF$177,AGO!$BA21:$BG21)</f>
        <v>0</v>
      </c>
      <c r="BG406" s="229">
        <f>SUMIF(AGO!$BA$6:$BG$6,BG$177,AGO!$BA21:$BG21)</f>
        <v>0</v>
      </c>
      <c r="BH406" s="229">
        <f>SUMIF(AGO!$BA$6:$BG$6,BH$177,AGO!$BA21:$BG21)</f>
        <v>0</v>
      </c>
      <c r="BI406" s="229">
        <f>SUMIF(AGO!$BA$6:$BG$6,BI$177,AGO!$BA21:$BG21)</f>
        <v>0</v>
      </c>
      <c r="BJ406" s="229">
        <f>SUMIF(AGO!$BA$6:$BG$6,BJ$177,AGO!$BA21:$BG21)</f>
        <v>0</v>
      </c>
      <c r="BK406" s="229">
        <f>SUMIF(AGO!$BA$6:$BG$6,BK$177,AGO!$BA21:$BG21)</f>
        <v>0</v>
      </c>
      <c r="BL406" s="229">
        <f>SUMIF(AGO!$BA$6:$BG$6,BL$177,AGO!$BA21:$BG21)</f>
        <v>0</v>
      </c>
      <c r="BM406" s="229">
        <f>SUMIF(AGO!$BA$6:$BG$6,BM$177,AGO!$BA21:$BG21)</f>
        <v>0</v>
      </c>
      <c r="BN406" s="229">
        <f>SUMIF(AGO!$BA$6:$BG$6,BN$177,AGO!$BA21:$BG21)</f>
        <v>0</v>
      </c>
      <c r="BO406" s="231">
        <f>SUMIF(AGO!$BA$6:$BG$6,BO$177,AGO!$BA21:$BG21)</f>
        <v>0</v>
      </c>
      <c r="BP406" s="231">
        <f>SUMIF(AGO!$BA$6:$BG$6,BP$177,AGO!$BA21:$BG21)</f>
        <v>0</v>
      </c>
      <c r="BQ406" s="252"/>
      <c r="BR406" s="228">
        <f>SUMIF(AGO!$BA$5:$BG$5,BR$177,AGO!$BA21:$BG21)</f>
        <v>0</v>
      </c>
      <c r="BS406" s="229">
        <f>SUMIF(AGO!$BA$5:$BG$5,BS$177,AGO!$BA21:$BG21)</f>
        <v>0</v>
      </c>
      <c r="BT406" s="229">
        <f>SUMIF(AGO!$BA$5:$BG$5,BT$177,AGO!$BA21:$BG21)</f>
        <v>0</v>
      </c>
      <c r="BU406" s="229">
        <f>SUMIF(AGO!$BA$5:$BG$5,BU$177,AGO!$BA21:$BG21)</f>
        <v>0</v>
      </c>
      <c r="BV406" s="229">
        <f>SUMIF(AGO!$BA$5:$BG$5,BV$177,AGO!$BA21:$BG21)</f>
        <v>0</v>
      </c>
      <c r="BW406" s="229">
        <f>SUMIF(AGO!$BA$5:$BG$5,BW$177,AGO!$BA21:$BG21)</f>
        <v>0</v>
      </c>
      <c r="BX406" s="230">
        <f>SUMIF(AGO!$BA$5:$BG$5,BX$177,AGO!$BA21:$BG21)</f>
        <v>0</v>
      </c>
      <c r="BY406" s="998">
        <f>SUMIF(AGO!$BA$5:$BG$5,BY$177,AGO!$BA21:$BG21)</f>
        <v>0</v>
      </c>
      <c r="CB406" s="252"/>
      <c r="CC406" s="61" t="e">
        <f t="shared" si="88"/>
        <v>#N/A</v>
      </c>
      <c r="CD406" s="61">
        <f t="shared" si="89"/>
        <v>0</v>
      </c>
      <c r="CE406" s="105" t="str">
        <f t="shared" si="82"/>
        <v/>
      </c>
      <c r="CF406" s="61" t="e">
        <f t="shared" si="90"/>
        <v>#N/A</v>
      </c>
      <c r="CG406" s="61" t="e">
        <f t="shared" si="91"/>
        <v>#N/A</v>
      </c>
      <c r="CH406" s="521">
        <f>AGO!AL21-CW406+CR406</f>
        <v>0</v>
      </c>
      <c r="CI406" s="228">
        <f>SUMIF(AGO!$G$121:$M$121,CI$178,AGO!$AM21:$AS21)+SUMIF($CS$178:$CV$178,CI$178,$CS406:$CV406)</f>
        <v>0</v>
      </c>
      <c r="CJ406" s="229">
        <f>SUMIF(AGO!$G$121:$M$121,CJ$178,AGO!$AM21:$AS21)+SUMIF($CS$178:$CV$178,CJ$178,$CS406:$CV406)</f>
        <v>0</v>
      </c>
      <c r="CK406" s="230">
        <f>SUMIF(AGO!$G$121:$M$121,CK$178,AGO!$AM21:$AS21)+SUMIF($CS$178:$CV$178,CK$178,$CS406:$CV406)</f>
        <v>0</v>
      </c>
      <c r="CL406" s="230">
        <f>SUMIF(AGO!$G$121:$M$121,CL$178,AGO!$AM21:$AS21)+SUMIF($CS$178:$CV$178,CL$178,$CS406:$CV406)</f>
        <v>0</v>
      </c>
      <c r="CM406" s="230">
        <f>SUMIF(AGO!$G$121:$M$121,CM$178,AGO!$AM21:$AS21)+SUMIF($CS$178:$CV$178,CM$178,$CS406:$CV406)</f>
        <v>0</v>
      </c>
      <c r="CN406" s="230">
        <f>SUMIF(AGO!$G$121:$M$121,CN$178,AGO!$AM21:$AS21)+SUMIF($CS$178:$CV$178,CN$178,$CS406:$CV406)</f>
        <v>0</v>
      </c>
      <c r="CO406" s="230">
        <f>SUMIF(AGO!$G$121:$M$121,CO$178,AGO!$AM21:$AS21)+SUMIF($CS$178:$CV$178,CO$178,$CS406:$CV406)</f>
        <v>0</v>
      </c>
      <c r="CP406" s="230">
        <f>SUMIF(AGO!$G$121:$M$121,CP$178,AGO!$AM21:$AS21)+SUMIF($CS$178:$CV$178,CP$178,$CS406:$CV406)</f>
        <v>0</v>
      </c>
      <c r="CQ406" s="231">
        <f>SUMIF(AGO!$G$121:$M$121,CQ$178,AGO!$AM21:$AS21)+SUMIF($CS$178:$CV$178,CQ$178,$CS406:$CV406)</f>
        <v>0</v>
      </c>
      <c r="CR406" s="521">
        <f>AGO!AU21</f>
        <v>0</v>
      </c>
      <c r="CS406" s="228">
        <f>AGO!AV21</f>
        <v>0</v>
      </c>
      <c r="CT406" s="229">
        <f>AGO!AW21</f>
        <v>0</v>
      </c>
      <c r="CU406" s="230">
        <f>AGO!AX21</f>
        <v>0</v>
      </c>
      <c r="CV406" s="231">
        <f>AGO!AY21</f>
        <v>0</v>
      </c>
      <c r="CW406" s="521">
        <f>SUM(AGO!AU21:AY21)</f>
        <v>0</v>
      </c>
      <c r="CX406" s="521">
        <f>AGO!AK21</f>
        <v>0</v>
      </c>
      <c r="CY406" s="2"/>
    </row>
    <row r="407" spans="1:103" ht="14.25" hidden="1" customHeight="1" x14ac:dyDescent="0.2">
      <c r="A407" s="2"/>
      <c r="B407" s="105">
        <f t="shared" si="92"/>
        <v>45519</v>
      </c>
      <c r="C407" s="146" t="str">
        <f>IF(AND(E407&gt;(N$558-1),E407&lt;(R$558+1)),W$551,IF(ISERROR(HLOOKUP(E407,$N$551:$U$551,1,FALSE)),HLOOKUP(WEEKDAY(E407,2),IMPOSTAZIONI!$C$52:$P$57,6,FALSE),$W$550))</f>
        <v>F</v>
      </c>
      <c r="D407" s="71" t="str">
        <f t="shared" si="93"/>
        <v/>
      </c>
      <c r="E407" s="2258">
        <f t="shared" si="98"/>
        <v>45519</v>
      </c>
      <c r="F407" s="2259"/>
      <c r="G407" s="2228" t="str">
        <f>AGO!E22</f>
        <v xml:space="preserve">disattivato  </v>
      </c>
      <c r="H407" s="2229"/>
      <c r="I407" s="2230"/>
      <c r="J407" s="262" t="str">
        <f t="shared" si="83"/>
        <v/>
      </c>
      <c r="K407" s="263"/>
      <c r="L407" s="2217">
        <f t="shared" si="99"/>
        <v>33</v>
      </c>
      <c r="M407" s="2218"/>
      <c r="N407" s="261"/>
      <c r="O407" s="261"/>
      <c r="P407" s="261"/>
      <c r="Q407" s="2219">
        <f t="shared" si="94"/>
        <v>45519</v>
      </c>
      <c r="R407" s="2219"/>
      <c r="S407" s="261"/>
      <c r="T407" s="1173">
        <f t="shared" si="84"/>
        <v>1</v>
      </c>
      <c r="U407" s="261"/>
      <c r="V407" s="261"/>
      <c r="W407" s="261"/>
      <c r="X407" s="261"/>
      <c r="Y407" s="261"/>
      <c r="Z407" s="261"/>
      <c r="AA407" s="261"/>
      <c r="AB407" s="261"/>
      <c r="AC407" s="261"/>
      <c r="AD407" s="261"/>
      <c r="AE407" s="261"/>
      <c r="AF407" s="261"/>
      <c r="AG407" s="1173">
        <f t="shared" si="95"/>
        <v>0</v>
      </c>
      <c r="AH407" s="61" t="str">
        <f t="shared" si="96"/>
        <v/>
      </c>
      <c r="AI407" s="89" t="e">
        <f t="shared" si="97"/>
        <v>#N/A</v>
      </c>
      <c r="AJ407" s="2"/>
      <c r="AK407" s="61">
        <f>IF(G407=G$547,0,IF(OR(G407&lt;&gt;0,CH407&lt;&gt;0,C407="L"),COUNTIF(AK$180:AK406,"&gt;0")+1,0))</f>
        <v>0</v>
      </c>
      <c r="AL407" s="61" t="str">
        <f t="shared" si="85"/>
        <v/>
      </c>
      <c r="AM407" s="61" t="e">
        <f t="shared" si="86"/>
        <v>#N/A</v>
      </c>
      <c r="AN407" s="89" t="e">
        <f t="shared" si="87"/>
        <v>#N/A</v>
      </c>
      <c r="AO407" s="230">
        <f>SUM(AGO!X22:AD22)-BD407+AY407</f>
        <v>0</v>
      </c>
      <c r="AP407" s="228">
        <f>SUMIF(AGO!$G$121:$M$121,AP$178,AGO!$P22:$V22)+SUMIF($AZ$178:$BC$178,AP$178,$AZ407:$BC407)</f>
        <v>0</v>
      </c>
      <c r="AQ407" s="229">
        <f>SUMIF(AGO!$G$121:$M$121,AQ$178,AGO!$P22:$V22)+SUMIF($AZ$178:$BC$178,AQ$178,$AZ407:$BC407)</f>
        <v>0</v>
      </c>
      <c r="AR407" s="230">
        <f>SUMIF(AGO!$G$121:$M$121,AR$178,AGO!$P22:$V22)+SUMIF($AZ$178:$BC$178,AR$178,$AZ407:$BC407)</f>
        <v>0</v>
      </c>
      <c r="AS407" s="230">
        <f>SUMIF(AGO!$G$121:$M$121,AS$178,AGO!$P22:$V22)+SUMIF($AZ$178:$BC$178,AS$178,$AZ407:$BC407)</f>
        <v>0</v>
      </c>
      <c r="AT407" s="230">
        <f>SUMIF(AGO!$G$121:$M$121,AT$178,AGO!$P22:$V22)+SUMIF($AZ$178:$BC$178,AT$178,$AZ407:$BC407)</f>
        <v>0</v>
      </c>
      <c r="AU407" s="230">
        <f>SUMIF(AGO!$G$121:$M$121,AU$178,AGO!$P22:$V22)+SUMIF($AZ$178:$BC$178,AU$178,$AZ407:$BC407)</f>
        <v>0</v>
      </c>
      <c r="AV407" s="230">
        <f>SUMIF(AGO!$G$121:$M$121,AV$178,AGO!$P22:$V22)+SUMIF($AZ$178:$BC$178,AV$178,$AZ407:$BC407)</f>
        <v>0</v>
      </c>
      <c r="AW407" s="230">
        <f>SUMIF(AGO!$G$121:$M$121,AW$178,AGO!$P22:$V22)+SUMIF($AZ$178:$BC$178,AW$178,$AZ407:$BC407)</f>
        <v>0</v>
      </c>
      <c r="AX407" s="231">
        <f>SUMIF(AGO!$G$121:$M$121,AX$178,AGO!$P22:$V22)+SUMIF($AZ$178:$BC$178,AX$178,$AZ407:$BC407)</f>
        <v>0</v>
      </c>
      <c r="AY407" s="232">
        <f>AGO!AF22</f>
        <v>0</v>
      </c>
      <c r="AZ407" s="228">
        <f>AGO!AG22</f>
        <v>0</v>
      </c>
      <c r="BA407" s="229">
        <f>AGO!AH22</f>
        <v>0</v>
      </c>
      <c r="BB407" s="230">
        <f>AGO!AI22</f>
        <v>0</v>
      </c>
      <c r="BC407" s="231">
        <f>AGO!AJ22</f>
        <v>0</v>
      </c>
      <c r="BD407" s="228">
        <f>SUMIF(AGO!$G$120:$M$120,"&gt;0",AGO!$X22:$AD22)</f>
        <v>0</v>
      </c>
      <c r="BE407" s="696"/>
      <c r="BF407" s="228">
        <f>SUMIF(AGO!$BA$6:$BG$6,BF$177,AGO!$BA22:$BG22)</f>
        <v>0</v>
      </c>
      <c r="BG407" s="229">
        <f>SUMIF(AGO!$BA$6:$BG$6,BG$177,AGO!$BA22:$BG22)</f>
        <v>0</v>
      </c>
      <c r="BH407" s="229">
        <f>SUMIF(AGO!$BA$6:$BG$6,BH$177,AGO!$BA22:$BG22)</f>
        <v>0</v>
      </c>
      <c r="BI407" s="229">
        <f>SUMIF(AGO!$BA$6:$BG$6,BI$177,AGO!$BA22:$BG22)</f>
        <v>0</v>
      </c>
      <c r="BJ407" s="229">
        <f>SUMIF(AGO!$BA$6:$BG$6,BJ$177,AGO!$BA22:$BG22)</f>
        <v>0</v>
      </c>
      <c r="BK407" s="229">
        <f>SUMIF(AGO!$BA$6:$BG$6,BK$177,AGO!$BA22:$BG22)</f>
        <v>0</v>
      </c>
      <c r="BL407" s="229">
        <f>SUMIF(AGO!$BA$6:$BG$6,BL$177,AGO!$BA22:$BG22)</f>
        <v>0</v>
      </c>
      <c r="BM407" s="229">
        <f>SUMIF(AGO!$BA$6:$BG$6,BM$177,AGO!$BA22:$BG22)</f>
        <v>0</v>
      </c>
      <c r="BN407" s="229">
        <f>SUMIF(AGO!$BA$6:$BG$6,BN$177,AGO!$BA22:$BG22)</f>
        <v>0</v>
      </c>
      <c r="BO407" s="231">
        <f>SUMIF(AGO!$BA$6:$BG$6,BO$177,AGO!$BA22:$BG22)</f>
        <v>0</v>
      </c>
      <c r="BP407" s="231">
        <f>SUMIF(AGO!$BA$6:$BG$6,BP$177,AGO!$BA22:$BG22)</f>
        <v>0</v>
      </c>
      <c r="BQ407" s="252"/>
      <c r="BR407" s="228">
        <f>SUMIF(AGO!$BA$5:$BG$5,BR$177,AGO!$BA22:$BG22)</f>
        <v>0</v>
      </c>
      <c r="BS407" s="229">
        <f>SUMIF(AGO!$BA$5:$BG$5,BS$177,AGO!$BA22:$BG22)</f>
        <v>0</v>
      </c>
      <c r="BT407" s="229">
        <f>SUMIF(AGO!$BA$5:$BG$5,BT$177,AGO!$BA22:$BG22)</f>
        <v>0</v>
      </c>
      <c r="BU407" s="229">
        <f>SUMIF(AGO!$BA$5:$BG$5,BU$177,AGO!$BA22:$BG22)</f>
        <v>0</v>
      </c>
      <c r="BV407" s="229">
        <f>SUMIF(AGO!$BA$5:$BG$5,BV$177,AGO!$BA22:$BG22)</f>
        <v>0</v>
      </c>
      <c r="BW407" s="229">
        <f>SUMIF(AGO!$BA$5:$BG$5,BW$177,AGO!$BA22:$BG22)</f>
        <v>0</v>
      </c>
      <c r="BX407" s="230">
        <f>SUMIF(AGO!$BA$5:$BG$5,BX$177,AGO!$BA22:$BG22)</f>
        <v>0</v>
      </c>
      <c r="BY407" s="998">
        <f>SUMIF(AGO!$BA$5:$BG$5,BY$177,AGO!$BA22:$BG22)</f>
        <v>0</v>
      </c>
      <c r="CB407" s="252"/>
      <c r="CC407" s="61" t="e">
        <f t="shared" si="88"/>
        <v>#N/A</v>
      </c>
      <c r="CD407" s="61">
        <f t="shared" si="89"/>
        <v>0</v>
      </c>
      <c r="CE407" s="105" t="str">
        <f t="shared" si="82"/>
        <v/>
      </c>
      <c r="CF407" s="61" t="e">
        <f t="shared" si="90"/>
        <v>#N/A</v>
      </c>
      <c r="CG407" s="61" t="e">
        <f t="shared" si="91"/>
        <v>#N/A</v>
      </c>
      <c r="CH407" s="521">
        <f>AGO!AL22-CW407+CR407</f>
        <v>0</v>
      </c>
      <c r="CI407" s="228">
        <f>SUMIF(AGO!$G$121:$M$121,CI$178,AGO!$AM22:$AS22)+SUMIF($CS$178:$CV$178,CI$178,$CS407:$CV407)</f>
        <v>0</v>
      </c>
      <c r="CJ407" s="229">
        <f>SUMIF(AGO!$G$121:$M$121,CJ$178,AGO!$AM22:$AS22)+SUMIF($CS$178:$CV$178,CJ$178,$CS407:$CV407)</f>
        <v>0</v>
      </c>
      <c r="CK407" s="230">
        <f>SUMIF(AGO!$G$121:$M$121,CK$178,AGO!$AM22:$AS22)+SUMIF($CS$178:$CV$178,CK$178,$CS407:$CV407)</f>
        <v>0</v>
      </c>
      <c r="CL407" s="230">
        <f>SUMIF(AGO!$G$121:$M$121,CL$178,AGO!$AM22:$AS22)+SUMIF($CS$178:$CV$178,CL$178,$CS407:$CV407)</f>
        <v>0</v>
      </c>
      <c r="CM407" s="230">
        <f>SUMIF(AGO!$G$121:$M$121,CM$178,AGO!$AM22:$AS22)+SUMIF($CS$178:$CV$178,CM$178,$CS407:$CV407)</f>
        <v>0</v>
      </c>
      <c r="CN407" s="230">
        <f>SUMIF(AGO!$G$121:$M$121,CN$178,AGO!$AM22:$AS22)+SUMIF($CS$178:$CV$178,CN$178,$CS407:$CV407)</f>
        <v>0</v>
      </c>
      <c r="CO407" s="230">
        <f>SUMIF(AGO!$G$121:$M$121,CO$178,AGO!$AM22:$AS22)+SUMIF($CS$178:$CV$178,CO$178,$CS407:$CV407)</f>
        <v>0</v>
      </c>
      <c r="CP407" s="230">
        <f>SUMIF(AGO!$G$121:$M$121,CP$178,AGO!$AM22:$AS22)+SUMIF($CS$178:$CV$178,CP$178,$CS407:$CV407)</f>
        <v>0</v>
      </c>
      <c r="CQ407" s="231">
        <f>SUMIF(AGO!$G$121:$M$121,CQ$178,AGO!$AM22:$AS22)+SUMIF($CS$178:$CV$178,CQ$178,$CS407:$CV407)</f>
        <v>0</v>
      </c>
      <c r="CR407" s="521">
        <f>AGO!AU22</f>
        <v>0</v>
      </c>
      <c r="CS407" s="228">
        <f>AGO!AV22</f>
        <v>0</v>
      </c>
      <c r="CT407" s="229">
        <f>AGO!AW22</f>
        <v>0</v>
      </c>
      <c r="CU407" s="230">
        <f>AGO!AX22</f>
        <v>0</v>
      </c>
      <c r="CV407" s="231">
        <f>AGO!AY22</f>
        <v>0</v>
      </c>
      <c r="CW407" s="521">
        <f>SUM(AGO!AU22:AY22)</f>
        <v>0</v>
      </c>
      <c r="CX407" s="521">
        <f>AGO!AK22</f>
        <v>0</v>
      </c>
      <c r="CY407" s="2"/>
    </row>
    <row r="408" spans="1:103" ht="14.25" hidden="1" customHeight="1" x14ac:dyDescent="0.2">
      <c r="A408" s="2"/>
      <c r="B408" s="105">
        <f t="shared" si="92"/>
        <v>45520</v>
      </c>
      <c r="C408" s="146">
        <f>IF(AND(E408&gt;(N$558-1),E408&lt;(R$558+1)),W$551,IF(ISERROR(HLOOKUP(E408,$N$551:$U$551,1,FALSE)),HLOOKUP(WEEKDAY(E408,2),IMPOSTAZIONI!$C$52:$P$57,6,FALSE),$W$550))</f>
        <v>0</v>
      </c>
      <c r="D408" s="71" t="str">
        <f t="shared" si="93"/>
        <v/>
      </c>
      <c r="E408" s="2258">
        <f t="shared" si="98"/>
        <v>45520</v>
      </c>
      <c r="F408" s="2259"/>
      <c r="G408" s="2228" t="str">
        <f>AGO!E23</f>
        <v xml:space="preserve">disattivato  </v>
      </c>
      <c r="H408" s="2229"/>
      <c r="I408" s="2230"/>
      <c r="J408" s="262" t="str">
        <f t="shared" si="83"/>
        <v/>
      </c>
      <c r="K408" s="263"/>
      <c r="L408" s="2217">
        <f t="shared" si="99"/>
        <v>33</v>
      </c>
      <c r="M408" s="2218"/>
      <c r="N408" s="261"/>
      <c r="O408" s="261"/>
      <c r="P408" s="261"/>
      <c r="Q408" s="2219">
        <f t="shared" si="94"/>
        <v>45520</v>
      </c>
      <c r="R408" s="2219"/>
      <c r="S408" s="261"/>
      <c r="T408" s="1173">
        <f t="shared" si="84"/>
        <v>1</v>
      </c>
      <c r="U408" s="261"/>
      <c r="V408" s="261"/>
      <c r="W408" s="261"/>
      <c r="X408" s="261"/>
      <c r="Y408" s="261"/>
      <c r="Z408" s="261"/>
      <c r="AA408" s="261"/>
      <c r="AB408" s="261"/>
      <c r="AC408" s="261"/>
      <c r="AD408" s="261"/>
      <c r="AE408" s="261"/>
      <c r="AF408" s="261"/>
      <c r="AG408" s="1173">
        <f t="shared" si="95"/>
        <v>0</v>
      </c>
      <c r="AH408" s="61" t="str">
        <f t="shared" si="96"/>
        <v/>
      </c>
      <c r="AI408" s="89" t="e">
        <f t="shared" si="97"/>
        <v>#N/A</v>
      </c>
      <c r="AJ408" s="2"/>
      <c r="AK408" s="61">
        <f>IF(G408=G$547,0,IF(OR(G408&lt;&gt;0,CH408&lt;&gt;0,C408="L"),COUNTIF(AK$180:AK407,"&gt;0")+1,0))</f>
        <v>0</v>
      </c>
      <c r="AL408" s="61" t="str">
        <f t="shared" si="85"/>
        <v/>
      </c>
      <c r="AM408" s="61" t="e">
        <f t="shared" si="86"/>
        <v>#N/A</v>
      </c>
      <c r="AN408" s="89" t="e">
        <f t="shared" si="87"/>
        <v>#N/A</v>
      </c>
      <c r="AO408" s="230">
        <f>SUM(AGO!X23:AD23)-BD408+AY408</f>
        <v>0</v>
      </c>
      <c r="AP408" s="228">
        <f>SUMIF(AGO!$G$121:$M$121,AP$178,AGO!$P23:$V23)+SUMIF($AZ$178:$BC$178,AP$178,$AZ408:$BC408)</f>
        <v>0</v>
      </c>
      <c r="AQ408" s="229">
        <f>SUMIF(AGO!$G$121:$M$121,AQ$178,AGO!$P23:$V23)+SUMIF($AZ$178:$BC$178,AQ$178,$AZ408:$BC408)</f>
        <v>0</v>
      </c>
      <c r="AR408" s="230">
        <f>SUMIF(AGO!$G$121:$M$121,AR$178,AGO!$P23:$V23)+SUMIF($AZ$178:$BC$178,AR$178,$AZ408:$BC408)</f>
        <v>0</v>
      </c>
      <c r="AS408" s="230">
        <f>SUMIF(AGO!$G$121:$M$121,AS$178,AGO!$P23:$V23)+SUMIF($AZ$178:$BC$178,AS$178,$AZ408:$BC408)</f>
        <v>0</v>
      </c>
      <c r="AT408" s="230">
        <f>SUMIF(AGO!$G$121:$M$121,AT$178,AGO!$P23:$V23)+SUMIF($AZ$178:$BC$178,AT$178,$AZ408:$BC408)</f>
        <v>0</v>
      </c>
      <c r="AU408" s="230">
        <f>SUMIF(AGO!$G$121:$M$121,AU$178,AGO!$P23:$V23)+SUMIF($AZ$178:$BC$178,AU$178,$AZ408:$BC408)</f>
        <v>0</v>
      </c>
      <c r="AV408" s="230">
        <f>SUMIF(AGO!$G$121:$M$121,AV$178,AGO!$P23:$V23)+SUMIF($AZ$178:$BC$178,AV$178,$AZ408:$BC408)</f>
        <v>0</v>
      </c>
      <c r="AW408" s="230">
        <f>SUMIF(AGO!$G$121:$M$121,AW$178,AGO!$P23:$V23)+SUMIF($AZ$178:$BC$178,AW$178,$AZ408:$BC408)</f>
        <v>0</v>
      </c>
      <c r="AX408" s="231">
        <f>SUMIF(AGO!$G$121:$M$121,AX$178,AGO!$P23:$V23)+SUMIF($AZ$178:$BC$178,AX$178,$AZ408:$BC408)</f>
        <v>0</v>
      </c>
      <c r="AY408" s="232">
        <f>AGO!AF23</f>
        <v>0</v>
      </c>
      <c r="AZ408" s="228">
        <f>AGO!AG23</f>
        <v>0</v>
      </c>
      <c r="BA408" s="229">
        <f>AGO!AH23</f>
        <v>0</v>
      </c>
      <c r="BB408" s="230">
        <f>AGO!AI23</f>
        <v>0</v>
      </c>
      <c r="BC408" s="231">
        <f>AGO!AJ23</f>
        <v>0</v>
      </c>
      <c r="BD408" s="228">
        <f>SUMIF(AGO!$G$120:$M$120,"&gt;0",AGO!$X23:$AD23)</f>
        <v>0</v>
      </c>
      <c r="BE408" s="696"/>
      <c r="BF408" s="228">
        <f>SUMIF(AGO!$BA$6:$BG$6,BF$177,AGO!$BA23:$BG23)</f>
        <v>0</v>
      </c>
      <c r="BG408" s="229">
        <f>SUMIF(AGO!$BA$6:$BG$6,BG$177,AGO!$BA23:$BG23)</f>
        <v>0</v>
      </c>
      <c r="BH408" s="229">
        <f>SUMIF(AGO!$BA$6:$BG$6,BH$177,AGO!$BA23:$BG23)</f>
        <v>0</v>
      </c>
      <c r="BI408" s="229">
        <f>SUMIF(AGO!$BA$6:$BG$6,BI$177,AGO!$BA23:$BG23)</f>
        <v>0</v>
      </c>
      <c r="BJ408" s="229">
        <f>SUMIF(AGO!$BA$6:$BG$6,BJ$177,AGO!$BA23:$BG23)</f>
        <v>0</v>
      </c>
      <c r="BK408" s="229">
        <f>SUMIF(AGO!$BA$6:$BG$6,BK$177,AGO!$BA23:$BG23)</f>
        <v>0</v>
      </c>
      <c r="BL408" s="229">
        <f>SUMIF(AGO!$BA$6:$BG$6,BL$177,AGO!$BA23:$BG23)</f>
        <v>0</v>
      </c>
      <c r="BM408" s="229">
        <f>SUMIF(AGO!$BA$6:$BG$6,BM$177,AGO!$BA23:$BG23)</f>
        <v>0</v>
      </c>
      <c r="BN408" s="229">
        <f>SUMIF(AGO!$BA$6:$BG$6,BN$177,AGO!$BA23:$BG23)</f>
        <v>0</v>
      </c>
      <c r="BO408" s="231">
        <f>SUMIF(AGO!$BA$6:$BG$6,BO$177,AGO!$BA23:$BG23)</f>
        <v>0</v>
      </c>
      <c r="BP408" s="231">
        <f>SUMIF(AGO!$BA$6:$BG$6,BP$177,AGO!$BA23:$BG23)</f>
        <v>0</v>
      </c>
      <c r="BQ408" s="252"/>
      <c r="BR408" s="228">
        <f>SUMIF(AGO!$BA$5:$BG$5,BR$177,AGO!$BA23:$BG23)</f>
        <v>0</v>
      </c>
      <c r="BS408" s="229">
        <f>SUMIF(AGO!$BA$5:$BG$5,BS$177,AGO!$BA23:$BG23)</f>
        <v>0</v>
      </c>
      <c r="BT408" s="229">
        <f>SUMIF(AGO!$BA$5:$BG$5,BT$177,AGO!$BA23:$BG23)</f>
        <v>0</v>
      </c>
      <c r="BU408" s="229">
        <f>SUMIF(AGO!$BA$5:$BG$5,BU$177,AGO!$BA23:$BG23)</f>
        <v>0</v>
      </c>
      <c r="BV408" s="229">
        <f>SUMIF(AGO!$BA$5:$BG$5,BV$177,AGO!$BA23:$BG23)</f>
        <v>0</v>
      </c>
      <c r="BW408" s="229">
        <f>SUMIF(AGO!$BA$5:$BG$5,BW$177,AGO!$BA23:$BG23)</f>
        <v>0</v>
      </c>
      <c r="BX408" s="230">
        <f>SUMIF(AGO!$BA$5:$BG$5,BX$177,AGO!$BA23:$BG23)</f>
        <v>0</v>
      </c>
      <c r="BY408" s="998">
        <f>SUMIF(AGO!$BA$5:$BG$5,BY$177,AGO!$BA23:$BG23)</f>
        <v>0</v>
      </c>
      <c r="CB408" s="252"/>
      <c r="CC408" s="61" t="e">
        <f t="shared" si="88"/>
        <v>#N/A</v>
      </c>
      <c r="CD408" s="61">
        <f t="shared" si="89"/>
        <v>0</v>
      </c>
      <c r="CE408" s="105" t="str">
        <f t="shared" si="82"/>
        <v/>
      </c>
      <c r="CF408" s="61" t="e">
        <f t="shared" si="90"/>
        <v>#N/A</v>
      </c>
      <c r="CG408" s="61" t="e">
        <f t="shared" si="91"/>
        <v>#N/A</v>
      </c>
      <c r="CH408" s="521">
        <f>AGO!AL23-CW408+CR408</f>
        <v>0</v>
      </c>
      <c r="CI408" s="228">
        <f>SUMIF(AGO!$G$121:$M$121,CI$178,AGO!$AM23:$AS23)+SUMIF($CS$178:$CV$178,CI$178,$CS408:$CV408)</f>
        <v>0</v>
      </c>
      <c r="CJ408" s="229">
        <f>SUMIF(AGO!$G$121:$M$121,CJ$178,AGO!$AM23:$AS23)+SUMIF($CS$178:$CV$178,CJ$178,$CS408:$CV408)</f>
        <v>0</v>
      </c>
      <c r="CK408" s="230">
        <f>SUMIF(AGO!$G$121:$M$121,CK$178,AGO!$AM23:$AS23)+SUMIF($CS$178:$CV$178,CK$178,$CS408:$CV408)</f>
        <v>0</v>
      </c>
      <c r="CL408" s="230">
        <f>SUMIF(AGO!$G$121:$M$121,CL$178,AGO!$AM23:$AS23)+SUMIF($CS$178:$CV$178,CL$178,$CS408:$CV408)</f>
        <v>0</v>
      </c>
      <c r="CM408" s="230">
        <f>SUMIF(AGO!$G$121:$M$121,CM$178,AGO!$AM23:$AS23)+SUMIF($CS$178:$CV$178,CM$178,$CS408:$CV408)</f>
        <v>0</v>
      </c>
      <c r="CN408" s="230">
        <f>SUMIF(AGO!$G$121:$M$121,CN$178,AGO!$AM23:$AS23)+SUMIF($CS$178:$CV$178,CN$178,$CS408:$CV408)</f>
        <v>0</v>
      </c>
      <c r="CO408" s="230">
        <f>SUMIF(AGO!$G$121:$M$121,CO$178,AGO!$AM23:$AS23)+SUMIF($CS$178:$CV$178,CO$178,$CS408:$CV408)</f>
        <v>0</v>
      </c>
      <c r="CP408" s="230">
        <f>SUMIF(AGO!$G$121:$M$121,CP$178,AGO!$AM23:$AS23)+SUMIF($CS$178:$CV$178,CP$178,$CS408:$CV408)</f>
        <v>0</v>
      </c>
      <c r="CQ408" s="231">
        <f>SUMIF(AGO!$G$121:$M$121,CQ$178,AGO!$AM23:$AS23)+SUMIF($CS$178:$CV$178,CQ$178,$CS408:$CV408)</f>
        <v>0</v>
      </c>
      <c r="CR408" s="521">
        <f>AGO!AU23</f>
        <v>0</v>
      </c>
      <c r="CS408" s="228">
        <f>AGO!AV23</f>
        <v>0</v>
      </c>
      <c r="CT408" s="229">
        <f>AGO!AW23</f>
        <v>0</v>
      </c>
      <c r="CU408" s="230">
        <f>AGO!AX23</f>
        <v>0</v>
      </c>
      <c r="CV408" s="231">
        <f>AGO!AY23</f>
        <v>0</v>
      </c>
      <c r="CW408" s="521">
        <f>SUM(AGO!AU23:AY23)</f>
        <v>0</v>
      </c>
      <c r="CX408" s="521">
        <f>AGO!AK23</f>
        <v>0</v>
      </c>
      <c r="CY408" s="2"/>
    </row>
    <row r="409" spans="1:103" ht="14.25" hidden="1" customHeight="1" x14ac:dyDescent="0.2">
      <c r="A409" s="2"/>
      <c r="B409" s="105">
        <f t="shared" si="92"/>
        <v>45521</v>
      </c>
      <c r="C409" s="146">
        <f>IF(AND(E409&gt;(N$558-1),E409&lt;(R$558+1)),W$551,IF(ISERROR(HLOOKUP(E409,$N$551:$U$551,1,FALSE)),HLOOKUP(WEEKDAY(E409,2),IMPOSTAZIONI!$C$52:$P$57,6,FALSE),$W$550))</f>
        <v>0</v>
      </c>
      <c r="D409" s="71" t="str">
        <f t="shared" si="93"/>
        <v/>
      </c>
      <c r="E409" s="2258">
        <f t="shared" si="98"/>
        <v>45521</v>
      </c>
      <c r="F409" s="2259"/>
      <c r="G409" s="2228" t="str">
        <f>AGO!E24</f>
        <v xml:space="preserve">disattivato  </v>
      </c>
      <c r="H409" s="2229"/>
      <c r="I409" s="2230"/>
      <c r="J409" s="262" t="str">
        <f t="shared" si="83"/>
        <v/>
      </c>
      <c r="K409" s="263"/>
      <c r="L409" s="2217">
        <f t="shared" si="99"/>
        <v>33</v>
      </c>
      <c r="M409" s="2218"/>
      <c r="N409" s="261"/>
      <c r="O409" s="261"/>
      <c r="P409" s="261"/>
      <c r="Q409" s="2219">
        <f t="shared" si="94"/>
        <v>45521</v>
      </c>
      <c r="R409" s="2219"/>
      <c r="S409" s="261"/>
      <c r="T409" s="1173">
        <f t="shared" si="84"/>
        <v>1</v>
      </c>
      <c r="U409" s="261"/>
      <c r="V409" s="261"/>
      <c r="W409" s="261"/>
      <c r="X409" s="261"/>
      <c r="Y409" s="261"/>
      <c r="Z409" s="261"/>
      <c r="AA409" s="261"/>
      <c r="AB409" s="261"/>
      <c r="AC409" s="261"/>
      <c r="AD409" s="261"/>
      <c r="AE409" s="261"/>
      <c r="AF409" s="261"/>
      <c r="AG409" s="1173">
        <f t="shared" si="95"/>
        <v>0</v>
      </c>
      <c r="AH409" s="61" t="str">
        <f t="shared" si="96"/>
        <v/>
      </c>
      <c r="AI409" s="89" t="e">
        <f t="shared" si="97"/>
        <v>#N/A</v>
      </c>
      <c r="AJ409" s="2"/>
      <c r="AK409" s="61">
        <f>IF(G409=G$547,0,IF(OR(G409&lt;&gt;0,CH409&lt;&gt;0,C409="L"),COUNTIF(AK$180:AK408,"&gt;0")+1,0))</f>
        <v>0</v>
      </c>
      <c r="AL409" s="61" t="str">
        <f t="shared" si="85"/>
        <v/>
      </c>
      <c r="AM409" s="61" t="e">
        <f t="shared" si="86"/>
        <v>#N/A</v>
      </c>
      <c r="AN409" s="89" t="e">
        <f t="shared" si="87"/>
        <v>#N/A</v>
      </c>
      <c r="AO409" s="230">
        <f>SUM(AGO!X24:AD24)-BD409+AY409</f>
        <v>0</v>
      </c>
      <c r="AP409" s="228">
        <f>SUMIF(AGO!$G$121:$M$121,AP$178,AGO!$P24:$V24)+SUMIF($AZ$178:$BC$178,AP$178,$AZ409:$BC409)</f>
        <v>0</v>
      </c>
      <c r="AQ409" s="229">
        <f>SUMIF(AGO!$G$121:$M$121,AQ$178,AGO!$P24:$V24)+SUMIF($AZ$178:$BC$178,AQ$178,$AZ409:$BC409)</f>
        <v>0</v>
      </c>
      <c r="AR409" s="230">
        <f>SUMIF(AGO!$G$121:$M$121,AR$178,AGO!$P24:$V24)+SUMIF($AZ$178:$BC$178,AR$178,$AZ409:$BC409)</f>
        <v>0</v>
      </c>
      <c r="AS409" s="230">
        <f>SUMIF(AGO!$G$121:$M$121,AS$178,AGO!$P24:$V24)+SUMIF($AZ$178:$BC$178,AS$178,$AZ409:$BC409)</f>
        <v>0</v>
      </c>
      <c r="AT409" s="230">
        <f>SUMIF(AGO!$G$121:$M$121,AT$178,AGO!$P24:$V24)+SUMIF($AZ$178:$BC$178,AT$178,$AZ409:$BC409)</f>
        <v>0</v>
      </c>
      <c r="AU409" s="230">
        <f>SUMIF(AGO!$G$121:$M$121,AU$178,AGO!$P24:$V24)+SUMIF($AZ$178:$BC$178,AU$178,$AZ409:$BC409)</f>
        <v>0</v>
      </c>
      <c r="AV409" s="230">
        <f>SUMIF(AGO!$G$121:$M$121,AV$178,AGO!$P24:$V24)+SUMIF($AZ$178:$BC$178,AV$178,$AZ409:$BC409)</f>
        <v>0</v>
      </c>
      <c r="AW409" s="230">
        <f>SUMIF(AGO!$G$121:$M$121,AW$178,AGO!$P24:$V24)+SUMIF($AZ$178:$BC$178,AW$178,$AZ409:$BC409)</f>
        <v>0</v>
      </c>
      <c r="AX409" s="231">
        <f>SUMIF(AGO!$G$121:$M$121,AX$178,AGO!$P24:$V24)+SUMIF($AZ$178:$BC$178,AX$178,$AZ409:$BC409)</f>
        <v>0</v>
      </c>
      <c r="AY409" s="232">
        <f>AGO!AF24</f>
        <v>0</v>
      </c>
      <c r="AZ409" s="228">
        <f>AGO!AG24</f>
        <v>0</v>
      </c>
      <c r="BA409" s="229">
        <f>AGO!AH24</f>
        <v>0</v>
      </c>
      <c r="BB409" s="230">
        <f>AGO!AI24</f>
        <v>0</v>
      </c>
      <c r="BC409" s="231">
        <f>AGO!AJ24</f>
        <v>0</v>
      </c>
      <c r="BD409" s="228">
        <f>SUMIF(AGO!$G$120:$M$120,"&gt;0",AGO!$X24:$AD24)</f>
        <v>0</v>
      </c>
      <c r="BE409" s="696"/>
      <c r="BF409" s="228">
        <f>SUMIF(AGO!$BA$6:$BG$6,BF$177,AGO!$BA24:$BG24)</f>
        <v>0</v>
      </c>
      <c r="BG409" s="229">
        <f>SUMIF(AGO!$BA$6:$BG$6,BG$177,AGO!$BA24:$BG24)</f>
        <v>0</v>
      </c>
      <c r="BH409" s="229">
        <f>SUMIF(AGO!$BA$6:$BG$6,BH$177,AGO!$BA24:$BG24)</f>
        <v>0</v>
      </c>
      <c r="BI409" s="229">
        <f>SUMIF(AGO!$BA$6:$BG$6,BI$177,AGO!$BA24:$BG24)</f>
        <v>0</v>
      </c>
      <c r="BJ409" s="229">
        <f>SUMIF(AGO!$BA$6:$BG$6,BJ$177,AGO!$BA24:$BG24)</f>
        <v>0</v>
      </c>
      <c r="BK409" s="229">
        <f>SUMIF(AGO!$BA$6:$BG$6,BK$177,AGO!$BA24:$BG24)</f>
        <v>0</v>
      </c>
      <c r="BL409" s="229">
        <f>SUMIF(AGO!$BA$6:$BG$6,BL$177,AGO!$BA24:$BG24)</f>
        <v>0</v>
      </c>
      <c r="BM409" s="229">
        <f>SUMIF(AGO!$BA$6:$BG$6,BM$177,AGO!$BA24:$BG24)</f>
        <v>0</v>
      </c>
      <c r="BN409" s="229">
        <f>SUMIF(AGO!$BA$6:$BG$6,BN$177,AGO!$BA24:$BG24)</f>
        <v>0</v>
      </c>
      <c r="BO409" s="231">
        <f>SUMIF(AGO!$BA$6:$BG$6,BO$177,AGO!$BA24:$BG24)</f>
        <v>0</v>
      </c>
      <c r="BP409" s="231">
        <f>SUMIF(AGO!$BA$6:$BG$6,BP$177,AGO!$BA24:$BG24)</f>
        <v>0</v>
      </c>
      <c r="BQ409" s="252"/>
      <c r="BR409" s="228">
        <f>SUMIF(AGO!$BA$5:$BG$5,BR$177,AGO!$BA24:$BG24)</f>
        <v>0</v>
      </c>
      <c r="BS409" s="229">
        <f>SUMIF(AGO!$BA$5:$BG$5,BS$177,AGO!$BA24:$BG24)</f>
        <v>0</v>
      </c>
      <c r="BT409" s="229">
        <f>SUMIF(AGO!$BA$5:$BG$5,BT$177,AGO!$BA24:$BG24)</f>
        <v>0</v>
      </c>
      <c r="BU409" s="229">
        <f>SUMIF(AGO!$BA$5:$BG$5,BU$177,AGO!$BA24:$BG24)</f>
        <v>0</v>
      </c>
      <c r="BV409" s="229">
        <f>SUMIF(AGO!$BA$5:$BG$5,BV$177,AGO!$BA24:$BG24)</f>
        <v>0</v>
      </c>
      <c r="BW409" s="229">
        <f>SUMIF(AGO!$BA$5:$BG$5,BW$177,AGO!$BA24:$BG24)</f>
        <v>0</v>
      </c>
      <c r="BX409" s="230">
        <f>SUMIF(AGO!$BA$5:$BG$5,BX$177,AGO!$BA24:$BG24)</f>
        <v>0</v>
      </c>
      <c r="BY409" s="998">
        <f>SUMIF(AGO!$BA$5:$BG$5,BY$177,AGO!$BA24:$BG24)</f>
        <v>0</v>
      </c>
      <c r="CB409" s="252"/>
      <c r="CC409" s="61" t="e">
        <f t="shared" si="88"/>
        <v>#N/A</v>
      </c>
      <c r="CD409" s="61">
        <f t="shared" si="89"/>
        <v>0</v>
      </c>
      <c r="CE409" s="105" t="str">
        <f t="shared" si="82"/>
        <v/>
      </c>
      <c r="CF409" s="61" t="e">
        <f t="shared" si="90"/>
        <v>#N/A</v>
      </c>
      <c r="CG409" s="61" t="e">
        <f t="shared" si="91"/>
        <v>#N/A</v>
      </c>
      <c r="CH409" s="521">
        <f>AGO!AL24-CW409+CR409</f>
        <v>0</v>
      </c>
      <c r="CI409" s="228">
        <f>SUMIF(AGO!$G$121:$M$121,CI$178,AGO!$AM24:$AS24)+SUMIF($CS$178:$CV$178,CI$178,$CS409:$CV409)</f>
        <v>0</v>
      </c>
      <c r="CJ409" s="229">
        <f>SUMIF(AGO!$G$121:$M$121,CJ$178,AGO!$AM24:$AS24)+SUMIF($CS$178:$CV$178,CJ$178,$CS409:$CV409)</f>
        <v>0</v>
      </c>
      <c r="CK409" s="230">
        <f>SUMIF(AGO!$G$121:$M$121,CK$178,AGO!$AM24:$AS24)+SUMIF($CS$178:$CV$178,CK$178,$CS409:$CV409)</f>
        <v>0</v>
      </c>
      <c r="CL409" s="230">
        <f>SUMIF(AGO!$G$121:$M$121,CL$178,AGO!$AM24:$AS24)+SUMIF($CS$178:$CV$178,CL$178,$CS409:$CV409)</f>
        <v>0</v>
      </c>
      <c r="CM409" s="230">
        <f>SUMIF(AGO!$G$121:$M$121,CM$178,AGO!$AM24:$AS24)+SUMIF($CS$178:$CV$178,CM$178,$CS409:$CV409)</f>
        <v>0</v>
      </c>
      <c r="CN409" s="230">
        <f>SUMIF(AGO!$G$121:$M$121,CN$178,AGO!$AM24:$AS24)+SUMIF($CS$178:$CV$178,CN$178,$CS409:$CV409)</f>
        <v>0</v>
      </c>
      <c r="CO409" s="230">
        <f>SUMIF(AGO!$G$121:$M$121,CO$178,AGO!$AM24:$AS24)+SUMIF($CS$178:$CV$178,CO$178,$CS409:$CV409)</f>
        <v>0</v>
      </c>
      <c r="CP409" s="230">
        <f>SUMIF(AGO!$G$121:$M$121,CP$178,AGO!$AM24:$AS24)+SUMIF($CS$178:$CV$178,CP$178,$CS409:$CV409)</f>
        <v>0</v>
      </c>
      <c r="CQ409" s="231">
        <f>SUMIF(AGO!$G$121:$M$121,CQ$178,AGO!$AM24:$AS24)+SUMIF($CS$178:$CV$178,CQ$178,$CS409:$CV409)</f>
        <v>0</v>
      </c>
      <c r="CR409" s="521">
        <f>AGO!AU24</f>
        <v>0</v>
      </c>
      <c r="CS409" s="228">
        <f>AGO!AV24</f>
        <v>0</v>
      </c>
      <c r="CT409" s="229">
        <f>AGO!AW24</f>
        <v>0</v>
      </c>
      <c r="CU409" s="230">
        <f>AGO!AX24</f>
        <v>0</v>
      </c>
      <c r="CV409" s="231">
        <f>AGO!AY24</f>
        <v>0</v>
      </c>
      <c r="CW409" s="521">
        <f>SUM(AGO!AU24:AY24)</f>
        <v>0</v>
      </c>
      <c r="CX409" s="521">
        <f>AGO!AK24</f>
        <v>0</v>
      </c>
      <c r="CY409" s="2"/>
    </row>
    <row r="410" spans="1:103" ht="14.25" hidden="1" customHeight="1" x14ac:dyDescent="0.2">
      <c r="A410" s="2"/>
      <c r="B410" s="105">
        <f t="shared" si="92"/>
        <v>45522</v>
      </c>
      <c r="C410" s="146">
        <f>IF(AND(E410&gt;(N$558-1),E410&lt;(R$558+1)),W$551,IF(ISERROR(HLOOKUP(E410,$N$551:$U$551,1,FALSE)),HLOOKUP(WEEKDAY(E410,2),IMPOSTAZIONI!$C$52:$P$57,6,FALSE),$W$550))</f>
        <v>0</v>
      </c>
      <c r="D410" s="71" t="str">
        <f t="shared" si="93"/>
        <v/>
      </c>
      <c r="E410" s="2258">
        <f t="shared" si="98"/>
        <v>45522</v>
      </c>
      <c r="F410" s="2259"/>
      <c r="G410" s="2228" t="str">
        <f>AGO!E25</f>
        <v xml:space="preserve">disattivato  </v>
      </c>
      <c r="H410" s="2229"/>
      <c r="I410" s="2230"/>
      <c r="J410" s="262" t="str">
        <f t="shared" si="83"/>
        <v/>
      </c>
      <c r="K410" s="263"/>
      <c r="L410" s="2220">
        <f t="shared" si="99"/>
        <v>33</v>
      </c>
      <c r="M410" s="2221"/>
      <c r="N410" s="261"/>
      <c r="O410" s="261"/>
      <c r="P410" s="261"/>
      <c r="Q410" s="2219">
        <f t="shared" si="94"/>
        <v>45522</v>
      </c>
      <c r="R410" s="2219"/>
      <c r="S410" s="261"/>
      <c r="T410" s="1173">
        <f t="shared" si="84"/>
        <v>1</v>
      </c>
      <c r="U410" s="261"/>
      <c r="V410" s="261"/>
      <c r="W410" s="261"/>
      <c r="X410" s="261"/>
      <c r="Y410" s="261"/>
      <c r="Z410" s="261"/>
      <c r="AA410" s="261"/>
      <c r="AB410" s="261"/>
      <c r="AC410" s="261"/>
      <c r="AD410" s="261"/>
      <c r="AE410" s="261"/>
      <c r="AF410" s="261"/>
      <c r="AG410" s="1173">
        <f t="shared" si="95"/>
        <v>0</v>
      </c>
      <c r="AH410" s="61" t="str">
        <f t="shared" si="96"/>
        <v/>
      </c>
      <c r="AI410" s="89" t="e">
        <f t="shared" si="97"/>
        <v>#N/A</v>
      </c>
      <c r="AJ410" s="2"/>
      <c r="AK410" s="61">
        <f>IF(G410=G$547,0,IF(OR(G410&lt;&gt;0,CH410&lt;&gt;0,C410="L"),COUNTIF(AK$180:AK409,"&gt;0")+1,0))</f>
        <v>0</v>
      </c>
      <c r="AL410" s="61" t="str">
        <f t="shared" si="85"/>
        <v/>
      </c>
      <c r="AM410" s="61" t="e">
        <f t="shared" si="86"/>
        <v>#N/A</v>
      </c>
      <c r="AN410" s="89" t="e">
        <f t="shared" si="87"/>
        <v>#N/A</v>
      </c>
      <c r="AO410" s="230">
        <f>SUM(AGO!X25:AD25)-BD410+AY410</f>
        <v>0</v>
      </c>
      <c r="AP410" s="228">
        <f>SUMIF(AGO!$G$121:$M$121,AP$178,AGO!$P25:$V25)+SUMIF($AZ$178:$BC$178,AP$178,$AZ410:$BC410)</f>
        <v>0</v>
      </c>
      <c r="AQ410" s="229">
        <f>SUMIF(AGO!$G$121:$M$121,AQ$178,AGO!$P25:$V25)+SUMIF($AZ$178:$BC$178,AQ$178,$AZ410:$BC410)</f>
        <v>0</v>
      </c>
      <c r="AR410" s="230">
        <f>SUMIF(AGO!$G$121:$M$121,AR$178,AGO!$P25:$V25)+SUMIF($AZ$178:$BC$178,AR$178,$AZ410:$BC410)</f>
        <v>0</v>
      </c>
      <c r="AS410" s="230">
        <f>SUMIF(AGO!$G$121:$M$121,AS$178,AGO!$P25:$V25)+SUMIF($AZ$178:$BC$178,AS$178,$AZ410:$BC410)</f>
        <v>0</v>
      </c>
      <c r="AT410" s="230">
        <f>SUMIF(AGO!$G$121:$M$121,AT$178,AGO!$P25:$V25)+SUMIF($AZ$178:$BC$178,AT$178,$AZ410:$BC410)</f>
        <v>0</v>
      </c>
      <c r="AU410" s="230">
        <f>SUMIF(AGO!$G$121:$M$121,AU$178,AGO!$P25:$V25)+SUMIF($AZ$178:$BC$178,AU$178,$AZ410:$BC410)</f>
        <v>0</v>
      </c>
      <c r="AV410" s="230">
        <f>SUMIF(AGO!$G$121:$M$121,AV$178,AGO!$P25:$V25)+SUMIF($AZ$178:$BC$178,AV$178,$AZ410:$BC410)</f>
        <v>0</v>
      </c>
      <c r="AW410" s="230">
        <f>SUMIF(AGO!$G$121:$M$121,AW$178,AGO!$P25:$V25)+SUMIF($AZ$178:$BC$178,AW$178,$AZ410:$BC410)</f>
        <v>0</v>
      </c>
      <c r="AX410" s="231">
        <f>SUMIF(AGO!$G$121:$M$121,AX$178,AGO!$P25:$V25)+SUMIF($AZ$178:$BC$178,AX$178,$AZ410:$BC410)</f>
        <v>0</v>
      </c>
      <c r="AY410" s="232">
        <f>AGO!AF25</f>
        <v>0</v>
      </c>
      <c r="AZ410" s="228">
        <f>AGO!AG25</f>
        <v>0</v>
      </c>
      <c r="BA410" s="229">
        <f>AGO!AH25</f>
        <v>0</v>
      </c>
      <c r="BB410" s="230">
        <f>AGO!AI25</f>
        <v>0</v>
      </c>
      <c r="BC410" s="231">
        <f>AGO!AJ25</f>
        <v>0</v>
      </c>
      <c r="BD410" s="228">
        <f>SUMIF(AGO!$G$120:$M$120,"&gt;0",AGO!$X25:$AD25)</f>
        <v>0</v>
      </c>
      <c r="BE410" s="696"/>
      <c r="BF410" s="228">
        <f>SUMIF(AGO!$BA$6:$BG$6,BF$177,AGO!$BA25:$BG25)</f>
        <v>0</v>
      </c>
      <c r="BG410" s="229">
        <f>SUMIF(AGO!$BA$6:$BG$6,BG$177,AGO!$BA25:$BG25)</f>
        <v>0</v>
      </c>
      <c r="BH410" s="229">
        <f>SUMIF(AGO!$BA$6:$BG$6,BH$177,AGO!$BA25:$BG25)</f>
        <v>0</v>
      </c>
      <c r="BI410" s="229">
        <f>SUMIF(AGO!$BA$6:$BG$6,BI$177,AGO!$BA25:$BG25)</f>
        <v>0</v>
      </c>
      <c r="BJ410" s="229">
        <f>SUMIF(AGO!$BA$6:$BG$6,BJ$177,AGO!$BA25:$BG25)</f>
        <v>0</v>
      </c>
      <c r="BK410" s="229">
        <f>SUMIF(AGO!$BA$6:$BG$6,BK$177,AGO!$BA25:$BG25)</f>
        <v>0</v>
      </c>
      <c r="BL410" s="229">
        <f>SUMIF(AGO!$BA$6:$BG$6,BL$177,AGO!$BA25:$BG25)</f>
        <v>0</v>
      </c>
      <c r="BM410" s="229">
        <f>SUMIF(AGO!$BA$6:$BG$6,BM$177,AGO!$BA25:$BG25)</f>
        <v>0</v>
      </c>
      <c r="BN410" s="229">
        <f>SUMIF(AGO!$BA$6:$BG$6,BN$177,AGO!$BA25:$BG25)</f>
        <v>0</v>
      </c>
      <c r="BO410" s="231">
        <f>SUMIF(AGO!$BA$6:$BG$6,BO$177,AGO!$BA25:$BG25)</f>
        <v>0</v>
      </c>
      <c r="BP410" s="231">
        <f>SUMIF(AGO!$BA$6:$BG$6,BP$177,AGO!$BA25:$BG25)</f>
        <v>0</v>
      </c>
      <c r="BQ410" s="252"/>
      <c r="BR410" s="228">
        <f>SUMIF(AGO!$BA$5:$BG$5,BR$177,AGO!$BA25:$BG25)</f>
        <v>0</v>
      </c>
      <c r="BS410" s="229">
        <f>SUMIF(AGO!$BA$5:$BG$5,BS$177,AGO!$BA25:$BG25)</f>
        <v>0</v>
      </c>
      <c r="BT410" s="229">
        <f>SUMIF(AGO!$BA$5:$BG$5,BT$177,AGO!$BA25:$BG25)</f>
        <v>0</v>
      </c>
      <c r="BU410" s="229">
        <f>SUMIF(AGO!$BA$5:$BG$5,BU$177,AGO!$BA25:$BG25)</f>
        <v>0</v>
      </c>
      <c r="BV410" s="229">
        <f>SUMIF(AGO!$BA$5:$BG$5,BV$177,AGO!$BA25:$BG25)</f>
        <v>0</v>
      </c>
      <c r="BW410" s="229">
        <f>SUMIF(AGO!$BA$5:$BG$5,BW$177,AGO!$BA25:$BG25)</f>
        <v>0</v>
      </c>
      <c r="BX410" s="230">
        <f>SUMIF(AGO!$BA$5:$BG$5,BX$177,AGO!$BA25:$BG25)</f>
        <v>0</v>
      </c>
      <c r="BY410" s="998">
        <f>SUMIF(AGO!$BA$5:$BG$5,BY$177,AGO!$BA25:$BG25)</f>
        <v>0</v>
      </c>
      <c r="CB410" s="252"/>
      <c r="CC410" s="61" t="e">
        <f t="shared" si="88"/>
        <v>#N/A</v>
      </c>
      <c r="CD410" s="61">
        <f t="shared" si="89"/>
        <v>0</v>
      </c>
      <c r="CE410" s="105" t="str">
        <f t="shared" si="82"/>
        <v/>
      </c>
      <c r="CF410" s="61" t="e">
        <f t="shared" si="90"/>
        <v>#N/A</v>
      </c>
      <c r="CG410" s="61" t="e">
        <f t="shared" si="91"/>
        <v>#N/A</v>
      </c>
      <c r="CH410" s="521">
        <f>AGO!AL25-CW410+CR410</f>
        <v>0</v>
      </c>
      <c r="CI410" s="228">
        <f>SUMIF(AGO!$G$121:$M$121,CI$178,AGO!$AM25:$AS25)+SUMIF($CS$178:$CV$178,CI$178,$CS410:$CV410)</f>
        <v>0</v>
      </c>
      <c r="CJ410" s="229">
        <f>SUMIF(AGO!$G$121:$M$121,CJ$178,AGO!$AM25:$AS25)+SUMIF($CS$178:$CV$178,CJ$178,$CS410:$CV410)</f>
        <v>0</v>
      </c>
      <c r="CK410" s="230">
        <f>SUMIF(AGO!$G$121:$M$121,CK$178,AGO!$AM25:$AS25)+SUMIF($CS$178:$CV$178,CK$178,$CS410:$CV410)</f>
        <v>0</v>
      </c>
      <c r="CL410" s="230">
        <f>SUMIF(AGO!$G$121:$M$121,CL$178,AGO!$AM25:$AS25)+SUMIF($CS$178:$CV$178,CL$178,$CS410:$CV410)</f>
        <v>0</v>
      </c>
      <c r="CM410" s="230">
        <f>SUMIF(AGO!$G$121:$M$121,CM$178,AGO!$AM25:$AS25)+SUMIF($CS$178:$CV$178,CM$178,$CS410:$CV410)</f>
        <v>0</v>
      </c>
      <c r="CN410" s="230">
        <f>SUMIF(AGO!$G$121:$M$121,CN$178,AGO!$AM25:$AS25)+SUMIF($CS$178:$CV$178,CN$178,$CS410:$CV410)</f>
        <v>0</v>
      </c>
      <c r="CO410" s="230">
        <f>SUMIF(AGO!$G$121:$M$121,CO$178,AGO!$AM25:$AS25)+SUMIF($CS$178:$CV$178,CO$178,$CS410:$CV410)</f>
        <v>0</v>
      </c>
      <c r="CP410" s="230">
        <f>SUMIF(AGO!$G$121:$M$121,CP$178,AGO!$AM25:$AS25)+SUMIF($CS$178:$CV$178,CP$178,$CS410:$CV410)</f>
        <v>0</v>
      </c>
      <c r="CQ410" s="231">
        <f>SUMIF(AGO!$G$121:$M$121,CQ$178,AGO!$AM25:$AS25)+SUMIF($CS$178:$CV$178,CQ$178,$CS410:$CV410)</f>
        <v>0</v>
      </c>
      <c r="CR410" s="521">
        <f>AGO!AU25</f>
        <v>0</v>
      </c>
      <c r="CS410" s="228">
        <f>AGO!AV25</f>
        <v>0</v>
      </c>
      <c r="CT410" s="229">
        <f>AGO!AW25</f>
        <v>0</v>
      </c>
      <c r="CU410" s="230">
        <f>AGO!AX25</f>
        <v>0</v>
      </c>
      <c r="CV410" s="231">
        <f>AGO!AY25</f>
        <v>0</v>
      </c>
      <c r="CW410" s="521">
        <f>SUM(AGO!AU25:AY25)</f>
        <v>0</v>
      </c>
      <c r="CX410" s="521">
        <f>AGO!AK25</f>
        <v>0</v>
      </c>
      <c r="CY410" s="2"/>
    </row>
    <row r="411" spans="1:103" ht="14.25" hidden="1" customHeight="1" x14ac:dyDescent="0.2">
      <c r="A411" s="2"/>
      <c r="B411" s="105">
        <f t="shared" si="92"/>
        <v>45523</v>
      </c>
      <c r="C411" s="146">
        <f>IF(AND(E411&gt;(N$558-1),E411&lt;(R$558+1)),W$551,IF(ISERROR(HLOOKUP(E411,$N$551:$U$551,1,FALSE)),HLOOKUP(WEEKDAY(E411,2),IMPOSTAZIONI!$C$52:$P$57,6,FALSE),$W$550))</f>
        <v>0</v>
      </c>
      <c r="D411" s="71" t="str">
        <f t="shared" si="93"/>
        <v/>
      </c>
      <c r="E411" s="2258">
        <f t="shared" si="98"/>
        <v>45523</v>
      </c>
      <c r="F411" s="2259"/>
      <c r="G411" s="2228" t="str">
        <f>AGO!E26</f>
        <v xml:space="preserve">disattivato  </v>
      </c>
      <c r="H411" s="2229"/>
      <c r="I411" s="2230"/>
      <c r="J411" s="262" t="str">
        <f t="shared" si="83"/>
        <v/>
      </c>
      <c r="K411" s="263"/>
      <c r="L411" s="2222">
        <f t="shared" si="99"/>
        <v>34</v>
      </c>
      <c r="M411" s="2223"/>
      <c r="N411" s="261"/>
      <c r="O411" s="261"/>
      <c r="P411" s="261"/>
      <c r="Q411" s="2219">
        <f t="shared" si="94"/>
        <v>45523</v>
      </c>
      <c r="R411" s="2219"/>
      <c r="S411" s="261"/>
      <c r="T411" s="1173">
        <f t="shared" si="84"/>
        <v>1</v>
      </c>
      <c r="U411" s="261"/>
      <c r="V411" s="261"/>
      <c r="W411" s="261"/>
      <c r="X411" s="261"/>
      <c r="Y411" s="261"/>
      <c r="Z411" s="261"/>
      <c r="AA411" s="261"/>
      <c r="AB411" s="261"/>
      <c r="AC411" s="261"/>
      <c r="AD411" s="261"/>
      <c r="AE411" s="261"/>
      <c r="AF411" s="261"/>
      <c r="AG411" s="1173">
        <f t="shared" si="95"/>
        <v>0</v>
      </c>
      <c r="AH411" s="61" t="str">
        <f t="shared" si="96"/>
        <v/>
      </c>
      <c r="AI411" s="89" t="e">
        <f t="shared" si="97"/>
        <v>#N/A</v>
      </c>
      <c r="AJ411" s="2"/>
      <c r="AK411" s="61">
        <f>IF(G411=G$547,0,IF(OR(G411&lt;&gt;0,CH411&lt;&gt;0,C411="L"),COUNTIF(AK$180:AK410,"&gt;0")+1,0))</f>
        <v>0</v>
      </c>
      <c r="AL411" s="61" t="str">
        <f t="shared" si="85"/>
        <v/>
      </c>
      <c r="AM411" s="61" t="e">
        <f t="shared" si="86"/>
        <v>#N/A</v>
      </c>
      <c r="AN411" s="89" t="e">
        <f t="shared" si="87"/>
        <v>#N/A</v>
      </c>
      <c r="AO411" s="230">
        <f>SUM(AGO!X26:AD26)-BD411+AY411</f>
        <v>0</v>
      </c>
      <c r="AP411" s="228">
        <f>SUMIF(AGO!$G$121:$M$121,AP$178,AGO!$P26:$V26)+SUMIF($AZ$178:$BC$178,AP$178,$AZ411:$BC411)</f>
        <v>0</v>
      </c>
      <c r="AQ411" s="229">
        <f>SUMIF(AGO!$G$121:$M$121,AQ$178,AGO!$P26:$V26)+SUMIF($AZ$178:$BC$178,AQ$178,$AZ411:$BC411)</f>
        <v>0</v>
      </c>
      <c r="AR411" s="230">
        <f>SUMIF(AGO!$G$121:$M$121,AR$178,AGO!$P26:$V26)+SUMIF($AZ$178:$BC$178,AR$178,$AZ411:$BC411)</f>
        <v>0</v>
      </c>
      <c r="AS411" s="230">
        <f>SUMIF(AGO!$G$121:$M$121,AS$178,AGO!$P26:$V26)+SUMIF($AZ$178:$BC$178,AS$178,$AZ411:$BC411)</f>
        <v>0</v>
      </c>
      <c r="AT411" s="230">
        <f>SUMIF(AGO!$G$121:$M$121,AT$178,AGO!$P26:$V26)+SUMIF($AZ$178:$BC$178,AT$178,$AZ411:$BC411)</f>
        <v>0</v>
      </c>
      <c r="AU411" s="230">
        <f>SUMIF(AGO!$G$121:$M$121,AU$178,AGO!$P26:$V26)+SUMIF($AZ$178:$BC$178,AU$178,$AZ411:$BC411)</f>
        <v>0</v>
      </c>
      <c r="AV411" s="230">
        <f>SUMIF(AGO!$G$121:$M$121,AV$178,AGO!$P26:$V26)+SUMIF($AZ$178:$BC$178,AV$178,$AZ411:$BC411)</f>
        <v>0</v>
      </c>
      <c r="AW411" s="230">
        <f>SUMIF(AGO!$G$121:$M$121,AW$178,AGO!$P26:$V26)+SUMIF($AZ$178:$BC$178,AW$178,$AZ411:$BC411)</f>
        <v>0</v>
      </c>
      <c r="AX411" s="231">
        <f>SUMIF(AGO!$G$121:$M$121,AX$178,AGO!$P26:$V26)+SUMIF($AZ$178:$BC$178,AX$178,$AZ411:$BC411)</f>
        <v>0</v>
      </c>
      <c r="AY411" s="232">
        <f>AGO!AF26</f>
        <v>0</v>
      </c>
      <c r="AZ411" s="228">
        <f>AGO!AG26</f>
        <v>0</v>
      </c>
      <c r="BA411" s="229">
        <f>AGO!AH26</f>
        <v>0</v>
      </c>
      <c r="BB411" s="230">
        <f>AGO!AI26</f>
        <v>0</v>
      </c>
      <c r="BC411" s="231">
        <f>AGO!AJ26</f>
        <v>0</v>
      </c>
      <c r="BD411" s="228">
        <f>SUMIF(AGO!$G$120:$M$120,"&gt;0",AGO!$X26:$AD26)</f>
        <v>0</v>
      </c>
      <c r="BE411" s="696"/>
      <c r="BF411" s="228">
        <f>SUMIF(AGO!$BA$6:$BG$6,BF$177,AGO!$BA26:$BG26)</f>
        <v>0</v>
      </c>
      <c r="BG411" s="229">
        <f>SUMIF(AGO!$BA$6:$BG$6,BG$177,AGO!$BA26:$BG26)</f>
        <v>0</v>
      </c>
      <c r="BH411" s="229">
        <f>SUMIF(AGO!$BA$6:$BG$6,BH$177,AGO!$BA26:$BG26)</f>
        <v>0</v>
      </c>
      <c r="BI411" s="229">
        <f>SUMIF(AGO!$BA$6:$BG$6,BI$177,AGO!$BA26:$BG26)</f>
        <v>0</v>
      </c>
      <c r="BJ411" s="229">
        <f>SUMIF(AGO!$BA$6:$BG$6,BJ$177,AGO!$BA26:$BG26)</f>
        <v>0</v>
      </c>
      <c r="BK411" s="229">
        <f>SUMIF(AGO!$BA$6:$BG$6,BK$177,AGO!$BA26:$BG26)</f>
        <v>0</v>
      </c>
      <c r="BL411" s="229">
        <f>SUMIF(AGO!$BA$6:$BG$6,BL$177,AGO!$BA26:$BG26)</f>
        <v>0</v>
      </c>
      <c r="BM411" s="229">
        <f>SUMIF(AGO!$BA$6:$BG$6,BM$177,AGO!$BA26:$BG26)</f>
        <v>0</v>
      </c>
      <c r="BN411" s="229">
        <f>SUMIF(AGO!$BA$6:$BG$6,BN$177,AGO!$BA26:$BG26)</f>
        <v>0</v>
      </c>
      <c r="BO411" s="231">
        <f>SUMIF(AGO!$BA$6:$BG$6,BO$177,AGO!$BA26:$BG26)</f>
        <v>0</v>
      </c>
      <c r="BP411" s="231">
        <f>SUMIF(AGO!$BA$6:$BG$6,BP$177,AGO!$BA26:$BG26)</f>
        <v>0</v>
      </c>
      <c r="BQ411" s="252"/>
      <c r="BR411" s="228">
        <f>SUMIF(AGO!$BA$5:$BG$5,BR$177,AGO!$BA26:$BG26)</f>
        <v>0</v>
      </c>
      <c r="BS411" s="229">
        <f>SUMIF(AGO!$BA$5:$BG$5,BS$177,AGO!$BA26:$BG26)</f>
        <v>0</v>
      </c>
      <c r="BT411" s="229">
        <f>SUMIF(AGO!$BA$5:$BG$5,BT$177,AGO!$BA26:$BG26)</f>
        <v>0</v>
      </c>
      <c r="BU411" s="229">
        <f>SUMIF(AGO!$BA$5:$BG$5,BU$177,AGO!$BA26:$BG26)</f>
        <v>0</v>
      </c>
      <c r="BV411" s="229">
        <f>SUMIF(AGO!$BA$5:$BG$5,BV$177,AGO!$BA26:$BG26)</f>
        <v>0</v>
      </c>
      <c r="BW411" s="229">
        <f>SUMIF(AGO!$BA$5:$BG$5,BW$177,AGO!$BA26:$BG26)</f>
        <v>0</v>
      </c>
      <c r="BX411" s="230">
        <f>SUMIF(AGO!$BA$5:$BG$5,BX$177,AGO!$BA26:$BG26)</f>
        <v>0</v>
      </c>
      <c r="BY411" s="998">
        <f>SUMIF(AGO!$BA$5:$BG$5,BY$177,AGO!$BA26:$BG26)</f>
        <v>0</v>
      </c>
      <c r="CB411" s="252"/>
      <c r="CC411" s="61" t="e">
        <f t="shared" si="88"/>
        <v>#N/A</v>
      </c>
      <c r="CD411" s="61">
        <f t="shared" si="89"/>
        <v>0</v>
      </c>
      <c r="CE411" s="105" t="str">
        <f t="shared" si="82"/>
        <v/>
      </c>
      <c r="CF411" s="61" t="e">
        <f t="shared" si="90"/>
        <v>#N/A</v>
      </c>
      <c r="CG411" s="61" t="e">
        <f t="shared" si="91"/>
        <v>#N/A</v>
      </c>
      <c r="CH411" s="521">
        <f>AGO!AL26-CW411+CR411</f>
        <v>0</v>
      </c>
      <c r="CI411" s="228">
        <f>SUMIF(AGO!$G$121:$M$121,CI$178,AGO!$AM26:$AS26)+SUMIF($CS$178:$CV$178,CI$178,$CS411:$CV411)</f>
        <v>0</v>
      </c>
      <c r="CJ411" s="229">
        <f>SUMIF(AGO!$G$121:$M$121,CJ$178,AGO!$AM26:$AS26)+SUMIF($CS$178:$CV$178,CJ$178,$CS411:$CV411)</f>
        <v>0</v>
      </c>
      <c r="CK411" s="230">
        <f>SUMIF(AGO!$G$121:$M$121,CK$178,AGO!$AM26:$AS26)+SUMIF($CS$178:$CV$178,CK$178,$CS411:$CV411)</f>
        <v>0</v>
      </c>
      <c r="CL411" s="230">
        <f>SUMIF(AGO!$G$121:$M$121,CL$178,AGO!$AM26:$AS26)+SUMIF($CS$178:$CV$178,CL$178,$CS411:$CV411)</f>
        <v>0</v>
      </c>
      <c r="CM411" s="230">
        <f>SUMIF(AGO!$G$121:$M$121,CM$178,AGO!$AM26:$AS26)+SUMIF($CS$178:$CV$178,CM$178,$CS411:$CV411)</f>
        <v>0</v>
      </c>
      <c r="CN411" s="230">
        <f>SUMIF(AGO!$G$121:$M$121,CN$178,AGO!$AM26:$AS26)+SUMIF($CS$178:$CV$178,CN$178,$CS411:$CV411)</f>
        <v>0</v>
      </c>
      <c r="CO411" s="230">
        <f>SUMIF(AGO!$G$121:$M$121,CO$178,AGO!$AM26:$AS26)+SUMIF($CS$178:$CV$178,CO$178,$CS411:$CV411)</f>
        <v>0</v>
      </c>
      <c r="CP411" s="230">
        <f>SUMIF(AGO!$G$121:$M$121,CP$178,AGO!$AM26:$AS26)+SUMIF($CS$178:$CV$178,CP$178,$CS411:$CV411)</f>
        <v>0</v>
      </c>
      <c r="CQ411" s="231">
        <f>SUMIF(AGO!$G$121:$M$121,CQ$178,AGO!$AM26:$AS26)+SUMIF($CS$178:$CV$178,CQ$178,$CS411:$CV411)</f>
        <v>0</v>
      </c>
      <c r="CR411" s="521">
        <f>AGO!AU26</f>
        <v>0</v>
      </c>
      <c r="CS411" s="228">
        <f>AGO!AV26</f>
        <v>0</v>
      </c>
      <c r="CT411" s="229">
        <f>AGO!AW26</f>
        <v>0</v>
      </c>
      <c r="CU411" s="230">
        <f>AGO!AX26</f>
        <v>0</v>
      </c>
      <c r="CV411" s="231">
        <f>AGO!AY26</f>
        <v>0</v>
      </c>
      <c r="CW411" s="521">
        <f>SUM(AGO!AU26:AY26)</f>
        <v>0</v>
      </c>
      <c r="CX411" s="521">
        <f>AGO!AK26</f>
        <v>0</v>
      </c>
      <c r="CY411" s="2"/>
    </row>
    <row r="412" spans="1:103" ht="14.25" hidden="1" customHeight="1" x14ac:dyDescent="0.2">
      <c r="A412" s="2"/>
      <c r="B412" s="105">
        <f t="shared" si="92"/>
        <v>45524</v>
      </c>
      <c r="C412" s="146">
        <f>IF(AND(E412&gt;(N$558-1),E412&lt;(R$558+1)),W$551,IF(ISERROR(HLOOKUP(E412,$N$551:$U$551,1,FALSE)),HLOOKUP(WEEKDAY(E412,2),IMPOSTAZIONI!$C$52:$P$57,6,FALSE),$W$550))</f>
        <v>0</v>
      </c>
      <c r="D412" s="71" t="str">
        <f t="shared" si="93"/>
        <v/>
      </c>
      <c r="E412" s="2258">
        <f t="shared" si="98"/>
        <v>45524</v>
      </c>
      <c r="F412" s="2259"/>
      <c r="G412" s="2228" t="str">
        <f>AGO!E27</f>
        <v xml:space="preserve">disattivato  </v>
      </c>
      <c r="H412" s="2229"/>
      <c r="I412" s="2230"/>
      <c r="J412" s="262" t="str">
        <f t="shared" si="83"/>
        <v/>
      </c>
      <c r="K412" s="263"/>
      <c r="L412" s="2217">
        <f t="shared" si="99"/>
        <v>34</v>
      </c>
      <c r="M412" s="2218"/>
      <c r="N412" s="261"/>
      <c r="O412" s="261"/>
      <c r="P412" s="261"/>
      <c r="Q412" s="2219">
        <f t="shared" si="94"/>
        <v>45524</v>
      </c>
      <c r="R412" s="2219"/>
      <c r="S412" s="261"/>
      <c r="T412" s="1173">
        <f t="shared" si="84"/>
        <v>1</v>
      </c>
      <c r="U412" s="261"/>
      <c r="V412" s="261"/>
      <c r="W412" s="261"/>
      <c r="X412" s="261"/>
      <c r="Y412" s="261"/>
      <c r="Z412" s="261"/>
      <c r="AA412" s="261"/>
      <c r="AB412" s="261"/>
      <c r="AC412" s="261"/>
      <c r="AD412" s="261"/>
      <c r="AE412" s="261"/>
      <c r="AF412" s="261"/>
      <c r="AG412" s="1173">
        <f t="shared" si="95"/>
        <v>0</v>
      </c>
      <c r="AH412" s="61" t="str">
        <f t="shared" si="96"/>
        <v/>
      </c>
      <c r="AI412" s="89" t="e">
        <f t="shared" si="97"/>
        <v>#N/A</v>
      </c>
      <c r="AJ412" s="2"/>
      <c r="AK412" s="61">
        <f>IF(G412=G$547,0,IF(OR(G412&lt;&gt;0,CH412&lt;&gt;0,C412="L"),COUNTIF(AK$180:AK411,"&gt;0")+1,0))</f>
        <v>0</v>
      </c>
      <c r="AL412" s="61" t="str">
        <f t="shared" si="85"/>
        <v/>
      </c>
      <c r="AM412" s="61" t="e">
        <f t="shared" si="86"/>
        <v>#N/A</v>
      </c>
      <c r="AN412" s="89" t="e">
        <f t="shared" si="87"/>
        <v>#N/A</v>
      </c>
      <c r="AO412" s="230">
        <f>SUM(AGO!X27:AD27)-BD412+AY412</f>
        <v>0</v>
      </c>
      <c r="AP412" s="228">
        <f>SUMIF(AGO!$G$121:$M$121,AP$178,AGO!$P27:$V27)+SUMIF($AZ$178:$BC$178,AP$178,$AZ412:$BC412)</f>
        <v>0</v>
      </c>
      <c r="AQ412" s="229">
        <f>SUMIF(AGO!$G$121:$M$121,AQ$178,AGO!$P27:$V27)+SUMIF($AZ$178:$BC$178,AQ$178,$AZ412:$BC412)</f>
        <v>0</v>
      </c>
      <c r="AR412" s="230">
        <f>SUMIF(AGO!$G$121:$M$121,AR$178,AGO!$P27:$V27)+SUMIF($AZ$178:$BC$178,AR$178,$AZ412:$BC412)</f>
        <v>0</v>
      </c>
      <c r="AS412" s="230">
        <f>SUMIF(AGO!$G$121:$M$121,AS$178,AGO!$P27:$V27)+SUMIF($AZ$178:$BC$178,AS$178,$AZ412:$BC412)</f>
        <v>0</v>
      </c>
      <c r="AT412" s="230">
        <f>SUMIF(AGO!$G$121:$M$121,AT$178,AGO!$P27:$V27)+SUMIF($AZ$178:$BC$178,AT$178,$AZ412:$BC412)</f>
        <v>0</v>
      </c>
      <c r="AU412" s="230">
        <f>SUMIF(AGO!$G$121:$M$121,AU$178,AGO!$P27:$V27)+SUMIF($AZ$178:$BC$178,AU$178,$AZ412:$BC412)</f>
        <v>0</v>
      </c>
      <c r="AV412" s="230">
        <f>SUMIF(AGO!$G$121:$M$121,AV$178,AGO!$P27:$V27)+SUMIF($AZ$178:$BC$178,AV$178,$AZ412:$BC412)</f>
        <v>0</v>
      </c>
      <c r="AW412" s="230">
        <f>SUMIF(AGO!$G$121:$M$121,AW$178,AGO!$P27:$V27)+SUMIF($AZ$178:$BC$178,AW$178,$AZ412:$BC412)</f>
        <v>0</v>
      </c>
      <c r="AX412" s="231">
        <f>SUMIF(AGO!$G$121:$M$121,AX$178,AGO!$P27:$V27)+SUMIF($AZ$178:$BC$178,AX$178,$AZ412:$BC412)</f>
        <v>0</v>
      </c>
      <c r="AY412" s="232">
        <f>AGO!AF27</f>
        <v>0</v>
      </c>
      <c r="AZ412" s="228">
        <f>AGO!AG27</f>
        <v>0</v>
      </c>
      <c r="BA412" s="229">
        <f>AGO!AH27</f>
        <v>0</v>
      </c>
      <c r="BB412" s="230">
        <f>AGO!AI27</f>
        <v>0</v>
      </c>
      <c r="BC412" s="231">
        <f>AGO!AJ27</f>
        <v>0</v>
      </c>
      <c r="BD412" s="228">
        <f>SUMIF(AGO!$G$120:$M$120,"&gt;0",AGO!$X27:$AD27)</f>
        <v>0</v>
      </c>
      <c r="BE412" s="696"/>
      <c r="BF412" s="228">
        <f>SUMIF(AGO!$BA$6:$BG$6,BF$177,AGO!$BA27:$BG27)</f>
        <v>0</v>
      </c>
      <c r="BG412" s="229">
        <f>SUMIF(AGO!$BA$6:$BG$6,BG$177,AGO!$BA27:$BG27)</f>
        <v>0</v>
      </c>
      <c r="BH412" s="229">
        <f>SUMIF(AGO!$BA$6:$BG$6,BH$177,AGO!$BA27:$BG27)</f>
        <v>0</v>
      </c>
      <c r="BI412" s="229">
        <f>SUMIF(AGO!$BA$6:$BG$6,BI$177,AGO!$BA27:$BG27)</f>
        <v>0</v>
      </c>
      <c r="BJ412" s="229">
        <f>SUMIF(AGO!$BA$6:$BG$6,BJ$177,AGO!$BA27:$BG27)</f>
        <v>0</v>
      </c>
      <c r="BK412" s="229">
        <f>SUMIF(AGO!$BA$6:$BG$6,BK$177,AGO!$BA27:$BG27)</f>
        <v>0</v>
      </c>
      <c r="BL412" s="229">
        <f>SUMIF(AGO!$BA$6:$BG$6,BL$177,AGO!$BA27:$BG27)</f>
        <v>0</v>
      </c>
      <c r="BM412" s="229">
        <f>SUMIF(AGO!$BA$6:$BG$6,BM$177,AGO!$BA27:$BG27)</f>
        <v>0</v>
      </c>
      <c r="BN412" s="229">
        <f>SUMIF(AGO!$BA$6:$BG$6,BN$177,AGO!$BA27:$BG27)</f>
        <v>0</v>
      </c>
      <c r="BO412" s="231">
        <f>SUMIF(AGO!$BA$6:$BG$6,BO$177,AGO!$BA27:$BG27)</f>
        <v>0</v>
      </c>
      <c r="BP412" s="231">
        <f>SUMIF(AGO!$BA$6:$BG$6,BP$177,AGO!$BA27:$BG27)</f>
        <v>0</v>
      </c>
      <c r="BQ412" s="252"/>
      <c r="BR412" s="228">
        <f>SUMIF(AGO!$BA$5:$BG$5,BR$177,AGO!$BA27:$BG27)</f>
        <v>0</v>
      </c>
      <c r="BS412" s="229">
        <f>SUMIF(AGO!$BA$5:$BG$5,BS$177,AGO!$BA27:$BG27)</f>
        <v>0</v>
      </c>
      <c r="BT412" s="229">
        <f>SUMIF(AGO!$BA$5:$BG$5,BT$177,AGO!$BA27:$BG27)</f>
        <v>0</v>
      </c>
      <c r="BU412" s="229">
        <f>SUMIF(AGO!$BA$5:$BG$5,BU$177,AGO!$BA27:$BG27)</f>
        <v>0</v>
      </c>
      <c r="BV412" s="229">
        <f>SUMIF(AGO!$BA$5:$BG$5,BV$177,AGO!$BA27:$BG27)</f>
        <v>0</v>
      </c>
      <c r="BW412" s="229">
        <f>SUMIF(AGO!$BA$5:$BG$5,BW$177,AGO!$BA27:$BG27)</f>
        <v>0</v>
      </c>
      <c r="BX412" s="230">
        <f>SUMIF(AGO!$BA$5:$BG$5,BX$177,AGO!$BA27:$BG27)</f>
        <v>0</v>
      </c>
      <c r="BY412" s="998">
        <f>SUMIF(AGO!$BA$5:$BG$5,BY$177,AGO!$BA27:$BG27)</f>
        <v>0</v>
      </c>
      <c r="CB412" s="252"/>
      <c r="CC412" s="61" t="e">
        <f t="shared" si="88"/>
        <v>#N/A</v>
      </c>
      <c r="CD412" s="61">
        <f t="shared" si="89"/>
        <v>0</v>
      </c>
      <c r="CE412" s="105" t="str">
        <f t="shared" si="82"/>
        <v/>
      </c>
      <c r="CF412" s="61" t="e">
        <f t="shared" si="90"/>
        <v>#N/A</v>
      </c>
      <c r="CG412" s="61" t="e">
        <f t="shared" si="91"/>
        <v>#N/A</v>
      </c>
      <c r="CH412" s="521">
        <f>AGO!AL27-CW412+CR412</f>
        <v>0</v>
      </c>
      <c r="CI412" s="228">
        <f>SUMIF(AGO!$G$121:$M$121,CI$178,AGO!$AM27:$AS27)+SUMIF($CS$178:$CV$178,CI$178,$CS412:$CV412)</f>
        <v>0</v>
      </c>
      <c r="CJ412" s="229">
        <f>SUMIF(AGO!$G$121:$M$121,CJ$178,AGO!$AM27:$AS27)+SUMIF($CS$178:$CV$178,CJ$178,$CS412:$CV412)</f>
        <v>0</v>
      </c>
      <c r="CK412" s="230">
        <f>SUMIF(AGO!$G$121:$M$121,CK$178,AGO!$AM27:$AS27)+SUMIF($CS$178:$CV$178,CK$178,$CS412:$CV412)</f>
        <v>0</v>
      </c>
      <c r="CL412" s="230">
        <f>SUMIF(AGO!$G$121:$M$121,CL$178,AGO!$AM27:$AS27)+SUMIF($CS$178:$CV$178,CL$178,$CS412:$CV412)</f>
        <v>0</v>
      </c>
      <c r="CM412" s="230">
        <f>SUMIF(AGO!$G$121:$M$121,CM$178,AGO!$AM27:$AS27)+SUMIF($CS$178:$CV$178,CM$178,$CS412:$CV412)</f>
        <v>0</v>
      </c>
      <c r="CN412" s="230">
        <f>SUMIF(AGO!$G$121:$M$121,CN$178,AGO!$AM27:$AS27)+SUMIF($CS$178:$CV$178,CN$178,$CS412:$CV412)</f>
        <v>0</v>
      </c>
      <c r="CO412" s="230">
        <f>SUMIF(AGO!$G$121:$M$121,CO$178,AGO!$AM27:$AS27)+SUMIF($CS$178:$CV$178,CO$178,$CS412:$CV412)</f>
        <v>0</v>
      </c>
      <c r="CP412" s="230">
        <f>SUMIF(AGO!$G$121:$M$121,CP$178,AGO!$AM27:$AS27)+SUMIF($CS$178:$CV$178,CP$178,$CS412:$CV412)</f>
        <v>0</v>
      </c>
      <c r="CQ412" s="231">
        <f>SUMIF(AGO!$G$121:$M$121,CQ$178,AGO!$AM27:$AS27)+SUMIF($CS$178:$CV$178,CQ$178,$CS412:$CV412)</f>
        <v>0</v>
      </c>
      <c r="CR412" s="521">
        <f>AGO!AU27</f>
        <v>0</v>
      </c>
      <c r="CS412" s="228">
        <f>AGO!AV27</f>
        <v>0</v>
      </c>
      <c r="CT412" s="229">
        <f>AGO!AW27</f>
        <v>0</v>
      </c>
      <c r="CU412" s="230">
        <f>AGO!AX27</f>
        <v>0</v>
      </c>
      <c r="CV412" s="231">
        <f>AGO!AY27</f>
        <v>0</v>
      </c>
      <c r="CW412" s="521">
        <f>SUM(AGO!AU27:AY27)</f>
        <v>0</v>
      </c>
      <c r="CX412" s="521">
        <f>AGO!AK27</f>
        <v>0</v>
      </c>
      <c r="CY412" s="2"/>
    </row>
    <row r="413" spans="1:103" ht="14.25" hidden="1" customHeight="1" x14ac:dyDescent="0.2">
      <c r="A413" s="2"/>
      <c r="B413" s="105">
        <f t="shared" si="92"/>
        <v>45525</v>
      </c>
      <c r="C413" s="146">
        <f>IF(AND(E413&gt;(N$558-1),E413&lt;(R$558+1)),W$551,IF(ISERROR(HLOOKUP(E413,$N$551:$U$551,1,FALSE)),HLOOKUP(WEEKDAY(E413,2),IMPOSTAZIONI!$C$52:$P$57,6,FALSE),$W$550))</f>
        <v>0</v>
      </c>
      <c r="D413" s="71" t="str">
        <f t="shared" si="93"/>
        <v/>
      </c>
      <c r="E413" s="2258">
        <f t="shared" si="98"/>
        <v>45525</v>
      </c>
      <c r="F413" s="2259"/>
      <c r="G413" s="2228" t="str">
        <f>AGO!E28</f>
        <v xml:space="preserve">disattivato  </v>
      </c>
      <c r="H413" s="2229"/>
      <c r="I413" s="2230"/>
      <c r="J413" s="262" t="str">
        <f t="shared" si="83"/>
        <v/>
      </c>
      <c r="K413" s="263"/>
      <c r="L413" s="2217">
        <f t="shared" si="99"/>
        <v>34</v>
      </c>
      <c r="M413" s="2218"/>
      <c r="N413" s="261"/>
      <c r="O413" s="261"/>
      <c r="P413" s="261"/>
      <c r="Q413" s="2219">
        <f t="shared" si="94"/>
        <v>45525</v>
      </c>
      <c r="R413" s="2219"/>
      <c r="S413" s="261"/>
      <c r="T413" s="1173">
        <f t="shared" si="84"/>
        <v>1</v>
      </c>
      <c r="U413" s="261"/>
      <c r="V413" s="261"/>
      <c r="W413" s="261"/>
      <c r="X413" s="261"/>
      <c r="Y413" s="261"/>
      <c r="Z413" s="261"/>
      <c r="AA413" s="261"/>
      <c r="AB413" s="261"/>
      <c r="AC413" s="261"/>
      <c r="AD413" s="261"/>
      <c r="AE413" s="261"/>
      <c r="AF413" s="261"/>
      <c r="AG413" s="1173">
        <f t="shared" si="95"/>
        <v>0</v>
      </c>
      <c r="AH413" s="61" t="str">
        <f t="shared" si="96"/>
        <v/>
      </c>
      <c r="AI413" s="89" t="e">
        <f t="shared" si="97"/>
        <v>#N/A</v>
      </c>
      <c r="AJ413" s="2"/>
      <c r="AK413" s="61">
        <f>IF(G413=G$547,0,IF(OR(G413&lt;&gt;0,CH413&lt;&gt;0,C413="L"),COUNTIF(AK$180:AK412,"&gt;0")+1,0))</f>
        <v>0</v>
      </c>
      <c r="AL413" s="61" t="str">
        <f t="shared" si="85"/>
        <v/>
      </c>
      <c r="AM413" s="61" t="e">
        <f t="shared" si="86"/>
        <v>#N/A</v>
      </c>
      <c r="AN413" s="89" t="e">
        <f t="shared" si="87"/>
        <v>#N/A</v>
      </c>
      <c r="AO413" s="230">
        <f>SUM(AGO!X28:AD28)-BD413+AY413</f>
        <v>0</v>
      </c>
      <c r="AP413" s="228">
        <f>SUMIF(AGO!$G$121:$M$121,AP$178,AGO!$P28:$V28)+SUMIF($AZ$178:$BC$178,AP$178,$AZ413:$BC413)</f>
        <v>0</v>
      </c>
      <c r="AQ413" s="229">
        <f>SUMIF(AGO!$G$121:$M$121,AQ$178,AGO!$P28:$V28)+SUMIF($AZ$178:$BC$178,AQ$178,$AZ413:$BC413)</f>
        <v>0</v>
      </c>
      <c r="AR413" s="230">
        <f>SUMIF(AGO!$G$121:$M$121,AR$178,AGO!$P28:$V28)+SUMIF($AZ$178:$BC$178,AR$178,$AZ413:$BC413)</f>
        <v>0</v>
      </c>
      <c r="AS413" s="230">
        <f>SUMIF(AGO!$G$121:$M$121,AS$178,AGO!$P28:$V28)+SUMIF($AZ$178:$BC$178,AS$178,$AZ413:$BC413)</f>
        <v>0</v>
      </c>
      <c r="AT413" s="230">
        <f>SUMIF(AGO!$G$121:$M$121,AT$178,AGO!$P28:$V28)+SUMIF($AZ$178:$BC$178,AT$178,$AZ413:$BC413)</f>
        <v>0</v>
      </c>
      <c r="AU413" s="230">
        <f>SUMIF(AGO!$G$121:$M$121,AU$178,AGO!$P28:$V28)+SUMIF($AZ$178:$BC$178,AU$178,$AZ413:$BC413)</f>
        <v>0</v>
      </c>
      <c r="AV413" s="230">
        <f>SUMIF(AGO!$G$121:$M$121,AV$178,AGO!$P28:$V28)+SUMIF($AZ$178:$BC$178,AV$178,$AZ413:$BC413)</f>
        <v>0</v>
      </c>
      <c r="AW413" s="230">
        <f>SUMIF(AGO!$G$121:$M$121,AW$178,AGO!$P28:$V28)+SUMIF($AZ$178:$BC$178,AW$178,$AZ413:$BC413)</f>
        <v>0</v>
      </c>
      <c r="AX413" s="231">
        <f>SUMIF(AGO!$G$121:$M$121,AX$178,AGO!$P28:$V28)+SUMIF($AZ$178:$BC$178,AX$178,$AZ413:$BC413)</f>
        <v>0</v>
      </c>
      <c r="AY413" s="232">
        <f>AGO!AF28</f>
        <v>0</v>
      </c>
      <c r="AZ413" s="228">
        <f>AGO!AG28</f>
        <v>0</v>
      </c>
      <c r="BA413" s="229">
        <f>AGO!AH28</f>
        <v>0</v>
      </c>
      <c r="BB413" s="230">
        <f>AGO!AI28</f>
        <v>0</v>
      </c>
      <c r="BC413" s="231">
        <f>AGO!AJ28</f>
        <v>0</v>
      </c>
      <c r="BD413" s="228">
        <f>SUMIF(AGO!$G$120:$M$120,"&gt;0",AGO!$X28:$AD28)</f>
        <v>0</v>
      </c>
      <c r="BE413" s="696"/>
      <c r="BF413" s="228">
        <f>SUMIF(AGO!$BA$6:$BG$6,BF$177,AGO!$BA28:$BG28)</f>
        <v>0</v>
      </c>
      <c r="BG413" s="229">
        <f>SUMIF(AGO!$BA$6:$BG$6,BG$177,AGO!$BA28:$BG28)</f>
        <v>0</v>
      </c>
      <c r="BH413" s="229">
        <f>SUMIF(AGO!$BA$6:$BG$6,BH$177,AGO!$BA28:$BG28)</f>
        <v>0</v>
      </c>
      <c r="BI413" s="229">
        <f>SUMIF(AGO!$BA$6:$BG$6,BI$177,AGO!$BA28:$BG28)</f>
        <v>0</v>
      </c>
      <c r="BJ413" s="229">
        <f>SUMIF(AGO!$BA$6:$BG$6,BJ$177,AGO!$BA28:$BG28)</f>
        <v>0</v>
      </c>
      <c r="BK413" s="229">
        <f>SUMIF(AGO!$BA$6:$BG$6,BK$177,AGO!$BA28:$BG28)</f>
        <v>0</v>
      </c>
      <c r="BL413" s="229">
        <f>SUMIF(AGO!$BA$6:$BG$6,BL$177,AGO!$BA28:$BG28)</f>
        <v>0</v>
      </c>
      <c r="BM413" s="229">
        <f>SUMIF(AGO!$BA$6:$BG$6,BM$177,AGO!$BA28:$BG28)</f>
        <v>0</v>
      </c>
      <c r="BN413" s="229">
        <f>SUMIF(AGO!$BA$6:$BG$6,BN$177,AGO!$BA28:$BG28)</f>
        <v>0</v>
      </c>
      <c r="BO413" s="231">
        <f>SUMIF(AGO!$BA$6:$BG$6,BO$177,AGO!$BA28:$BG28)</f>
        <v>0</v>
      </c>
      <c r="BP413" s="231">
        <f>SUMIF(AGO!$BA$6:$BG$6,BP$177,AGO!$BA28:$BG28)</f>
        <v>0</v>
      </c>
      <c r="BQ413" s="252"/>
      <c r="BR413" s="228">
        <f>SUMIF(AGO!$BA$5:$BG$5,BR$177,AGO!$BA28:$BG28)</f>
        <v>0</v>
      </c>
      <c r="BS413" s="229">
        <f>SUMIF(AGO!$BA$5:$BG$5,BS$177,AGO!$BA28:$BG28)</f>
        <v>0</v>
      </c>
      <c r="BT413" s="229">
        <f>SUMIF(AGO!$BA$5:$BG$5,BT$177,AGO!$BA28:$BG28)</f>
        <v>0</v>
      </c>
      <c r="BU413" s="229">
        <f>SUMIF(AGO!$BA$5:$BG$5,BU$177,AGO!$BA28:$BG28)</f>
        <v>0</v>
      </c>
      <c r="BV413" s="229">
        <f>SUMIF(AGO!$BA$5:$BG$5,BV$177,AGO!$BA28:$BG28)</f>
        <v>0</v>
      </c>
      <c r="BW413" s="229">
        <f>SUMIF(AGO!$BA$5:$BG$5,BW$177,AGO!$BA28:$BG28)</f>
        <v>0</v>
      </c>
      <c r="BX413" s="230">
        <f>SUMIF(AGO!$BA$5:$BG$5,BX$177,AGO!$BA28:$BG28)</f>
        <v>0</v>
      </c>
      <c r="BY413" s="998">
        <f>SUMIF(AGO!$BA$5:$BG$5,BY$177,AGO!$BA28:$BG28)</f>
        <v>0</v>
      </c>
      <c r="CB413" s="252"/>
      <c r="CC413" s="61" t="e">
        <f t="shared" si="88"/>
        <v>#N/A</v>
      </c>
      <c r="CD413" s="61">
        <f t="shared" si="89"/>
        <v>0</v>
      </c>
      <c r="CE413" s="105" t="str">
        <f t="shared" si="82"/>
        <v/>
      </c>
      <c r="CF413" s="61" t="e">
        <f t="shared" si="90"/>
        <v>#N/A</v>
      </c>
      <c r="CG413" s="61" t="e">
        <f t="shared" si="91"/>
        <v>#N/A</v>
      </c>
      <c r="CH413" s="521">
        <f>AGO!AL28-CW413+CR413</f>
        <v>0</v>
      </c>
      <c r="CI413" s="228">
        <f>SUMIF(AGO!$G$121:$M$121,CI$178,AGO!$AM28:$AS28)+SUMIF($CS$178:$CV$178,CI$178,$CS413:$CV413)</f>
        <v>0</v>
      </c>
      <c r="CJ413" s="229">
        <f>SUMIF(AGO!$G$121:$M$121,CJ$178,AGO!$AM28:$AS28)+SUMIF($CS$178:$CV$178,CJ$178,$CS413:$CV413)</f>
        <v>0</v>
      </c>
      <c r="CK413" s="230">
        <f>SUMIF(AGO!$G$121:$M$121,CK$178,AGO!$AM28:$AS28)+SUMIF($CS$178:$CV$178,CK$178,$CS413:$CV413)</f>
        <v>0</v>
      </c>
      <c r="CL413" s="230">
        <f>SUMIF(AGO!$G$121:$M$121,CL$178,AGO!$AM28:$AS28)+SUMIF($CS$178:$CV$178,CL$178,$CS413:$CV413)</f>
        <v>0</v>
      </c>
      <c r="CM413" s="230">
        <f>SUMIF(AGO!$G$121:$M$121,CM$178,AGO!$AM28:$AS28)+SUMIF($CS$178:$CV$178,CM$178,$CS413:$CV413)</f>
        <v>0</v>
      </c>
      <c r="CN413" s="230">
        <f>SUMIF(AGO!$G$121:$M$121,CN$178,AGO!$AM28:$AS28)+SUMIF($CS$178:$CV$178,CN$178,$CS413:$CV413)</f>
        <v>0</v>
      </c>
      <c r="CO413" s="230">
        <f>SUMIF(AGO!$G$121:$M$121,CO$178,AGO!$AM28:$AS28)+SUMIF($CS$178:$CV$178,CO$178,$CS413:$CV413)</f>
        <v>0</v>
      </c>
      <c r="CP413" s="230">
        <f>SUMIF(AGO!$G$121:$M$121,CP$178,AGO!$AM28:$AS28)+SUMIF($CS$178:$CV$178,CP$178,$CS413:$CV413)</f>
        <v>0</v>
      </c>
      <c r="CQ413" s="231">
        <f>SUMIF(AGO!$G$121:$M$121,CQ$178,AGO!$AM28:$AS28)+SUMIF($CS$178:$CV$178,CQ$178,$CS413:$CV413)</f>
        <v>0</v>
      </c>
      <c r="CR413" s="521">
        <f>AGO!AU28</f>
        <v>0</v>
      </c>
      <c r="CS413" s="228">
        <f>AGO!AV28</f>
        <v>0</v>
      </c>
      <c r="CT413" s="229">
        <f>AGO!AW28</f>
        <v>0</v>
      </c>
      <c r="CU413" s="230">
        <f>AGO!AX28</f>
        <v>0</v>
      </c>
      <c r="CV413" s="231">
        <f>AGO!AY28</f>
        <v>0</v>
      </c>
      <c r="CW413" s="521">
        <f>SUM(AGO!AU28:AY28)</f>
        <v>0</v>
      </c>
      <c r="CX413" s="521">
        <f>AGO!AK28</f>
        <v>0</v>
      </c>
      <c r="CY413" s="2"/>
    </row>
    <row r="414" spans="1:103" ht="14.25" hidden="1" customHeight="1" x14ac:dyDescent="0.2">
      <c r="A414" s="2"/>
      <c r="B414" s="105">
        <f t="shared" si="92"/>
        <v>45526</v>
      </c>
      <c r="C414" s="146">
        <f>IF(AND(E414&gt;(N$558-1),E414&lt;(R$558+1)),W$551,IF(ISERROR(HLOOKUP(E414,$N$551:$U$551,1,FALSE)),HLOOKUP(WEEKDAY(E414,2),IMPOSTAZIONI!$C$52:$P$57,6,FALSE),$W$550))</f>
        <v>0</v>
      </c>
      <c r="D414" s="71" t="str">
        <f t="shared" si="93"/>
        <v/>
      </c>
      <c r="E414" s="2258">
        <f t="shared" si="98"/>
        <v>45526</v>
      </c>
      <c r="F414" s="2259"/>
      <c r="G414" s="2228" t="str">
        <f>AGO!E29</f>
        <v xml:space="preserve">disattivato  </v>
      </c>
      <c r="H414" s="2229"/>
      <c r="I414" s="2230"/>
      <c r="J414" s="262" t="str">
        <f t="shared" si="83"/>
        <v/>
      </c>
      <c r="K414" s="263"/>
      <c r="L414" s="2217">
        <f t="shared" si="99"/>
        <v>34</v>
      </c>
      <c r="M414" s="2218"/>
      <c r="N414" s="261"/>
      <c r="O414" s="261"/>
      <c r="P414" s="261"/>
      <c r="Q414" s="2219">
        <f t="shared" si="94"/>
        <v>45526</v>
      </c>
      <c r="R414" s="2219"/>
      <c r="S414" s="261"/>
      <c r="T414" s="1173">
        <f t="shared" si="84"/>
        <v>1</v>
      </c>
      <c r="U414" s="261"/>
      <c r="V414" s="261"/>
      <c r="W414" s="261"/>
      <c r="X414" s="261"/>
      <c r="Y414" s="261"/>
      <c r="Z414" s="261"/>
      <c r="AA414" s="261"/>
      <c r="AB414" s="261"/>
      <c r="AC414" s="261"/>
      <c r="AD414" s="261"/>
      <c r="AE414" s="261"/>
      <c r="AF414" s="261"/>
      <c r="AG414" s="1173">
        <f t="shared" si="95"/>
        <v>0</v>
      </c>
      <c r="AH414" s="61" t="str">
        <f t="shared" si="96"/>
        <v/>
      </c>
      <c r="AI414" s="89" t="e">
        <f t="shared" si="97"/>
        <v>#N/A</v>
      </c>
      <c r="AJ414" s="2"/>
      <c r="AK414" s="61">
        <f>IF(G414=G$547,0,IF(OR(G414&lt;&gt;0,CH414&lt;&gt;0,C414="L"),COUNTIF(AK$180:AK413,"&gt;0")+1,0))</f>
        <v>0</v>
      </c>
      <c r="AL414" s="61" t="str">
        <f t="shared" si="85"/>
        <v/>
      </c>
      <c r="AM414" s="61" t="e">
        <f t="shared" si="86"/>
        <v>#N/A</v>
      </c>
      <c r="AN414" s="89" t="e">
        <f t="shared" si="87"/>
        <v>#N/A</v>
      </c>
      <c r="AO414" s="230">
        <f>SUM(AGO!X29:AD29)-BD414+AY414</f>
        <v>0</v>
      </c>
      <c r="AP414" s="228">
        <f>SUMIF(AGO!$G$121:$M$121,AP$178,AGO!$P29:$V29)+SUMIF($AZ$178:$BC$178,AP$178,$AZ414:$BC414)</f>
        <v>0</v>
      </c>
      <c r="AQ414" s="229">
        <f>SUMIF(AGO!$G$121:$M$121,AQ$178,AGO!$P29:$V29)+SUMIF($AZ$178:$BC$178,AQ$178,$AZ414:$BC414)</f>
        <v>0</v>
      </c>
      <c r="AR414" s="230">
        <f>SUMIF(AGO!$G$121:$M$121,AR$178,AGO!$P29:$V29)+SUMIF($AZ$178:$BC$178,AR$178,$AZ414:$BC414)</f>
        <v>0</v>
      </c>
      <c r="AS414" s="230">
        <f>SUMIF(AGO!$G$121:$M$121,AS$178,AGO!$P29:$V29)+SUMIF($AZ$178:$BC$178,AS$178,$AZ414:$BC414)</f>
        <v>0</v>
      </c>
      <c r="AT414" s="230">
        <f>SUMIF(AGO!$G$121:$M$121,AT$178,AGO!$P29:$V29)+SUMIF($AZ$178:$BC$178,AT$178,$AZ414:$BC414)</f>
        <v>0</v>
      </c>
      <c r="AU414" s="230">
        <f>SUMIF(AGO!$G$121:$M$121,AU$178,AGO!$P29:$V29)+SUMIF($AZ$178:$BC$178,AU$178,$AZ414:$BC414)</f>
        <v>0</v>
      </c>
      <c r="AV414" s="230">
        <f>SUMIF(AGO!$G$121:$M$121,AV$178,AGO!$P29:$V29)+SUMIF($AZ$178:$BC$178,AV$178,$AZ414:$BC414)</f>
        <v>0</v>
      </c>
      <c r="AW414" s="230">
        <f>SUMIF(AGO!$G$121:$M$121,AW$178,AGO!$P29:$V29)+SUMIF($AZ$178:$BC$178,AW$178,$AZ414:$BC414)</f>
        <v>0</v>
      </c>
      <c r="AX414" s="231">
        <f>SUMIF(AGO!$G$121:$M$121,AX$178,AGO!$P29:$V29)+SUMIF($AZ$178:$BC$178,AX$178,$AZ414:$BC414)</f>
        <v>0</v>
      </c>
      <c r="AY414" s="232">
        <f>AGO!AF29</f>
        <v>0</v>
      </c>
      <c r="AZ414" s="228">
        <f>AGO!AG29</f>
        <v>0</v>
      </c>
      <c r="BA414" s="229">
        <f>AGO!AH29</f>
        <v>0</v>
      </c>
      <c r="BB414" s="230">
        <f>AGO!AI29</f>
        <v>0</v>
      </c>
      <c r="BC414" s="231">
        <f>AGO!AJ29</f>
        <v>0</v>
      </c>
      <c r="BD414" s="228">
        <f>SUMIF(AGO!$G$120:$M$120,"&gt;0",AGO!$X29:$AD29)</f>
        <v>0</v>
      </c>
      <c r="BE414" s="696"/>
      <c r="BF414" s="228">
        <f>SUMIF(AGO!$BA$6:$BG$6,BF$177,AGO!$BA29:$BG29)</f>
        <v>0</v>
      </c>
      <c r="BG414" s="229">
        <f>SUMIF(AGO!$BA$6:$BG$6,BG$177,AGO!$BA29:$BG29)</f>
        <v>0</v>
      </c>
      <c r="BH414" s="229">
        <f>SUMIF(AGO!$BA$6:$BG$6,BH$177,AGO!$BA29:$BG29)</f>
        <v>0</v>
      </c>
      <c r="BI414" s="229">
        <f>SUMIF(AGO!$BA$6:$BG$6,BI$177,AGO!$BA29:$BG29)</f>
        <v>0</v>
      </c>
      <c r="BJ414" s="229">
        <f>SUMIF(AGO!$BA$6:$BG$6,BJ$177,AGO!$BA29:$BG29)</f>
        <v>0</v>
      </c>
      <c r="BK414" s="229">
        <f>SUMIF(AGO!$BA$6:$BG$6,BK$177,AGO!$BA29:$BG29)</f>
        <v>0</v>
      </c>
      <c r="BL414" s="229">
        <f>SUMIF(AGO!$BA$6:$BG$6,BL$177,AGO!$BA29:$BG29)</f>
        <v>0</v>
      </c>
      <c r="BM414" s="229">
        <f>SUMIF(AGO!$BA$6:$BG$6,BM$177,AGO!$BA29:$BG29)</f>
        <v>0</v>
      </c>
      <c r="BN414" s="229">
        <f>SUMIF(AGO!$BA$6:$BG$6,BN$177,AGO!$BA29:$BG29)</f>
        <v>0</v>
      </c>
      <c r="BO414" s="231">
        <f>SUMIF(AGO!$BA$6:$BG$6,BO$177,AGO!$BA29:$BG29)</f>
        <v>0</v>
      </c>
      <c r="BP414" s="231">
        <f>SUMIF(AGO!$BA$6:$BG$6,BP$177,AGO!$BA29:$BG29)</f>
        <v>0</v>
      </c>
      <c r="BQ414" s="252"/>
      <c r="BR414" s="228">
        <f>SUMIF(AGO!$BA$5:$BG$5,BR$177,AGO!$BA29:$BG29)</f>
        <v>0</v>
      </c>
      <c r="BS414" s="229">
        <f>SUMIF(AGO!$BA$5:$BG$5,BS$177,AGO!$BA29:$BG29)</f>
        <v>0</v>
      </c>
      <c r="BT414" s="229">
        <f>SUMIF(AGO!$BA$5:$BG$5,BT$177,AGO!$BA29:$BG29)</f>
        <v>0</v>
      </c>
      <c r="BU414" s="229">
        <f>SUMIF(AGO!$BA$5:$BG$5,BU$177,AGO!$BA29:$BG29)</f>
        <v>0</v>
      </c>
      <c r="BV414" s="229">
        <f>SUMIF(AGO!$BA$5:$BG$5,BV$177,AGO!$BA29:$BG29)</f>
        <v>0</v>
      </c>
      <c r="BW414" s="229">
        <f>SUMIF(AGO!$BA$5:$BG$5,BW$177,AGO!$BA29:$BG29)</f>
        <v>0</v>
      </c>
      <c r="BX414" s="230">
        <f>SUMIF(AGO!$BA$5:$BG$5,BX$177,AGO!$BA29:$BG29)</f>
        <v>0</v>
      </c>
      <c r="BY414" s="998">
        <f>SUMIF(AGO!$BA$5:$BG$5,BY$177,AGO!$BA29:$BG29)</f>
        <v>0</v>
      </c>
      <c r="CB414" s="252"/>
      <c r="CC414" s="61" t="e">
        <f t="shared" si="88"/>
        <v>#N/A</v>
      </c>
      <c r="CD414" s="61">
        <f t="shared" si="89"/>
        <v>0</v>
      </c>
      <c r="CE414" s="105" t="str">
        <f t="shared" si="82"/>
        <v/>
      </c>
      <c r="CF414" s="61" t="e">
        <f t="shared" si="90"/>
        <v>#N/A</v>
      </c>
      <c r="CG414" s="61" t="e">
        <f t="shared" si="91"/>
        <v>#N/A</v>
      </c>
      <c r="CH414" s="521">
        <f>AGO!AL29-CW414+CR414</f>
        <v>0</v>
      </c>
      <c r="CI414" s="228">
        <f>SUMIF(AGO!$G$121:$M$121,CI$178,AGO!$AM29:$AS29)+SUMIF($CS$178:$CV$178,CI$178,$CS414:$CV414)</f>
        <v>0</v>
      </c>
      <c r="CJ414" s="229">
        <f>SUMIF(AGO!$G$121:$M$121,CJ$178,AGO!$AM29:$AS29)+SUMIF($CS$178:$CV$178,CJ$178,$CS414:$CV414)</f>
        <v>0</v>
      </c>
      <c r="CK414" s="230">
        <f>SUMIF(AGO!$G$121:$M$121,CK$178,AGO!$AM29:$AS29)+SUMIF($CS$178:$CV$178,CK$178,$CS414:$CV414)</f>
        <v>0</v>
      </c>
      <c r="CL414" s="230">
        <f>SUMIF(AGO!$G$121:$M$121,CL$178,AGO!$AM29:$AS29)+SUMIF($CS$178:$CV$178,CL$178,$CS414:$CV414)</f>
        <v>0</v>
      </c>
      <c r="CM414" s="230">
        <f>SUMIF(AGO!$G$121:$M$121,CM$178,AGO!$AM29:$AS29)+SUMIF($CS$178:$CV$178,CM$178,$CS414:$CV414)</f>
        <v>0</v>
      </c>
      <c r="CN414" s="230">
        <f>SUMIF(AGO!$G$121:$M$121,CN$178,AGO!$AM29:$AS29)+SUMIF($CS$178:$CV$178,CN$178,$CS414:$CV414)</f>
        <v>0</v>
      </c>
      <c r="CO414" s="230">
        <f>SUMIF(AGO!$G$121:$M$121,CO$178,AGO!$AM29:$AS29)+SUMIF($CS$178:$CV$178,CO$178,$CS414:$CV414)</f>
        <v>0</v>
      </c>
      <c r="CP414" s="230">
        <f>SUMIF(AGO!$G$121:$M$121,CP$178,AGO!$AM29:$AS29)+SUMIF($CS$178:$CV$178,CP$178,$CS414:$CV414)</f>
        <v>0</v>
      </c>
      <c r="CQ414" s="231">
        <f>SUMIF(AGO!$G$121:$M$121,CQ$178,AGO!$AM29:$AS29)+SUMIF($CS$178:$CV$178,CQ$178,$CS414:$CV414)</f>
        <v>0</v>
      </c>
      <c r="CR414" s="521">
        <f>AGO!AU29</f>
        <v>0</v>
      </c>
      <c r="CS414" s="228">
        <f>AGO!AV29</f>
        <v>0</v>
      </c>
      <c r="CT414" s="229">
        <f>AGO!AW29</f>
        <v>0</v>
      </c>
      <c r="CU414" s="230">
        <f>AGO!AX29</f>
        <v>0</v>
      </c>
      <c r="CV414" s="231">
        <f>AGO!AY29</f>
        <v>0</v>
      </c>
      <c r="CW414" s="521">
        <f>SUM(AGO!AU29:AY29)</f>
        <v>0</v>
      </c>
      <c r="CX414" s="521">
        <f>AGO!AK29</f>
        <v>0</v>
      </c>
      <c r="CY414" s="2"/>
    </row>
    <row r="415" spans="1:103" ht="14.25" hidden="1" customHeight="1" x14ac:dyDescent="0.2">
      <c r="A415" s="2"/>
      <c r="B415" s="105">
        <f t="shared" si="92"/>
        <v>45527</v>
      </c>
      <c r="C415" s="146">
        <f>IF(AND(E415&gt;(N$558-1),E415&lt;(R$558+1)),W$551,IF(ISERROR(HLOOKUP(E415,$N$551:$U$551,1,FALSE)),HLOOKUP(WEEKDAY(E415,2),IMPOSTAZIONI!$C$52:$P$57,6,FALSE),$W$550))</f>
        <v>0</v>
      </c>
      <c r="D415" s="71" t="str">
        <f t="shared" si="93"/>
        <v/>
      </c>
      <c r="E415" s="2258">
        <f t="shared" si="98"/>
        <v>45527</v>
      </c>
      <c r="F415" s="2259"/>
      <c r="G415" s="2228" t="str">
        <f>AGO!E30</f>
        <v xml:space="preserve">disattivato  </v>
      </c>
      <c r="H415" s="2229"/>
      <c r="I415" s="2230"/>
      <c r="J415" s="262" t="str">
        <f t="shared" si="83"/>
        <v/>
      </c>
      <c r="K415" s="263"/>
      <c r="L415" s="2217">
        <f t="shared" si="99"/>
        <v>34</v>
      </c>
      <c r="M415" s="2218"/>
      <c r="N415" s="261"/>
      <c r="O415" s="261"/>
      <c r="P415" s="261"/>
      <c r="Q415" s="2219">
        <f t="shared" si="94"/>
        <v>45527</v>
      </c>
      <c r="R415" s="2219"/>
      <c r="S415" s="261"/>
      <c r="T415" s="1173">
        <f t="shared" si="84"/>
        <v>1</v>
      </c>
      <c r="U415" s="261"/>
      <c r="V415" s="261"/>
      <c r="W415" s="261"/>
      <c r="X415" s="261"/>
      <c r="Y415" s="261"/>
      <c r="Z415" s="261"/>
      <c r="AA415" s="261"/>
      <c r="AB415" s="261"/>
      <c r="AC415" s="261"/>
      <c r="AD415" s="261"/>
      <c r="AE415" s="261"/>
      <c r="AF415" s="261"/>
      <c r="AG415" s="1173">
        <f t="shared" si="95"/>
        <v>0</v>
      </c>
      <c r="AH415" s="61" t="str">
        <f t="shared" si="96"/>
        <v/>
      </c>
      <c r="AI415" s="89" t="e">
        <f t="shared" si="97"/>
        <v>#N/A</v>
      </c>
      <c r="AJ415" s="2"/>
      <c r="AK415" s="61">
        <f>IF(G415=G$547,0,IF(OR(G415&lt;&gt;0,CH415&lt;&gt;0,C415="L"),COUNTIF(AK$180:AK414,"&gt;0")+1,0))</f>
        <v>0</v>
      </c>
      <c r="AL415" s="61" t="str">
        <f t="shared" si="85"/>
        <v/>
      </c>
      <c r="AM415" s="61" t="e">
        <f t="shared" si="86"/>
        <v>#N/A</v>
      </c>
      <c r="AN415" s="89" t="e">
        <f t="shared" si="87"/>
        <v>#N/A</v>
      </c>
      <c r="AO415" s="230">
        <f>SUM(AGO!X30:AD30)-BD415+AY415</f>
        <v>0</v>
      </c>
      <c r="AP415" s="228">
        <f>SUMIF(AGO!$G$121:$M$121,AP$178,AGO!$P30:$V30)+SUMIF($AZ$178:$BC$178,AP$178,$AZ415:$BC415)</f>
        <v>0</v>
      </c>
      <c r="AQ415" s="229">
        <f>SUMIF(AGO!$G$121:$M$121,AQ$178,AGO!$P30:$V30)+SUMIF($AZ$178:$BC$178,AQ$178,$AZ415:$BC415)</f>
        <v>0</v>
      </c>
      <c r="AR415" s="230">
        <f>SUMIF(AGO!$G$121:$M$121,AR$178,AGO!$P30:$V30)+SUMIF($AZ$178:$BC$178,AR$178,$AZ415:$BC415)</f>
        <v>0</v>
      </c>
      <c r="AS415" s="230">
        <f>SUMIF(AGO!$G$121:$M$121,AS$178,AGO!$P30:$V30)+SUMIF($AZ$178:$BC$178,AS$178,$AZ415:$BC415)</f>
        <v>0</v>
      </c>
      <c r="AT415" s="230">
        <f>SUMIF(AGO!$G$121:$M$121,AT$178,AGO!$P30:$V30)+SUMIF($AZ$178:$BC$178,AT$178,$AZ415:$BC415)</f>
        <v>0</v>
      </c>
      <c r="AU415" s="230">
        <f>SUMIF(AGO!$G$121:$M$121,AU$178,AGO!$P30:$V30)+SUMIF($AZ$178:$BC$178,AU$178,$AZ415:$BC415)</f>
        <v>0</v>
      </c>
      <c r="AV415" s="230">
        <f>SUMIF(AGO!$G$121:$M$121,AV$178,AGO!$P30:$V30)+SUMIF($AZ$178:$BC$178,AV$178,$AZ415:$BC415)</f>
        <v>0</v>
      </c>
      <c r="AW415" s="230">
        <f>SUMIF(AGO!$G$121:$M$121,AW$178,AGO!$P30:$V30)+SUMIF($AZ$178:$BC$178,AW$178,$AZ415:$BC415)</f>
        <v>0</v>
      </c>
      <c r="AX415" s="231">
        <f>SUMIF(AGO!$G$121:$M$121,AX$178,AGO!$P30:$V30)+SUMIF($AZ$178:$BC$178,AX$178,$AZ415:$BC415)</f>
        <v>0</v>
      </c>
      <c r="AY415" s="232">
        <f>AGO!AF30</f>
        <v>0</v>
      </c>
      <c r="AZ415" s="228">
        <f>AGO!AG30</f>
        <v>0</v>
      </c>
      <c r="BA415" s="229">
        <f>AGO!AH30</f>
        <v>0</v>
      </c>
      <c r="BB415" s="230">
        <f>AGO!AI30</f>
        <v>0</v>
      </c>
      <c r="BC415" s="231">
        <f>AGO!AJ30</f>
        <v>0</v>
      </c>
      <c r="BD415" s="228">
        <f>SUMIF(AGO!$G$120:$M$120,"&gt;0",AGO!$X30:$AD30)</f>
        <v>0</v>
      </c>
      <c r="BE415" s="696"/>
      <c r="BF415" s="228">
        <f>SUMIF(AGO!$BA$6:$BG$6,BF$177,AGO!$BA30:$BG30)</f>
        <v>0</v>
      </c>
      <c r="BG415" s="229">
        <f>SUMIF(AGO!$BA$6:$BG$6,BG$177,AGO!$BA30:$BG30)</f>
        <v>0</v>
      </c>
      <c r="BH415" s="229">
        <f>SUMIF(AGO!$BA$6:$BG$6,BH$177,AGO!$BA30:$BG30)</f>
        <v>0</v>
      </c>
      <c r="BI415" s="229">
        <f>SUMIF(AGO!$BA$6:$BG$6,BI$177,AGO!$BA30:$BG30)</f>
        <v>0</v>
      </c>
      <c r="BJ415" s="229">
        <f>SUMIF(AGO!$BA$6:$BG$6,BJ$177,AGO!$BA30:$BG30)</f>
        <v>0</v>
      </c>
      <c r="BK415" s="229">
        <f>SUMIF(AGO!$BA$6:$BG$6,BK$177,AGO!$BA30:$BG30)</f>
        <v>0</v>
      </c>
      <c r="BL415" s="229">
        <f>SUMIF(AGO!$BA$6:$BG$6,BL$177,AGO!$BA30:$BG30)</f>
        <v>0</v>
      </c>
      <c r="BM415" s="229">
        <f>SUMIF(AGO!$BA$6:$BG$6,BM$177,AGO!$BA30:$BG30)</f>
        <v>0</v>
      </c>
      <c r="BN415" s="229">
        <f>SUMIF(AGO!$BA$6:$BG$6,BN$177,AGO!$BA30:$BG30)</f>
        <v>0</v>
      </c>
      <c r="BO415" s="231">
        <f>SUMIF(AGO!$BA$6:$BG$6,BO$177,AGO!$BA30:$BG30)</f>
        <v>0</v>
      </c>
      <c r="BP415" s="231">
        <f>SUMIF(AGO!$BA$6:$BG$6,BP$177,AGO!$BA30:$BG30)</f>
        <v>0</v>
      </c>
      <c r="BQ415" s="252"/>
      <c r="BR415" s="228">
        <f>SUMIF(AGO!$BA$5:$BG$5,BR$177,AGO!$BA30:$BG30)</f>
        <v>0</v>
      </c>
      <c r="BS415" s="229">
        <f>SUMIF(AGO!$BA$5:$BG$5,BS$177,AGO!$BA30:$BG30)</f>
        <v>0</v>
      </c>
      <c r="BT415" s="229">
        <f>SUMIF(AGO!$BA$5:$BG$5,BT$177,AGO!$BA30:$BG30)</f>
        <v>0</v>
      </c>
      <c r="BU415" s="229">
        <f>SUMIF(AGO!$BA$5:$BG$5,BU$177,AGO!$BA30:$BG30)</f>
        <v>0</v>
      </c>
      <c r="BV415" s="229">
        <f>SUMIF(AGO!$BA$5:$BG$5,BV$177,AGO!$BA30:$BG30)</f>
        <v>0</v>
      </c>
      <c r="BW415" s="229">
        <f>SUMIF(AGO!$BA$5:$BG$5,BW$177,AGO!$BA30:$BG30)</f>
        <v>0</v>
      </c>
      <c r="BX415" s="230">
        <f>SUMIF(AGO!$BA$5:$BG$5,BX$177,AGO!$BA30:$BG30)</f>
        <v>0</v>
      </c>
      <c r="BY415" s="998">
        <f>SUMIF(AGO!$BA$5:$BG$5,BY$177,AGO!$BA30:$BG30)</f>
        <v>0</v>
      </c>
      <c r="CB415" s="252"/>
      <c r="CC415" s="61" t="e">
        <f t="shared" si="88"/>
        <v>#N/A</v>
      </c>
      <c r="CD415" s="61">
        <f t="shared" si="89"/>
        <v>0</v>
      </c>
      <c r="CE415" s="105" t="str">
        <f t="shared" si="82"/>
        <v/>
      </c>
      <c r="CF415" s="61" t="e">
        <f t="shared" si="90"/>
        <v>#N/A</v>
      </c>
      <c r="CG415" s="61" t="e">
        <f t="shared" si="91"/>
        <v>#N/A</v>
      </c>
      <c r="CH415" s="521">
        <f>AGO!AL30-CW415+CR415</f>
        <v>0</v>
      </c>
      <c r="CI415" s="228">
        <f>SUMIF(AGO!$G$121:$M$121,CI$178,AGO!$AM30:$AS30)+SUMIF($CS$178:$CV$178,CI$178,$CS415:$CV415)</f>
        <v>0</v>
      </c>
      <c r="CJ415" s="229">
        <f>SUMIF(AGO!$G$121:$M$121,CJ$178,AGO!$AM30:$AS30)+SUMIF($CS$178:$CV$178,CJ$178,$CS415:$CV415)</f>
        <v>0</v>
      </c>
      <c r="CK415" s="230">
        <f>SUMIF(AGO!$G$121:$M$121,CK$178,AGO!$AM30:$AS30)+SUMIF($CS$178:$CV$178,CK$178,$CS415:$CV415)</f>
        <v>0</v>
      </c>
      <c r="CL415" s="230">
        <f>SUMIF(AGO!$G$121:$M$121,CL$178,AGO!$AM30:$AS30)+SUMIF($CS$178:$CV$178,CL$178,$CS415:$CV415)</f>
        <v>0</v>
      </c>
      <c r="CM415" s="230">
        <f>SUMIF(AGO!$G$121:$M$121,CM$178,AGO!$AM30:$AS30)+SUMIF($CS$178:$CV$178,CM$178,$CS415:$CV415)</f>
        <v>0</v>
      </c>
      <c r="CN415" s="230">
        <f>SUMIF(AGO!$G$121:$M$121,CN$178,AGO!$AM30:$AS30)+SUMIF($CS$178:$CV$178,CN$178,$CS415:$CV415)</f>
        <v>0</v>
      </c>
      <c r="CO415" s="230">
        <f>SUMIF(AGO!$G$121:$M$121,CO$178,AGO!$AM30:$AS30)+SUMIF($CS$178:$CV$178,CO$178,$CS415:$CV415)</f>
        <v>0</v>
      </c>
      <c r="CP415" s="230">
        <f>SUMIF(AGO!$G$121:$M$121,CP$178,AGO!$AM30:$AS30)+SUMIF($CS$178:$CV$178,CP$178,$CS415:$CV415)</f>
        <v>0</v>
      </c>
      <c r="CQ415" s="231">
        <f>SUMIF(AGO!$G$121:$M$121,CQ$178,AGO!$AM30:$AS30)+SUMIF($CS$178:$CV$178,CQ$178,$CS415:$CV415)</f>
        <v>0</v>
      </c>
      <c r="CR415" s="521">
        <f>AGO!AU30</f>
        <v>0</v>
      </c>
      <c r="CS415" s="228">
        <f>AGO!AV30</f>
        <v>0</v>
      </c>
      <c r="CT415" s="229">
        <f>AGO!AW30</f>
        <v>0</v>
      </c>
      <c r="CU415" s="230">
        <f>AGO!AX30</f>
        <v>0</v>
      </c>
      <c r="CV415" s="231">
        <f>AGO!AY30</f>
        <v>0</v>
      </c>
      <c r="CW415" s="521">
        <f>SUM(AGO!AU30:AY30)</f>
        <v>0</v>
      </c>
      <c r="CX415" s="521">
        <f>AGO!AK30</f>
        <v>0</v>
      </c>
      <c r="CY415" s="2"/>
    </row>
    <row r="416" spans="1:103" ht="14.25" hidden="1" customHeight="1" x14ac:dyDescent="0.2">
      <c r="A416" s="2"/>
      <c r="B416" s="105">
        <f t="shared" si="92"/>
        <v>45528</v>
      </c>
      <c r="C416" s="146">
        <f>IF(AND(E416&gt;(N$558-1),E416&lt;(R$558+1)),W$551,IF(ISERROR(HLOOKUP(E416,$N$551:$U$551,1,FALSE)),HLOOKUP(WEEKDAY(E416,2),IMPOSTAZIONI!$C$52:$P$57,6,FALSE),$W$550))</f>
        <v>0</v>
      </c>
      <c r="D416" s="71" t="str">
        <f t="shared" si="93"/>
        <v/>
      </c>
      <c r="E416" s="2258">
        <f t="shared" si="98"/>
        <v>45528</v>
      </c>
      <c r="F416" s="2259"/>
      <c r="G416" s="2228" t="str">
        <f>AGO!E31</f>
        <v xml:space="preserve">disattivato  </v>
      </c>
      <c r="H416" s="2229"/>
      <c r="I416" s="2230"/>
      <c r="J416" s="262" t="str">
        <f t="shared" si="83"/>
        <v/>
      </c>
      <c r="K416" s="263"/>
      <c r="L416" s="2217">
        <f t="shared" si="99"/>
        <v>34</v>
      </c>
      <c r="M416" s="2218"/>
      <c r="N416" s="261"/>
      <c r="O416" s="261"/>
      <c r="P416" s="261"/>
      <c r="Q416" s="2219">
        <f t="shared" si="94"/>
        <v>45528</v>
      </c>
      <c r="R416" s="2219"/>
      <c r="S416" s="261"/>
      <c r="T416" s="1173">
        <f t="shared" si="84"/>
        <v>1</v>
      </c>
      <c r="U416" s="261"/>
      <c r="V416" s="261"/>
      <c r="W416" s="261"/>
      <c r="X416" s="261"/>
      <c r="Y416" s="261"/>
      <c r="Z416" s="261"/>
      <c r="AA416" s="261"/>
      <c r="AB416" s="261"/>
      <c r="AC416" s="261"/>
      <c r="AD416" s="261"/>
      <c r="AE416" s="261"/>
      <c r="AF416" s="261"/>
      <c r="AG416" s="1173">
        <f t="shared" si="95"/>
        <v>0</v>
      </c>
      <c r="AH416" s="61" t="str">
        <f t="shared" si="96"/>
        <v/>
      </c>
      <c r="AI416" s="89" t="e">
        <f t="shared" si="97"/>
        <v>#N/A</v>
      </c>
      <c r="AJ416" s="2"/>
      <c r="AK416" s="61">
        <f>IF(G416=G$547,0,IF(OR(G416&lt;&gt;0,CH416&lt;&gt;0,C416="L"),COUNTIF(AK$180:AK415,"&gt;0")+1,0))</f>
        <v>0</v>
      </c>
      <c r="AL416" s="61" t="str">
        <f t="shared" si="85"/>
        <v/>
      </c>
      <c r="AM416" s="61" t="e">
        <f t="shared" si="86"/>
        <v>#N/A</v>
      </c>
      <c r="AN416" s="89" t="e">
        <f t="shared" si="87"/>
        <v>#N/A</v>
      </c>
      <c r="AO416" s="230">
        <f>SUM(AGO!X31:AD31)-BD416+AY416</f>
        <v>0</v>
      </c>
      <c r="AP416" s="228">
        <f>SUMIF(AGO!$G$121:$M$121,AP$178,AGO!$P31:$V31)+SUMIF($AZ$178:$BC$178,AP$178,$AZ416:$BC416)</f>
        <v>0</v>
      </c>
      <c r="AQ416" s="229">
        <f>SUMIF(AGO!$G$121:$M$121,AQ$178,AGO!$P31:$V31)+SUMIF($AZ$178:$BC$178,AQ$178,$AZ416:$BC416)</f>
        <v>0</v>
      </c>
      <c r="AR416" s="230">
        <f>SUMIF(AGO!$G$121:$M$121,AR$178,AGO!$P31:$V31)+SUMIF($AZ$178:$BC$178,AR$178,$AZ416:$BC416)</f>
        <v>0</v>
      </c>
      <c r="AS416" s="230">
        <f>SUMIF(AGO!$G$121:$M$121,AS$178,AGO!$P31:$V31)+SUMIF($AZ$178:$BC$178,AS$178,$AZ416:$BC416)</f>
        <v>0</v>
      </c>
      <c r="AT416" s="230">
        <f>SUMIF(AGO!$G$121:$M$121,AT$178,AGO!$P31:$V31)+SUMIF($AZ$178:$BC$178,AT$178,$AZ416:$BC416)</f>
        <v>0</v>
      </c>
      <c r="AU416" s="230">
        <f>SUMIF(AGO!$G$121:$M$121,AU$178,AGO!$P31:$V31)+SUMIF($AZ$178:$BC$178,AU$178,$AZ416:$BC416)</f>
        <v>0</v>
      </c>
      <c r="AV416" s="230">
        <f>SUMIF(AGO!$G$121:$M$121,AV$178,AGO!$P31:$V31)+SUMIF($AZ$178:$BC$178,AV$178,$AZ416:$BC416)</f>
        <v>0</v>
      </c>
      <c r="AW416" s="230">
        <f>SUMIF(AGO!$G$121:$M$121,AW$178,AGO!$P31:$V31)+SUMIF($AZ$178:$BC$178,AW$178,$AZ416:$BC416)</f>
        <v>0</v>
      </c>
      <c r="AX416" s="231">
        <f>SUMIF(AGO!$G$121:$M$121,AX$178,AGO!$P31:$V31)+SUMIF($AZ$178:$BC$178,AX$178,$AZ416:$BC416)</f>
        <v>0</v>
      </c>
      <c r="AY416" s="232">
        <f>AGO!AF31</f>
        <v>0</v>
      </c>
      <c r="AZ416" s="228">
        <f>AGO!AG31</f>
        <v>0</v>
      </c>
      <c r="BA416" s="229">
        <f>AGO!AH31</f>
        <v>0</v>
      </c>
      <c r="BB416" s="230">
        <f>AGO!AI31</f>
        <v>0</v>
      </c>
      <c r="BC416" s="231">
        <f>AGO!AJ31</f>
        <v>0</v>
      </c>
      <c r="BD416" s="228">
        <f>SUMIF(AGO!$G$120:$M$120,"&gt;0",AGO!$X31:$AD31)</f>
        <v>0</v>
      </c>
      <c r="BE416" s="696"/>
      <c r="BF416" s="228">
        <f>SUMIF(AGO!$BA$6:$BG$6,BF$177,AGO!$BA31:$BG31)</f>
        <v>0</v>
      </c>
      <c r="BG416" s="229">
        <f>SUMIF(AGO!$BA$6:$BG$6,BG$177,AGO!$BA31:$BG31)</f>
        <v>0</v>
      </c>
      <c r="BH416" s="229">
        <f>SUMIF(AGO!$BA$6:$BG$6,BH$177,AGO!$BA31:$BG31)</f>
        <v>0</v>
      </c>
      <c r="BI416" s="229">
        <f>SUMIF(AGO!$BA$6:$BG$6,BI$177,AGO!$BA31:$BG31)</f>
        <v>0</v>
      </c>
      <c r="BJ416" s="229">
        <f>SUMIF(AGO!$BA$6:$BG$6,BJ$177,AGO!$BA31:$BG31)</f>
        <v>0</v>
      </c>
      <c r="BK416" s="229">
        <f>SUMIF(AGO!$BA$6:$BG$6,BK$177,AGO!$BA31:$BG31)</f>
        <v>0</v>
      </c>
      <c r="BL416" s="229">
        <f>SUMIF(AGO!$BA$6:$BG$6,BL$177,AGO!$BA31:$BG31)</f>
        <v>0</v>
      </c>
      <c r="BM416" s="229">
        <f>SUMIF(AGO!$BA$6:$BG$6,BM$177,AGO!$BA31:$BG31)</f>
        <v>0</v>
      </c>
      <c r="BN416" s="229">
        <f>SUMIF(AGO!$BA$6:$BG$6,BN$177,AGO!$BA31:$BG31)</f>
        <v>0</v>
      </c>
      <c r="BO416" s="231">
        <f>SUMIF(AGO!$BA$6:$BG$6,BO$177,AGO!$BA31:$BG31)</f>
        <v>0</v>
      </c>
      <c r="BP416" s="231">
        <f>SUMIF(AGO!$BA$6:$BG$6,BP$177,AGO!$BA31:$BG31)</f>
        <v>0</v>
      </c>
      <c r="BQ416" s="252"/>
      <c r="BR416" s="228">
        <f>SUMIF(AGO!$BA$5:$BG$5,BR$177,AGO!$BA31:$BG31)</f>
        <v>0</v>
      </c>
      <c r="BS416" s="229">
        <f>SUMIF(AGO!$BA$5:$BG$5,BS$177,AGO!$BA31:$BG31)</f>
        <v>0</v>
      </c>
      <c r="BT416" s="229">
        <f>SUMIF(AGO!$BA$5:$BG$5,BT$177,AGO!$BA31:$BG31)</f>
        <v>0</v>
      </c>
      <c r="BU416" s="229">
        <f>SUMIF(AGO!$BA$5:$BG$5,BU$177,AGO!$BA31:$BG31)</f>
        <v>0</v>
      </c>
      <c r="BV416" s="229">
        <f>SUMIF(AGO!$BA$5:$BG$5,BV$177,AGO!$BA31:$BG31)</f>
        <v>0</v>
      </c>
      <c r="BW416" s="229">
        <f>SUMIF(AGO!$BA$5:$BG$5,BW$177,AGO!$BA31:$BG31)</f>
        <v>0</v>
      </c>
      <c r="BX416" s="230">
        <f>SUMIF(AGO!$BA$5:$BG$5,BX$177,AGO!$BA31:$BG31)</f>
        <v>0</v>
      </c>
      <c r="BY416" s="998">
        <f>SUMIF(AGO!$BA$5:$BG$5,BY$177,AGO!$BA31:$BG31)</f>
        <v>0</v>
      </c>
      <c r="CB416" s="252"/>
      <c r="CC416" s="61" t="e">
        <f t="shared" si="88"/>
        <v>#N/A</v>
      </c>
      <c r="CD416" s="61">
        <f t="shared" si="89"/>
        <v>0</v>
      </c>
      <c r="CE416" s="105" t="str">
        <f t="shared" si="82"/>
        <v/>
      </c>
      <c r="CF416" s="61" t="e">
        <f t="shared" si="90"/>
        <v>#N/A</v>
      </c>
      <c r="CG416" s="61" t="e">
        <f t="shared" si="91"/>
        <v>#N/A</v>
      </c>
      <c r="CH416" s="521">
        <f>AGO!AL31-CW416+CR416</f>
        <v>0</v>
      </c>
      <c r="CI416" s="228">
        <f>SUMIF(AGO!$G$121:$M$121,CI$178,AGO!$AM31:$AS31)+SUMIF($CS$178:$CV$178,CI$178,$CS416:$CV416)</f>
        <v>0</v>
      </c>
      <c r="CJ416" s="229">
        <f>SUMIF(AGO!$G$121:$M$121,CJ$178,AGO!$AM31:$AS31)+SUMIF($CS$178:$CV$178,CJ$178,$CS416:$CV416)</f>
        <v>0</v>
      </c>
      <c r="CK416" s="230">
        <f>SUMIF(AGO!$G$121:$M$121,CK$178,AGO!$AM31:$AS31)+SUMIF($CS$178:$CV$178,CK$178,$CS416:$CV416)</f>
        <v>0</v>
      </c>
      <c r="CL416" s="230">
        <f>SUMIF(AGO!$G$121:$M$121,CL$178,AGO!$AM31:$AS31)+SUMIF($CS$178:$CV$178,CL$178,$CS416:$CV416)</f>
        <v>0</v>
      </c>
      <c r="CM416" s="230">
        <f>SUMIF(AGO!$G$121:$M$121,CM$178,AGO!$AM31:$AS31)+SUMIF($CS$178:$CV$178,CM$178,$CS416:$CV416)</f>
        <v>0</v>
      </c>
      <c r="CN416" s="230">
        <f>SUMIF(AGO!$G$121:$M$121,CN$178,AGO!$AM31:$AS31)+SUMIF($CS$178:$CV$178,CN$178,$CS416:$CV416)</f>
        <v>0</v>
      </c>
      <c r="CO416" s="230">
        <f>SUMIF(AGO!$G$121:$M$121,CO$178,AGO!$AM31:$AS31)+SUMIF($CS$178:$CV$178,CO$178,$CS416:$CV416)</f>
        <v>0</v>
      </c>
      <c r="CP416" s="230">
        <f>SUMIF(AGO!$G$121:$M$121,CP$178,AGO!$AM31:$AS31)+SUMIF($CS$178:$CV$178,CP$178,$CS416:$CV416)</f>
        <v>0</v>
      </c>
      <c r="CQ416" s="231">
        <f>SUMIF(AGO!$G$121:$M$121,CQ$178,AGO!$AM31:$AS31)+SUMIF($CS$178:$CV$178,CQ$178,$CS416:$CV416)</f>
        <v>0</v>
      </c>
      <c r="CR416" s="521">
        <f>AGO!AU31</f>
        <v>0</v>
      </c>
      <c r="CS416" s="228">
        <f>AGO!AV31</f>
        <v>0</v>
      </c>
      <c r="CT416" s="229">
        <f>AGO!AW31</f>
        <v>0</v>
      </c>
      <c r="CU416" s="230">
        <f>AGO!AX31</f>
        <v>0</v>
      </c>
      <c r="CV416" s="231">
        <f>AGO!AY31</f>
        <v>0</v>
      </c>
      <c r="CW416" s="521">
        <f>SUM(AGO!AU31:AY31)</f>
        <v>0</v>
      </c>
      <c r="CX416" s="521">
        <f>AGO!AK31</f>
        <v>0</v>
      </c>
      <c r="CY416" s="2"/>
    </row>
    <row r="417" spans="1:103" ht="14.25" hidden="1" customHeight="1" x14ac:dyDescent="0.2">
      <c r="A417" s="2"/>
      <c r="B417" s="105">
        <f t="shared" si="92"/>
        <v>45529</v>
      </c>
      <c r="C417" s="146">
        <f>IF(AND(E417&gt;(N$558-1),E417&lt;(R$558+1)),W$551,IF(ISERROR(HLOOKUP(E417,$N$551:$U$551,1,FALSE)),HLOOKUP(WEEKDAY(E417,2),IMPOSTAZIONI!$C$52:$P$57,6,FALSE),$W$550))</f>
        <v>0</v>
      </c>
      <c r="D417" s="71" t="str">
        <f t="shared" si="93"/>
        <v/>
      </c>
      <c r="E417" s="2258">
        <f t="shared" si="98"/>
        <v>45529</v>
      </c>
      <c r="F417" s="2259"/>
      <c r="G417" s="2228" t="str">
        <f>AGO!E32</f>
        <v xml:space="preserve">disattivato  </v>
      </c>
      <c r="H417" s="2229"/>
      <c r="I417" s="2230"/>
      <c r="J417" s="262" t="str">
        <f t="shared" si="83"/>
        <v/>
      </c>
      <c r="K417" s="263"/>
      <c r="L417" s="2220">
        <f t="shared" si="99"/>
        <v>34</v>
      </c>
      <c r="M417" s="2221"/>
      <c r="N417" s="261"/>
      <c r="O417" s="261"/>
      <c r="P417" s="261"/>
      <c r="Q417" s="2219">
        <f t="shared" si="94"/>
        <v>45529</v>
      </c>
      <c r="R417" s="2219"/>
      <c r="S417" s="261"/>
      <c r="T417" s="1173">
        <f t="shared" si="84"/>
        <v>1</v>
      </c>
      <c r="U417" s="261"/>
      <c r="V417" s="261"/>
      <c r="W417" s="261"/>
      <c r="X417" s="261"/>
      <c r="Y417" s="261"/>
      <c r="Z417" s="261"/>
      <c r="AA417" s="261"/>
      <c r="AB417" s="261"/>
      <c r="AC417" s="261"/>
      <c r="AD417" s="261"/>
      <c r="AE417" s="261"/>
      <c r="AF417" s="261"/>
      <c r="AG417" s="1173">
        <f t="shared" si="95"/>
        <v>0</v>
      </c>
      <c r="AH417" s="61" t="str">
        <f t="shared" si="96"/>
        <v/>
      </c>
      <c r="AI417" s="89" t="e">
        <f t="shared" si="97"/>
        <v>#N/A</v>
      </c>
      <c r="AJ417" s="2"/>
      <c r="AK417" s="61">
        <f>IF(G417=G$547,0,IF(OR(G417&lt;&gt;0,CH417&lt;&gt;0,C417="L"),COUNTIF(AK$180:AK416,"&gt;0")+1,0))</f>
        <v>0</v>
      </c>
      <c r="AL417" s="61" t="str">
        <f t="shared" si="85"/>
        <v/>
      </c>
      <c r="AM417" s="61" t="e">
        <f t="shared" si="86"/>
        <v>#N/A</v>
      </c>
      <c r="AN417" s="89" t="e">
        <f t="shared" si="87"/>
        <v>#N/A</v>
      </c>
      <c r="AO417" s="230">
        <f>SUM(AGO!X32:AD32)-BD417+AY417</f>
        <v>0</v>
      </c>
      <c r="AP417" s="228">
        <f>SUMIF(AGO!$G$121:$M$121,AP$178,AGO!$P32:$V32)+SUMIF($AZ$178:$BC$178,AP$178,$AZ417:$BC417)</f>
        <v>0</v>
      </c>
      <c r="AQ417" s="229">
        <f>SUMIF(AGO!$G$121:$M$121,AQ$178,AGO!$P32:$V32)+SUMIF($AZ$178:$BC$178,AQ$178,$AZ417:$BC417)</f>
        <v>0</v>
      </c>
      <c r="AR417" s="230">
        <f>SUMIF(AGO!$G$121:$M$121,AR$178,AGO!$P32:$V32)+SUMIF($AZ$178:$BC$178,AR$178,$AZ417:$BC417)</f>
        <v>0</v>
      </c>
      <c r="AS417" s="230">
        <f>SUMIF(AGO!$G$121:$M$121,AS$178,AGO!$P32:$V32)+SUMIF($AZ$178:$BC$178,AS$178,$AZ417:$BC417)</f>
        <v>0</v>
      </c>
      <c r="AT417" s="230">
        <f>SUMIF(AGO!$G$121:$M$121,AT$178,AGO!$P32:$V32)+SUMIF($AZ$178:$BC$178,AT$178,$AZ417:$BC417)</f>
        <v>0</v>
      </c>
      <c r="AU417" s="230">
        <f>SUMIF(AGO!$G$121:$M$121,AU$178,AGO!$P32:$V32)+SUMIF($AZ$178:$BC$178,AU$178,$AZ417:$BC417)</f>
        <v>0</v>
      </c>
      <c r="AV417" s="230">
        <f>SUMIF(AGO!$G$121:$M$121,AV$178,AGO!$P32:$V32)+SUMIF($AZ$178:$BC$178,AV$178,$AZ417:$BC417)</f>
        <v>0</v>
      </c>
      <c r="AW417" s="230">
        <f>SUMIF(AGO!$G$121:$M$121,AW$178,AGO!$P32:$V32)+SUMIF($AZ$178:$BC$178,AW$178,$AZ417:$BC417)</f>
        <v>0</v>
      </c>
      <c r="AX417" s="231">
        <f>SUMIF(AGO!$G$121:$M$121,AX$178,AGO!$P32:$V32)+SUMIF($AZ$178:$BC$178,AX$178,$AZ417:$BC417)</f>
        <v>0</v>
      </c>
      <c r="AY417" s="232">
        <f>AGO!AF32</f>
        <v>0</v>
      </c>
      <c r="AZ417" s="228">
        <f>AGO!AG32</f>
        <v>0</v>
      </c>
      <c r="BA417" s="229">
        <f>AGO!AH32</f>
        <v>0</v>
      </c>
      <c r="BB417" s="230">
        <f>AGO!AI32</f>
        <v>0</v>
      </c>
      <c r="BC417" s="231">
        <f>AGO!AJ32</f>
        <v>0</v>
      </c>
      <c r="BD417" s="228">
        <f>SUMIF(AGO!$G$120:$M$120,"&gt;0",AGO!$X32:$AD32)</f>
        <v>0</v>
      </c>
      <c r="BE417" s="696"/>
      <c r="BF417" s="228">
        <f>SUMIF(AGO!$BA$6:$BG$6,BF$177,AGO!$BA32:$BG32)</f>
        <v>0</v>
      </c>
      <c r="BG417" s="229">
        <f>SUMIF(AGO!$BA$6:$BG$6,BG$177,AGO!$BA32:$BG32)</f>
        <v>0</v>
      </c>
      <c r="BH417" s="229">
        <f>SUMIF(AGO!$BA$6:$BG$6,BH$177,AGO!$BA32:$BG32)</f>
        <v>0</v>
      </c>
      <c r="BI417" s="229">
        <f>SUMIF(AGO!$BA$6:$BG$6,BI$177,AGO!$BA32:$BG32)</f>
        <v>0</v>
      </c>
      <c r="BJ417" s="229">
        <f>SUMIF(AGO!$BA$6:$BG$6,BJ$177,AGO!$BA32:$BG32)</f>
        <v>0</v>
      </c>
      <c r="BK417" s="229">
        <f>SUMIF(AGO!$BA$6:$BG$6,BK$177,AGO!$BA32:$BG32)</f>
        <v>0</v>
      </c>
      <c r="BL417" s="229">
        <f>SUMIF(AGO!$BA$6:$BG$6,BL$177,AGO!$BA32:$BG32)</f>
        <v>0</v>
      </c>
      <c r="BM417" s="229">
        <f>SUMIF(AGO!$BA$6:$BG$6,BM$177,AGO!$BA32:$BG32)</f>
        <v>0</v>
      </c>
      <c r="BN417" s="229">
        <f>SUMIF(AGO!$BA$6:$BG$6,BN$177,AGO!$BA32:$BG32)</f>
        <v>0</v>
      </c>
      <c r="BO417" s="231">
        <f>SUMIF(AGO!$BA$6:$BG$6,BO$177,AGO!$BA32:$BG32)</f>
        <v>0</v>
      </c>
      <c r="BP417" s="231">
        <f>SUMIF(AGO!$BA$6:$BG$6,BP$177,AGO!$BA32:$BG32)</f>
        <v>0</v>
      </c>
      <c r="BQ417" s="252"/>
      <c r="BR417" s="228">
        <f>SUMIF(AGO!$BA$5:$BG$5,BR$177,AGO!$BA32:$BG32)</f>
        <v>0</v>
      </c>
      <c r="BS417" s="229">
        <f>SUMIF(AGO!$BA$5:$BG$5,BS$177,AGO!$BA32:$BG32)</f>
        <v>0</v>
      </c>
      <c r="BT417" s="229">
        <f>SUMIF(AGO!$BA$5:$BG$5,BT$177,AGO!$BA32:$BG32)</f>
        <v>0</v>
      </c>
      <c r="BU417" s="229">
        <f>SUMIF(AGO!$BA$5:$BG$5,BU$177,AGO!$BA32:$BG32)</f>
        <v>0</v>
      </c>
      <c r="BV417" s="229">
        <f>SUMIF(AGO!$BA$5:$BG$5,BV$177,AGO!$BA32:$BG32)</f>
        <v>0</v>
      </c>
      <c r="BW417" s="229">
        <f>SUMIF(AGO!$BA$5:$BG$5,BW$177,AGO!$BA32:$BG32)</f>
        <v>0</v>
      </c>
      <c r="BX417" s="230">
        <f>SUMIF(AGO!$BA$5:$BG$5,BX$177,AGO!$BA32:$BG32)</f>
        <v>0</v>
      </c>
      <c r="BY417" s="998">
        <f>SUMIF(AGO!$BA$5:$BG$5,BY$177,AGO!$BA32:$BG32)</f>
        <v>0</v>
      </c>
      <c r="CB417" s="252"/>
      <c r="CC417" s="61" t="e">
        <f t="shared" si="88"/>
        <v>#N/A</v>
      </c>
      <c r="CD417" s="61">
        <f t="shared" si="89"/>
        <v>0</v>
      </c>
      <c r="CE417" s="105" t="str">
        <f t="shared" si="82"/>
        <v/>
      </c>
      <c r="CF417" s="61" t="e">
        <f t="shared" si="90"/>
        <v>#N/A</v>
      </c>
      <c r="CG417" s="61" t="e">
        <f t="shared" si="91"/>
        <v>#N/A</v>
      </c>
      <c r="CH417" s="521">
        <f>AGO!AL32-CW417+CR417</f>
        <v>0</v>
      </c>
      <c r="CI417" s="228">
        <f>SUMIF(AGO!$G$121:$M$121,CI$178,AGO!$AM32:$AS32)+SUMIF($CS$178:$CV$178,CI$178,$CS417:$CV417)</f>
        <v>0</v>
      </c>
      <c r="CJ417" s="229">
        <f>SUMIF(AGO!$G$121:$M$121,CJ$178,AGO!$AM32:$AS32)+SUMIF($CS$178:$CV$178,CJ$178,$CS417:$CV417)</f>
        <v>0</v>
      </c>
      <c r="CK417" s="230">
        <f>SUMIF(AGO!$G$121:$M$121,CK$178,AGO!$AM32:$AS32)+SUMIF($CS$178:$CV$178,CK$178,$CS417:$CV417)</f>
        <v>0</v>
      </c>
      <c r="CL417" s="230">
        <f>SUMIF(AGO!$G$121:$M$121,CL$178,AGO!$AM32:$AS32)+SUMIF($CS$178:$CV$178,CL$178,$CS417:$CV417)</f>
        <v>0</v>
      </c>
      <c r="CM417" s="230">
        <f>SUMIF(AGO!$G$121:$M$121,CM$178,AGO!$AM32:$AS32)+SUMIF($CS$178:$CV$178,CM$178,$CS417:$CV417)</f>
        <v>0</v>
      </c>
      <c r="CN417" s="230">
        <f>SUMIF(AGO!$G$121:$M$121,CN$178,AGO!$AM32:$AS32)+SUMIF($CS$178:$CV$178,CN$178,$CS417:$CV417)</f>
        <v>0</v>
      </c>
      <c r="CO417" s="230">
        <f>SUMIF(AGO!$G$121:$M$121,CO$178,AGO!$AM32:$AS32)+SUMIF($CS$178:$CV$178,CO$178,$CS417:$CV417)</f>
        <v>0</v>
      </c>
      <c r="CP417" s="230">
        <f>SUMIF(AGO!$G$121:$M$121,CP$178,AGO!$AM32:$AS32)+SUMIF($CS$178:$CV$178,CP$178,$CS417:$CV417)</f>
        <v>0</v>
      </c>
      <c r="CQ417" s="231">
        <f>SUMIF(AGO!$G$121:$M$121,CQ$178,AGO!$AM32:$AS32)+SUMIF($CS$178:$CV$178,CQ$178,$CS417:$CV417)</f>
        <v>0</v>
      </c>
      <c r="CR417" s="521">
        <f>AGO!AU32</f>
        <v>0</v>
      </c>
      <c r="CS417" s="228">
        <f>AGO!AV32</f>
        <v>0</v>
      </c>
      <c r="CT417" s="229">
        <f>AGO!AW32</f>
        <v>0</v>
      </c>
      <c r="CU417" s="230">
        <f>AGO!AX32</f>
        <v>0</v>
      </c>
      <c r="CV417" s="231">
        <f>AGO!AY32</f>
        <v>0</v>
      </c>
      <c r="CW417" s="521">
        <f>SUM(AGO!AU32:AY32)</f>
        <v>0</v>
      </c>
      <c r="CX417" s="521">
        <f>AGO!AK32</f>
        <v>0</v>
      </c>
      <c r="CY417" s="2"/>
    </row>
    <row r="418" spans="1:103" ht="14.25" hidden="1" customHeight="1" x14ac:dyDescent="0.2">
      <c r="A418" s="2"/>
      <c r="B418" s="105">
        <f t="shared" si="92"/>
        <v>45530</v>
      </c>
      <c r="C418" s="146">
        <f>IF(AND(E418&gt;(N$558-1),E418&lt;(R$558+1)),W$551,IF(ISERROR(HLOOKUP(E418,$N$551:$U$551,1,FALSE)),HLOOKUP(WEEKDAY(E418,2),IMPOSTAZIONI!$C$52:$P$57,6,FALSE),$W$550))</f>
        <v>0</v>
      </c>
      <c r="D418" s="71" t="str">
        <f t="shared" si="93"/>
        <v/>
      </c>
      <c r="E418" s="2258">
        <f t="shared" si="98"/>
        <v>45530</v>
      </c>
      <c r="F418" s="2259"/>
      <c r="G418" s="2228" t="str">
        <f>AGO!E33</f>
        <v xml:space="preserve">disattivato  </v>
      </c>
      <c r="H418" s="2229"/>
      <c r="I418" s="2230"/>
      <c r="J418" s="262" t="str">
        <f t="shared" si="83"/>
        <v/>
      </c>
      <c r="K418" s="263"/>
      <c r="L418" s="2222">
        <f t="shared" si="99"/>
        <v>35</v>
      </c>
      <c r="M418" s="2223"/>
      <c r="N418" s="261"/>
      <c r="O418" s="261"/>
      <c r="P418" s="261"/>
      <c r="Q418" s="2219">
        <f t="shared" si="94"/>
        <v>45530</v>
      </c>
      <c r="R418" s="2219"/>
      <c r="S418" s="261"/>
      <c r="T418" s="1173">
        <f t="shared" si="84"/>
        <v>1</v>
      </c>
      <c r="U418" s="261"/>
      <c r="V418" s="261"/>
      <c r="W418" s="261"/>
      <c r="X418" s="261"/>
      <c r="Y418" s="261"/>
      <c r="Z418" s="261"/>
      <c r="AA418" s="261"/>
      <c r="AB418" s="261"/>
      <c r="AC418" s="261"/>
      <c r="AD418" s="261"/>
      <c r="AE418" s="261"/>
      <c r="AF418" s="261"/>
      <c r="AG418" s="1173">
        <f t="shared" si="95"/>
        <v>0</v>
      </c>
      <c r="AH418" s="61" t="str">
        <f t="shared" si="96"/>
        <v/>
      </c>
      <c r="AI418" s="89" t="e">
        <f t="shared" si="97"/>
        <v>#N/A</v>
      </c>
      <c r="AJ418" s="2"/>
      <c r="AK418" s="61">
        <f>IF(G418=G$547,0,IF(OR(G418&lt;&gt;0,CH418&lt;&gt;0,C418="L"),COUNTIF(AK$180:AK417,"&gt;0")+1,0))</f>
        <v>0</v>
      </c>
      <c r="AL418" s="61" t="str">
        <f t="shared" si="85"/>
        <v/>
      </c>
      <c r="AM418" s="61" t="e">
        <f t="shared" si="86"/>
        <v>#N/A</v>
      </c>
      <c r="AN418" s="89" t="e">
        <f t="shared" si="87"/>
        <v>#N/A</v>
      </c>
      <c r="AO418" s="230">
        <f>SUM(AGO!X33:AD33)-BD418+AY418</f>
        <v>0</v>
      </c>
      <c r="AP418" s="228">
        <f>SUMIF(AGO!$G$121:$M$121,AP$178,AGO!$P33:$V33)+SUMIF($AZ$178:$BC$178,AP$178,$AZ418:$BC418)</f>
        <v>0</v>
      </c>
      <c r="AQ418" s="229">
        <f>SUMIF(AGO!$G$121:$M$121,AQ$178,AGO!$P33:$V33)+SUMIF($AZ$178:$BC$178,AQ$178,$AZ418:$BC418)</f>
        <v>0</v>
      </c>
      <c r="AR418" s="230">
        <f>SUMIF(AGO!$G$121:$M$121,AR$178,AGO!$P33:$V33)+SUMIF($AZ$178:$BC$178,AR$178,$AZ418:$BC418)</f>
        <v>0</v>
      </c>
      <c r="AS418" s="230">
        <f>SUMIF(AGO!$G$121:$M$121,AS$178,AGO!$P33:$V33)+SUMIF($AZ$178:$BC$178,AS$178,$AZ418:$BC418)</f>
        <v>0</v>
      </c>
      <c r="AT418" s="230">
        <f>SUMIF(AGO!$G$121:$M$121,AT$178,AGO!$P33:$V33)+SUMIF($AZ$178:$BC$178,AT$178,$AZ418:$BC418)</f>
        <v>0</v>
      </c>
      <c r="AU418" s="230">
        <f>SUMIF(AGO!$G$121:$M$121,AU$178,AGO!$P33:$V33)+SUMIF($AZ$178:$BC$178,AU$178,$AZ418:$BC418)</f>
        <v>0</v>
      </c>
      <c r="AV418" s="230">
        <f>SUMIF(AGO!$G$121:$M$121,AV$178,AGO!$P33:$V33)+SUMIF($AZ$178:$BC$178,AV$178,$AZ418:$BC418)</f>
        <v>0</v>
      </c>
      <c r="AW418" s="230">
        <f>SUMIF(AGO!$G$121:$M$121,AW$178,AGO!$P33:$V33)+SUMIF($AZ$178:$BC$178,AW$178,$AZ418:$BC418)</f>
        <v>0</v>
      </c>
      <c r="AX418" s="231">
        <f>SUMIF(AGO!$G$121:$M$121,AX$178,AGO!$P33:$V33)+SUMIF($AZ$178:$BC$178,AX$178,$AZ418:$BC418)</f>
        <v>0</v>
      </c>
      <c r="AY418" s="232">
        <f>AGO!AF33</f>
        <v>0</v>
      </c>
      <c r="AZ418" s="228">
        <f>AGO!AG33</f>
        <v>0</v>
      </c>
      <c r="BA418" s="229">
        <f>AGO!AH33</f>
        <v>0</v>
      </c>
      <c r="BB418" s="230">
        <f>AGO!AI33</f>
        <v>0</v>
      </c>
      <c r="BC418" s="231">
        <f>AGO!AJ33</f>
        <v>0</v>
      </c>
      <c r="BD418" s="228">
        <f>SUMIF(AGO!$G$120:$M$120,"&gt;0",AGO!$X33:$AD33)</f>
        <v>0</v>
      </c>
      <c r="BE418" s="696"/>
      <c r="BF418" s="228">
        <f>SUMIF(AGO!$BA$6:$BG$6,BF$177,AGO!$BA33:$BG33)</f>
        <v>0</v>
      </c>
      <c r="BG418" s="229">
        <f>SUMIF(AGO!$BA$6:$BG$6,BG$177,AGO!$BA33:$BG33)</f>
        <v>0</v>
      </c>
      <c r="BH418" s="229">
        <f>SUMIF(AGO!$BA$6:$BG$6,BH$177,AGO!$BA33:$BG33)</f>
        <v>0</v>
      </c>
      <c r="BI418" s="229">
        <f>SUMIF(AGO!$BA$6:$BG$6,BI$177,AGO!$BA33:$BG33)</f>
        <v>0</v>
      </c>
      <c r="BJ418" s="229">
        <f>SUMIF(AGO!$BA$6:$BG$6,BJ$177,AGO!$BA33:$BG33)</f>
        <v>0</v>
      </c>
      <c r="BK418" s="229">
        <f>SUMIF(AGO!$BA$6:$BG$6,BK$177,AGO!$BA33:$BG33)</f>
        <v>0</v>
      </c>
      <c r="BL418" s="229">
        <f>SUMIF(AGO!$BA$6:$BG$6,BL$177,AGO!$BA33:$BG33)</f>
        <v>0</v>
      </c>
      <c r="BM418" s="229">
        <f>SUMIF(AGO!$BA$6:$BG$6,BM$177,AGO!$BA33:$BG33)</f>
        <v>0</v>
      </c>
      <c r="BN418" s="229">
        <f>SUMIF(AGO!$BA$6:$BG$6,BN$177,AGO!$BA33:$BG33)</f>
        <v>0</v>
      </c>
      <c r="BO418" s="231">
        <f>SUMIF(AGO!$BA$6:$BG$6,BO$177,AGO!$BA33:$BG33)</f>
        <v>0</v>
      </c>
      <c r="BP418" s="231">
        <f>SUMIF(AGO!$BA$6:$BG$6,BP$177,AGO!$BA33:$BG33)</f>
        <v>0</v>
      </c>
      <c r="BQ418" s="252"/>
      <c r="BR418" s="228">
        <f>SUMIF(AGO!$BA$5:$BG$5,BR$177,AGO!$BA33:$BG33)</f>
        <v>0</v>
      </c>
      <c r="BS418" s="229">
        <f>SUMIF(AGO!$BA$5:$BG$5,BS$177,AGO!$BA33:$BG33)</f>
        <v>0</v>
      </c>
      <c r="BT418" s="229">
        <f>SUMIF(AGO!$BA$5:$BG$5,BT$177,AGO!$BA33:$BG33)</f>
        <v>0</v>
      </c>
      <c r="BU418" s="229">
        <f>SUMIF(AGO!$BA$5:$BG$5,BU$177,AGO!$BA33:$BG33)</f>
        <v>0</v>
      </c>
      <c r="BV418" s="229">
        <f>SUMIF(AGO!$BA$5:$BG$5,BV$177,AGO!$BA33:$BG33)</f>
        <v>0</v>
      </c>
      <c r="BW418" s="229">
        <f>SUMIF(AGO!$BA$5:$BG$5,BW$177,AGO!$BA33:$BG33)</f>
        <v>0</v>
      </c>
      <c r="BX418" s="230">
        <f>SUMIF(AGO!$BA$5:$BG$5,BX$177,AGO!$BA33:$BG33)</f>
        <v>0</v>
      </c>
      <c r="BY418" s="998">
        <f>SUMIF(AGO!$BA$5:$BG$5,BY$177,AGO!$BA33:$BG33)</f>
        <v>0</v>
      </c>
      <c r="CB418" s="252"/>
      <c r="CC418" s="61" t="e">
        <f t="shared" si="88"/>
        <v>#N/A</v>
      </c>
      <c r="CD418" s="61">
        <f t="shared" si="89"/>
        <v>0</v>
      </c>
      <c r="CE418" s="105" t="str">
        <f t="shared" si="82"/>
        <v/>
      </c>
      <c r="CF418" s="61" t="e">
        <f t="shared" si="90"/>
        <v>#N/A</v>
      </c>
      <c r="CG418" s="61" t="e">
        <f t="shared" si="91"/>
        <v>#N/A</v>
      </c>
      <c r="CH418" s="521">
        <f>AGO!AL33-CW418+CR418</f>
        <v>0</v>
      </c>
      <c r="CI418" s="228">
        <f>SUMIF(AGO!$G$121:$M$121,CI$178,AGO!$AM33:$AS33)+SUMIF($CS$178:$CV$178,CI$178,$CS418:$CV418)</f>
        <v>0</v>
      </c>
      <c r="CJ418" s="229">
        <f>SUMIF(AGO!$G$121:$M$121,CJ$178,AGO!$AM33:$AS33)+SUMIF($CS$178:$CV$178,CJ$178,$CS418:$CV418)</f>
        <v>0</v>
      </c>
      <c r="CK418" s="230">
        <f>SUMIF(AGO!$G$121:$M$121,CK$178,AGO!$AM33:$AS33)+SUMIF($CS$178:$CV$178,CK$178,$CS418:$CV418)</f>
        <v>0</v>
      </c>
      <c r="CL418" s="230">
        <f>SUMIF(AGO!$G$121:$M$121,CL$178,AGO!$AM33:$AS33)+SUMIF($CS$178:$CV$178,CL$178,$CS418:$CV418)</f>
        <v>0</v>
      </c>
      <c r="CM418" s="230">
        <f>SUMIF(AGO!$G$121:$M$121,CM$178,AGO!$AM33:$AS33)+SUMIF($CS$178:$CV$178,CM$178,$CS418:$CV418)</f>
        <v>0</v>
      </c>
      <c r="CN418" s="230">
        <f>SUMIF(AGO!$G$121:$M$121,CN$178,AGO!$AM33:$AS33)+SUMIF($CS$178:$CV$178,CN$178,$CS418:$CV418)</f>
        <v>0</v>
      </c>
      <c r="CO418" s="230">
        <f>SUMIF(AGO!$G$121:$M$121,CO$178,AGO!$AM33:$AS33)+SUMIF($CS$178:$CV$178,CO$178,$CS418:$CV418)</f>
        <v>0</v>
      </c>
      <c r="CP418" s="230">
        <f>SUMIF(AGO!$G$121:$M$121,CP$178,AGO!$AM33:$AS33)+SUMIF($CS$178:$CV$178,CP$178,$CS418:$CV418)</f>
        <v>0</v>
      </c>
      <c r="CQ418" s="231">
        <f>SUMIF(AGO!$G$121:$M$121,CQ$178,AGO!$AM33:$AS33)+SUMIF($CS$178:$CV$178,CQ$178,$CS418:$CV418)</f>
        <v>0</v>
      </c>
      <c r="CR418" s="521">
        <f>AGO!AU33</f>
        <v>0</v>
      </c>
      <c r="CS418" s="228">
        <f>AGO!AV33</f>
        <v>0</v>
      </c>
      <c r="CT418" s="229">
        <f>AGO!AW33</f>
        <v>0</v>
      </c>
      <c r="CU418" s="230">
        <f>AGO!AX33</f>
        <v>0</v>
      </c>
      <c r="CV418" s="231">
        <f>AGO!AY33</f>
        <v>0</v>
      </c>
      <c r="CW418" s="521">
        <f>SUM(AGO!AU33:AY33)</f>
        <v>0</v>
      </c>
      <c r="CX418" s="521">
        <f>AGO!AK33</f>
        <v>0</v>
      </c>
      <c r="CY418" s="2"/>
    </row>
    <row r="419" spans="1:103" ht="14.25" hidden="1" customHeight="1" x14ac:dyDescent="0.2">
      <c r="A419" s="2"/>
      <c r="B419" s="105">
        <f t="shared" si="92"/>
        <v>45531</v>
      </c>
      <c r="C419" s="146">
        <f>IF(AND(E419&gt;(N$558-1),E419&lt;(R$558+1)),W$551,IF(ISERROR(HLOOKUP(E419,$N$551:$U$551,1,FALSE)),HLOOKUP(WEEKDAY(E419,2),IMPOSTAZIONI!$C$52:$P$57,6,FALSE),$W$550))</f>
        <v>0</v>
      </c>
      <c r="D419" s="71" t="str">
        <f t="shared" si="93"/>
        <v/>
      </c>
      <c r="E419" s="2258">
        <f t="shared" si="98"/>
        <v>45531</v>
      </c>
      <c r="F419" s="2259"/>
      <c r="G419" s="2228" t="str">
        <f>AGO!E34</f>
        <v xml:space="preserve">disattivato  </v>
      </c>
      <c r="H419" s="2229"/>
      <c r="I419" s="2230"/>
      <c r="J419" s="262" t="str">
        <f t="shared" si="83"/>
        <v/>
      </c>
      <c r="K419" s="263"/>
      <c r="L419" s="2217">
        <f t="shared" si="99"/>
        <v>35</v>
      </c>
      <c r="M419" s="2218"/>
      <c r="N419" s="261"/>
      <c r="O419" s="261"/>
      <c r="P419" s="261"/>
      <c r="Q419" s="2219">
        <f t="shared" si="94"/>
        <v>45531</v>
      </c>
      <c r="R419" s="2219"/>
      <c r="S419" s="261"/>
      <c r="T419" s="1173">
        <f t="shared" si="84"/>
        <v>1</v>
      </c>
      <c r="U419" s="261"/>
      <c r="V419" s="261"/>
      <c r="W419" s="261"/>
      <c r="X419" s="261"/>
      <c r="Y419" s="261"/>
      <c r="Z419" s="261"/>
      <c r="AA419" s="261"/>
      <c r="AB419" s="261"/>
      <c r="AC419" s="261"/>
      <c r="AD419" s="261"/>
      <c r="AE419" s="261"/>
      <c r="AF419" s="261"/>
      <c r="AG419" s="1173">
        <f t="shared" si="95"/>
        <v>0</v>
      </c>
      <c r="AH419" s="61" t="str">
        <f t="shared" si="96"/>
        <v/>
      </c>
      <c r="AI419" s="89" t="e">
        <f t="shared" si="97"/>
        <v>#N/A</v>
      </c>
      <c r="AJ419" s="2"/>
      <c r="AK419" s="61">
        <f>IF(G419=G$547,0,IF(OR(G419&lt;&gt;0,CH419&lt;&gt;0,C419="L"),COUNTIF(AK$180:AK418,"&gt;0")+1,0))</f>
        <v>0</v>
      </c>
      <c r="AL419" s="61" t="str">
        <f t="shared" si="85"/>
        <v/>
      </c>
      <c r="AM419" s="61" t="e">
        <f t="shared" si="86"/>
        <v>#N/A</v>
      </c>
      <c r="AN419" s="89" t="e">
        <f t="shared" si="87"/>
        <v>#N/A</v>
      </c>
      <c r="AO419" s="230">
        <f>SUM(AGO!X34:AD34)-BD419+AY419</f>
        <v>0</v>
      </c>
      <c r="AP419" s="228">
        <f>SUMIF(AGO!$G$121:$M$121,AP$178,AGO!$P34:$V34)+SUMIF($AZ$178:$BC$178,AP$178,$AZ419:$BC419)</f>
        <v>0</v>
      </c>
      <c r="AQ419" s="229">
        <f>SUMIF(AGO!$G$121:$M$121,AQ$178,AGO!$P34:$V34)+SUMIF($AZ$178:$BC$178,AQ$178,$AZ419:$BC419)</f>
        <v>0</v>
      </c>
      <c r="AR419" s="230">
        <f>SUMIF(AGO!$G$121:$M$121,AR$178,AGO!$P34:$V34)+SUMIF($AZ$178:$BC$178,AR$178,$AZ419:$BC419)</f>
        <v>0</v>
      </c>
      <c r="AS419" s="230">
        <f>SUMIF(AGO!$G$121:$M$121,AS$178,AGO!$P34:$V34)+SUMIF($AZ$178:$BC$178,AS$178,$AZ419:$BC419)</f>
        <v>0</v>
      </c>
      <c r="AT419" s="230">
        <f>SUMIF(AGO!$G$121:$M$121,AT$178,AGO!$P34:$V34)+SUMIF($AZ$178:$BC$178,AT$178,$AZ419:$BC419)</f>
        <v>0</v>
      </c>
      <c r="AU419" s="230">
        <f>SUMIF(AGO!$G$121:$M$121,AU$178,AGO!$P34:$V34)+SUMIF($AZ$178:$BC$178,AU$178,$AZ419:$BC419)</f>
        <v>0</v>
      </c>
      <c r="AV419" s="230">
        <f>SUMIF(AGO!$G$121:$M$121,AV$178,AGO!$P34:$V34)+SUMIF($AZ$178:$BC$178,AV$178,$AZ419:$BC419)</f>
        <v>0</v>
      </c>
      <c r="AW419" s="230">
        <f>SUMIF(AGO!$G$121:$M$121,AW$178,AGO!$P34:$V34)+SUMIF($AZ$178:$BC$178,AW$178,$AZ419:$BC419)</f>
        <v>0</v>
      </c>
      <c r="AX419" s="231">
        <f>SUMIF(AGO!$G$121:$M$121,AX$178,AGO!$P34:$V34)+SUMIF($AZ$178:$BC$178,AX$178,$AZ419:$BC419)</f>
        <v>0</v>
      </c>
      <c r="AY419" s="232">
        <f>AGO!AF34</f>
        <v>0</v>
      </c>
      <c r="AZ419" s="228">
        <f>AGO!AG34</f>
        <v>0</v>
      </c>
      <c r="BA419" s="229">
        <f>AGO!AH34</f>
        <v>0</v>
      </c>
      <c r="BB419" s="230">
        <f>AGO!AI34</f>
        <v>0</v>
      </c>
      <c r="BC419" s="231">
        <f>AGO!AJ34</f>
        <v>0</v>
      </c>
      <c r="BD419" s="228">
        <f>SUMIF(AGO!$G$120:$M$120,"&gt;0",AGO!$X34:$AD34)</f>
        <v>0</v>
      </c>
      <c r="BE419" s="696"/>
      <c r="BF419" s="228">
        <f>SUMIF(AGO!$BA$6:$BG$6,BF$177,AGO!$BA34:$BG34)</f>
        <v>0</v>
      </c>
      <c r="BG419" s="229">
        <f>SUMIF(AGO!$BA$6:$BG$6,BG$177,AGO!$BA34:$BG34)</f>
        <v>0</v>
      </c>
      <c r="BH419" s="229">
        <f>SUMIF(AGO!$BA$6:$BG$6,BH$177,AGO!$BA34:$BG34)</f>
        <v>0</v>
      </c>
      <c r="BI419" s="229">
        <f>SUMIF(AGO!$BA$6:$BG$6,BI$177,AGO!$BA34:$BG34)</f>
        <v>0</v>
      </c>
      <c r="BJ419" s="229">
        <f>SUMIF(AGO!$BA$6:$BG$6,BJ$177,AGO!$BA34:$BG34)</f>
        <v>0</v>
      </c>
      <c r="BK419" s="229">
        <f>SUMIF(AGO!$BA$6:$BG$6,BK$177,AGO!$BA34:$BG34)</f>
        <v>0</v>
      </c>
      <c r="BL419" s="229">
        <f>SUMIF(AGO!$BA$6:$BG$6,BL$177,AGO!$BA34:$BG34)</f>
        <v>0</v>
      </c>
      <c r="BM419" s="229">
        <f>SUMIF(AGO!$BA$6:$BG$6,BM$177,AGO!$BA34:$BG34)</f>
        <v>0</v>
      </c>
      <c r="BN419" s="229">
        <f>SUMIF(AGO!$BA$6:$BG$6,BN$177,AGO!$BA34:$BG34)</f>
        <v>0</v>
      </c>
      <c r="BO419" s="231">
        <f>SUMIF(AGO!$BA$6:$BG$6,BO$177,AGO!$BA34:$BG34)</f>
        <v>0</v>
      </c>
      <c r="BP419" s="231">
        <f>SUMIF(AGO!$BA$6:$BG$6,BP$177,AGO!$BA34:$BG34)</f>
        <v>0</v>
      </c>
      <c r="BQ419" s="252"/>
      <c r="BR419" s="228">
        <f>SUMIF(AGO!$BA$5:$BG$5,BR$177,AGO!$BA34:$BG34)</f>
        <v>0</v>
      </c>
      <c r="BS419" s="229">
        <f>SUMIF(AGO!$BA$5:$BG$5,BS$177,AGO!$BA34:$BG34)</f>
        <v>0</v>
      </c>
      <c r="BT419" s="229">
        <f>SUMIF(AGO!$BA$5:$BG$5,BT$177,AGO!$BA34:$BG34)</f>
        <v>0</v>
      </c>
      <c r="BU419" s="229">
        <f>SUMIF(AGO!$BA$5:$BG$5,BU$177,AGO!$BA34:$BG34)</f>
        <v>0</v>
      </c>
      <c r="BV419" s="229">
        <f>SUMIF(AGO!$BA$5:$BG$5,BV$177,AGO!$BA34:$BG34)</f>
        <v>0</v>
      </c>
      <c r="BW419" s="229">
        <f>SUMIF(AGO!$BA$5:$BG$5,BW$177,AGO!$BA34:$BG34)</f>
        <v>0</v>
      </c>
      <c r="BX419" s="230">
        <f>SUMIF(AGO!$BA$5:$BG$5,BX$177,AGO!$BA34:$BG34)</f>
        <v>0</v>
      </c>
      <c r="BY419" s="998">
        <f>SUMIF(AGO!$BA$5:$BG$5,BY$177,AGO!$BA34:$BG34)</f>
        <v>0</v>
      </c>
      <c r="CB419" s="252"/>
      <c r="CC419" s="61" t="e">
        <f t="shared" si="88"/>
        <v>#N/A</v>
      </c>
      <c r="CD419" s="61">
        <f t="shared" si="89"/>
        <v>0</v>
      </c>
      <c r="CE419" s="105" t="str">
        <f t="shared" si="82"/>
        <v/>
      </c>
      <c r="CF419" s="61" t="e">
        <f t="shared" si="90"/>
        <v>#N/A</v>
      </c>
      <c r="CG419" s="61" t="e">
        <f t="shared" si="91"/>
        <v>#N/A</v>
      </c>
      <c r="CH419" s="521">
        <f>AGO!AL34-CW419+CR419</f>
        <v>0</v>
      </c>
      <c r="CI419" s="228">
        <f>SUMIF(AGO!$G$121:$M$121,CI$178,AGO!$AM34:$AS34)+SUMIF($CS$178:$CV$178,CI$178,$CS419:$CV419)</f>
        <v>0</v>
      </c>
      <c r="CJ419" s="229">
        <f>SUMIF(AGO!$G$121:$M$121,CJ$178,AGO!$AM34:$AS34)+SUMIF($CS$178:$CV$178,CJ$178,$CS419:$CV419)</f>
        <v>0</v>
      </c>
      <c r="CK419" s="230">
        <f>SUMIF(AGO!$G$121:$M$121,CK$178,AGO!$AM34:$AS34)+SUMIF($CS$178:$CV$178,CK$178,$CS419:$CV419)</f>
        <v>0</v>
      </c>
      <c r="CL419" s="230">
        <f>SUMIF(AGO!$G$121:$M$121,CL$178,AGO!$AM34:$AS34)+SUMIF($CS$178:$CV$178,CL$178,$CS419:$CV419)</f>
        <v>0</v>
      </c>
      <c r="CM419" s="230">
        <f>SUMIF(AGO!$G$121:$M$121,CM$178,AGO!$AM34:$AS34)+SUMIF($CS$178:$CV$178,CM$178,$CS419:$CV419)</f>
        <v>0</v>
      </c>
      <c r="CN419" s="230">
        <f>SUMIF(AGO!$G$121:$M$121,CN$178,AGO!$AM34:$AS34)+SUMIF($CS$178:$CV$178,CN$178,$CS419:$CV419)</f>
        <v>0</v>
      </c>
      <c r="CO419" s="230">
        <f>SUMIF(AGO!$G$121:$M$121,CO$178,AGO!$AM34:$AS34)+SUMIF($CS$178:$CV$178,CO$178,$CS419:$CV419)</f>
        <v>0</v>
      </c>
      <c r="CP419" s="230">
        <f>SUMIF(AGO!$G$121:$M$121,CP$178,AGO!$AM34:$AS34)+SUMIF($CS$178:$CV$178,CP$178,$CS419:$CV419)</f>
        <v>0</v>
      </c>
      <c r="CQ419" s="231">
        <f>SUMIF(AGO!$G$121:$M$121,CQ$178,AGO!$AM34:$AS34)+SUMIF($CS$178:$CV$178,CQ$178,$CS419:$CV419)</f>
        <v>0</v>
      </c>
      <c r="CR419" s="521">
        <f>AGO!AU34</f>
        <v>0</v>
      </c>
      <c r="CS419" s="228">
        <f>AGO!AV34</f>
        <v>0</v>
      </c>
      <c r="CT419" s="229">
        <f>AGO!AW34</f>
        <v>0</v>
      </c>
      <c r="CU419" s="230">
        <f>AGO!AX34</f>
        <v>0</v>
      </c>
      <c r="CV419" s="231">
        <f>AGO!AY34</f>
        <v>0</v>
      </c>
      <c r="CW419" s="521">
        <f>SUM(AGO!AU34:AY34)</f>
        <v>0</v>
      </c>
      <c r="CX419" s="521">
        <f>AGO!AK34</f>
        <v>0</v>
      </c>
      <c r="CY419" s="2"/>
    </row>
    <row r="420" spans="1:103" ht="14.25" hidden="1" customHeight="1" x14ac:dyDescent="0.2">
      <c r="A420" s="2"/>
      <c r="B420" s="105">
        <f t="shared" si="92"/>
        <v>45532</v>
      </c>
      <c r="C420" s="146">
        <f>IF(AND(E420&gt;(N$558-1),E420&lt;(R$558+1)),W$551,IF(ISERROR(HLOOKUP(E420,$N$551:$U$551,1,FALSE)),HLOOKUP(WEEKDAY(E420,2),IMPOSTAZIONI!$C$52:$P$57,6,FALSE),$W$550))</f>
        <v>0</v>
      </c>
      <c r="D420" s="71" t="str">
        <f t="shared" si="93"/>
        <v/>
      </c>
      <c r="E420" s="2258">
        <f t="shared" si="98"/>
        <v>45532</v>
      </c>
      <c r="F420" s="2259"/>
      <c r="G420" s="2228" t="str">
        <f>AGO!E35</f>
        <v xml:space="preserve">disattivato  </v>
      </c>
      <c r="H420" s="2229"/>
      <c r="I420" s="2230"/>
      <c r="J420" s="262" t="str">
        <f t="shared" si="83"/>
        <v/>
      </c>
      <c r="K420" s="263"/>
      <c r="L420" s="2217">
        <f t="shared" si="99"/>
        <v>35</v>
      </c>
      <c r="M420" s="2218"/>
      <c r="N420" s="261"/>
      <c r="O420" s="261"/>
      <c r="P420" s="261"/>
      <c r="Q420" s="2219">
        <f t="shared" si="94"/>
        <v>45532</v>
      </c>
      <c r="R420" s="2219"/>
      <c r="S420" s="261"/>
      <c r="T420" s="1173">
        <f t="shared" si="84"/>
        <v>1</v>
      </c>
      <c r="U420" s="261"/>
      <c r="V420" s="261"/>
      <c r="W420" s="261"/>
      <c r="X420" s="261"/>
      <c r="Y420" s="261"/>
      <c r="Z420" s="261"/>
      <c r="AA420" s="261"/>
      <c r="AB420" s="261"/>
      <c r="AC420" s="261"/>
      <c r="AD420" s="261"/>
      <c r="AE420" s="261"/>
      <c r="AF420" s="261"/>
      <c r="AG420" s="1173">
        <f t="shared" si="95"/>
        <v>0</v>
      </c>
      <c r="AH420" s="61" t="str">
        <f t="shared" si="96"/>
        <v/>
      </c>
      <c r="AI420" s="89" t="e">
        <f t="shared" si="97"/>
        <v>#N/A</v>
      </c>
      <c r="AJ420" s="2"/>
      <c r="AK420" s="61">
        <f>IF(G420=G$547,0,IF(OR(G420&lt;&gt;0,CH420&lt;&gt;0,C420="L"),COUNTIF(AK$180:AK419,"&gt;0")+1,0))</f>
        <v>0</v>
      </c>
      <c r="AL420" s="61" t="str">
        <f t="shared" si="85"/>
        <v/>
      </c>
      <c r="AM420" s="61" t="e">
        <f t="shared" si="86"/>
        <v>#N/A</v>
      </c>
      <c r="AN420" s="89" t="e">
        <f t="shared" si="87"/>
        <v>#N/A</v>
      </c>
      <c r="AO420" s="230">
        <f>SUM(AGO!X35:AD35)-BD420+AY420</f>
        <v>0</v>
      </c>
      <c r="AP420" s="228">
        <f>SUMIF(AGO!$G$121:$M$121,AP$178,AGO!$P35:$V35)+SUMIF($AZ$178:$BC$178,AP$178,$AZ420:$BC420)</f>
        <v>0</v>
      </c>
      <c r="AQ420" s="229">
        <f>SUMIF(AGO!$G$121:$M$121,AQ$178,AGO!$P35:$V35)+SUMIF($AZ$178:$BC$178,AQ$178,$AZ420:$BC420)</f>
        <v>0</v>
      </c>
      <c r="AR420" s="230">
        <f>SUMIF(AGO!$G$121:$M$121,AR$178,AGO!$P35:$V35)+SUMIF($AZ$178:$BC$178,AR$178,$AZ420:$BC420)</f>
        <v>0</v>
      </c>
      <c r="AS420" s="230">
        <f>SUMIF(AGO!$G$121:$M$121,AS$178,AGO!$P35:$V35)+SUMIF($AZ$178:$BC$178,AS$178,$AZ420:$BC420)</f>
        <v>0</v>
      </c>
      <c r="AT420" s="230">
        <f>SUMIF(AGO!$G$121:$M$121,AT$178,AGO!$P35:$V35)+SUMIF($AZ$178:$BC$178,AT$178,$AZ420:$BC420)</f>
        <v>0</v>
      </c>
      <c r="AU420" s="230">
        <f>SUMIF(AGO!$G$121:$M$121,AU$178,AGO!$P35:$V35)+SUMIF($AZ$178:$BC$178,AU$178,$AZ420:$BC420)</f>
        <v>0</v>
      </c>
      <c r="AV420" s="230">
        <f>SUMIF(AGO!$G$121:$M$121,AV$178,AGO!$P35:$V35)+SUMIF($AZ$178:$BC$178,AV$178,$AZ420:$BC420)</f>
        <v>0</v>
      </c>
      <c r="AW420" s="230">
        <f>SUMIF(AGO!$G$121:$M$121,AW$178,AGO!$P35:$V35)+SUMIF($AZ$178:$BC$178,AW$178,$AZ420:$BC420)</f>
        <v>0</v>
      </c>
      <c r="AX420" s="231">
        <f>SUMIF(AGO!$G$121:$M$121,AX$178,AGO!$P35:$V35)+SUMIF($AZ$178:$BC$178,AX$178,$AZ420:$BC420)</f>
        <v>0</v>
      </c>
      <c r="AY420" s="232">
        <f>AGO!AF35</f>
        <v>0</v>
      </c>
      <c r="AZ420" s="228">
        <f>AGO!AG35</f>
        <v>0</v>
      </c>
      <c r="BA420" s="229">
        <f>AGO!AH35</f>
        <v>0</v>
      </c>
      <c r="BB420" s="230">
        <f>AGO!AI35</f>
        <v>0</v>
      </c>
      <c r="BC420" s="231">
        <f>AGO!AJ35</f>
        <v>0</v>
      </c>
      <c r="BD420" s="228">
        <f>SUMIF(AGO!$G$120:$M$120,"&gt;0",AGO!$X35:$AD35)</f>
        <v>0</v>
      </c>
      <c r="BE420" s="696"/>
      <c r="BF420" s="228">
        <f>SUMIF(AGO!$BA$6:$BG$6,BF$177,AGO!$BA35:$BG35)</f>
        <v>0</v>
      </c>
      <c r="BG420" s="229">
        <f>SUMIF(AGO!$BA$6:$BG$6,BG$177,AGO!$BA35:$BG35)</f>
        <v>0</v>
      </c>
      <c r="BH420" s="229">
        <f>SUMIF(AGO!$BA$6:$BG$6,BH$177,AGO!$BA35:$BG35)</f>
        <v>0</v>
      </c>
      <c r="BI420" s="229">
        <f>SUMIF(AGO!$BA$6:$BG$6,BI$177,AGO!$BA35:$BG35)</f>
        <v>0</v>
      </c>
      <c r="BJ420" s="229">
        <f>SUMIF(AGO!$BA$6:$BG$6,BJ$177,AGO!$BA35:$BG35)</f>
        <v>0</v>
      </c>
      <c r="BK420" s="229">
        <f>SUMIF(AGO!$BA$6:$BG$6,BK$177,AGO!$BA35:$BG35)</f>
        <v>0</v>
      </c>
      <c r="BL420" s="229">
        <f>SUMIF(AGO!$BA$6:$BG$6,BL$177,AGO!$BA35:$BG35)</f>
        <v>0</v>
      </c>
      <c r="BM420" s="229">
        <f>SUMIF(AGO!$BA$6:$BG$6,BM$177,AGO!$BA35:$BG35)</f>
        <v>0</v>
      </c>
      <c r="BN420" s="229">
        <f>SUMIF(AGO!$BA$6:$BG$6,BN$177,AGO!$BA35:$BG35)</f>
        <v>0</v>
      </c>
      <c r="BO420" s="231">
        <f>SUMIF(AGO!$BA$6:$BG$6,BO$177,AGO!$BA35:$BG35)</f>
        <v>0</v>
      </c>
      <c r="BP420" s="231">
        <f>SUMIF(AGO!$BA$6:$BG$6,BP$177,AGO!$BA35:$BG35)</f>
        <v>0</v>
      </c>
      <c r="BQ420" s="252"/>
      <c r="BR420" s="228">
        <f>SUMIF(AGO!$BA$5:$BG$5,BR$177,AGO!$BA35:$BG35)</f>
        <v>0</v>
      </c>
      <c r="BS420" s="229">
        <f>SUMIF(AGO!$BA$5:$BG$5,BS$177,AGO!$BA35:$BG35)</f>
        <v>0</v>
      </c>
      <c r="BT420" s="229">
        <f>SUMIF(AGO!$BA$5:$BG$5,BT$177,AGO!$BA35:$BG35)</f>
        <v>0</v>
      </c>
      <c r="BU420" s="229">
        <f>SUMIF(AGO!$BA$5:$BG$5,BU$177,AGO!$BA35:$BG35)</f>
        <v>0</v>
      </c>
      <c r="BV420" s="229">
        <f>SUMIF(AGO!$BA$5:$BG$5,BV$177,AGO!$BA35:$BG35)</f>
        <v>0</v>
      </c>
      <c r="BW420" s="229">
        <f>SUMIF(AGO!$BA$5:$BG$5,BW$177,AGO!$BA35:$BG35)</f>
        <v>0</v>
      </c>
      <c r="BX420" s="230">
        <f>SUMIF(AGO!$BA$5:$BG$5,BX$177,AGO!$BA35:$BG35)</f>
        <v>0</v>
      </c>
      <c r="BY420" s="998">
        <f>SUMIF(AGO!$BA$5:$BG$5,BY$177,AGO!$BA35:$BG35)</f>
        <v>0</v>
      </c>
      <c r="CB420" s="252"/>
      <c r="CC420" s="61" t="e">
        <f t="shared" si="88"/>
        <v>#N/A</v>
      </c>
      <c r="CD420" s="61">
        <f t="shared" si="89"/>
        <v>0</v>
      </c>
      <c r="CE420" s="105" t="str">
        <f t="shared" si="82"/>
        <v/>
      </c>
      <c r="CF420" s="61" t="e">
        <f t="shared" si="90"/>
        <v>#N/A</v>
      </c>
      <c r="CG420" s="61" t="e">
        <f t="shared" si="91"/>
        <v>#N/A</v>
      </c>
      <c r="CH420" s="521">
        <f>AGO!AL35-CW420+CR420</f>
        <v>0</v>
      </c>
      <c r="CI420" s="228">
        <f>SUMIF(AGO!$G$121:$M$121,CI$178,AGO!$AM35:$AS35)+SUMIF($CS$178:$CV$178,CI$178,$CS420:$CV420)</f>
        <v>0</v>
      </c>
      <c r="CJ420" s="229">
        <f>SUMIF(AGO!$G$121:$M$121,CJ$178,AGO!$AM35:$AS35)+SUMIF($CS$178:$CV$178,CJ$178,$CS420:$CV420)</f>
        <v>0</v>
      </c>
      <c r="CK420" s="230">
        <f>SUMIF(AGO!$G$121:$M$121,CK$178,AGO!$AM35:$AS35)+SUMIF($CS$178:$CV$178,CK$178,$CS420:$CV420)</f>
        <v>0</v>
      </c>
      <c r="CL420" s="230">
        <f>SUMIF(AGO!$G$121:$M$121,CL$178,AGO!$AM35:$AS35)+SUMIF($CS$178:$CV$178,CL$178,$CS420:$CV420)</f>
        <v>0</v>
      </c>
      <c r="CM420" s="230">
        <f>SUMIF(AGO!$G$121:$M$121,CM$178,AGO!$AM35:$AS35)+SUMIF($CS$178:$CV$178,CM$178,$CS420:$CV420)</f>
        <v>0</v>
      </c>
      <c r="CN420" s="230">
        <f>SUMIF(AGO!$G$121:$M$121,CN$178,AGO!$AM35:$AS35)+SUMIF($CS$178:$CV$178,CN$178,$CS420:$CV420)</f>
        <v>0</v>
      </c>
      <c r="CO420" s="230">
        <f>SUMIF(AGO!$G$121:$M$121,CO$178,AGO!$AM35:$AS35)+SUMIF($CS$178:$CV$178,CO$178,$CS420:$CV420)</f>
        <v>0</v>
      </c>
      <c r="CP420" s="230">
        <f>SUMIF(AGO!$G$121:$M$121,CP$178,AGO!$AM35:$AS35)+SUMIF($CS$178:$CV$178,CP$178,$CS420:$CV420)</f>
        <v>0</v>
      </c>
      <c r="CQ420" s="231">
        <f>SUMIF(AGO!$G$121:$M$121,CQ$178,AGO!$AM35:$AS35)+SUMIF($CS$178:$CV$178,CQ$178,$CS420:$CV420)</f>
        <v>0</v>
      </c>
      <c r="CR420" s="521">
        <f>AGO!AU35</f>
        <v>0</v>
      </c>
      <c r="CS420" s="228">
        <f>AGO!AV35</f>
        <v>0</v>
      </c>
      <c r="CT420" s="229">
        <f>AGO!AW35</f>
        <v>0</v>
      </c>
      <c r="CU420" s="230">
        <f>AGO!AX35</f>
        <v>0</v>
      </c>
      <c r="CV420" s="231">
        <f>AGO!AY35</f>
        <v>0</v>
      </c>
      <c r="CW420" s="521">
        <f>SUM(AGO!AU35:AY35)</f>
        <v>0</v>
      </c>
      <c r="CX420" s="521">
        <f>AGO!AK35</f>
        <v>0</v>
      </c>
      <c r="CY420" s="2"/>
    </row>
    <row r="421" spans="1:103" ht="14.25" hidden="1" customHeight="1" x14ac:dyDescent="0.2">
      <c r="A421" s="2"/>
      <c r="B421" s="105">
        <f t="shared" si="92"/>
        <v>45533</v>
      </c>
      <c r="C421" s="146">
        <f>IF(AND(E421&gt;(N$558-1),E421&lt;(R$558+1)),W$551,IF(ISERROR(HLOOKUP(E421,$N$551:$U$551,1,FALSE)),HLOOKUP(WEEKDAY(E421,2),IMPOSTAZIONI!$C$52:$P$57,6,FALSE),$W$550))</f>
        <v>0</v>
      </c>
      <c r="D421" s="71" t="str">
        <f t="shared" si="93"/>
        <v/>
      </c>
      <c r="E421" s="2258">
        <f t="shared" si="98"/>
        <v>45533</v>
      </c>
      <c r="F421" s="2259"/>
      <c r="G421" s="2228" t="str">
        <f>AGO!E36</f>
        <v xml:space="preserve">disattivato  </v>
      </c>
      <c r="H421" s="2229"/>
      <c r="I421" s="2230"/>
      <c r="J421" s="262" t="str">
        <f t="shared" si="83"/>
        <v/>
      </c>
      <c r="K421" s="263"/>
      <c r="L421" s="2217">
        <f t="shared" si="99"/>
        <v>35</v>
      </c>
      <c r="M421" s="2218"/>
      <c r="N421" s="261"/>
      <c r="O421" s="261"/>
      <c r="P421" s="261"/>
      <c r="Q421" s="2219">
        <f t="shared" si="94"/>
        <v>45533</v>
      </c>
      <c r="R421" s="2219"/>
      <c r="S421" s="261"/>
      <c r="T421" s="1173">
        <f t="shared" si="84"/>
        <v>1</v>
      </c>
      <c r="U421" s="261"/>
      <c r="V421" s="261"/>
      <c r="W421" s="261"/>
      <c r="X421" s="261"/>
      <c r="Y421" s="261"/>
      <c r="Z421" s="261"/>
      <c r="AA421" s="261"/>
      <c r="AB421" s="261"/>
      <c r="AC421" s="261"/>
      <c r="AD421" s="261"/>
      <c r="AE421" s="261"/>
      <c r="AF421" s="261"/>
      <c r="AG421" s="1173">
        <f t="shared" si="95"/>
        <v>0</v>
      </c>
      <c r="AH421" s="61" t="str">
        <f t="shared" si="96"/>
        <v/>
      </c>
      <c r="AI421" s="89" t="e">
        <f t="shared" si="97"/>
        <v>#N/A</v>
      </c>
      <c r="AJ421" s="2"/>
      <c r="AK421" s="61">
        <f>IF(G421=G$547,0,IF(OR(G421&lt;&gt;0,CH421&lt;&gt;0,C421="L"),COUNTIF(AK$180:AK420,"&gt;0")+1,0))</f>
        <v>0</v>
      </c>
      <c r="AL421" s="61" t="str">
        <f t="shared" si="85"/>
        <v/>
      </c>
      <c r="AM421" s="61" t="e">
        <f t="shared" si="86"/>
        <v>#N/A</v>
      </c>
      <c r="AN421" s="89" t="e">
        <f t="shared" si="87"/>
        <v>#N/A</v>
      </c>
      <c r="AO421" s="230">
        <f>SUM(AGO!X36:AD36)-BD421+AY421</f>
        <v>0</v>
      </c>
      <c r="AP421" s="228">
        <f>SUMIF(AGO!$G$121:$M$121,AP$178,AGO!$P36:$V36)+SUMIF($AZ$178:$BC$178,AP$178,$AZ421:$BC421)</f>
        <v>0</v>
      </c>
      <c r="AQ421" s="229">
        <f>SUMIF(AGO!$G$121:$M$121,AQ$178,AGO!$P36:$V36)+SUMIF($AZ$178:$BC$178,AQ$178,$AZ421:$BC421)</f>
        <v>0</v>
      </c>
      <c r="AR421" s="230">
        <f>SUMIF(AGO!$G$121:$M$121,AR$178,AGO!$P36:$V36)+SUMIF($AZ$178:$BC$178,AR$178,$AZ421:$BC421)</f>
        <v>0</v>
      </c>
      <c r="AS421" s="230">
        <f>SUMIF(AGO!$G$121:$M$121,AS$178,AGO!$P36:$V36)+SUMIF($AZ$178:$BC$178,AS$178,$AZ421:$BC421)</f>
        <v>0</v>
      </c>
      <c r="AT421" s="230">
        <f>SUMIF(AGO!$G$121:$M$121,AT$178,AGO!$P36:$V36)+SUMIF($AZ$178:$BC$178,AT$178,$AZ421:$BC421)</f>
        <v>0</v>
      </c>
      <c r="AU421" s="230">
        <f>SUMIF(AGO!$G$121:$M$121,AU$178,AGO!$P36:$V36)+SUMIF($AZ$178:$BC$178,AU$178,$AZ421:$BC421)</f>
        <v>0</v>
      </c>
      <c r="AV421" s="230">
        <f>SUMIF(AGO!$G$121:$M$121,AV$178,AGO!$P36:$V36)+SUMIF($AZ$178:$BC$178,AV$178,$AZ421:$BC421)</f>
        <v>0</v>
      </c>
      <c r="AW421" s="230">
        <f>SUMIF(AGO!$G$121:$M$121,AW$178,AGO!$P36:$V36)+SUMIF($AZ$178:$BC$178,AW$178,$AZ421:$BC421)</f>
        <v>0</v>
      </c>
      <c r="AX421" s="231">
        <f>SUMIF(AGO!$G$121:$M$121,AX$178,AGO!$P36:$V36)+SUMIF($AZ$178:$BC$178,AX$178,$AZ421:$BC421)</f>
        <v>0</v>
      </c>
      <c r="AY421" s="232">
        <f>AGO!AF36</f>
        <v>0</v>
      </c>
      <c r="AZ421" s="228">
        <f>AGO!AG36</f>
        <v>0</v>
      </c>
      <c r="BA421" s="229">
        <f>AGO!AH36</f>
        <v>0</v>
      </c>
      <c r="BB421" s="230">
        <f>AGO!AI36</f>
        <v>0</v>
      </c>
      <c r="BC421" s="231">
        <f>AGO!AJ36</f>
        <v>0</v>
      </c>
      <c r="BD421" s="228">
        <f>SUMIF(AGO!$G$120:$M$120,"&gt;0",AGO!$X36:$AD36)</f>
        <v>0</v>
      </c>
      <c r="BE421" s="696"/>
      <c r="BF421" s="228">
        <f>SUMIF(AGO!$BA$6:$BG$6,BF$177,AGO!$BA36:$BG36)</f>
        <v>0</v>
      </c>
      <c r="BG421" s="229">
        <f>SUMIF(AGO!$BA$6:$BG$6,BG$177,AGO!$BA36:$BG36)</f>
        <v>0</v>
      </c>
      <c r="BH421" s="229">
        <f>SUMIF(AGO!$BA$6:$BG$6,BH$177,AGO!$BA36:$BG36)</f>
        <v>0</v>
      </c>
      <c r="BI421" s="229">
        <f>SUMIF(AGO!$BA$6:$BG$6,BI$177,AGO!$BA36:$BG36)</f>
        <v>0</v>
      </c>
      <c r="BJ421" s="229">
        <f>SUMIF(AGO!$BA$6:$BG$6,BJ$177,AGO!$BA36:$BG36)</f>
        <v>0</v>
      </c>
      <c r="BK421" s="229">
        <f>SUMIF(AGO!$BA$6:$BG$6,BK$177,AGO!$BA36:$BG36)</f>
        <v>0</v>
      </c>
      <c r="BL421" s="229">
        <f>SUMIF(AGO!$BA$6:$BG$6,BL$177,AGO!$BA36:$BG36)</f>
        <v>0</v>
      </c>
      <c r="BM421" s="229">
        <f>SUMIF(AGO!$BA$6:$BG$6,BM$177,AGO!$BA36:$BG36)</f>
        <v>0</v>
      </c>
      <c r="BN421" s="229">
        <f>SUMIF(AGO!$BA$6:$BG$6,BN$177,AGO!$BA36:$BG36)</f>
        <v>0</v>
      </c>
      <c r="BO421" s="231">
        <f>SUMIF(AGO!$BA$6:$BG$6,BO$177,AGO!$BA36:$BG36)</f>
        <v>0</v>
      </c>
      <c r="BP421" s="231">
        <f>SUMIF(AGO!$BA$6:$BG$6,BP$177,AGO!$BA36:$BG36)</f>
        <v>0</v>
      </c>
      <c r="BQ421" s="252"/>
      <c r="BR421" s="228">
        <f>SUMIF(AGO!$BA$5:$BG$5,BR$177,AGO!$BA36:$BG36)</f>
        <v>0</v>
      </c>
      <c r="BS421" s="229">
        <f>SUMIF(AGO!$BA$5:$BG$5,BS$177,AGO!$BA36:$BG36)</f>
        <v>0</v>
      </c>
      <c r="BT421" s="229">
        <f>SUMIF(AGO!$BA$5:$BG$5,BT$177,AGO!$BA36:$BG36)</f>
        <v>0</v>
      </c>
      <c r="BU421" s="229">
        <f>SUMIF(AGO!$BA$5:$BG$5,BU$177,AGO!$BA36:$BG36)</f>
        <v>0</v>
      </c>
      <c r="BV421" s="229">
        <f>SUMIF(AGO!$BA$5:$BG$5,BV$177,AGO!$BA36:$BG36)</f>
        <v>0</v>
      </c>
      <c r="BW421" s="229">
        <f>SUMIF(AGO!$BA$5:$BG$5,BW$177,AGO!$BA36:$BG36)</f>
        <v>0</v>
      </c>
      <c r="BX421" s="230">
        <f>SUMIF(AGO!$BA$5:$BG$5,BX$177,AGO!$BA36:$BG36)</f>
        <v>0</v>
      </c>
      <c r="BY421" s="998">
        <f>SUMIF(AGO!$BA$5:$BG$5,BY$177,AGO!$BA36:$BG36)</f>
        <v>0</v>
      </c>
      <c r="CB421" s="252"/>
      <c r="CC421" s="61" t="e">
        <f t="shared" si="88"/>
        <v>#N/A</v>
      </c>
      <c r="CD421" s="61">
        <f t="shared" si="89"/>
        <v>0</v>
      </c>
      <c r="CE421" s="105" t="str">
        <f t="shared" si="82"/>
        <v/>
      </c>
      <c r="CF421" s="61" t="e">
        <f t="shared" si="90"/>
        <v>#N/A</v>
      </c>
      <c r="CG421" s="61" t="e">
        <f t="shared" si="91"/>
        <v>#N/A</v>
      </c>
      <c r="CH421" s="521">
        <f>AGO!AL36-CW421+CR421</f>
        <v>0</v>
      </c>
      <c r="CI421" s="228">
        <f>SUMIF(AGO!$G$121:$M$121,CI$178,AGO!$AM36:$AS36)+SUMIF($CS$178:$CV$178,CI$178,$CS421:$CV421)</f>
        <v>0</v>
      </c>
      <c r="CJ421" s="229">
        <f>SUMIF(AGO!$G$121:$M$121,CJ$178,AGO!$AM36:$AS36)+SUMIF($CS$178:$CV$178,CJ$178,$CS421:$CV421)</f>
        <v>0</v>
      </c>
      <c r="CK421" s="230">
        <f>SUMIF(AGO!$G$121:$M$121,CK$178,AGO!$AM36:$AS36)+SUMIF($CS$178:$CV$178,CK$178,$CS421:$CV421)</f>
        <v>0</v>
      </c>
      <c r="CL421" s="230">
        <f>SUMIF(AGO!$G$121:$M$121,CL$178,AGO!$AM36:$AS36)+SUMIF($CS$178:$CV$178,CL$178,$CS421:$CV421)</f>
        <v>0</v>
      </c>
      <c r="CM421" s="230">
        <f>SUMIF(AGO!$G$121:$M$121,CM$178,AGO!$AM36:$AS36)+SUMIF($CS$178:$CV$178,CM$178,$CS421:$CV421)</f>
        <v>0</v>
      </c>
      <c r="CN421" s="230">
        <f>SUMIF(AGO!$G$121:$M$121,CN$178,AGO!$AM36:$AS36)+SUMIF($CS$178:$CV$178,CN$178,$CS421:$CV421)</f>
        <v>0</v>
      </c>
      <c r="CO421" s="230">
        <f>SUMIF(AGO!$G$121:$M$121,CO$178,AGO!$AM36:$AS36)+SUMIF($CS$178:$CV$178,CO$178,$CS421:$CV421)</f>
        <v>0</v>
      </c>
      <c r="CP421" s="230">
        <f>SUMIF(AGO!$G$121:$M$121,CP$178,AGO!$AM36:$AS36)+SUMIF($CS$178:$CV$178,CP$178,$CS421:$CV421)</f>
        <v>0</v>
      </c>
      <c r="CQ421" s="231">
        <f>SUMIF(AGO!$G$121:$M$121,CQ$178,AGO!$AM36:$AS36)+SUMIF($CS$178:$CV$178,CQ$178,$CS421:$CV421)</f>
        <v>0</v>
      </c>
      <c r="CR421" s="521">
        <f>AGO!AU36</f>
        <v>0</v>
      </c>
      <c r="CS421" s="228">
        <f>AGO!AV36</f>
        <v>0</v>
      </c>
      <c r="CT421" s="229">
        <f>AGO!AW36</f>
        <v>0</v>
      </c>
      <c r="CU421" s="230">
        <f>AGO!AX36</f>
        <v>0</v>
      </c>
      <c r="CV421" s="231">
        <f>AGO!AY36</f>
        <v>0</v>
      </c>
      <c r="CW421" s="521">
        <f>SUM(AGO!AU36:AY36)</f>
        <v>0</v>
      </c>
      <c r="CX421" s="521">
        <f>AGO!AK36</f>
        <v>0</v>
      </c>
      <c r="CY421" s="2"/>
    </row>
    <row r="422" spans="1:103" ht="14.25" hidden="1" customHeight="1" x14ac:dyDescent="0.2">
      <c r="A422" s="2"/>
      <c r="B422" s="105">
        <f t="shared" si="92"/>
        <v>45534</v>
      </c>
      <c r="C422" s="146">
        <f>IF(AND(E422&gt;(N$558-1),E422&lt;(R$558+1)),W$551,IF(ISERROR(HLOOKUP(E422,$N$551:$U$551,1,FALSE)),HLOOKUP(WEEKDAY(E422,2),IMPOSTAZIONI!$C$52:$P$57,6,FALSE),$W$550))</f>
        <v>0</v>
      </c>
      <c r="D422" s="71" t="str">
        <f t="shared" si="93"/>
        <v/>
      </c>
      <c r="E422" s="2258">
        <f t="shared" si="98"/>
        <v>45534</v>
      </c>
      <c r="F422" s="2259"/>
      <c r="G422" s="2228" t="str">
        <f>AGO!E37</f>
        <v xml:space="preserve">disattivato  </v>
      </c>
      <c r="H422" s="2229"/>
      <c r="I422" s="2230"/>
      <c r="J422" s="262" t="str">
        <f t="shared" si="83"/>
        <v/>
      </c>
      <c r="K422" s="263"/>
      <c r="L422" s="2217">
        <f t="shared" si="99"/>
        <v>35</v>
      </c>
      <c r="M422" s="2218"/>
      <c r="N422" s="261"/>
      <c r="O422" s="261"/>
      <c r="P422" s="261"/>
      <c r="Q422" s="2219">
        <f t="shared" si="94"/>
        <v>45534</v>
      </c>
      <c r="R422" s="2219"/>
      <c r="S422" s="261"/>
      <c r="T422" s="1173">
        <f t="shared" si="84"/>
        <v>1</v>
      </c>
      <c r="U422" s="261"/>
      <c r="V422" s="261"/>
      <c r="W422" s="261"/>
      <c r="X422" s="261"/>
      <c r="Y422" s="261"/>
      <c r="Z422" s="261"/>
      <c r="AA422" s="261"/>
      <c r="AB422" s="261"/>
      <c r="AC422" s="261"/>
      <c r="AD422" s="261"/>
      <c r="AE422" s="261"/>
      <c r="AF422" s="261"/>
      <c r="AG422" s="1173">
        <f t="shared" si="95"/>
        <v>0</v>
      </c>
      <c r="AH422" s="61" t="str">
        <f t="shared" si="96"/>
        <v/>
      </c>
      <c r="AI422" s="89" t="e">
        <f t="shared" si="97"/>
        <v>#N/A</v>
      </c>
      <c r="AJ422" s="2"/>
      <c r="AK422" s="61">
        <f>IF(G422=G$547,0,IF(OR(G422&lt;&gt;0,CH422&lt;&gt;0,C422="L"),COUNTIF(AK$180:AK421,"&gt;0")+1,0))</f>
        <v>0</v>
      </c>
      <c r="AL422" s="61" t="str">
        <f t="shared" si="85"/>
        <v/>
      </c>
      <c r="AM422" s="61" t="e">
        <f t="shared" si="86"/>
        <v>#N/A</v>
      </c>
      <c r="AN422" s="89" t="e">
        <f t="shared" si="87"/>
        <v>#N/A</v>
      </c>
      <c r="AO422" s="230">
        <f>SUM(AGO!X37:AD37)-BD422+AY422</f>
        <v>0</v>
      </c>
      <c r="AP422" s="228">
        <f>SUMIF(AGO!$G$121:$M$121,AP$178,AGO!$P37:$V37)+SUMIF($AZ$178:$BC$178,AP$178,$AZ422:$BC422)</f>
        <v>0</v>
      </c>
      <c r="AQ422" s="229">
        <f>SUMIF(AGO!$G$121:$M$121,AQ$178,AGO!$P37:$V37)+SUMIF($AZ$178:$BC$178,AQ$178,$AZ422:$BC422)</f>
        <v>0</v>
      </c>
      <c r="AR422" s="230">
        <f>SUMIF(AGO!$G$121:$M$121,AR$178,AGO!$P37:$V37)+SUMIF($AZ$178:$BC$178,AR$178,$AZ422:$BC422)</f>
        <v>0</v>
      </c>
      <c r="AS422" s="230">
        <f>SUMIF(AGO!$G$121:$M$121,AS$178,AGO!$P37:$V37)+SUMIF($AZ$178:$BC$178,AS$178,$AZ422:$BC422)</f>
        <v>0</v>
      </c>
      <c r="AT422" s="230">
        <f>SUMIF(AGO!$G$121:$M$121,AT$178,AGO!$P37:$V37)+SUMIF($AZ$178:$BC$178,AT$178,$AZ422:$BC422)</f>
        <v>0</v>
      </c>
      <c r="AU422" s="230">
        <f>SUMIF(AGO!$G$121:$M$121,AU$178,AGO!$P37:$V37)+SUMIF($AZ$178:$BC$178,AU$178,$AZ422:$BC422)</f>
        <v>0</v>
      </c>
      <c r="AV422" s="230">
        <f>SUMIF(AGO!$G$121:$M$121,AV$178,AGO!$P37:$V37)+SUMIF($AZ$178:$BC$178,AV$178,$AZ422:$BC422)</f>
        <v>0</v>
      </c>
      <c r="AW422" s="230">
        <f>SUMIF(AGO!$G$121:$M$121,AW$178,AGO!$P37:$V37)+SUMIF($AZ$178:$BC$178,AW$178,$AZ422:$BC422)</f>
        <v>0</v>
      </c>
      <c r="AX422" s="231">
        <f>SUMIF(AGO!$G$121:$M$121,AX$178,AGO!$P37:$V37)+SUMIF($AZ$178:$BC$178,AX$178,$AZ422:$BC422)</f>
        <v>0</v>
      </c>
      <c r="AY422" s="232">
        <f>AGO!AF37</f>
        <v>0</v>
      </c>
      <c r="AZ422" s="228">
        <f>AGO!AG37</f>
        <v>0</v>
      </c>
      <c r="BA422" s="229">
        <f>AGO!AH37</f>
        <v>0</v>
      </c>
      <c r="BB422" s="230">
        <f>AGO!AI37</f>
        <v>0</v>
      </c>
      <c r="BC422" s="231">
        <f>AGO!AJ37</f>
        <v>0</v>
      </c>
      <c r="BD422" s="228">
        <f>SUMIF(AGO!$G$120:$M$120,"&gt;0",AGO!$X37:$AD37)</f>
        <v>0</v>
      </c>
      <c r="BE422" s="696"/>
      <c r="BF422" s="228">
        <f>SUMIF(AGO!$BA$6:$BG$6,BF$177,AGO!$BA37:$BG37)</f>
        <v>0</v>
      </c>
      <c r="BG422" s="229">
        <f>SUMIF(AGO!$BA$6:$BG$6,BG$177,AGO!$BA37:$BG37)</f>
        <v>0</v>
      </c>
      <c r="BH422" s="229">
        <f>SUMIF(AGO!$BA$6:$BG$6,BH$177,AGO!$BA37:$BG37)</f>
        <v>0</v>
      </c>
      <c r="BI422" s="229">
        <f>SUMIF(AGO!$BA$6:$BG$6,BI$177,AGO!$BA37:$BG37)</f>
        <v>0</v>
      </c>
      <c r="BJ422" s="229">
        <f>SUMIF(AGO!$BA$6:$BG$6,BJ$177,AGO!$BA37:$BG37)</f>
        <v>0</v>
      </c>
      <c r="BK422" s="229">
        <f>SUMIF(AGO!$BA$6:$BG$6,BK$177,AGO!$BA37:$BG37)</f>
        <v>0</v>
      </c>
      <c r="BL422" s="229">
        <f>SUMIF(AGO!$BA$6:$BG$6,BL$177,AGO!$BA37:$BG37)</f>
        <v>0</v>
      </c>
      <c r="BM422" s="229">
        <f>SUMIF(AGO!$BA$6:$BG$6,BM$177,AGO!$BA37:$BG37)</f>
        <v>0</v>
      </c>
      <c r="BN422" s="229">
        <f>SUMIF(AGO!$BA$6:$BG$6,BN$177,AGO!$BA37:$BG37)</f>
        <v>0</v>
      </c>
      <c r="BO422" s="231">
        <f>SUMIF(AGO!$BA$6:$BG$6,BO$177,AGO!$BA37:$BG37)</f>
        <v>0</v>
      </c>
      <c r="BP422" s="231">
        <f>SUMIF(AGO!$BA$6:$BG$6,BP$177,AGO!$BA37:$BG37)</f>
        <v>0</v>
      </c>
      <c r="BQ422" s="252"/>
      <c r="BR422" s="228">
        <f>SUMIF(AGO!$BA$5:$BG$5,BR$177,AGO!$BA37:$BG37)</f>
        <v>0</v>
      </c>
      <c r="BS422" s="229">
        <f>SUMIF(AGO!$BA$5:$BG$5,BS$177,AGO!$BA37:$BG37)</f>
        <v>0</v>
      </c>
      <c r="BT422" s="229">
        <f>SUMIF(AGO!$BA$5:$BG$5,BT$177,AGO!$BA37:$BG37)</f>
        <v>0</v>
      </c>
      <c r="BU422" s="229">
        <f>SUMIF(AGO!$BA$5:$BG$5,BU$177,AGO!$BA37:$BG37)</f>
        <v>0</v>
      </c>
      <c r="BV422" s="229">
        <f>SUMIF(AGO!$BA$5:$BG$5,BV$177,AGO!$BA37:$BG37)</f>
        <v>0</v>
      </c>
      <c r="BW422" s="229">
        <f>SUMIF(AGO!$BA$5:$BG$5,BW$177,AGO!$BA37:$BG37)</f>
        <v>0</v>
      </c>
      <c r="BX422" s="230">
        <f>SUMIF(AGO!$BA$5:$BG$5,BX$177,AGO!$BA37:$BG37)</f>
        <v>0</v>
      </c>
      <c r="BY422" s="998">
        <f>SUMIF(AGO!$BA$5:$BG$5,BY$177,AGO!$BA37:$BG37)</f>
        <v>0</v>
      </c>
      <c r="CB422" s="252"/>
      <c r="CC422" s="61" t="e">
        <f t="shared" si="88"/>
        <v>#N/A</v>
      </c>
      <c r="CD422" s="61">
        <f t="shared" si="89"/>
        <v>0</v>
      </c>
      <c r="CE422" s="105" t="str">
        <f t="shared" si="82"/>
        <v/>
      </c>
      <c r="CF422" s="61" t="e">
        <f t="shared" si="90"/>
        <v>#N/A</v>
      </c>
      <c r="CG422" s="61" t="e">
        <f t="shared" si="91"/>
        <v>#N/A</v>
      </c>
      <c r="CH422" s="521">
        <f>AGO!AL37-CW422+CR422</f>
        <v>0</v>
      </c>
      <c r="CI422" s="228">
        <f>SUMIF(AGO!$G$121:$M$121,CI$178,AGO!$AM37:$AS37)+SUMIF($CS$178:$CV$178,CI$178,$CS422:$CV422)</f>
        <v>0</v>
      </c>
      <c r="CJ422" s="229">
        <f>SUMIF(AGO!$G$121:$M$121,CJ$178,AGO!$AM37:$AS37)+SUMIF($CS$178:$CV$178,CJ$178,$CS422:$CV422)</f>
        <v>0</v>
      </c>
      <c r="CK422" s="230">
        <f>SUMIF(AGO!$G$121:$M$121,CK$178,AGO!$AM37:$AS37)+SUMIF($CS$178:$CV$178,CK$178,$CS422:$CV422)</f>
        <v>0</v>
      </c>
      <c r="CL422" s="230">
        <f>SUMIF(AGO!$G$121:$M$121,CL$178,AGO!$AM37:$AS37)+SUMIF($CS$178:$CV$178,CL$178,$CS422:$CV422)</f>
        <v>0</v>
      </c>
      <c r="CM422" s="230">
        <f>SUMIF(AGO!$G$121:$M$121,CM$178,AGO!$AM37:$AS37)+SUMIF($CS$178:$CV$178,CM$178,$CS422:$CV422)</f>
        <v>0</v>
      </c>
      <c r="CN422" s="230">
        <f>SUMIF(AGO!$G$121:$M$121,CN$178,AGO!$AM37:$AS37)+SUMIF($CS$178:$CV$178,CN$178,$CS422:$CV422)</f>
        <v>0</v>
      </c>
      <c r="CO422" s="230">
        <f>SUMIF(AGO!$G$121:$M$121,CO$178,AGO!$AM37:$AS37)+SUMIF($CS$178:$CV$178,CO$178,$CS422:$CV422)</f>
        <v>0</v>
      </c>
      <c r="CP422" s="230">
        <f>SUMIF(AGO!$G$121:$M$121,CP$178,AGO!$AM37:$AS37)+SUMIF($CS$178:$CV$178,CP$178,$CS422:$CV422)</f>
        <v>0</v>
      </c>
      <c r="CQ422" s="231">
        <f>SUMIF(AGO!$G$121:$M$121,CQ$178,AGO!$AM37:$AS37)+SUMIF($CS$178:$CV$178,CQ$178,$CS422:$CV422)</f>
        <v>0</v>
      </c>
      <c r="CR422" s="521">
        <f>AGO!AU37</f>
        <v>0</v>
      </c>
      <c r="CS422" s="228">
        <f>AGO!AV37</f>
        <v>0</v>
      </c>
      <c r="CT422" s="229">
        <f>AGO!AW37</f>
        <v>0</v>
      </c>
      <c r="CU422" s="230">
        <f>AGO!AX37</f>
        <v>0</v>
      </c>
      <c r="CV422" s="231">
        <f>AGO!AY37</f>
        <v>0</v>
      </c>
      <c r="CW422" s="521">
        <f>SUM(AGO!AU37:AY37)</f>
        <v>0</v>
      </c>
      <c r="CX422" s="521">
        <f>AGO!AK37</f>
        <v>0</v>
      </c>
      <c r="CY422" s="2"/>
    </row>
    <row r="423" spans="1:103" ht="14.25" hidden="1" customHeight="1" x14ac:dyDescent="0.2">
      <c r="A423" s="2"/>
      <c r="B423" s="105">
        <f t="shared" si="92"/>
        <v>45535</v>
      </c>
      <c r="C423" s="146">
        <f>IF(AND(E423&gt;(N$558-1),E423&lt;(R$558+1)),W$551,IF(ISERROR(HLOOKUP(E423,$N$551:$U$551,1,FALSE)),HLOOKUP(WEEKDAY(E423,2),IMPOSTAZIONI!$C$52:$P$57,6,FALSE),$W$550))</f>
        <v>0</v>
      </c>
      <c r="D423" s="71" t="str">
        <f t="shared" si="93"/>
        <v/>
      </c>
      <c r="E423" s="2262">
        <f t="shared" si="98"/>
        <v>45535</v>
      </c>
      <c r="F423" s="2263"/>
      <c r="G423" s="2266" t="str">
        <f>AGO!E38</f>
        <v xml:space="preserve">disattivato  </v>
      </c>
      <c r="H423" s="2267"/>
      <c r="I423" s="2268"/>
      <c r="J423" s="262" t="str">
        <f t="shared" si="83"/>
        <v/>
      </c>
      <c r="K423" s="263"/>
      <c r="L423" s="2217">
        <f t="shared" si="99"/>
        <v>35</v>
      </c>
      <c r="M423" s="2218"/>
      <c r="N423" s="261"/>
      <c r="O423" s="261"/>
      <c r="P423" s="261"/>
      <c r="Q423" s="2219">
        <f t="shared" si="94"/>
        <v>45535</v>
      </c>
      <c r="R423" s="2219"/>
      <c r="S423" s="261"/>
      <c r="T423" s="1173">
        <f t="shared" si="84"/>
        <v>1</v>
      </c>
      <c r="U423" s="261"/>
      <c r="V423" s="261"/>
      <c r="W423" s="261"/>
      <c r="X423" s="261"/>
      <c r="Y423" s="261"/>
      <c r="Z423" s="261"/>
      <c r="AA423" s="261"/>
      <c r="AB423" s="261"/>
      <c r="AC423" s="261"/>
      <c r="AD423" s="261"/>
      <c r="AE423" s="261"/>
      <c r="AF423" s="261"/>
      <c r="AG423" s="1173">
        <f t="shared" si="95"/>
        <v>0</v>
      </c>
      <c r="AH423" s="61" t="str">
        <f t="shared" si="96"/>
        <v/>
      </c>
      <c r="AI423" s="89" t="e">
        <f t="shared" si="97"/>
        <v>#N/A</v>
      </c>
      <c r="AJ423" s="2"/>
      <c r="AK423" s="61">
        <f>IF(G423=G$547,0,IF(OR(G423&lt;&gt;0,CH423&lt;&gt;0,C423="L"),COUNTIF(AK$180:AK422,"&gt;0")+1,0))</f>
        <v>0</v>
      </c>
      <c r="AL423" s="61" t="str">
        <f t="shared" si="85"/>
        <v/>
      </c>
      <c r="AM423" s="61" t="e">
        <f t="shared" si="86"/>
        <v>#N/A</v>
      </c>
      <c r="AN423" s="89" t="e">
        <f t="shared" si="87"/>
        <v>#N/A</v>
      </c>
      <c r="AO423" s="235">
        <f>SUM(AGO!X38:AD38)-BD423+AY423</f>
        <v>0</v>
      </c>
      <c r="AP423" s="233">
        <f>SUMIF(AGO!$G$121:$M$121,AP$178,AGO!$P38:$V38)+SUMIF($AZ$178:$BC$178,AP$178,$AZ423:$BC423)</f>
        <v>0</v>
      </c>
      <c r="AQ423" s="234">
        <f>SUMIF(AGO!$G$121:$M$121,AQ$178,AGO!$P38:$V38)+SUMIF($AZ$178:$BC$178,AQ$178,$AZ423:$BC423)</f>
        <v>0</v>
      </c>
      <c r="AR423" s="235">
        <f>SUMIF(AGO!$G$121:$M$121,AR$178,AGO!$P38:$V38)+SUMIF($AZ$178:$BC$178,AR$178,$AZ423:$BC423)</f>
        <v>0</v>
      </c>
      <c r="AS423" s="235">
        <f>SUMIF(AGO!$G$121:$M$121,AS$178,AGO!$P38:$V38)+SUMIF($AZ$178:$BC$178,AS$178,$AZ423:$BC423)</f>
        <v>0</v>
      </c>
      <c r="AT423" s="235">
        <f>SUMIF(AGO!$G$121:$M$121,AT$178,AGO!$P38:$V38)+SUMIF($AZ$178:$BC$178,AT$178,$AZ423:$BC423)</f>
        <v>0</v>
      </c>
      <c r="AU423" s="235">
        <f>SUMIF(AGO!$G$121:$M$121,AU$178,AGO!$P38:$V38)+SUMIF($AZ$178:$BC$178,AU$178,$AZ423:$BC423)</f>
        <v>0</v>
      </c>
      <c r="AV423" s="235">
        <f>SUMIF(AGO!$G$121:$M$121,AV$178,AGO!$P38:$V38)+SUMIF($AZ$178:$BC$178,AV$178,$AZ423:$BC423)</f>
        <v>0</v>
      </c>
      <c r="AW423" s="235">
        <f>SUMIF(AGO!$G$121:$M$121,AW$178,AGO!$P38:$V38)+SUMIF($AZ$178:$BC$178,AW$178,$AZ423:$BC423)</f>
        <v>0</v>
      </c>
      <c r="AX423" s="236">
        <f>SUMIF(AGO!$G$121:$M$121,AX$178,AGO!$P38:$V38)+SUMIF($AZ$178:$BC$178,AX$178,$AZ423:$BC423)</f>
        <v>0</v>
      </c>
      <c r="AY423" s="237">
        <f>AGO!AF38</f>
        <v>0</v>
      </c>
      <c r="AZ423" s="233">
        <f>AGO!AG38</f>
        <v>0</v>
      </c>
      <c r="BA423" s="234">
        <f>AGO!AH38</f>
        <v>0</v>
      </c>
      <c r="BB423" s="235">
        <f>AGO!AI38</f>
        <v>0</v>
      </c>
      <c r="BC423" s="236">
        <f>AGO!AJ38</f>
        <v>0</v>
      </c>
      <c r="BD423" s="233">
        <f>SUMIF(AGO!$G$120:$M$120,"&gt;0",AGO!$X38:$AD38)</f>
        <v>0</v>
      </c>
      <c r="BE423" s="696"/>
      <c r="BF423" s="233">
        <f>SUMIF(AGO!$BA$6:$BG$6,BF$177,AGO!$BA38:$BG38)</f>
        <v>0</v>
      </c>
      <c r="BG423" s="234">
        <f>SUMIF(AGO!$BA$6:$BG$6,BG$177,AGO!$BA38:$BG38)</f>
        <v>0</v>
      </c>
      <c r="BH423" s="234">
        <f>SUMIF(AGO!$BA$6:$BG$6,BH$177,AGO!$BA38:$BG38)</f>
        <v>0</v>
      </c>
      <c r="BI423" s="234">
        <f>SUMIF(AGO!$BA$6:$BG$6,BI$177,AGO!$BA38:$BG38)</f>
        <v>0</v>
      </c>
      <c r="BJ423" s="234">
        <f>SUMIF(AGO!$BA$6:$BG$6,BJ$177,AGO!$BA38:$BG38)</f>
        <v>0</v>
      </c>
      <c r="BK423" s="234">
        <f>SUMIF(AGO!$BA$6:$BG$6,BK$177,AGO!$BA38:$BG38)</f>
        <v>0</v>
      </c>
      <c r="BL423" s="234">
        <f>SUMIF(AGO!$BA$6:$BG$6,BL$177,AGO!$BA38:$BG38)</f>
        <v>0</v>
      </c>
      <c r="BM423" s="234">
        <f>SUMIF(AGO!$BA$6:$BG$6,BM$177,AGO!$BA38:$BG38)</f>
        <v>0</v>
      </c>
      <c r="BN423" s="234">
        <f>SUMIF(AGO!$BA$6:$BG$6,BN$177,AGO!$BA38:$BG38)</f>
        <v>0</v>
      </c>
      <c r="BO423" s="236">
        <f>SUMIF(AGO!$BA$6:$BG$6,BO$177,AGO!$BA38:$BG38)</f>
        <v>0</v>
      </c>
      <c r="BP423" s="236">
        <f>SUMIF(AGO!$BA$6:$BG$6,BP$177,AGO!$BA38:$BG38)</f>
        <v>0</v>
      </c>
      <c r="BQ423" s="252"/>
      <c r="BR423" s="233">
        <f>SUMIF(AGO!$BA$5:$BG$5,BR$177,AGO!$BA38:$BG38)</f>
        <v>0</v>
      </c>
      <c r="BS423" s="234">
        <f>SUMIF(AGO!$BA$5:$BG$5,BS$177,AGO!$BA38:$BG38)</f>
        <v>0</v>
      </c>
      <c r="BT423" s="234">
        <f>SUMIF(AGO!$BA$5:$BG$5,BT$177,AGO!$BA38:$BG38)</f>
        <v>0</v>
      </c>
      <c r="BU423" s="234">
        <f>SUMIF(AGO!$BA$5:$BG$5,BU$177,AGO!$BA38:$BG38)</f>
        <v>0</v>
      </c>
      <c r="BV423" s="234">
        <f>SUMIF(AGO!$BA$5:$BG$5,BV$177,AGO!$BA38:$BG38)</f>
        <v>0</v>
      </c>
      <c r="BW423" s="234">
        <f>SUMIF(AGO!$BA$5:$BG$5,BW$177,AGO!$BA38:$BG38)</f>
        <v>0</v>
      </c>
      <c r="BX423" s="235">
        <f>SUMIF(AGO!$BA$5:$BG$5,BX$177,AGO!$BA38:$BG38)</f>
        <v>0</v>
      </c>
      <c r="BY423" s="999">
        <f>SUMIF(AGO!$BA$5:$BG$5,BY$177,AGO!$BA38:$BG38)</f>
        <v>0</v>
      </c>
      <c r="CB423" s="252"/>
      <c r="CC423" s="61" t="e">
        <f t="shared" si="88"/>
        <v>#N/A</v>
      </c>
      <c r="CD423" s="61">
        <f t="shared" si="89"/>
        <v>0</v>
      </c>
      <c r="CE423" s="105" t="str">
        <f t="shared" si="82"/>
        <v/>
      </c>
      <c r="CF423" s="61" t="e">
        <f t="shared" si="90"/>
        <v>#N/A</v>
      </c>
      <c r="CG423" s="61" t="e">
        <f t="shared" si="91"/>
        <v>#N/A</v>
      </c>
      <c r="CH423" s="522">
        <f>AGO!AL38-CW423+CR423</f>
        <v>0</v>
      </c>
      <c r="CI423" s="233">
        <f>SUMIF(AGO!$G$121:$M$121,CI$178,AGO!$AM38:$AS38)+SUMIF($CS$178:$CV$178,CI$178,$CS423:$CV423)</f>
        <v>0</v>
      </c>
      <c r="CJ423" s="234">
        <f>SUMIF(AGO!$G$121:$M$121,CJ$178,AGO!$AM38:$AS38)+SUMIF($CS$178:$CV$178,CJ$178,$CS423:$CV423)</f>
        <v>0</v>
      </c>
      <c r="CK423" s="235">
        <f>SUMIF(AGO!$G$121:$M$121,CK$178,AGO!$AM38:$AS38)+SUMIF($CS$178:$CV$178,CK$178,$CS423:$CV423)</f>
        <v>0</v>
      </c>
      <c r="CL423" s="235">
        <f>SUMIF(AGO!$G$121:$M$121,CL$178,AGO!$AM38:$AS38)+SUMIF($CS$178:$CV$178,CL$178,$CS423:$CV423)</f>
        <v>0</v>
      </c>
      <c r="CM423" s="235">
        <f>SUMIF(AGO!$G$121:$M$121,CM$178,AGO!$AM38:$AS38)+SUMIF($CS$178:$CV$178,CM$178,$CS423:$CV423)</f>
        <v>0</v>
      </c>
      <c r="CN423" s="235">
        <f>SUMIF(AGO!$G$121:$M$121,CN$178,AGO!$AM38:$AS38)+SUMIF($CS$178:$CV$178,CN$178,$CS423:$CV423)</f>
        <v>0</v>
      </c>
      <c r="CO423" s="235">
        <f>SUMIF(AGO!$G$121:$M$121,CO$178,AGO!$AM38:$AS38)+SUMIF($CS$178:$CV$178,CO$178,$CS423:$CV423)</f>
        <v>0</v>
      </c>
      <c r="CP423" s="235">
        <f>SUMIF(AGO!$G$121:$M$121,CP$178,AGO!$AM38:$AS38)+SUMIF($CS$178:$CV$178,CP$178,$CS423:$CV423)</f>
        <v>0</v>
      </c>
      <c r="CQ423" s="236">
        <f>SUMIF(AGO!$G$121:$M$121,CQ$178,AGO!$AM38:$AS38)+SUMIF($CS$178:$CV$178,CQ$178,$CS423:$CV423)</f>
        <v>0</v>
      </c>
      <c r="CR423" s="522">
        <f>AGO!AU38</f>
        <v>0</v>
      </c>
      <c r="CS423" s="233">
        <f>AGO!AV38</f>
        <v>0</v>
      </c>
      <c r="CT423" s="234">
        <f>AGO!AW38</f>
        <v>0</v>
      </c>
      <c r="CU423" s="235">
        <f>AGO!AX38</f>
        <v>0</v>
      </c>
      <c r="CV423" s="236">
        <f>AGO!AY38</f>
        <v>0</v>
      </c>
      <c r="CW423" s="522">
        <f>SUM(AGO!AU38:AY38)</f>
        <v>0</v>
      </c>
      <c r="CX423" s="522">
        <f>AGO!AK38</f>
        <v>0</v>
      </c>
      <c r="CY423" s="2"/>
    </row>
    <row r="424" spans="1:103" ht="14.25" hidden="1" customHeight="1" x14ac:dyDescent="0.2">
      <c r="A424" s="2"/>
      <c r="B424" s="105">
        <f t="shared" si="92"/>
        <v>45536</v>
      </c>
      <c r="C424" s="146">
        <f>IF(AND(E424&gt;(N$559-1),E424&lt;(R$559+1)),W$551,IF(ISERROR(HLOOKUP(E424,$N$552:$U$552,1,FALSE)),HLOOKUP(WEEKDAY(E424,2),IMPOSTAZIONI!$C$52:$P$57,6,FALSE),$W$550))</f>
        <v>0</v>
      </c>
      <c r="D424" s="71" t="str">
        <f t="shared" si="93"/>
        <v/>
      </c>
      <c r="E424" s="2260">
        <f t="shared" si="98"/>
        <v>45536</v>
      </c>
      <c r="F424" s="2261"/>
      <c r="G424" s="2249" t="str">
        <f>SET!E8</f>
        <v xml:space="preserve">disattivato  </v>
      </c>
      <c r="H424" s="2250"/>
      <c r="I424" s="2251"/>
      <c r="J424" s="262" t="str">
        <f t="shared" si="83"/>
        <v/>
      </c>
      <c r="K424" s="263"/>
      <c r="L424" s="2220">
        <f t="shared" si="99"/>
        <v>35</v>
      </c>
      <c r="M424" s="2221"/>
      <c r="N424" s="261"/>
      <c r="O424" s="261"/>
      <c r="P424" s="261"/>
      <c r="Q424" s="2219">
        <f t="shared" si="94"/>
        <v>45536</v>
      </c>
      <c r="R424" s="2219"/>
      <c r="S424" s="261"/>
      <c r="T424" s="1173">
        <f t="shared" si="84"/>
        <v>1</v>
      </c>
      <c r="U424" s="261"/>
      <c r="V424" s="261"/>
      <c r="W424" s="261"/>
      <c r="X424" s="261"/>
      <c r="Y424" s="261"/>
      <c r="Z424" s="261"/>
      <c r="AA424" s="261"/>
      <c r="AB424" s="261"/>
      <c r="AC424" s="261"/>
      <c r="AD424" s="261"/>
      <c r="AE424" s="261"/>
      <c r="AF424" s="261"/>
      <c r="AG424" s="1173">
        <f t="shared" si="95"/>
        <v>0</v>
      </c>
      <c r="AH424" s="61" t="str">
        <f t="shared" si="96"/>
        <v/>
      </c>
      <c r="AI424" s="89" t="e">
        <f t="shared" si="97"/>
        <v>#N/A</v>
      </c>
      <c r="AJ424" s="89">
        <f>IF(G424=G547,0,COUNTIF(T424:T453,"&gt;0"))</f>
        <v>0</v>
      </c>
      <c r="AK424" s="61">
        <f>IF(G424=G$547,0,IF(OR(G424&lt;&gt;0,CH424&lt;&gt;0,C424="L"),COUNTIF(AK$180:AK423,"&gt;0")+1,0))</f>
        <v>0</v>
      </c>
      <c r="AL424" s="61" t="str">
        <f t="shared" si="85"/>
        <v/>
      </c>
      <c r="AM424" s="61" t="e">
        <f t="shared" si="86"/>
        <v>#N/A</v>
      </c>
      <c r="AN424" s="89" t="e">
        <f t="shared" si="87"/>
        <v>#N/A</v>
      </c>
      <c r="AO424" s="230">
        <f>SUM(SET!X8:AD8)-BD424+AY424</f>
        <v>0</v>
      </c>
      <c r="AP424" s="228">
        <f>SUMIF(SET!$G$121:$M$121,AP$178,SET!$P8:$V8)+SUMIF($AZ$178:$BC$178,AP$178,$AZ424:$BC424)</f>
        <v>0</v>
      </c>
      <c r="AQ424" s="229">
        <f>SUMIF(SET!$G$121:$M$121,AQ$178,SET!$P8:$V8)+SUMIF($AZ$178:$BC$178,AQ$178,$AZ424:$BC424)</f>
        <v>0</v>
      </c>
      <c r="AR424" s="230">
        <f>SUMIF(SET!$G$121:$M$121,AR$178,SET!$P8:$V8)+SUMIF($AZ$178:$BC$178,AR$178,$AZ424:$BC424)</f>
        <v>0</v>
      </c>
      <c r="AS424" s="230">
        <f>SUMIF(SET!$G$121:$M$121,AS$178,SET!$P8:$V8)+SUMIF($AZ$178:$BC$178,AS$178,$AZ424:$BC424)</f>
        <v>0</v>
      </c>
      <c r="AT424" s="230">
        <f>SUMIF(SET!$G$121:$M$121,AT$178,SET!$P8:$V8)+SUMIF($AZ$178:$BC$178,AT$178,$AZ424:$BC424)</f>
        <v>0</v>
      </c>
      <c r="AU424" s="230">
        <f>SUMIF(SET!$G$121:$M$121,AU$178,SET!$P8:$V8)+SUMIF($AZ$178:$BC$178,AU$178,$AZ424:$BC424)</f>
        <v>0</v>
      </c>
      <c r="AV424" s="230">
        <f>SUMIF(SET!$G$121:$M$121,AV$178,SET!$P8:$V8)+SUMIF($AZ$178:$BC$178,AV$178,$AZ424:$BC424)</f>
        <v>0</v>
      </c>
      <c r="AW424" s="230">
        <f>SUMIF(SET!$G$121:$M$121,AW$178,SET!$P8:$V8)+SUMIF($AZ$178:$BC$178,AW$178,$AZ424:$BC424)</f>
        <v>0</v>
      </c>
      <c r="AX424" s="231">
        <f>SUMIF(SET!$G$121:$M$121,AX$178,SET!$P8:$V8)+SUMIF($AZ$178:$BC$178,AX$178,$AZ424:$BC424)</f>
        <v>0</v>
      </c>
      <c r="AY424" s="232">
        <f>SET!AF8</f>
        <v>0</v>
      </c>
      <c r="AZ424" s="228">
        <f>SET!AG8</f>
        <v>0</v>
      </c>
      <c r="BA424" s="229">
        <f>SET!AH8</f>
        <v>0</v>
      </c>
      <c r="BB424" s="230">
        <f>SET!AI8</f>
        <v>0</v>
      </c>
      <c r="BC424" s="231">
        <f>SET!AJ8</f>
        <v>0</v>
      </c>
      <c r="BD424" s="228">
        <f>SUMIF(SET!$G$120:$M$120,"&gt;0",SET!$X8:$AD8)</f>
        <v>0</v>
      </c>
      <c r="BE424" s="696"/>
      <c r="BF424" s="254">
        <f>SUMIF(SET!$BA$6:$BG$6,BF$177,SET!$BA8:$BG8)</f>
        <v>0</v>
      </c>
      <c r="BG424" s="255">
        <f>SUMIF(SET!$BA$6:$BG$6,BG$177,SET!$BA8:$BG8)</f>
        <v>0</v>
      </c>
      <c r="BH424" s="255">
        <f>SUMIF(SET!$BA$6:$BG$6,BH$177,SET!$BA8:$BG8)</f>
        <v>0</v>
      </c>
      <c r="BI424" s="255">
        <f>SUMIF(SET!$BA$6:$BG$6,BI$177,SET!$BA8:$BG8)</f>
        <v>0</v>
      </c>
      <c r="BJ424" s="255">
        <f>SUMIF(SET!$BA$6:$BG$6,BJ$177,SET!$BA8:$BG8)</f>
        <v>0</v>
      </c>
      <c r="BK424" s="255">
        <f>SUMIF(SET!$BA$6:$BG$6,BK$177,SET!$BA8:$BG8)</f>
        <v>0</v>
      </c>
      <c r="BL424" s="255">
        <f>SUMIF(SET!$BA$6:$BG$6,BL$177,SET!$BA8:$BG8)</f>
        <v>0</v>
      </c>
      <c r="BM424" s="255">
        <f>SUMIF(SET!$BA$6:$BG$6,BM$177,SET!$BA8:$BG8)</f>
        <v>0</v>
      </c>
      <c r="BN424" s="255">
        <f>SUMIF(SET!$BA$6:$BG$6,BN$177,SET!$BA8:$BG8)</f>
        <v>0</v>
      </c>
      <c r="BO424" s="256">
        <f>SUMIF(SET!$BA$6:$BG$6,BO$177,SET!$BA8:$BG8)</f>
        <v>0</v>
      </c>
      <c r="BP424" s="256">
        <f>SUMIF(SET!$BA$6:$BG$6,BP$177,SET!$BA8:$BG8)</f>
        <v>0</v>
      </c>
      <c r="BQ424" s="252"/>
      <c r="BR424" s="254">
        <f>SUMIF(SET!$BA$5:$BG$5,BR$177,SET!$BA8:$BG8)</f>
        <v>0</v>
      </c>
      <c r="BS424" s="255">
        <f>SUMIF(SET!$BA$5:$BG$5,BS$177,SET!$BA8:$BG8)</f>
        <v>0</v>
      </c>
      <c r="BT424" s="255">
        <f>SUMIF(SET!$BA$5:$BG$5,BT$177,SET!$BA8:$BG8)</f>
        <v>0</v>
      </c>
      <c r="BU424" s="255">
        <f>SUMIF(SET!$BA$5:$BG$5,BU$177,SET!$BA8:$BG8)</f>
        <v>0</v>
      </c>
      <c r="BV424" s="255">
        <f>SUMIF(SET!$BA$5:$BG$5,BV$177,SET!$BA8:$BG8)</f>
        <v>0</v>
      </c>
      <c r="BW424" s="255">
        <f>SUMIF(SET!$BA$5:$BG$5,BW$177,SET!$BA8:$BG8)</f>
        <v>0</v>
      </c>
      <c r="BX424" s="996">
        <f>SUMIF(SET!$BA$5:$BG$5,BX$177,SET!$BA8:$BG8)</f>
        <v>0</v>
      </c>
      <c r="BY424" s="997">
        <f>SUMIF(SET!$BA$5:$BG$5,BY$177,SET!$BA8:$BG8)</f>
        <v>0</v>
      </c>
      <c r="CB424" s="252"/>
      <c r="CC424" s="61" t="e">
        <f t="shared" si="88"/>
        <v>#N/A</v>
      </c>
      <c r="CD424" s="61">
        <f t="shared" si="89"/>
        <v>0</v>
      </c>
      <c r="CE424" s="105" t="str">
        <f t="shared" si="82"/>
        <v/>
      </c>
      <c r="CF424" s="61" t="e">
        <f t="shared" si="90"/>
        <v>#N/A</v>
      </c>
      <c r="CG424" s="61" t="e">
        <f t="shared" si="91"/>
        <v>#N/A</v>
      </c>
      <c r="CH424" s="523">
        <f>SET!AL8-CW424+CR424</f>
        <v>0</v>
      </c>
      <c r="CI424" s="228">
        <f>SUMIF(SET!$G$121:$M$121,CI$178,SET!$AM8:$AS8)+SUMIF($CS$178:$CV$178,CI$178,$CS424:$CV424)</f>
        <v>0</v>
      </c>
      <c r="CJ424" s="229">
        <f>SUMIF(SET!$G$121:$M$121,CJ$178,SET!$AM8:$AS8)+SUMIF($CS$178:$CV$178,CJ$178,$CS424:$CV424)</f>
        <v>0</v>
      </c>
      <c r="CK424" s="230">
        <f>SUMIF(SET!$G$121:$M$121,CK$178,SET!$AM8:$AS8)+SUMIF($CS$178:$CV$178,CK$178,$CS424:$CV424)</f>
        <v>0</v>
      </c>
      <c r="CL424" s="230">
        <f>SUMIF(SET!$G$121:$M$121,CL$178,SET!$AM8:$AS8)+SUMIF($CS$178:$CV$178,CL$178,$CS424:$CV424)</f>
        <v>0</v>
      </c>
      <c r="CM424" s="230">
        <f>SUMIF(SET!$G$121:$M$121,CM$178,SET!$AM8:$AS8)+SUMIF($CS$178:$CV$178,CM$178,$CS424:$CV424)</f>
        <v>0</v>
      </c>
      <c r="CN424" s="230">
        <f>SUMIF(SET!$G$121:$M$121,CN$178,SET!$AM8:$AS8)+SUMIF($CS$178:$CV$178,CN$178,$CS424:$CV424)</f>
        <v>0</v>
      </c>
      <c r="CO424" s="230">
        <f>SUMIF(SET!$G$121:$M$121,CO$178,SET!$AM8:$AS8)+SUMIF($CS$178:$CV$178,CO$178,$CS424:$CV424)</f>
        <v>0</v>
      </c>
      <c r="CP424" s="230">
        <f>SUMIF(SET!$G$121:$M$121,CP$178,SET!$AM8:$AS8)+SUMIF($CS$178:$CV$178,CP$178,$CS424:$CV424)</f>
        <v>0</v>
      </c>
      <c r="CQ424" s="231">
        <f>SUMIF(SET!$G$121:$M$121,CQ$178,SET!$AM8:$AS8)+SUMIF($CS$178:$CV$178,CQ$178,$CS424:$CV424)</f>
        <v>0</v>
      </c>
      <c r="CR424" s="523">
        <f>SET!AU8</f>
        <v>0</v>
      </c>
      <c r="CS424" s="228">
        <f>SET!AV8</f>
        <v>0</v>
      </c>
      <c r="CT424" s="229">
        <f>SET!AW8</f>
        <v>0</v>
      </c>
      <c r="CU424" s="230">
        <f>SET!AX8</f>
        <v>0</v>
      </c>
      <c r="CV424" s="231">
        <f>SET!AY8</f>
        <v>0</v>
      </c>
      <c r="CW424" s="523">
        <f>SUM(SET!AU8:AY8)</f>
        <v>0</v>
      </c>
      <c r="CX424" s="523">
        <f>SET!AK8</f>
        <v>0</v>
      </c>
      <c r="CY424" s="2"/>
    </row>
    <row r="425" spans="1:103" ht="14.25" hidden="1" customHeight="1" x14ac:dyDescent="0.2">
      <c r="A425" s="2"/>
      <c r="B425" s="105">
        <f t="shared" si="92"/>
        <v>45537</v>
      </c>
      <c r="C425" s="146">
        <f>IF(AND(E425&gt;(N$559-1),E425&lt;(R$559+1)),W$551,IF(ISERROR(HLOOKUP(E425,$N$552:$U$552,1,FALSE)),HLOOKUP(WEEKDAY(E425,2),IMPOSTAZIONI!$C$52:$P$57,6,FALSE),$W$550))</f>
        <v>0</v>
      </c>
      <c r="D425" s="71" t="str">
        <f t="shared" si="93"/>
        <v/>
      </c>
      <c r="E425" s="2258">
        <f t="shared" si="98"/>
        <v>45537</v>
      </c>
      <c r="F425" s="2259"/>
      <c r="G425" s="2228" t="str">
        <f>SET!E9</f>
        <v xml:space="preserve">disattivato  </v>
      </c>
      <c r="H425" s="2229"/>
      <c r="I425" s="2230"/>
      <c r="J425" s="262" t="str">
        <f t="shared" si="83"/>
        <v/>
      </c>
      <c r="K425" s="263"/>
      <c r="L425" s="2222">
        <f t="shared" si="99"/>
        <v>36</v>
      </c>
      <c r="M425" s="2223"/>
      <c r="N425" s="261"/>
      <c r="O425" s="261"/>
      <c r="P425" s="261"/>
      <c r="Q425" s="2219">
        <f t="shared" si="94"/>
        <v>45537</v>
      </c>
      <c r="R425" s="2219"/>
      <c r="S425" s="261"/>
      <c r="T425" s="1173">
        <f t="shared" si="84"/>
        <v>1</v>
      </c>
      <c r="U425" s="261"/>
      <c r="V425" s="261"/>
      <c r="W425" s="261"/>
      <c r="X425" s="261"/>
      <c r="Y425" s="261"/>
      <c r="Z425" s="261"/>
      <c r="AA425" s="261"/>
      <c r="AB425" s="261"/>
      <c r="AC425" s="261"/>
      <c r="AD425" s="261"/>
      <c r="AE425" s="261"/>
      <c r="AF425" s="261"/>
      <c r="AG425" s="1173">
        <f t="shared" si="95"/>
        <v>0</v>
      </c>
      <c r="AH425" s="61" t="str">
        <f t="shared" si="96"/>
        <v/>
      </c>
      <c r="AI425" s="89" t="e">
        <f t="shared" si="97"/>
        <v>#N/A</v>
      </c>
      <c r="AJ425" s="2"/>
      <c r="AK425" s="61">
        <f>IF(G425=G$547,0,IF(OR(G425&lt;&gt;0,CH425&lt;&gt;0,C425="L"),COUNTIF(AK$180:AK424,"&gt;0")+1,0))</f>
        <v>0</v>
      </c>
      <c r="AL425" s="61" t="str">
        <f t="shared" si="85"/>
        <v/>
      </c>
      <c r="AM425" s="61" t="e">
        <f t="shared" si="86"/>
        <v>#N/A</v>
      </c>
      <c r="AN425" s="89" t="e">
        <f t="shared" si="87"/>
        <v>#N/A</v>
      </c>
      <c r="AO425" s="230">
        <f>SUM(SET!X9:AD9)-BD425+AY425</f>
        <v>0</v>
      </c>
      <c r="AP425" s="228">
        <f>SUMIF(SET!$G$121:$M$121,AP$178,SET!$P9:$V9)+SUMIF($AZ$178:$BC$178,AP$178,$AZ425:$BC425)</f>
        <v>0</v>
      </c>
      <c r="AQ425" s="229">
        <f>SUMIF(SET!$G$121:$M$121,AQ$178,SET!$P9:$V9)+SUMIF($AZ$178:$BC$178,AQ$178,$AZ425:$BC425)</f>
        <v>0</v>
      </c>
      <c r="AR425" s="230">
        <f>SUMIF(SET!$G$121:$M$121,AR$178,SET!$P9:$V9)+SUMIF($AZ$178:$BC$178,AR$178,$AZ425:$BC425)</f>
        <v>0</v>
      </c>
      <c r="AS425" s="230">
        <f>SUMIF(SET!$G$121:$M$121,AS$178,SET!$P9:$V9)+SUMIF($AZ$178:$BC$178,AS$178,$AZ425:$BC425)</f>
        <v>0</v>
      </c>
      <c r="AT425" s="230">
        <f>SUMIF(SET!$G$121:$M$121,AT$178,SET!$P9:$V9)+SUMIF($AZ$178:$BC$178,AT$178,$AZ425:$BC425)</f>
        <v>0</v>
      </c>
      <c r="AU425" s="230">
        <f>SUMIF(SET!$G$121:$M$121,AU$178,SET!$P9:$V9)+SUMIF($AZ$178:$BC$178,AU$178,$AZ425:$BC425)</f>
        <v>0</v>
      </c>
      <c r="AV425" s="230">
        <f>SUMIF(SET!$G$121:$M$121,AV$178,SET!$P9:$V9)+SUMIF($AZ$178:$BC$178,AV$178,$AZ425:$BC425)</f>
        <v>0</v>
      </c>
      <c r="AW425" s="230">
        <f>SUMIF(SET!$G$121:$M$121,AW$178,SET!$P9:$V9)+SUMIF($AZ$178:$BC$178,AW$178,$AZ425:$BC425)</f>
        <v>0</v>
      </c>
      <c r="AX425" s="231">
        <f>SUMIF(SET!$G$121:$M$121,AX$178,SET!$P9:$V9)+SUMIF($AZ$178:$BC$178,AX$178,$AZ425:$BC425)</f>
        <v>0</v>
      </c>
      <c r="AY425" s="232">
        <f>SET!AF9</f>
        <v>0</v>
      </c>
      <c r="AZ425" s="228">
        <f>SET!AG9</f>
        <v>0</v>
      </c>
      <c r="BA425" s="229">
        <f>SET!AH9</f>
        <v>0</v>
      </c>
      <c r="BB425" s="230">
        <f>SET!AI9</f>
        <v>0</v>
      </c>
      <c r="BC425" s="231">
        <f>SET!AJ9</f>
        <v>0</v>
      </c>
      <c r="BD425" s="228">
        <f>SUMIF(SET!$G$120:$M$120,"&gt;0",SET!$X9:$AD9)</f>
        <v>0</v>
      </c>
      <c r="BE425" s="696"/>
      <c r="BF425" s="228">
        <f>SUMIF(SET!$BA$6:$BG$6,BF$177,SET!$BA9:$BG9)</f>
        <v>0</v>
      </c>
      <c r="BG425" s="229">
        <f>SUMIF(SET!$BA$6:$BG$6,BG$177,SET!$BA9:$BG9)</f>
        <v>0</v>
      </c>
      <c r="BH425" s="229">
        <f>SUMIF(SET!$BA$6:$BG$6,BH$177,SET!$BA9:$BG9)</f>
        <v>0</v>
      </c>
      <c r="BI425" s="229">
        <f>SUMIF(SET!$BA$6:$BG$6,BI$177,SET!$BA9:$BG9)</f>
        <v>0</v>
      </c>
      <c r="BJ425" s="229">
        <f>SUMIF(SET!$BA$6:$BG$6,BJ$177,SET!$BA9:$BG9)</f>
        <v>0</v>
      </c>
      <c r="BK425" s="229">
        <f>SUMIF(SET!$BA$6:$BG$6,BK$177,SET!$BA9:$BG9)</f>
        <v>0</v>
      </c>
      <c r="BL425" s="229">
        <f>SUMIF(SET!$BA$6:$BG$6,BL$177,SET!$BA9:$BG9)</f>
        <v>0</v>
      </c>
      <c r="BM425" s="229">
        <f>SUMIF(SET!$BA$6:$BG$6,BM$177,SET!$BA9:$BG9)</f>
        <v>0</v>
      </c>
      <c r="BN425" s="229">
        <f>SUMIF(SET!$BA$6:$BG$6,BN$177,SET!$BA9:$BG9)</f>
        <v>0</v>
      </c>
      <c r="BO425" s="231">
        <f>SUMIF(SET!$BA$6:$BG$6,BO$177,SET!$BA9:$BG9)</f>
        <v>0</v>
      </c>
      <c r="BP425" s="231">
        <f>SUMIF(SET!$BA$6:$BG$6,BP$177,SET!$BA9:$BG9)</f>
        <v>0</v>
      </c>
      <c r="BQ425" s="252"/>
      <c r="BR425" s="228">
        <f>SUMIF(SET!$BA$5:$BG$5,BR$177,SET!$BA9:$BG9)</f>
        <v>0</v>
      </c>
      <c r="BS425" s="229">
        <f>SUMIF(SET!$BA$5:$BG$5,BS$177,SET!$BA9:$BG9)</f>
        <v>0</v>
      </c>
      <c r="BT425" s="229">
        <f>SUMIF(SET!$BA$5:$BG$5,BT$177,SET!$BA9:$BG9)</f>
        <v>0</v>
      </c>
      <c r="BU425" s="229">
        <f>SUMIF(SET!$BA$5:$BG$5,BU$177,SET!$BA9:$BG9)</f>
        <v>0</v>
      </c>
      <c r="BV425" s="229">
        <f>SUMIF(SET!$BA$5:$BG$5,BV$177,SET!$BA9:$BG9)</f>
        <v>0</v>
      </c>
      <c r="BW425" s="229">
        <f>SUMIF(SET!$BA$5:$BG$5,BW$177,SET!$BA9:$BG9)</f>
        <v>0</v>
      </c>
      <c r="BX425" s="230">
        <f>SUMIF(SET!$BA$5:$BG$5,BX$177,SET!$BA9:$BG9)</f>
        <v>0</v>
      </c>
      <c r="BY425" s="998">
        <f>SUMIF(SET!$BA$5:$BG$5,BY$177,SET!$BA9:$BG9)</f>
        <v>0</v>
      </c>
      <c r="CB425" s="252"/>
      <c r="CC425" s="61" t="e">
        <f t="shared" si="88"/>
        <v>#N/A</v>
      </c>
      <c r="CD425" s="61">
        <f t="shared" si="89"/>
        <v>0</v>
      </c>
      <c r="CE425" s="105" t="str">
        <f t="shared" si="82"/>
        <v/>
      </c>
      <c r="CF425" s="61" t="e">
        <f t="shared" si="90"/>
        <v>#N/A</v>
      </c>
      <c r="CG425" s="61" t="e">
        <f t="shared" si="91"/>
        <v>#N/A</v>
      </c>
      <c r="CH425" s="521">
        <f>SET!AL9-CW425+CR425</f>
        <v>0</v>
      </c>
      <c r="CI425" s="228">
        <f>SUMIF(SET!$G$121:$M$121,CI$178,SET!$AM9:$AS9)+SUMIF($CS$178:$CV$178,CI$178,$CS425:$CV425)</f>
        <v>0</v>
      </c>
      <c r="CJ425" s="229">
        <f>SUMIF(SET!$G$121:$M$121,CJ$178,SET!$AM9:$AS9)+SUMIF($CS$178:$CV$178,CJ$178,$CS425:$CV425)</f>
        <v>0</v>
      </c>
      <c r="CK425" s="230">
        <f>SUMIF(SET!$G$121:$M$121,CK$178,SET!$AM9:$AS9)+SUMIF($CS$178:$CV$178,CK$178,$CS425:$CV425)</f>
        <v>0</v>
      </c>
      <c r="CL425" s="230">
        <f>SUMIF(SET!$G$121:$M$121,CL$178,SET!$AM9:$AS9)+SUMIF($CS$178:$CV$178,CL$178,$CS425:$CV425)</f>
        <v>0</v>
      </c>
      <c r="CM425" s="230">
        <f>SUMIF(SET!$G$121:$M$121,CM$178,SET!$AM9:$AS9)+SUMIF($CS$178:$CV$178,CM$178,$CS425:$CV425)</f>
        <v>0</v>
      </c>
      <c r="CN425" s="230">
        <f>SUMIF(SET!$G$121:$M$121,CN$178,SET!$AM9:$AS9)+SUMIF($CS$178:$CV$178,CN$178,$CS425:$CV425)</f>
        <v>0</v>
      </c>
      <c r="CO425" s="230">
        <f>SUMIF(SET!$G$121:$M$121,CO$178,SET!$AM9:$AS9)+SUMIF($CS$178:$CV$178,CO$178,$CS425:$CV425)</f>
        <v>0</v>
      </c>
      <c r="CP425" s="230">
        <f>SUMIF(SET!$G$121:$M$121,CP$178,SET!$AM9:$AS9)+SUMIF($CS$178:$CV$178,CP$178,$CS425:$CV425)</f>
        <v>0</v>
      </c>
      <c r="CQ425" s="231">
        <f>SUMIF(SET!$G$121:$M$121,CQ$178,SET!$AM9:$AS9)+SUMIF($CS$178:$CV$178,CQ$178,$CS425:$CV425)</f>
        <v>0</v>
      </c>
      <c r="CR425" s="521">
        <f>SET!AU9</f>
        <v>0</v>
      </c>
      <c r="CS425" s="228">
        <f>SET!AV9</f>
        <v>0</v>
      </c>
      <c r="CT425" s="229">
        <f>SET!AW9</f>
        <v>0</v>
      </c>
      <c r="CU425" s="230">
        <f>SET!AX9</f>
        <v>0</v>
      </c>
      <c r="CV425" s="231">
        <f>SET!AY9</f>
        <v>0</v>
      </c>
      <c r="CW425" s="521">
        <f>SUM(SET!AU9:AY9)</f>
        <v>0</v>
      </c>
      <c r="CX425" s="521">
        <f>SET!AK9</f>
        <v>0</v>
      </c>
      <c r="CY425" s="2"/>
    </row>
    <row r="426" spans="1:103" ht="14.25" hidden="1" customHeight="1" x14ac:dyDescent="0.2">
      <c r="A426" s="2"/>
      <c r="B426" s="105">
        <f t="shared" si="92"/>
        <v>45538</v>
      </c>
      <c r="C426" s="146">
        <f>IF(AND(E426&gt;(N$559-1),E426&lt;(R$559+1)),W$551,IF(ISERROR(HLOOKUP(E426,$N$552:$U$552,1,FALSE)),HLOOKUP(WEEKDAY(E426,2),IMPOSTAZIONI!$C$52:$P$57,6,FALSE),$W$550))</f>
        <v>0</v>
      </c>
      <c r="D426" s="71" t="str">
        <f t="shared" si="93"/>
        <v/>
      </c>
      <c r="E426" s="2258">
        <f t="shared" si="98"/>
        <v>45538</v>
      </c>
      <c r="F426" s="2259"/>
      <c r="G426" s="2228" t="str">
        <f>SET!E10</f>
        <v xml:space="preserve">disattivato  </v>
      </c>
      <c r="H426" s="2229"/>
      <c r="I426" s="2230"/>
      <c r="J426" s="262" t="str">
        <f t="shared" si="83"/>
        <v/>
      </c>
      <c r="K426" s="263"/>
      <c r="L426" s="2217">
        <f t="shared" si="99"/>
        <v>36</v>
      </c>
      <c r="M426" s="2218"/>
      <c r="N426" s="261"/>
      <c r="O426" s="261"/>
      <c r="P426" s="261"/>
      <c r="Q426" s="2219">
        <f t="shared" si="94"/>
        <v>45538</v>
      </c>
      <c r="R426" s="2219"/>
      <c r="S426" s="261"/>
      <c r="T426" s="1173">
        <f t="shared" si="84"/>
        <v>1</v>
      </c>
      <c r="U426" s="261"/>
      <c r="V426" s="261"/>
      <c r="W426" s="261"/>
      <c r="X426" s="261"/>
      <c r="Y426" s="261"/>
      <c r="Z426" s="261"/>
      <c r="AA426" s="261"/>
      <c r="AB426" s="261"/>
      <c r="AC426" s="261"/>
      <c r="AD426" s="261"/>
      <c r="AE426" s="261"/>
      <c r="AF426" s="261"/>
      <c r="AG426" s="1173">
        <f t="shared" si="95"/>
        <v>0</v>
      </c>
      <c r="AH426" s="61" t="str">
        <f t="shared" si="96"/>
        <v/>
      </c>
      <c r="AI426" s="89" t="e">
        <f t="shared" si="97"/>
        <v>#N/A</v>
      </c>
      <c r="AJ426" s="2"/>
      <c r="AK426" s="61">
        <f>IF(G426=G$547,0,IF(OR(G426&lt;&gt;0,CH426&lt;&gt;0,C426="L"),COUNTIF(AK$180:AK425,"&gt;0")+1,0))</f>
        <v>0</v>
      </c>
      <c r="AL426" s="61" t="str">
        <f t="shared" si="85"/>
        <v/>
      </c>
      <c r="AM426" s="61" t="e">
        <f t="shared" si="86"/>
        <v>#N/A</v>
      </c>
      <c r="AN426" s="89" t="e">
        <f t="shared" si="87"/>
        <v>#N/A</v>
      </c>
      <c r="AO426" s="230">
        <f>SUM(SET!X10:AD10)-BD426+AY426</f>
        <v>0</v>
      </c>
      <c r="AP426" s="228">
        <f>SUMIF(SET!$G$121:$M$121,AP$178,SET!$P10:$V10)+SUMIF($AZ$178:$BC$178,AP$178,$AZ426:$BC426)</f>
        <v>0</v>
      </c>
      <c r="AQ426" s="229">
        <f>SUMIF(SET!$G$121:$M$121,AQ$178,SET!$P10:$V10)+SUMIF($AZ$178:$BC$178,AQ$178,$AZ426:$BC426)</f>
        <v>0</v>
      </c>
      <c r="AR426" s="230">
        <f>SUMIF(SET!$G$121:$M$121,AR$178,SET!$P10:$V10)+SUMIF($AZ$178:$BC$178,AR$178,$AZ426:$BC426)</f>
        <v>0</v>
      </c>
      <c r="AS426" s="230">
        <f>SUMIF(SET!$G$121:$M$121,AS$178,SET!$P10:$V10)+SUMIF($AZ$178:$BC$178,AS$178,$AZ426:$BC426)</f>
        <v>0</v>
      </c>
      <c r="AT426" s="230">
        <f>SUMIF(SET!$G$121:$M$121,AT$178,SET!$P10:$V10)+SUMIF($AZ$178:$BC$178,AT$178,$AZ426:$BC426)</f>
        <v>0</v>
      </c>
      <c r="AU426" s="230">
        <f>SUMIF(SET!$G$121:$M$121,AU$178,SET!$P10:$V10)+SUMIF($AZ$178:$BC$178,AU$178,$AZ426:$BC426)</f>
        <v>0</v>
      </c>
      <c r="AV426" s="230">
        <f>SUMIF(SET!$G$121:$M$121,AV$178,SET!$P10:$V10)+SUMIF($AZ$178:$BC$178,AV$178,$AZ426:$BC426)</f>
        <v>0</v>
      </c>
      <c r="AW426" s="230">
        <f>SUMIF(SET!$G$121:$M$121,AW$178,SET!$P10:$V10)+SUMIF($AZ$178:$BC$178,AW$178,$AZ426:$BC426)</f>
        <v>0</v>
      </c>
      <c r="AX426" s="231">
        <f>SUMIF(SET!$G$121:$M$121,AX$178,SET!$P10:$V10)+SUMIF($AZ$178:$BC$178,AX$178,$AZ426:$BC426)</f>
        <v>0</v>
      </c>
      <c r="AY426" s="232">
        <f>SET!AF10</f>
        <v>0</v>
      </c>
      <c r="AZ426" s="228">
        <f>SET!AG10</f>
        <v>0</v>
      </c>
      <c r="BA426" s="229">
        <f>SET!AH10</f>
        <v>0</v>
      </c>
      <c r="BB426" s="230">
        <f>SET!AI10</f>
        <v>0</v>
      </c>
      <c r="BC426" s="231">
        <f>SET!AJ10</f>
        <v>0</v>
      </c>
      <c r="BD426" s="228">
        <f>SUMIF(SET!$G$120:$M$120,"&gt;0",SET!$X10:$AD10)</f>
        <v>0</v>
      </c>
      <c r="BE426" s="696"/>
      <c r="BF426" s="228">
        <f>SUMIF(SET!$BA$6:$BG$6,BF$177,SET!$BA10:$BG10)</f>
        <v>0</v>
      </c>
      <c r="BG426" s="229">
        <f>SUMIF(SET!$BA$6:$BG$6,BG$177,SET!$BA10:$BG10)</f>
        <v>0</v>
      </c>
      <c r="BH426" s="229">
        <f>SUMIF(SET!$BA$6:$BG$6,BH$177,SET!$BA10:$BG10)</f>
        <v>0</v>
      </c>
      <c r="BI426" s="229">
        <f>SUMIF(SET!$BA$6:$BG$6,BI$177,SET!$BA10:$BG10)</f>
        <v>0</v>
      </c>
      <c r="BJ426" s="229">
        <f>SUMIF(SET!$BA$6:$BG$6,BJ$177,SET!$BA10:$BG10)</f>
        <v>0</v>
      </c>
      <c r="BK426" s="229">
        <f>SUMIF(SET!$BA$6:$BG$6,BK$177,SET!$BA10:$BG10)</f>
        <v>0</v>
      </c>
      <c r="BL426" s="229">
        <f>SUMIF(SET!$BA$6:$BG$6,BL$177,SET!$BA10:$BG10)</f>
        <v>0</v>
      </c>
      <c r="BM426" s="229">
        <f>SUMIF(SET!$BA$6:$BG$6,BM$177,SET!$BA10:$BG10)</f>
        <v>0</v>
      </c>
      <c r="BN426" s="229">
        <f>SUMIF(SET!$BA$6:$BG$6,BN$177,SET!$BA10:$BG10)</f>
        <v>0</v>
      </c>
      <c r="BO426" s="231">
        <f>SUMIF(SET!$BA$6:$BG$6,BO$177,SET!$BA10:$BG10)</f>
        <v>0</v>
      </c>
      <c r="BP426" s="231">
        <f>SUMIF(SET!$BA$6:$BG$6,BP$177,SET!$BA10:$BG10)</f>
        <v>0</v>
      </c>
      <c r="BQ426" s="252"/>
      <c r="BR426" s="228">
        <f>SUMIF(SET!$BA$5:$BG$5,BR$177,SET!$BA10:$BG10)</f>
        <v>0</v>
      </c>
      <c r="BS426" s="229">
        <f>SUMIF(SET!$BA$5:$BG$5,BS$177,SET!$BA10:$BG10)</f>
        <v>0</v>
      </c>
      <c r="BT426" s="229">
        <f>SUMIF(SET!$BA$5:$BG$5,BT$177,SET!$BA10:$BG10)</f>
        <v>0</v>
      </c>
      <c r="BU426" s="229">
        <f>SUMIF(SET!$BA$5:$BG$5,BU$177,SET!$BA10:$BG10)</f>
        <v>0</v>
      </c>
      <c r="BV426" s="229">
        <f>SUMIF(SET!$BA$5:$BG$5,BV$177,SET!$BA10:$BG10)</f>
        <v>0</v>
      </c>
      <c r="BW426" s="229">
        <f>SUMIF(SET!$BA$5:$BG$5,BW$177,SET!$BA10:$BG10)</f>
        <v>0</v>
      </c>
      <c r="BX426" s="230">
        <f>SUMIF(SET!$BA$5:$BG$5,BX$177,SET!$BA10:$BG10)</f>
        <v>0</v>
      </c>
      <c r="BY426" s="998">
        <f>SUMIF(SET!$BA$5:$BG$5,BY$177,SET!$BA10:$BG10)</f>
        <v>0</v>
      </c>
      <c r="CB426" s="252"/>
      <c r="CC426" s="61" t="e">
        <f t="shared" si="88"/>
        <v>#N/A</v>
      </c>
      <c r="CD426" s="61">
        <f t="shared" si="89"/>
        <v>0</v>
      </c>
      <c r="CE426" s="105" t="str">
        <f t="shared" si="82"/>
        <v/>
      </c>
      <c r="CF426" s="61" t="e">
        <f t="shared" si="90"/>
        <v>#N/A</v>
      </c>
      <c r="CG426" s="61" t="e">
        <f t="shared" si="91"/>
        <v>#N/A</v>
      </c>
      <c r="CH426" s="521">
        <f>SET!AL10-CW426+CR426</f>
        <v>0</v>
      </c>
      <c r="CI426" s="228">
        <f>SUMIF(SET!$G$121:$M$121,CI$178,SET!$AM10:$AS10)+SUMIF($CS$178:$CV$178,CI$178,$CS426:$CV426)</f>
        <v>0</v>
      </c>
      <c r="CJ426" s="229">
        <f>SUMIF(SET!$G$121:$M$121,CJ$178,SET!$AM10:$AS10)+SUMIF($CS$178:$CV$178,CJ$178,$CS426:$CV426)</f>
        <v>0</v>
      </c>
      <c r="CK426" s="230">
        <f>SUMIF(SET!$G$121:$M$121,CK$178,SET!$AM10:$AS10)+SUMIF($CS$178:$CV$178,CK$178,$CS426:$CV426)</f>
        <v>0</v>
      </c>
      <c r="CL426" s="230">
        <f>SUMIF(SET!$G$121:$M$121,CL$178,SET!$AM10:$AS10)+SUMIF($CS$178:$CV$178,CL$178,$CS426:$CV426)</f>
        <v>0</v>
      </c>
      <c r="CM426" s="230">
        <f>SUMIF(SET!$G$121:$M$121,CM$178,SET!$AM10:$AS10)+SUMIF($CS$178:$CV$178,CM$178,$CS426:$CV426)</f>
        <v>0</v>
      </c>
      <c r="CN426" s="230">
        <f>SUMIF(SET!$G$121:$M$121,CN$178,SET!$AM10:$AS10)+SUMIF($CS$178:$CV$178,CN$178,$CS426:$CV426)</f>
        <v>0</v>
      </c>
      <c r="CO426" s="230">
        <f>SUMIF(SET!$G$121:$M$121,CO$178,SET!$AM10:$AS10)+SUMIF($CS$178:$CV$178,CO$178,$CS426:$CV426)</f>
        <v>0</v>
      </c>
      <c r="CP426" s="230">
        <f>SUMIF(SET!$G$121:$M$121,CP$178,SET!$AM10:$AS10)+SUMIF($CS$178:$CV$178,CP$178,$CS426:$CV426)</f>
        <v>0</v>
      </c>
      <c r="CQ426" s="231">
        <f>SUMIF(SET!$G$121:$M$121,CQ$178,SET!$AM10:$AS10)+SUMIF($CS$178:$CV$178,CQ$178,$CS426:$CV426)</f>
        <v>0</v>
      </c>
      <c r="CR426" s="521">
        <f>SET!AU10</f>
        <v>0</v>
      </c>
      <c r="CS426" s="228">
        <f>SET!AV10</f>
        <v>0</v>
      </c>
      <c r="CT426" s="229">
        <f>SET!AW10</f>
        <v>0</v>
      </c>
      <c r="CU426" s="230">
        <f>SET!AX10</f>
        <v>0</v>
      </c>
      <c r="CV426" s="231">
        <f>SET!AY10</f>
        <v>0</v>
      </c>
      <c r="CW426" s="521">
        <f>SUM(SET!AU10:AY10)</f>
        <v>0</v>
      </c>
      <c r="CX426" s="521">
        <f>SET!AK10</f>
        <v>0</v>
      </c>
      <c r="CY426" s="2"/>
    </row>
    <row r="427" spans="1:103" ht="14.25" hidden="1" customHeight="1" x14ac:dyDescent="0.2">
      <c r="A427" s="2"/>
      <c r="B427" s="105">
        <f t="shared" si="92"/>
        <v>45539</v>
      </c>
      <c r="C427" s="146">
        <f>IF(AND(E427&gt;(N$559-1),E427&lt;(R$559+1)),W$551,IF(ISERROR(HLOOKUP(E427,$N$552:$U$552,1,FALSE)),HLOOKUP(WEEKDAY(E427,2),IMPOSTAZIONI!$C$52:$P$57,6,FALSE),$W$550))</f>
        <v>0</v>
      </c>
      <c r="D427" s="71" t="str">
        <f t="shared" si="93"/>
        <v/>
      </c>
      <c r="E427" s="2258">
        <f t="shared" si="98"/>
        <v>45539</v>
      </c>
      <c r="F427" s="2259"/>
      <c r="G427" s="2228" t="str">
        <f>SET!E11</f>
        <v xml:space="preserve">disattivato  </v>
      </c>
      <c r="H427" s="2229"/>
      <c r="I427" s="2230"/>
      <c r="J427" s="262" t="str">
        <f t="shared" si="83"/>
        <v/>
      </c>
      <c r="K427" s="263"/>
      <c r="L427" s="2217">
        <f t="shared" si="99"/>
        <v>36</v>
      </c>
      <c r="M427" s="2218"/>
      <c r="N427" s="261"/>
      <c r="O427" s="261"/>
      <c r="P427" s="261"/>
      <c r="Q427" s="2219">
        <f t="shared" si="94"/>
        <v>45539</v>
      </c>
      <c r="R427" s="2219"/>
      <c r="S427" s="261"/>
      <c r="T427" s="1173">
        <f t="shared" si="84"/>
        <v>1</v>
      </c>
      <c r="U427" s="261"/>
      <c r="V427" s="261"/>
      <c r="W427" s="261"/>
      <c r="X427" s="261"/>
      <c r="Y427" s="261"/>
      <c r="Z427" s="261"/>
      <c r="AA427" s="261"/>
      <c r="AB427" s="261"/>
      <c r="AC427" s="261"/>
      <c r="AD427" s="261"/>
      <c r="AE427" s="261"/>
      <c r="AF427" s="261"/>
      <c r="AG427" s="1173">
        <f t="shared" si="95"/>
        <v>0</v>
      </c>
      <c r="AH427" s="61" t="str">
        <f t="shared" si="96"/>
        <v/>
      </c>
      <c r="AI427" s="89" t="e">
        <f t="shared" si="97"/>
        <v>#N/A</v>
      </c>
      <c r="AJ427" s="2"/>
      <c r="AK427" s="61">
        <f>IF(G427=G$547,0,IF(OR(G427&lt;&gt;0,CH427&lt;&gt;0,C427="L"),COUNTIF(AK$180:AK426,"&gt;0")+1,0))</f>
        <v>0</v>
      </c>
      <c r="AL427" s="61" t="str">
        <f t="shared" si="85"/>
        <v/>
      </c>
      <c r="AM427" s="61" t="e">
        <f t="shared" si="86"/>
        <v>#N/A</v>
      </c>
      <c r="AN427" s="89" t="e">
        <f t="shared" si="87"/>
        <v>#N/A</v>
      </c>
      <c r="AO427" s="230">
        <f>SUM(SET!X11:AD11)-BD427+AY427</f>
        <v>0</v>
      </c>
      <c r="AP427" s="228">
        <f>SUMIF(SET!$G$121:$M$121,AP$178,SET!$P11:$V11)+SUMIF($AZ$178:$BC$178,AP$178,$AZ427:$BC427)</f>
        <v>0</v>
      </c>
      <c r="AQ427" s="229">
        <f>SUMIF(SET!$G$121:$M$121,AQ$178,SET!$P11:$V11)+SUMIF($AZ$178:$BC$178,AQ$178,$AZ427:$BC427)</f>
        <v>0</v>
      </c>
      <c r="AR427" s="230">
        <f>SUMIF(SET!$G$121:$M$121,AR$178,SET!$P11:$V11)+SUMIF($AZ$178:$BC$178,AR$178,$AZ427:$BC427)</f>
        <v>0</v>
      </c>
      <c r="AS427" s="230">
        <f>SUMIF(SET!$G$121:$M$121,AS$178,SET!$P11:$V11)+SUMIF($AZ$178:$BC$178,AS$178,$AZ427:$BC427)</f>
        <v>0</v>
      </c>
      <c r="AT427" s="230">
        <f>SUMIF(SET!$G$121:$M$121,AT$178,SET!$P11:$V11)+SUMIF($AZ$178:$BC$178,AT$178,$AZ427:$BC427)</f>
        <v>0</v>
      </c>
      <c r="AU427" s="230">
        <f>SUMIF(SET!$G$121:$M$121,AU$178,SET!$P11:$V11)+SUMIF($AZ$178:$BC$178,AU$178,$AZ427:$BC427)</f>
        <v>0</v>
      </c>
      <c r="AV427" s="230">
        <f>SUMIF(SET!$G$121:$M$121,AV$178,SET!$P11:$V11)+SUMIF($AZ$178:$BC$178,AV$178,$AZ427:$BC427)</f>
        <v>0</v>
      </c>
      <c r="AW427" s="230">
        <f>SUMIF(SET!$G$121:$M$121,AW$178,SET!$P11:$V11)+SUMIF($AZ$178:$BC$178,AW$178,$AZ427:$BC427)</f>
        <v>0</v>
      </c>
      <c r="AX427" s="231">
        <f>SUMIF(SET!$G$121:$M$121,AX$178,SET!$P11:$V11)+SUMIF($AZ$178:$BC$178,AX$178,$AZ427:$BC427)</f>
        <v>0</v>
      </c>
      <c r="AY427" s="232">
        <f>SET!AF11</f>
        <v>0</v>
      </c>
      <c r="AZ427" s="228">
        <f>SET!AG11</f>
        <v>0</v>
      </c>
      <c r="BA427" s="229">
        <f>SET!AH11</f>
        <v>0</v>
      </c>
      <c r="BB427" s="230">
        <f>SET!AI11</f>
        <v>0</v>
      </c>
      <c r="BC427" s="231">
        <f>SET!AJ11</f>
        <v>0</v>
      </c>
      <c r="BD427" s="228">
        <f>SUMIF(SET!$G$120:$M$120,"&gt;0",SET!$X11:$AD11)</f>
        <v>0</v>
      </c>
      <c r="BE427" s="696"/>
      <c r="BF427" s="228">
        <f>SUMIF(SET!$BA$6:$BG$6,BF$177,SET!$BA11:$BG11)</f>
        <v>0</v>
      </c>
      <c r="BG427" s="229">
        <f>SUMIF(SET!$BA$6:$BG$6,BG$177,SET!$BA11:$BG11)</f>
        <v>0</v>
      </c>
      <c r="BH427" s="229">
        <f>SUMIF(SET!$BA$6:$BG$6,BH$177,SET!$BA11:$BG11)</f>
        <v>0</v>
      </c>
      <c r="BI427" s="229">
        <f>SUMIF(SET!$BA$6:$BG$6,BI$177,SET!$BA11:$BG11)</f>
        <v>0</v>
      </c>
      <c r="BJ427" s="229">
        <f>SUMIF(SET!$BA$6:$BG$6,BJ$177,SET!$BA11:$BG11)</f>
        <v>0</v>
      </c>
      <c r="BK427" s="229">
        <f>SUMIF(SET!$BA$6:$BG$6,BK$177,SET!$BA11:$BG11)</f>
        <v>0</v>
      </c>
      <c r="BL427" s="229">
        <f>SUMIF(SET!$BA$6:$BG$6,BL$177,SET!$BA11:$BG11)</f>
        <v>0</v>
      </c>
      <c r="BM427" s="229">
        <f>SUMIF(SET!$BA$6:$BG$6,BM$177,SET!$BA11:$BG11)</f>
        <v>0</v>
      </c>
      <c r="BN427" s="229">
        <f>SUMIF(SET!$BA$6:$BG$6,BN$177,SET!$BA11:$BG11)</f>
        <v>0</v>
      </c>
      <c r="BO427" s="231">
        <f>SUMIF(SET!$BA$6:$BG$6,BO$177,SET!$BA11:$BG11)</f>
        <v>0</v>
      </c>
      <c r="BP427" s="231">
        <f>SUMIF(SET!$BA$6:$BG$6,BP$177,SET!$BA11:$BG11)</f>
        <v>0</v>
      </c>
      <c r="BQ427" s="252"/>
      <c r="BR427" s="228">
        <f>SUMIF(SET!$BA$5:$BG$5,BR$177,SET!$BA11:$BG11)</f>
        <v>0</v>
      </c>
      <c r="BS427" s="229">
        <f>SUMIF(SET!$BA$5:$BG$5,BS$177,SET!$BA11:$BG11)</f>
        <v>0</v>
      </c>
      <c r="BT427" s="229">
        <f>SUMIF(SET!$BA$5:$BG$5,BT$177,SET!$BA11:$BG11)</f>
        <v>0</v>
      </c>
      <c r="BU427" s="229">
        <f>SUMIF(SET!$BA$5:$BG$5,BU$177,SET!$BA11:$BG11)</f>
        <v>0</v>
      </c>
      <c r="BV427" s="229">
        <f>SUMIF(SET!$BA$5:$BG$5,BV$177,SET!$BA11:$BG11)</f>
        <v>0</v>
      </c>
      <c r="BW427" s="229">
        <f>SUMIF(SET!$BA$5:$BG$5,BW$177,SET!$BA11:$BG11)</f>
        <v>0</v>
      </c>
      <c r="BX427" s="230">
        <f>SUMIF(SET!$BA$5:$BG$5,BX$177,SET!$BA11:$BG11)</f>
        <v>0</v>
      </c>
      <c r="BY427" s="998">
        <f>SUMIF(SET!$BA$5:$BG$5,BY$177,SET!$BA11:$BG11)</f>
        <v>0</v>
      </c>
      <c r="CB427" s="252"/>
      <c r="CC427" s="61" t="e">
        <f t="shared" si="88"/>
        <v>#N/A</v>
      </c>
      <c r="CD427" s="61">
        <f t="shared" si="89"/>
        <v>0</v>
      </c>
      <c r="CE427" s="105" t="str">
        <f t="shared" si="82"/>
        <v/>
      </c>
      <c r="CF427" s="61" t="e">
        <f t="shared" si="90"/>
        <v>#N/A</v>
      </c>
      <c r="CG427" s="61" t="e">
        <f t="shared" si="91"/>
        <v>#N/A</v>
      </c>
      <c r="CH427" s="521">
        <f>SET!AL11-CW427+CR427</f>
        <v>0</v>
      </c>
      <c r="CI427" s="228">
        <f>SUMIF(SET!$G$121:$M$121,CI$178,SET!$AM11:$AS11)+SUMIF($CS$178:$CV$178,CI$178,$CS427:$CV427)</f>
        <v>0</v>
      </c>
      <c r="CJ427" s="229">
        <f>SUMIF(SET!$G$121:$M$121,CJ$178,SET!$AM11:$AS11)+SUMIF($CS$178:$CV$178,CJ$178,$CS427:$CV427)</f>
        <v>0</v>
      </c>
      <c r="CK427" s="230">
        <f>SUMIF(SET!$G$121:$M$121,CK$178,SET!$AM11:$AS11)+SUMIF($CS$178:$CV$178,CK$178,$CS427:$CV427)</f>
        <v>0</v>
      </c>
      <c r="CL427" s="230">
        <f>SUMIF(SET!$G$121:$M$121,CL$178,SET!$AM11:$AS11)+SUMIF($CS$178:$CV$178,CL$178,$CS427:$CV427)</f>
        <v>0</v>
      </c>
      <c r="CM427" s="230">
        <f>SUMIF(SET!$G$121:$M$121,CM$178,SET!$AM11:$AS11)+SUMIF($CS$178:$CV$178,CM$178,$CS427:$CV427)</f>
        <v>0</v>
      </c>
      <c r="CN427" s="230">
        <f>SUMIF(SET!$G$121:$M$121,CN$178,SET!$AM11:$AS11)+SUMIF($CS$178:$CV$178,CN$178,$CS427:$CV427)</f>
        <v>0</v>
      </c>
      <c r="CO427" s="230">
        <f>SUMIF(SET!$G$121:$M$121,CO$178,SET!$AM11:$AS11)+SUMIF($CS$178:$CV$178,CO$178,$CS427:$CV427)</f>
        <v>0</v>
      </c>
      <c r="CP427" s="230">
        <f>SUMIF(SET!$G$121:$M$121,CP$178,SET!$AM11:$AS11)+SUMIF($CS$178:$CV$178,CP$178,$CS427:$CV427)</f>
        <v>0</v>
      </c>
      <c r="CQ427" s="231">
        <f>SUMIF(SET!$G$121:$M$121,CQ$178,SET!$AM11:$AS11)+SUMIF($CS$178:$CV$178,CQ$178,$CS427:$CV427)</f>
        <v>0</v>
      </c>
      <c r="CR427" s="521">
        <f>SET!AU11</f>
        <v>0</v>
      </c>
      <c r="CS427" s="228">
        <f>SET!AV11</f>
        <v>0</v>
      </c>
      <c r="CT427" s="229">
        <f>SET!AW11</f>
        <v>0</v>
      </c>
      <c r="CU427" s="230">
        <f>SET!AX11</f>
        <v>0</v>
      </c>
      <c r="CV427" s="231">
        <f>SET!AY11</f>
        <v>0</v>
      </c>
      <c r="CW427" s="521">
        <f>SUM(SET!AU11:AY11)</f>
        <v>0</v>
      </c>
      <c r="CX427" s="521">
        <f>SET!AK11</f>
        <v>0</v>
      </c>
      <c r="CY427" s="2"/>
    </row>
    <row r="428" spans="1:103" ht="14.25" hidden="1" customHeight="1" x14ac:dyDescent="0.2">
      <c r="A428" s="2"/>
      <c r="B428" s="105">
        <f t="shared" si="92"/>
        <v>45540</v>
      </c>
      <c r="C428" s="146">
        <f>IF(AND(E428&gt;(N$559-1),E428&lt;(R$559+1)),W$551,IF(ISERROR(HLOOKUP(E428,$N$552:$U$552,1,FALSE)),HLOOKUP(WEEKDAY(E428,2),IMPOSTAZIONI!$C$52:$P$57,6,FALSE),$W$550))</f>
        <v>0</v>
      </c>
      <c r="D428" s="71" t="str">
        <f t="shared" si="93"/>
        <v/>
      </c>
      <c r="E428" s="2258">
        <f t="shared" si="98"/>
        <v>45540</v>
      </c>
      <c r="F428" s="2259"/>
      <c r="G428" s="2228" t="str">
        <f>SET!E12</f>
        <v xml:space="preserve">disattivato  </v>
      </c>
      <c r="H428" s="2229"/>
      <c r="I428" s="2230"/>
      <c r="J428" s="262" t="str">
        <f t="shared" si="83"/>
        <v/>
      </c>
      <c r="K428" s="263"/>
      <c r="L428" s="2217">
        <f t="shared" si="99"/>
        <v>36</v>
      </c>
      <c r="M428" s="2218"/>
      <c r="N428" s="261"/>
      <c r="O428" s="261"/>
      <c r="P428" s="261"/>
      <c r="Q428" s="2219">
        <f t="shared" si="94"/>
        <v>45540</v>
      </c>
      <c r="R428" s="2219"/>
      <c r="S428" s="261"/>
      <c r="T428" s="1173">
        <f t="shared" si="84"/>
        <v>1</v>
      </c>
      <c r="U428" s="261"/>
      <c r="V428" s="261"/>
      <c r="W428" s="261"/>
      <c r="X428" s="261"/>
      <c r="Y428" s="261"/>
      <c r="Z428" s="261"/>
      <c r="AA428" s="261"/>
      <c r="AB428" s="261"/>
      <c r="AC428" s="261"/>
      <c r="AD428" s="261"/>
      <c r="AE428" s="261"/>
      <c r="AF428" s="261"/>
      <c r="AG428" s="1173">
        <f t="shared" si="95"/>
        <v>0</v>
      </c>
      <c r="AH428" s="61" t="str">
        <f t="shared" si="96"/>
        <v/>
      </c>
      <c r="AI428" s="89" t="e">
        <f t="shared" si="97"/>
        <v>#N/A</v>
      </c>
      <c r="AJ428" s="2"/>
      <c r="AK428" s="61">
        <f>IF(G428=G$547,0,IF(OR(G428&lt;&gt;0,CH428&lt;&gt;0,C428="L"),COUNTIF(AK$180:AK427,"&gt;0")+1,0))</f>
        <v>0</v>
      </c>
      <c r="AL428" s="61" t="str">
        <f t="shared" si="85"/>
        <v/>
      </c>
      <c r="AM428" s="61" t="e">
        <f t="shared" si="86"/>
        <v>#N/A</v>
      </c>
      <c r="AN428" s="89" t="e">
        <f t="shared" si="87"/>
        <v>#N/A</v>
      </c>
      <c r="AO428" s="230">
        <f>SUM(SET!X12:AD12)-BD428+AY428</f>
        <v>0</v>
      </c>
      <c r="AP428" s="228">
        <f>SUMIF(SET!$G$121:$M$121,AP$178,SET!$P12:$V12)+SUMIF($AZ$178:$BC$178,AP$178,$AZ428:$BC428)</f>
        <v>0</v>
      </c>
      <c r="AQ428" s="229">
        <f>SUMIF(SET!$G$121:$M$121,AQ$178,SET!$P12:$V12)+SUMIF($AZ$178:$BC$178,AQ$178,$AZ428:$BC428)</f>
        <v>0</v>
      </c>
      <c r="AR428" s="230">
        <f>SUMIF(SET!$G$121:$M$121,AR$178,SET!$P12:$V12)+SUMIF($AZ$178:$BC$178,AR$178,$AZ428:$BC428)</f>
        <v>0</v>
      </c>
      <c r="AS428" s="230">
        <f>SUMIF(SET!$G$121:$M$121,AS$178,SET!$P12:$V12)+SUMIF($AZ$178:$BC$178,AS$178,$AZ428:$BC428)</f>
        <v>0</v>
      </c>
      <c r="AT428" s="230">
        <f>SUMIF(SET!$G$121:$M$121,AT$178,SET!$P12:$V12)+SUMIF($AZ$178:$BC$178,AT$178,$AZ428:$BC428)</f>
        <v>0</v>
      </c>
      <c r="AU428" s="230">
        <f>SUMIF(SET!$G$121:$M$121,AU$178,SET!$P12:$V12)+SUMIF($AZ$178:$BC$178,AU$178,$AZ428:$BC428)</f>
        <v>0</v>
      </c>
      <c r="AV428" s="230">
        <f>SUMIF(SET!$G$121:$M$121,AV$178,SET!$P12:$V12)+SUMIF($AZ$178:$BC$178,AV$178,$AZ428:$BC428)</f>
        <v>0</v>
      </c>
      <c r="AW428" s="230">
        <f>SUMIF(SET!$G$121:$M$121,AW$178,SET!$P12:$V12)+SUMIF($AZ$178:$BC$178,AW$178,$AZ428:$BC428)</f>
        <v>0</v>
      </c>
      <c r="AX428" s="231">
        <f>SUMIF(SET!$G$121:$M$121,AX$178,SET!$P12:$V12)+SUMIF($AZ$178:$BC$178,AX$178,$AZ428:$BC428)</f>
        <v>0</v>
      </c>
      <c r="AY428" s="232">
        <f>SET!AF12</f>
        <v>0</v>
      </c>
      <c r="AZ428" s="228">
        <f>SET!AG12</f>
        <v>0</v>
      </c>
      <c r="BA428" s="229">
        <f>SET!AH12</f>
        <v>0</v>
      </c>
      <c r="BB428" s="230">
        <f>SET!AI12</f>
        <v>0</v>
      </c>
      <c r="BC428" s="231">
        <f>SET!AJ12</f>
        <v>0</v>
      </c>
      <c r="BD428" s="228">
        <f>SUMIF(SET!$G$120:$M$120,"&gt;0",SET!$X12:$AD12)</f>
        <v>0</v>
      </c>
      <c r="BE428" s="696"/>
      <c r="BF428" s="228">
        <f>SUMIF(SET!$BA$6:$BG$6,BF$177,SET!$BA12:$BG12)</f>
        <v>0</v>
      </c>
      <c r="BG428" s="229">
        <f>SUMIF(SET!$BA$6:$BG$6,BG$177,SET!$BA12:$BG12)</f>
        <v>0</v>
      </c>
      <c r="BH428" s="229">
        <f>SUMIF(SET!$BA$6:$BG$6,BH$177,SET!$BA12:$BG12)</f>
        <v>0</v>
      </c>
      <c r="BI428" s="229">
        <f>SUMIF(SET!$BA$6:$BG$6,BI$177,SET!$BA12:$BG12)</f>
        <v>0</v>
      </c>
      <c r="BJ428" s="229">
        <f>SUMIF(SET!$BA$6:$BG$6,BJ$177,SET!$BA12:$BG12)</f>
        <v>0</v>
      </c>
      <c r="BK428" s="229">
        <f>SUMIF(SET!$BA$6:$BG$6,BK$177,SET!$BA12:$BG12)</f>
        <v>0</v>
      </c>
      <c r="BL428" s="229">
        <f>SUMIF(SET!$BA$6:$BG$6,BL$177,SET!$BA12:$BG12)</f>
        <v>0</v>
      </c>
      <c r="BM428" s="229">
        <f>SUMIF(SET!$BA$6:$BG$6,BM$177,SET!$BA12:$BG12)</f>
        <v>0</v>
      </c>
      <c r="BN428" s="229">
        <f>SUMIF(SET!$BA$6:$BG$6,BN$177,SET!$BA12:$BG12)</f>
        <v>0</v>
      </c>
      <c r="BO428" s="231">
        <f>SUMIF(SET!$BA$6:$BG$6,BO$177,SET!$BA12:$BG12)</f>
        <v>0</v>
      </c>
      <c r="BP428" s="231">
        <f>SUMIF(SET!$BA$6:$BG$6,BP$177,SET!$BA12:$BG12)</f>
        <v>0</v>
      </c>
      <c r="BQ428" s="252"/>
      <c r="BR428" s="228">
        <f>SUMIF(SET!$BA$5:$BG$5,BR$177,SET!$BA12:$BG12)</f>
        <v>0</v>
      </c>
      <c r="BS428" s="229">
        <f>SUMIF(SET!$BA$5:$BG$5,BS$177,SET!$BA12:$BG12)</f>
        <v>0</v>
      </c>
      <c r="BT428" s="229">
        <f>SUMIF(SET!$BA$5:$BG$5,BT$177,SET!$BA12:$BG12)</f>
        <v>0</v>
      </c>
      <c r="BU428" s="229">
        <f>SUMIF(SET!$BA$5:$BG$5,BU$177,SET!$BA12:$BG12)</f>
        <v>0</v>
      </c>
      <c r="BV428" s="229">
        <f>SUMIF(SET!$BA$5:$BG$5,BV$177,SET!$BA12:$BG12)</f>
        <v>0</v>
      </c>
      <c r="BW428" s="229">
        <f>SUMIF(SET!$BA$5:$BG$5,BW$177,SET!$BA12:$BG12)</f>
        <v>0</v>
      </c>
      <c r="BX428" s="230">
        <f>SUMIF(SET!$BA$5:$BG$5,BX$177,SET!$BA12:$BG12)</f>
        <v>0</v>
      </c>
      <c r="BY428" s="998">
        <f>SUMIF(SET!$BA$5:$BG$5,BY$177,SET!$BA12:$BG12)</f>
        <v>0</v>
      </c>
      <c r="CB428" s="252"/>
      <c r="CC428" s="61" t="e">
        <f t="shared" si="88"/>
        <v>#N/A</v>
      </c>
      <c r="CD428" s="61">
        <f t="shared" si="89"/>
        <v>0</v>
      </c>
      <c r="CE428" s="105" t="str">
        <f t="shared" si="82"/>
        <v/>
      </c>
      <c r="CF428" s="61" t="e">
        <f t="shared" si="90"/>
        <v>#N/A</v>
      </c>
      <c r="CG428" s="61" t="e">
        <f t="shared" si="91"/>
        <v>#N/A</v>
      </c>
      <c r="CH428" s="521">
        <f>SET!AL12-CW428+CR428</f>
        <v>0</v>
      </c>
      <c r="CI428" s="228">
        <f>SUMIF(SET!$G$121:$M$121,CI$178,SET!$AM12:$AS12)+SUMIF($CS$178:$CV$178,CI$178,$CS428:$CV428)</f>
        <v>0</v>
      </c>
      <c r="CJ428" s="229">
        <f>SUMIF(SET!$G$121:$M$121,CJ$178,SET!$AM12:$AS12)+SUMIF($CS$178:$CV$178,CJ$178,$CS428:$CV428)</f>
        <v>0</v>
      </c>
      <c r="CK428" s="230">
        <f>SUMIF(SET!$G$121:$M$121,CK$178,SET!$AM12:$AS12)+SUMIF($CS$178:$CV$178,CK$178,$CS428:$CV428)</f>
        <v>0</v>
      </c>
      <c r="CL428" s="230">
        <f>SUMIF(SET!$G$121:$M$121,CL$178,SET!$AM12:$AS12)+SUMIF($CS$178:$CV$178,CL$178,$CS428:$CV428)</f>
        <v>0</v>
      </c>
      <c r="CM428" s="230">
        <f>SUMIF(SET!$G$121:$M$121,CM$178,SET!$AM12:$AS12)+SUMIF($CS$178:$CV$178,CM$178,$CS428:$CV428)</f>
        <v>0</v>
      </c>
      <c r="CN428" s="230">
        <f>SUMIF(SET!$G$121:$M$121,CN$178,SET!$AM12:$AS12)+SUMIF($CS$178:$CV$178,CN$178,$CS428:$CV428)</f>
        <v>0</v>
      </c>
      <c r="CO428" s="230">
        <f>SUMIF(SET!$G$121:$M$121,CO$178,SET!$AM12:$AS12)+SUMIF($CS$178:$CV$178,CO$178,$CS428:$CV428)</f>
        <v>0</v>
      </c>
      <c r="CP428" s="230">
        <f>SUMIF(SET!$G$121:$M$121,CP$178,SET!$AM12:$AS12)+SUMIF($CS$178:$CV$178,CP$178,$CS428:$CV428)</f>
        <v>0</v>
      </c>
      <c r="CQ428" s="231">
        <f>SUMIF(SET!$G$121:$M$121,CQ$178,SET!$AM12:$AS12)+SUMIF($CS$178:$CV$178,CQ$178,$CS428:$CV428)</f>
        <v>0</v>
      </c>
      <c r="CR428" s="521">
        <f>SET!AU12</f>
        <v>0</v>
      </c>
      <c r="CS428" s="228">
        <f>SET!AV12</f>
        <v>0</v>
      </c>
      <c r="CT428" s="229">
        <f>SET!AW12</f>
        <v>0</v>
      </c>
      <c r="CU428" s="230">
        <f>SET!AX12</f>
        <v>0</v>
      </c>
      <c r="CV428" s="231">
        <f>SET!AY12</f>
        <v>0</v>
      </c>
      <c r="CW428" s="521">
        <f>SUM(SET!AU12:AY12)</f>
        <v>0</v>
      </c>
      <c r="CX428" s="521">
        <f>SET!AK12</f>
        <v>0</v>
      </c>
      <c r="CY428" s="2"/>
    </row>
    <row r="429" spans="1:103" ht="14.25" hidden="1" customHeight="1" x14ac:dyDescent="0.2">
      <c r="A429" s="2"/>
      <c r="B429" s="105">
        <f t="shared" si="92"/>
        <v>45541</v>
      </c>
      <c r="C429" s="146">
        <f>IF(AND(E429&gt;(N$559-1),E429&lt;(R$559+1)),W$551,IF(ISERROR(HLOOKUP(E429,$N$552:$U$552,1,FALSE)),HLOOKUP(WEEKDAY(E429,2),IMPOSTAZIONI!$C$52:$P$57,6,FALSE),$W$550))</f>
        <v>0</v>
      </c>
      <c r="D429" s="71" t="str">
        <f t="shared" si="93"/>
        <v/>
      </c>
      <c r="E429" s="2258">
        <f t="shared" si="98"/>
        <v>45541</v>
      </c>
      <c r="F429" s="2259"/>
      <c r="G429" s="2228" t="str">
        <f>SET!E13</f>
        <v xml:space="preserve">disattivato  </v>
      </c>
      <c r="H429" s="2229"/>
      <c r="I429" s="2230"/>
      <c r="J429" s="262" t="str">
        <f t="shared" si="83"/>
        <v/>
      </c>
      <c r="K429" s="263"/>
      <c r="L429" s="2217">
        <f t="shared" si="99"/>
        <v>36</v>
      </c>
      <c r="M429" s="2218"/>
      <c r="N429" s="261"/>
      <c r="O429" s="261"/>
      <c r="P429" s="261"/>
      <c r="Q429" s="2219">
        <f t="shared" si="94"/>
        <v>45541</v>
      </c>
      <c r="R429" s="2219"/>
      <c r="S429" s="261"/>
      <c r="T429" s="1173">
        <f t="shared" si="84"/>
        <v>1</v>
      </c>
      <c r="U429" s="261"/>
      <c r="V429" s="261"/>
      <c r="W429" s="261"/>
      <c r="X429" s="261"/>
      <c r="Y429" s="261"/>
      <c r="Z429" s="261"/>
      <c r="AA429" s="261"/>
      <c r="AB429" s="261"/>
      <c r="AC429" s="261"/>
      <c r="AD429" s="261"/>
      <c r="AE429" s="261"/>
      <c r="AF429" s="261"/>
      <c r="AG429" s="1173">
        <f t="shared" si="95"/>
        <v>0</v>
      </c>
      <c r="AH429" s="61" t="str">
        <f t="shared" si="96"/>
        <v/>
      </c>
      <c r="AI429" s="89" t="e">
        <f t="shared" si="97"/>
        <v>#N/A</v>
      </c>
      <c r="AJ429" s="2"/>
      <c r="AK429" s="61">
        <f>IF(G429=G$547,0,IF(OR(G429&lt;&gt;0,CH429&lt;&gt;0,C429="L"),COUNTIF(AK$180:AK428,"&gt;0")+1,0))</f>
        <v>0</v>
      </c>
      <c r="AL429" s="61" t="str">
        <f t="shared" si="85"/>
        <v/>
      </c>
      <c r="AM429" s="61" t="e">
        <f t="shared" si="86"/>
        <v>#N/A</v>
      </c>
      <c r="AN429" s="89" t="e">
        <f t="shared" si="87"/>
        <v>#N/A</v>
      </c>
      <c r="AO429" s="230">
        <f>SUM(SET!X13:AD13)-BD429+AY429</f>
        <v>0</v>
      </c>
      <c r="AP429" s="228">
        <f>SUMIF(SET!$G$121:$M$121,AP$178,SET!$P13:$V13)+SUMIF($AZ$178:$BC$178,AP$178,$AZ429:$BC429)</f>
        <v>0</v>
      </c>
      <c r="AQ429" s="229">
        <f>SUMIF(SET!$G$121:$M$121,AQ$178,SET!$P13:$V13)+SUMIF($AZ$178:$BC$178,AQ$178,$AZ429:$BC429)</f>
        <v>0</v>
      </c>
      <c r="AR429" s="230">
        <f>SUMIF(SET!$G$121:$M$121,AR$178,SET!$P13:$V13)+SUMIF($AZ$178:$BC$178,AR$178,$AZ429:$BC429)</f>
        <v>0</v>
      </c>
      <c r="AS429" s="230">
        <f>SUMIF(SET!$G$121:$M$121,AS$178,SET!$P13:$V13)+SUMIF($AZ$178:$BC$178,AS$178,$AZ429:$BC429)</f>
        <v>0</v>
      </c>
      <c r="AT429" s="230">
        <f>SUMIF(SET!$G$121:$M$121,AT$178,SET!$P13:$V13)+SUMIF($AZ$178:$BC$178,AT$178,$AZ429:$BC429)</f>
        <v>0</v>
      </c>
      <c r="AU429" s="230">
        <f>SUMIF(SET!$G$121:$M$121,AU$178,SET!$P13:$V13)+SUMIF($AZ$178:$BC$178,AU$178,$AZ429:$BC429)</f>
        <v>0</v>
      </c>
      <c r="AV429" s="230">
        <f>SUMIF(SET!$G$121:$M$121,AV$178,SET!$P13:$V13)+SUMIF($AZ$178:$BC$178,AV$178,$AZ429:$BC429)</f>
        <v>0</v>
      </c>
      <c r="AW429" s="230">
        <f>SUMIF(SET!$G$121:$M$121,AW$178,SET!$P13:$V13)+SUMIF($AZ$178:$BC$178,AW$178,$AZ429:$BC429)</f>
        <v>0</v>
      </c>
      <c r="AX429" s="231">
        <f>SUMIF(SET!$G$121:$M$121,AX$178,SET!$P13:$V13)+SUMIF($AZ$178:$BC$178,AX$178,$AZ429:$BC429)</f>
        <v>0</v>
      </c>
      <c r="AY429" s="232">
        <f>SET!AF13</f>
        <v>0</v>
      </c>
      <c r="AZ429" s="228">
        <f>SET!AG13</f>
        <v>0</v>
      </c>
      <c r="BA429" s="229">
        <f>SET!AH13</f>
        <v>0</v>
      </c>
      <c r="BB429" s="230">
        <f>SET!AI13</f>
        <v>0</v>
      </c>
      <c r="BC429" s="231">
        <f>SET!AJ13</f>
        <v>0</v>
      </c>
      <c r="BD429" s="228">
        <f>SUMIF(SET!$G$120:$M$120,"&gt;0",SET!$X13:$AD13)</f>
        <v>0</v>
      </c>
      <c r="BE429" s="696"/>
      <c r="BF429" s="228">
        <f>SUMIF(SET!$BA$6:$BG$6,BF$177,SET!$BA13:$BG13)</f>
        <v>0</v>
      </c>
      <c r="BG429" s="229">
        <f>SUMIF(SET!$BA$6:$BG$6,BG$177,SET!$BA13:$BG13)</f>
        <v>0</v>
      </c>
      <c r="BH429" s="229">
        <f>SUMIF(SET!$BA$6:$BG$6,BH$177,SET!$BA13:$BG13)</f>
        <v>0</v>
      </c>
      <c r="BI429" s="229">
        <f>SUMIF(SET!$BA$6:$BG$6,BI$177,SET!$BA13:$BG13)</f>
        <v>0</v>
      </c>
      <c r="BJ429" s="229">
        <f>SUMIF(SET!$BA$6:$BG$6,BJ$177,SET!$BA13:$BG13)</f>
        <v>0</v>
      </c>
      <c r="BK429" s="229">
        <f>SUMIF(SET!$BA$6:$BG$6,BK$177,SET!$BA13:$BG13)</f>
        <v>0</v>
      </c>
      <c r="BL429" s="229">
        <f>SUMIF(SET!$BA$6:$BG$6,BL$177,SET!$BA13:$BG13)</f>
        <v>0</v>
      </c>
      <c r="BM429" s="229">
        <f>SUMIF(SET!$BA$6:$BG$6,BM$177,SET!$BA13:$BG13)</f>
        <v>0</v>
      </c>
      <c r="BN429" s="229">
        <f>SUMIF(SET!$BA$6:$BG$6,BN$177,SET!$BA13:$BG13)</f>
        <v>0</v>
      </c>
      <c r="BO429" s="231">
        <f>SUMIF(SET!$BA$6:$BG$6,BO$177,SET!$BA13:$BG13)</f>
        <v>0</v>
      </c>
      <c r="BP429" s="231">
        <f>SUMIF(SET!$BA$6:$BG$6,BP$177,SET!$BA13:$BG13)</f>
        <v>0</v>
      </c>
      <c r="BQ429" s="252"/>
      <c r="BR429" s="228">
        <f>SUMIF(SET!$BA$5:$BG$5,BR$177,SET!$BA13:$BG13)</f>
        <v>0</v>
      </c>
      <c r="BS429" s="229">
        <f>SUMIF(SET!$BA$5:$BG$5,BS$177,SET!$BA13:$BG13)</f>
        <v>0</v>
      </c>
      <c r="BT429" s="229">
        <f>SUMIF(SET!$BA$5:$BG$5,BT$177,SET!$BA13:$BG13)</f>
        <v>0</v>
      </c>
      <c r="BU429" s="229">
        <f>SUMIF(SET!$BA$5:$BG$5,BU$177,SET!$BA13:$BG13)</f>
        <v>0</v>
      </c>
      <c r="BV429" s="229">
        <f>SUMIF(SET!$BA$5:$BG$5,BV$177,SET!$BA13:$BG13)</f>
        <v>0</v>
      </c>
      <c r="BW429" s="229">
        <f>SUMIF(SET!$BA$5:$BG$5,BW$177,SET!$BA13:$BG13)</f>
        <v>0</v>
      </c>
      <c r="BX429" s="230">
        <f>SUMIF(SET!$BA$5:$BG$5,BX$177,SET!$BA13:$BG13)</f>
        <v>0</v>
      </c>
      <c r="BY429" s="998">
        <f>SUMIF(SET!$BA$5:$BG$5,BY$177,SET!$BA13:$BG13)</f>
        <v>0</v>
      </c>
      <c r="CB429" s="252"/>
      <c r="CC429" s="61" t="e">
        <f t="shared" si="88"/>
        <v>#N/A</v>
      </c>
      <c r="CD429" s="61">
        <f t="shared" si="89"/>
        <v>0</v>
      </c>
      <c r="CE429" s="105" t="str">
        <f t="shared" si="82"/>
        <v/>
      </c>
      <c r="CF429" s="61" t="e">
        <f t="shared" si="90"/>
        <v>#N/A</v>
      </c>
      <c r="CG429" s="61" t="e">
        <f t="shared" si="91"/>
        <v>#N/A</v>
      </c>
      <c r="CH429" s="521">
        <f>SET!AL13-CW429+CR429</f>
        <v>0</v>
      </c>
      <c r="CI429" s="228">
        <f>SUMIF(SET!$G$121:$M$121,CI$178,SET!$AM13:$AS13)+SUMIF($CS$178:$CV$178,CI$178,$CS429:$CV429)</f>
        <v>0</v>
      </c>
      <c r="CJ429" s="229">
        <f>SUMIF(SET!$G$121:$M$121,CJ$178,SET!$AM13:$AS13)+SUMIF($CS$178:$CV$178,CJ$178,$CS429:$CV429)</f>
        <v>0</v>
      </c>
      <c r="CK429" s="230">
        <f>SUMIF(SET!$G$121:$M$121,CK$178,SET!$AM13:$AS13)+SUMIF($CS$178:$CV$178,CK$178,$CS429:$CV429)</f>
        <v>0</v>
      </c>
      <c r="CL429" s="230">
        <f>SUMIF(SET!$G$121:$M$121,CL$178,SET!$AM13:$AS13)+SUMIF($CS$178:$CV$178,CL$178,$CS429:$CV429)</f>
        <v>0</v>
      </c>
      <c r="CM429" s="230">
        <f>SUMIF(SET!$G$121:$M$121,CM$178,SET!$AM13:$AS13)+SUMIF($CS$178:$CV$178,CM$178,$CS429:$CV429)</f>
        <v>0</v>
      </c>
      <c r="CN429" s="230">
        <f>SUMIF(SET!$G$121:$M$121,CN$178,SET!$AM13:$AS13)+SUMIF($CS$178:$CV$178,CN$178,$CS429:$CV429)</f>
        <v>0</v>
      </c>
      <c r="CO429" s="230">
        <f>SUMIF(SET!$G$121:$M$121,CO$178,SET!$AM13:$AS13)+SUMIF($CS$178:$CV$178,CO$178,$CS429:$CV429)</f>
        <v>0</v>
      </c>
      <c r="CP429" s="230">
        <f>SUMIF(SET!$G$121:$M$121,CP$178,SET!$AM13:$AS13)+SUMIF($CS$178:$CV$178,CP$178,$CS429:$CV429)</f>
        <v>0</v>
      </c>
      <c r="CQ429" s="231">
        <f>SUMIF(SET!$G$121:$M$121,CQ$178,SET!$AM13:$AS13)+SUMIF($CS$178:$CV$178,CQ$178,$CS429:$CV429)</f>
        <v>0</v>
      </c>
      <c r="CR429" s="521">
        <f>SET!AU13</f>
        <v>0</v>
      </c>
      <c r="CS429" s="228">
        <f>SET!AV13</f>
        <v>0</v>
      </c>
      <c r="CT429" s="229">
        <f>SET!AW13</f>
        <v>0</v>
      </c>
      <c r="CU429" s="230">
        <f>SET!AX13</f>
        <v>0</v>
      </c>
      <c r="CV429" s="231">
        <f>SET!AY13</f>
        <v>0</v>
      </c>
      <c r="CW429" s="521">
        <f>SUM(SET!AU13:AY13)</f>
        <v>0</v>
      </c>
      <c r="CX429" s="521">
        <f>SET!AK13</f>
        <v>0</v>
      </c>
      <c r="CY429" s="2"/>
    </row>
    <row r="430" spans="1:103" ht="14.25" hidden="1" customHeight="1" x14ac:dyDescent="0.2">
      <c r="A430" s="2"/>
      <c r="B430" s="105">
        <f t="shared" si="92"/>
        <v>45542</v>
      </c>
      <c r="C430" s="146">
        <f>IF(AND(E430&gt;(N$559-1),E430&lt;(R$559+1)),W$551,IF(ISERROR(HLOOKUP(E430,$N$552:$U$552,1,FALSE)),HLOOKUP(WEEKDAY(E430,2),IMPOSTAZIONI!$C$52:$P$57,6,FALSE),$W$550))</f>
        <v>0</v>
      </c>
      <c r="D430" s="71" t="str">
        <f t="shared" si="93"/>
        <v/>
      </c>
      <c r="E430" s="2258">
        <f t="shared" si="98"/>
        <v>45542</v>
      </c>
      <c r="F430" s="2259"/>
      <c r="G430" s="2228" t="str">
        <f>SET!E14</f>
        <v xml:space="preserve">disattivato  </v>
      </c>
      <c r="H430" s="2229"/>
      <c r="I430" s="2230"/>
      <c r="J430" s="262" t="str">
        <f t="shared" si="83"/>
        <v/>
      </c>
      <c r="K430" s="263"/>
      <c r="L430" s="2217">
        <f t="shared" si="99"/>
        <v>36</v>
      </c>
      <c r="M430" s="2218"/>
      <c r="N430" s="261"/>
      <c r="O430" s="261"/>
      <c r="P430" s="261"/>
      <c r="Q430" s="2219">
        <f t="shared" si="94"/>
        <v>45542</v>
      </c>
      <c r="R430" s="2219"/>
      <c r="S430" s="261"/>
      <c r="T430" s="1173">
        <f t="shared" si="84"/>
        <v>1</v>
      </c>
      <c r="U430" s="261"/>
      <c r="V430" s="261"/>
      <c r="W430" s="261"/>
      <c r="X430" s="261"/>
      <c r="Y430" s="261"/>
      <c r="Z430" s="261"/>
      <c r="AA430" s="261"/>
      <c r="AB430" s="261"/>
      <c r="AC430" s="261"/>
      <c r="AD430" s="261"/>
      <c r="AE430" s="261"/>
      <c r="AF430" s="261"/>
      <c r="AG430" s="1173">
        <f t="shared" si="95"/>
        <v>0</v>
      </c>
      <c r="AH430" s="61" t="str">
        <f t="shared" si="96"/>
        <v/>
      </c>
      <c r="AI430" s="89" t="e">
        <f t="shared" si="97"/>
        <v>#N/A</v>
      </c>
      <c r="AJ430" s="2"/>
      <c r="AK430" s="61">
        <f>IF(G430=G$547,0,IF(OR(G430&lt;&gt;0,CH430&lt;&gt;0,C430="L"),COUNTIF(AK$180:AK429,"&gt;0")+1,0))</f>
        <v>0</v>
      </c>
      <c r="AL430" s="61" t="str">
        <f t="shared" si="85"/>
        <v/>
      </c>
      <c r="AM430" s="61" t="e">
        <f t="shared" si="86"/>
        <v>#N/A</v>
      </c>
      <c r="AN430" s="89" t="e">
        <f t="shared" si="87"/>
        <v>#N/A</v>
      </c>
      <c r="AO430" s="230">
        <f>SUM(SET!X14:AD14)-BD430+AY430</f>
        <v>0</v>
      </c>
      <c r="AP430" s="228">
        <f>SUMIF(SET!$G$121:$M$121,AP$178,SET!$P14:$V14)+SUMIF($AZ$178:$BC$178,AP$178,$AZ430:$BC430)</f>
        <v>0</v>
      </c>
      <c r="AQ430" s="229">
        <f>SUMIF(SET!$G$121:$M$121,AQ$178,SET!$P14:$V14)+SUMIF($AZ$178:$BC$178,AQ$178,$AZ430:$BC430)</f>
        <v>0</v>
      </c>
      <c r="AR430" s="230">
        <f>SUMIF(SET!$G$121:$M$121,AR$178,SET!$P14:$V14)+SUMIF($AZ$178:$BC$178,AR$178,$AZ430:$BC430)</f>
        <v>0</v>
      </c>
      <c r="AS430" s="230">
        <f>SUMIF(SET!$G$121:$M$121,AS$178,SET!$P14:$V14)+SUMIF($AZ$178:$BC$178,AS$178,$AZ430:$BC430)</f>
        <v>0</v>
      </c>
      <c r="AT430" s="230">
        <f>SUMIF(SET!$G$121:$M$121,AT$178,SET!$P14:$V14)+SUMIF($AZ$178:$BC$178,AT$178,$AZ430:$BC430)</f>
        <v>0</v>
      </c>
      <c r="AU430" s="230">
        <f>SUMIF(SET!$G$121:$M$121,AU$178,SET!$P14:$V14)+SUMIF($AZ$178:$BC$178,AU$178,$AZ430:$BC430)</f>
        <v>0</v>
      </c>
      <c r="AV430" s="230">
        <f>SUMIF(SET!$G$121:$M$121,AV$178,SET!$P14:$V14)+SUMIF($AZ$178:$BC$178,AV$178,$AZ430:$BC430)</f>
        <v>0</v>
      </c>
      <c r="AW430" s="230">
        <f>SUMIF(SET!$G$121:$M$121,AW$178,SET!$P14:$V14)+SUMIF($AZ$178:$BC$178,AW$178,$AZ430:$BC430)</f>
        <v>0</v>
      </c>
      <c r="AX430" s="231">
        <f>SUMIF(SET!$G$121:$M$121,AX$178,SET!$P14:$V14)+SUMIF($AZ$178:$BC$178,AX$178,$AZ430:$BC430)</f>
        <v>0</v>
      </c>
      <c r="AY430" s="232">
        <f>SET!AF14</f>
        <v>0</v>
      </c>
      <c r="AZ430" s="228">
        <f>SET!AG14</f>
        <v>0</v>
      </c>
      <c r="BA430" s="229">
        <f>SET!AH14</f>
        <v>0</v>
      </c>
      <c r="BB430" s="230">
        <f>SET!AI14</f>
        <v>0</v>
      </c>
      <c r="BC430" s="231">
        <f>SET!AJ14</f>
        <v>0</v>
      </c>
      <c r="BD430" s="228">
        <f>SUMIF(SET!$G$120:$M$120,"&gt;0",SET!$X14:$AD14)</f>
        <v>0</v>
      </c>
      <c r="BE430" s="696"/>
      <c r="BF430" s="228">
        <f>SUMIF(SET!$BA$6:$BG$6,BF$177,SET!$BA14:$BG14)</f>
        <v>0</v>
      </c>
      <c r="BG430" s="229">
        <f>SUMIF(SET!$BA$6:$BG$6,BG$177,SET!$BA14:$BG14)</f>
        <v>0</v>
      </c>
      <c r="BH430" s="229">
        <f>SUMIF(SET!$BA$6:$BG$6,BH$177,SET!$BA14:$BG14)</f>
        <v>0</v>
      </c>
      <c r="BI430" s="229">
        <f>SUMIF(SET!$BA$6:$BG$6,BI$177,SET!$BA14:$BG14)</f>
        <v>0</v>
      </c>
      <c r="BJ430" s="229">
        <f>SUMIF(SET!$BA$6:$BG$6,BJ$177,SET!$BA14:$BG14)</f>
        <v>0</v>
      </c>
      <c r="BK430" s="229">
        <f>SUMIF(SET!$BA$6:$BG$6,BK$177,SET!$BA14:$BG14)</f>
        <v>0</v>
      </c>
      <c r="BL430" s="229">
        <f>SUMIF(SET!$BA$6:$BG$6,BL$177,SET!$BA14:$BG14)</f>
        <v>0</v>
      </c>
      <c r="BM430" s="229">
        <f>SUMIF(SET!$BA$6:$BG$6,BM$177,SET!$BA14:$BG14)</f>
        <v>0</v>
      </c>
      <c r="BN430" s="229">
        <f>SUMIF(SET!$BA$6:$BG$6,BN$177,SET!$BA14:$BG14)</f>
        <v>0</v>
      </c>
      <c r="BO430" s="231">
        <f>SUMIF(SET!$BA$6:$BG$6,BO$177,SET!$BA14:$BG14)</f>
        <v>0</v>
      </c>
      <c r="BP430" s="231">
        <f>SUMIF(SET!$BA$6:$BG$6,BP$177,SET!$BA14:$BG14)</f>
        <v>0</v>
      </c>
      <c r="BQ430" s="252"/>
      <c r="BR430" s="228">
        <f>SUMIF(SET!$BA$5:$BG$5,BR$177,SET!$BA14:$BG14)</f>
        <v>0</v>
      </c>
      <c r="BS430" s="229">
        <f>SUMIF(SET!$BA$5:$BG$5,BS$177,SET!$BA14:$BG14)</f>
        <v>0</v>
      </c>
      <c r="BT430" s="229">
        <f>SUMIF(SET!$BA$5:$BG$5,BT$177,SET!$BA14:$BG14)</f>
        <v>0</v>
      </c>
      <c r="BU430" s="229">
        <f>SUMIF(SET!$BA$5:$BG$5,BU$177,SET!$BA14:$BG14)</f>
        <v>0</v>
      </c>
      <c r="BV430" s="229">
        <f>SUMIF(SET!$BA$5:$BG$5,BV$177,SET!$BA14:$BG14)</f>
        <v>0</v>
      </c>
      <c r="BW430" s="229">
        <f>SUMIF(SET!$BA$5:$BG$5,BW$177,SET!$BA14:$BG14)</f>
        <v>0</v>
      </c>
      <c r="BX430" s="230">
        <f>SUMIF(SET!$BA$5:$BG$5,BX$177,SET!$BA14:$BG14)</f>
        <v>0</v>
      </c>
      <c r="BY430" s="998">
        <f>SUMIF(SET!$BA$5:$BG$5,BY$177,SET!$BA14:$BG14)</f>
        <v>0</v>
      </c>
      <c r="CB430" s="252"/>
      <c r="CC430" s="61" t="e">
        <f t="shared" si="88"/>
        <v>#N/A</v>
      </c>
      <c r="CD430" s="61">
        <f t="shared" si="89"/>
        <v>0</v>
      </c>
      <c r="CE430" s="105" t="str">
        <f t="shared" si="82"/>
        <v/>
      </c>
      <c r="CF430" s="61" t="e">
        <f t="shared" si="90"/>
        <v>#N/A</v>
      </c>
      <c r="CG430" s="61" t="e">
        <f t="shared" si="91"/>
        <v>#N/A</v>
      </c>
      <c r="CH430" s="521">
        <f>SET!AL14-CW430+CR430</f>
        <v>0</v>
      </c>
      <c r="CI430" s="228">
        <f>SUMIF(SET!$G$121:$M$121,CI$178,SET!$AM14:$AS14)+SUMIF($CS$178:$CV$178,CI$178,$CS430:$CV430)</f>
        <v>0</v>
      </c>
      <c r="CJ430" s="229">
        <f>SUMIF(SET!$G$121:$M$121,CJ$178,SET!$AM14:$AS14)+SUMIF($CS$178:$CV$178,CJ$178,$CS430:$CV430)</f>
        <v>0</v>
      </c>
      <c r="CK430" s="230">
        <f>SUMIF(SET!$G$121:$M$121,CK$178,SET!$AM14:$AS14)+SUMIF($CS$178:$CV$178,CK$178,$CS430:$CV430)</f>
        <v>0</v>
      </c>
      <c r="CL430" s="230">
        <f>SUMIF(SET!$G$121:$M$121,CL$178,SET!$AM14:$AS14)+SUMIF($CS$178:$CV$178,CL$178,$CS430:$CV430)</f>
        <v>0</v>
      </c>
      <c r="CM430" s="230">
        <f>SUMIF(SET!$G$121:$M$121,CM$178,SET!$AM14:$AS14)+SUMIF($CS$178:$CV$178,CM$178,$CS430:$CV430)</f>
        <v>0</v>
      </c>
      <c r="CN430" s="230">
        <f>SUMIF(SET!$G$121:$M$121,CN$178,SET!$AM14:$AS14)+SUMIF($CS$178:$CV$178,CN$178,$CS430:$CV430)</f>
        <v>0</v>
      </c>
      <c r="CO430" s="230">
        <f>SUMIF(SET!$G$121:$M$121,CO$178,SET!$AM14:$AS14)+SUMIF($CS$178:$CV$178,CO$178,$CS430:$CV430)</f>
        <v>0</v>
      </c>
      <c r="CP430" s="230">
        <f>SUMIF(SET!$G$121:$M$121,CP$178,SET!$AM14:$AS14)+SUMIF($CS$178:$CV$178,CP$178,$CS430:$CV430)</f>
        <v>0</v>
      </c>
      <c r="CQ430" s="231">
        <f>SUMIF(SET!$G$121:$M$121,CQ$178,SET!$AM14:$AS14)+SUMIF($CS$178:$CV$178,CQ$178,$CS430:$CV430)</f>
        <v>0</v>
      </c>
      <c r="CR430" s="521">
        <f>SET!AU14</f>
        <v>0</v>
      </c>
      <c r="CS430" s="228">
        <f>SET!AV14</f>
        <v>0</v>
      </c>
      <c r="CT430" s="229">
        <f>SET!AW14</f>
        <v>0</v>
      </c>
      <c r="CU430" s="230">
        <f>SET!AX14</f>
        <v>0</v>
      </c>
      <c r="CV430" s="231">
        <f>SET!AY14</f>
        <v>0</v>
      </c>
      <c r="CW430" s="521">
        <f>SUM(SET!AU14:AY14)</f>
        <v>0</v>
      </c>
      <c r="CX430" s="521">
        <f>SET!AK14</f>
        <v>0</v>
      </c>
      <c r="CY430" s="2"/>
    </row>
    <row r="431" spans="1:103" ht="14.25" hidden="1" customHeight="1" x14ac:dyDescent="0.2">
      <c r="A431" s="2"/>
      <c r="B431" s="105">
        <f t="shared" si="92"/>
        <v>45543</v>
      </c>
      <c r="C431" s="146">
        <f>IF(AND(E431&gt;(N$559-1),E431&lt;(R$559+1)),W$551,IF(ISERROR(HLOOKUP(E431,$N$552:$U$552,1,FALSE)),HLOOKUP(WEEKDAY(E431,2),IMPOSTAZIONI!$C$52:$P$57,6,FALSE),$W$550))</f>
        <v>0</v>
      </c>
      <c r="D431" s="71" t="str">
        <f t="shared" si="93"/>
        <v/>
      </c>
      <c r="E431" s="2258">
        <f t="shared" si="98"/>
        <v>45543</v>
      </c>
      <c r="F431" s="2259"/>
      <c r="G431" s="2228" t="str">
        <f>SET!E15</f>
        <v xml:space="preserve">disattivato  </v>
      </c>
      <c r="H431" s="2229"/>
      <c r="I431" s="2230"/>
      <c r="J431" s="262" t="str">
        <f t="shared" si="83"/>
        <v/>
      </c>
      <c r="K431" s="263"/>
      <c r="L431" s="2220">
        <f t="shared" si="99"/>
        <v>36</v>
      </c>
      <c r="M431" s="2221"/>
      <c r="N431" s="261"/>
      <c r="O431" s="261"/>
      <c r="P431" s="261"/>
      <c r="Q431" s="2219">
        <f t="shared" si="94"/>
        <v>45543</v>
      </c>
      <c r="R431" s="2219"/>
      <c r="S431" s="261"/>
      <c r="T431" s="1173">
        <f t="shared" si="84"/>
        <v>1</v>
      </c>
      <c r="U431" s="261"/>
      <c r="V431" s="261"/>
      <c r="W431" s="261"/>
      <c r="X431" s="261"/>
      <c r="Y431" s="261"/>
      <c r="Z431" s="261"/>
      <c r="AA431" s="261"/>
      <c r="AB431" s="261"/>
      <c r="AC431" s="261"/>
      <c r="AD431" s="261"/>
      <c r="AE431" s="261"/>
      <c r="AF431" s="261"/>
      <c r="AG431" s="1173">
        <f t="shared" si="95"/>
        <v>0</v>
      </c>
      <c r="AH431" s="61" t="str">
        <f t="shared" si="96"/>
        <v/>
      </c>
      <c r="AI431" s="89" t="e">
        <f t="shared" si="97"/>
        <v>#N/A</v>
      </c>
      <c r="AJ431" s="2"/>
      <c r="AK431" s="61">
        <f>IF(G431=G$547,0,IF(OR(G431&lt;&gt;0,CH431&lt;&gt;0,C431="L"),COUNTIF(AK$180:AK430,"&gt;0")+1,0))</f>
        <v>0</v>
      </c>
      <c r="AL431" s="61" t="str">
        <f t="shared" si="85"/>
        <v/>
      </c>
      <c r="AM431" s="61" t="e">
        <f t="shared" si="86"/>
        <v>#N/A</v>
      </c>
      <c r="AN431" s="89" t="e">
        <f t="shared" si="87"/>
        <v>#N/A</v>
      </c>
      <c r="AO431" s="230">
        <f>SUM(SET!X15:AD15)-BD431+AY431</f>
        <v>0</v>
      </c>
      <c r="AP431" s="228">
        <f>SUMIF(SET!$G$121:$M$121,AP$178,SET!$P15:$V15)+SUMIF($AZ$178:$BC$178,AP$178,$AZ431:$BC431)</f>
        <v>0</v>
      </c>
      <c r="AQ431" s="229">
        <f>SUMIF(SET!$G$121:$M$121,AQ$178,SET!$P15:$V15)+SUMIF($AZ$178:$BC$178,AQ$178,$AZ431:$BC431)</f>
        <v>0</v>
      </c>
      <c r="AR431" s="230">
        <f>SUMIF(SET!$G$121:$M$121,AR$178,SET!$P15:$V15)+SUMIF($AZ$178:$BC$178,AR$178,$AZ431:$BC431)</f>
        <v>0</v>
      </c>
      <c r="AS431" s="230">
        <f>SUMIF(SET!$G$121:$M$121,AS$178,SET!$P15:$V15)+SUMIF($AZ$178:$BC$178,AS$178,$AZ431:$BC431)</f>
        <v>0</v>
      </c>
      <c r="AT431" s="230">
        <f>SUMIF(SET!$G$121:$M$121,AT$178,SET!$P15:$V15)+SUMIF($AZ$178:$BC$178,AT$178,$AZ431:$BC431)</f>
        <v>0</v>
      </c>
      <c r="AU431" s="230">
        <f>SUMIF(SET!$G$121:$M$121,AU$178,SET!$P15:$V15)+SUMIF($AZ$178:$BC$178,AU$178,$AZ431:$BC431)</f>
        <v>0</v>
      </c>
      <c r="AV431" s="230">
        <f>SUMIF(SET!$G$121:$M$121,AV$178,SET!$P15:$V15)+SUMIF($AZ$178:$BC$178,AV$178,$AZ431:$BC431)</f>
        <v>0</v>
      </c>
      <c r="AW431" s="230">
        <f>SUMIF(SET!$G$121:$M$121,AW$178,SET!$P15:$V15)+SUMIF($AZ$178:$BC$178,AW$178,$AZ431:$BC431)</f>
        <v>0</v>
      </c>
      <c r="AX431" s="231">
        <f>SUMIF(SET!$G$121:$M$121,AX$178,SET!$P15:$V15)+SUMIF($AZ$178:$BC$178,AX$178,$AZ431:$BC431)</f>
        <v>0</v>
      </c>
      <c r="AY431" s="232">
        <f>SET!AF15</f>
        <v>0</v>
      </c>
      <c r="AZ431" s="228">
        <f>SET!AG15</f>
        <v>0</v>
      </c>
      <c r="BA431" s="229">
        <f>SET!AH15</f>
        <v>0</v>
      </c>
      <c r="BB431" s="230">
        <f>SET!AI15</f>
        <v>0</v>
      </c>
      <c r="BC431" s="231">
        <f>SET!AJ15</f>
        <v>0</v>
      </c>
      <c r="BD431" s="228">
        <f>SUMIF(SET!$G$120:$M$120,"&gt;0",SET!$X15:$AD15)</f>
        <v>0</v>
      </c>
      <c r="BE431" s="696"/>
      <c r="BF431" s="228">
        <f>SUMIF(SET!$BA$6:$BG$6,BF$177,SET!$BA15:$BG15)</f>
        <v>0</v>
      </c>
      <c r="BG431" s="229">
        <f>SUMIF(SET!$BA$6:$BG$6,BG$177,SET!$BA15:$BG15)</f>
        <v>0</v>
      </c>
      <c r="BH431" s="229">
        <f>SUMIF(SET!$BA$6:$BG$6,BH$177,SET!$BA15:$BG15)</f>
        <v>0</v>
      </c>
      <c r="BI431" s="229">
        <f>SUMIF(SET!$BA$6:$BG$6,BI$177,SET!$BA15:$BG15)</f>
        <v>0</v>
      </c>
      <c r="BJ431" s="229">
        <f>SUMIF(SET!$BA$6:$BG$6,BJ$177,SET!$BA15:$BG15)</f>
        <v>0</v>
      </c>
      <c r="BK431" s="229">
        <f>SUMIF(SET!$BA$6:$BG$6,BK$177,SET!$BA15:$BG15)</f>
        <v>0</v>
      </c>
      <c r="BL431" s="229">
        <f>SUMIF(SET!$BA$6:$BG$6,BL$177,SET!$BA15:$BG15)</f>
        <v>0</v>
      </c>
      <c r="BM431" s="229">
        <f>SUMIF(SET!$BA$6:$BG$6,BM$177,SET!$BA15:$BG15)</f>
        <v>0</v>
      </c>
      <c r="BN431" s="229">
        <f>SUMIF(SET!$BA$6:$BG$6,BN$177,SET!$BA15:$BG15)</f>
        <v>0</v>
      </c>
      <c r="BO431" s="231">
        <f>SUMIF(SET!$BA$6:$BG$6,BO$177,SET!$BA15:$BG15)</f>
        <v>0</v>
      </c>
      <c r="BP431" s="231">
        <f>SUMIF(SET!$BA$6:$BG$6,BP$177,SET!$BA15:$BG15)</f>
        <v>0</v>
      </c>
      <c r="BQ431" s="252"/>
      <c r="BR431" s="228">
        <f>SUMIF(SET!$BA$5:$BG$5,BR$177,SET!$BA15:$BG15)</f>
        <v>0</v>
      </c>
      <c r="BS431" s="229">
        <f>SUMIF(SET!$BA$5:$BG$5,BS$177,SET!$BA15:$BG15)</f>
        <v>0</v>
      </c>
      <c r="BT431" s="229">
        <f>SUMIF(SET!$BA$5:$BG$5,BT$177,SET!$BA15:$BG15)</f>
        <v>0</v>
      </c>
      <c r="BU431" s="229">
        <f>SUMIF(SET!$BA$5:$BG$5,BU$177,SET!$BA15:$BG15)</f>
        <v>0</v>
      </c>
      <c r="BV431" s="229">
        <f>SUMIF(SET!$BA$5:$BG$5,BV$177,SET!$BA15:$BG15)</f>
        <v>0</v>
      </c>
      <c r="BW431" s="229">
        <f>SUMIF(SET!$BA$5:$BG$5,BW$177,SET!$BA15:$BG15)</f>
        <v>0</v>
      </c>
      <c r="BX431" s="230">
        <f>SUMIF(SET!$BA$5:$BG$5,BX$177,SET!$BA15:$BG15)</f>
        <v>0</v>
      </c>
      <c r="BY431" s="998">
        <f>SUMIF(SET!$BA$5:$BG$5,BY$177,SET!$BA15:$BG15)</f>
        <v>0</v>
      </c>
      <c r="CB431" s="252"/>
      <c r="CC431" s="61" t="e">
        <f t="shared" si="88"/>
        <v>#N/A</v>
      </c>
      <c r="CD431" s="61">
        <f t="shared" si="89"/>
        <v>0</v>
      </c>
      <c r="CE431" s="105" t="str">
        <f t="shared" si="82"/>
        <v/>
      </c>
      <c r="CF431" s="61" t="e">
        <f t="shared" si="90"/>
        <v>#N/A</v>
      </c>
      <c r="CG431" s="61" t="e">
        <f t="shared" si="91"/>
        <v>#N/A</v>
      </c>
      <c r="CH431" s="521">
        <f>SET!AL15-CW431+CR431</f>
        <v>0</v>
      </c>
      <c r="CI431" s="228">
        <f>SUMIF(SET!$G$121:$M$121,CI$178,SET!$AM15:$AS15)+SUMIF($CS$178:$CV$178,CI$178,$CS431:$CV431)</f>
        <v>0</v>
      </c>
      <c r="CJ431" s="229">
        <f>SUMIF(SET!$G$121:$M$121,CJ$178,SET!$AM15:$AS15)+SUMIF($CS$178:$CV$178,CJ$178,$CS431:$CV431)</f>
        <v>0</v>
      </c>
      <c r="CK431" s="230">
        <f>SUMIF(SET!$G$121:$M$121,CK$178,SET!$AM15:$AS15)+SUMIF($CS$178:$CV$178,CK$178,$CS431:$CV431)</f>
        <v>0</v>
      </c>
      <c r="CL431" s="230">
        <f>SUMIF(SET!$G$121:$M$121,CL$178,SET!$AM15:$AS15)+SUMIF($CS$178:$CV$178,CL$178,$CS431:$CV431)</f>
        <v>0</v>
      </c>
      <c r="CM431" s="230">
        <f>SUMIF(SET!$G$121:$M$121,CM$178,SET!$AM15:$AS15)+SUMIF($CS$178:$CV$178,CM$178,$CS431:$CV431)</f>
        <v>0</v>
      </c>
      <c r="CN431" s="230">
        <f>SUMIF(SET!$G$121:$M$121,CN$178,SET!$AM15:$AS15)+SUMIF($CS$178:$CV$178,CN$178,$CS431:$CV431)</f>
        <v>0</v>
      </c>
      <c r="CO431" s="230">
        <f>SUMIF(SET!$G$121:$M$121,CO$178,SET!$AM15:$AS15)+SUMIF($CS$178:$CV$178,CO$178,$CS431:$CV431)</f>
        <v>0</v>
      </c>
      <c r="CP431" s="230">
        <f>SUMIF(SET!$G$121:$M$121,CP$178,SET!$AM15:$AS15)+SUMIF($CS$178:$CV$178,CP$178,$CS431:$CV431)</f>
        <v>0</v>
      </c>
      <c r="CQ431" s="231">
        <f>SUMIF(SET!$G$121:$M$121,CQ$178,SET!$AM15:$AS15)+SUMIF($CS$178:$CV$178,CQ$178,$CS431:$CV431)</f>
        <v>0</v>
      </c>
      <c r="CR431" s="521">
        <f>SET!AU15</f>
        <v>0</v>
      </c>
      <c r="CS431" s="228">
        <f>SET!AV15</f>
        <v>0</v>
      </c>
      <c r="CT431" s="229">
        <f>SET!AW15</f>
        <v>0</v>
      </c>
      <c r="CU431" s="230">
        <f>SET!AX15</f>
        <v>0</v>
      </c>
      <c r="CV431" s="231">
        <f>SET!AY15</f>
        <v>0</v>
      </c>
      <c r="CW431" s="521">
        <f>SUM(SET!AU15:AY15)</f>
        <v>0</v>
      </c>
      <c r="CX431" s="521">
        <f>SET!AK15</f>
        <v>0</v>
      </c>
      <c r="CY431" s="2"/>
    </row>
    <row r="432" spans="1:103" ht="14.25" hidden="1" customHeight="1" x14ac:dyDescent="0.2">
      <c r="A432" s="2"/>
      <c r="B432" s="105">
        <f t="shared" si="92"/>
        <v>45544</v>
      </c>
      <c r="C432" s="146">
        <f>IF(AND(E432&gt;(N$559-1),E432&lt;(R$559+1)),W$551,IF(ISERROR(HLOOKUP(E432,$N$552:$U$552,1,FALSE)),HLOOKUP(WEEKDAY(E432,2),IMPOSTAZIONI!$C$52:$P$57,6,FALSE),$W$550))</f>
        <v>0</v>
      </c>
      <c r="D432" s="71" t="str">
        <f t="shared" si="93"/>
        <v/>
      </c>
      <c r="E432" s="2258">
        <f t="shared" si="98"/>
        <v>45544</v>
      </c>
      <c r="F432" s="2259"/>
      <c r="G432" s="2228" t="str">
        <f>SET!E16</f>
        <v xml:space="preserve">disattivato  </v>
      </c>
      <c r="H432" s="2229"/>
      <c r="I432" s="2230"/>
      <c r="J432" s="262" t="str">
        <f t="shared" si="83"/>
        <v/>
      </c>
      <c r="K432" s="263"/>
      <c r="L432" s="2222">
        <f t="shared" si="99"/>
        <v>37</v>
      </c>
      <c r="M432" s="2223"/>
      <c r="N432" s="261"/>
      <c r="O432" s="261"/>
      <c r="P432" s="261"/>
      <c r="Q432" s="2219">
        <f t="shared" si="94"/>
        <v>45544</v>
      </c>
      <c r="R432" s="2219"/>
      <c r="S432" s="261"/>
      <c r="T432" s="1173">
        <f t="shared" si="84"/>
        <v>1</v>
      </c>
      <c r="U432" s="261"/>
      <c r="V432" s="261"/>
      <c r="W432" s="261"/>
      <c r="X432" s="261"/>
      <c r="Y432" s="261"/>
      <c r="Z432" s="261"/>
      <c r="AA432" s="261"/>
      <c r="AB432" s="261"/>
      <c r="AC432" s="261"/>
      <c r="AD432" s="261"/>
      <c r="AE432" s="261"/>
      <c r="AF432" s="261"/>
      <c r="AG432" s="1173">
        <f t="shared" si="95"/>
        <v>0</v>
      </c>
      <c r="AH432" s="61" t="str">
        <f t="shared" si="96"/>
        <v/>
      </c>
      <c r="AI432" s="89" t="e">
        <f t="shared" si="97"/>
        <v>#N/A</v>
      </c>
      <c r="AJ432" s="2"/>
      <c r="AK432" s="61">
        <f>IF(G432=G$547,0,IF(OR(G432&lt;&gt;0,CH432&lt;&gt;0,C432="L"),COUNTIF(AK$180:AK431,"&gt;0")+1,0))</f>
        <v>0</v>
      </c>
      <c r="AL432" s="61" t="str">
        <f t="shared" si="85"/>
        <v/>
      </c>
      <c r="AM432" s="61" t="e">
        <f t="shared" si="86"/>
        <v>#N/A</v>
      </c>
      <c r="AN432" s="89" t="e">
        <f t="shared" si="87"/>
        <v>#N/A</v>
      </c>
      <c r="AO432" s="230">
        <f>SUM(SET!X16:AD16)-BD432+AY432</f>
        <v>0</v>
      </c>
      <c r="AP432" s="228">
        <f>SUMIF(SET!$G$121:$M$121,AP$178,SET!$P16:$V16)+SUMIF($AZ$178:$BC$178,AP$178,$AZ432:$BC432)</f>
        <v>0</v>
      </c>
      <c r="AQ432" s="229">
        <f>SUMIF(SET!$G$121:$M$121,AQ$178,SET!$P16:$V16)+SUMIF($AZ$178:$BC$178,AQ$178,$AZ432:$BC432)</f>
        <v>0</v>
      </c>
      <c r="AR432" s="230">
        <f>SUMIF(SET!$G$121:$M$121,AR$178,SET!$P16:$V16)+SUMIF($AZ$178:$BC$178,AR$178,$AZ432:$BC432)</f>
        <v>0</v>
      </c>
      <c r="AS432" s="230">
        <f>SUMIF(SET!$G$121:$M$121,AS$178,SET!$P16:$V16)+SUMIF($AZ$178:$BC$178,AS$178,$AZ432:$BC432)</f>
        <v>0</v>
      </c>
      <c r="AT432" s="230">
        <f>SUMIF(SET!$G$121:$M$121,AT$178,SET!$P16:$V16)+SUMIF($AZ$178:$BC$178,AT$178,$AZ432:$BC432)</f>
        <v>0</v>
      </c>
      <c r="AU432" s="230">
        <f>SUMIF(SET!$G$121:$M$121,AU$178,SET!$P16:$V16)+SUMIF($AZ$178:$BC$178,AU$178,$AZ432:$BC432)</f>
        <v>0</v>
      </c>
      <c r="AV432" s="230">
        <f>SUMIF(SET!$G$121:$M$121,AV$178,SET!$P16:$V16)+SUMIF($AZ$178:$BC$178,AV$178,$AZ432:$BC432)</f>
        <v>0</v>
      </c>
      <c r="AW432" s="230">
        <f>SUMIF(SET!$G$121:$M$121,AW$178,SET!$P16:$V16)+SUMIF($AZ$178:$BC$178,AW$178,$AZ432:$BC432)</f>
        <v>0</v>
      </c>
      <c r="AX432" s="231">
        <f>SUMIF(SET!$G$121:$M$121,AX$178,SET!$P16:$V16)+SUMIF($AZ$178:$BC$178,AX$178,$AZ432:$BC432)</f>
        <v>0</v>
      </c>
      <c r="AY432" s="232">
        <f>SET!AF16</f>
        <v>0</v>
      </c>
      <c r="AZ432" s="228">
        <f>SET!AG16</f>
        <v>0</v>
      </c>
      <c r="BA432" s="229">
        <f>SET!AH16</f>
        <v>0</v>
      </c>
      <c r="BB432" s="230">
        <f>SET!AI16</f>
        <v>0</v>
      </c>
      <c r="BC432" s="231">
        <f>SET!AJ16</f>
        <v>0</v>
      </c>
      <c r="BD432" s="228">
        <f>SUMIF(SET!$G$120:$M$120,"&gt;0",SET!$X16:$AD16)</f>
        <v>0</v>
      </c>
      <c r="BE432" s="696"/>
      <c r="BF432" s="228">
        <f>SUMIF(SET!$BA$6:$BG$6,BF$177,SET!$BA16:$BG16)</f>
        <v>0</v>
      </c>
      <c r="BG432" s="229">
        <f>SUMIF(SET!$BA$6:$BG$6,BG$177,SET!$BA16:$BG16)</f>
        <v>0</v>
      </c>
      <c r="BH432" s="229">
        <f>SUMIF(SET!$BA$6:$BG$6,BH$177,SET!$BA16:$BG16)</f>
        <v>0</v>
      </c>
      <c r="BI432" s="229">
        <f>SUMIF(SET!$BA$6:$BG$6,BI$177,SET!$BA16:$BG16)</f>
        <v>0</v>
      </c>
      <c r="BJ432" s="229">
        <f>SUMIF(SET!$BA$6:$BG$6,BJ$177,SET!$BA16:$BG16)</f>
        <v>0</v>
      </c>
      <c r="BK432" s="229">
        <f>SUMIF(SET!$BA$6:$BG$6,BK$177,SET!$BA16:$BG16)</f>
        <v>0</v>
      </c>
      <c r="BL432" s="229">
        <f>SUMIF(SET!$BA$6:$BG$6,BL$177,SET!$BA16:$BG16)</f>
        <v>0</v>
      </c>
      <c r="BM432" s="229">
        <f>SUMIF(SET!$BA$6:$BG$6,BM$177,SET!$BA16:$BG16)</f>
        <v>0</v>
      </c>
      <c r="BN432" s="229">
        <f>SUMIF(SET!$BA$6:$BG$6,BN$177,SET!$BA16:$BG16)</f>
        <v>0</v>
      </c>
      <c r="BO432" s="231">
        <f>SUMIF(SET!$BA$6:$BG$6,BO$177,SET!$BA16:$BG16)</f>
        <v>0</v>
      </c>
      <c r="BP432" s="231">
        <f>SUMIF(SET!$BA$6:$BG$6,BP$177,SET!$BA16:$BG16)</f>
        <v>0</v>
      </c>
      <c r="BQ432" s="252"/>
      <c r="BR432" s="228">
        <f>SUMIF(SET!$BA$5:$BG$5,BR$177,SET!$BA16:$BG16)</f>
        <v>0</v>
      </c>
      <c r="BS432" s="229">
        <f>SUMIF(SET!$BA$5:$BG$5,BS$177,SET!$BA16:$BG16)</f>
        <v>0</v>
      </c>
      <c r="BT432" s="229">
        <f>SUMIF(SET!$BA$5:$BG$5,BT$177,SET!$BA16:$BG16)</f>
        <v>0</v>
      </c>
      <c r="BU432" s="229">
        <f>SUMIF(SET!$BA$5:$BG$5,BU$177,SET!$BA16:$BG16)</f>
        <v>0</v>
      </c>
      <c r="BV432" s="229">
        <f>SUMIF(SET!$BA$5:$BG$5,BV$177,SET!$BA16:$BG16)</f>
        <v>0</v>
      </c>
      <c r="BW432" s="229">
        <f>SUMIF(SET!$BA$5:$BG$5,BW$177,SET!$BA16:$BG16)</f>
        <v>0</v>
      </c>
      <c r="BX432" s="230">
        <f>SUMIF(SET!$BA$5:$BG$5,BX$177,SET!$BA16:$BG16)</f>
        <v>0</v>
      </c>
      <c r="BY432" s="998">
        <f>SUMIF(SET!$BA$5:$BG$5,BY$177,SET!$BA16:$BG16)</f>
        <v>0</v>
      </c>
      <c r="CB432" s="252"/>
      <c r="CC432" s="61" t="e">
        <f t="shared" si="88"/>
        <v>#N/A</v>
      </c>
      <c r="CD432" s="61">
        <f t="shared" si="89"/>
        <v>0</v>
      </c>
      <c r="CE432" s="105" t="str">
        <f t="shared" ref="CE432:CE495" si="100">IF(AL432="Y",E432,"")</f>
        <v/>
      </c>
      <c r="CF432" s="61" t="e">
        <f t="shared" si="90"/>
        <v>#N/A</v>
      </c>
      <c r="CG432" s="61" t="e">
        <f t="shared" si="91"/>
        <v>#N/A</v>
      </c>
      <c r="CH432" s="521">
        <f>SET!AL16-CW432+CR432</f>
        <v>0</v>
      </c>
      <c r="CI432" s="228">
        <f>SUMIF(SET!$G$121:$M$121,CI$178,SET!$AM16:$AS16)+SUMIF($CS$178:$CV$178,CI$178,$CS432:$CV432)</f>
        <v>0</v>
      </c>
      <c r="CJ432" s="229">
        <f>SUMIF(SET!$G$121:$M$121,CJ$178,SET!$AM16:$AS16)+SUMIF($CS$178:$CV$178,CJ$178,$CS432:$CV432)</f>
        <v>0</v>
      </c>
      <c r="CK432" s="230">
        <f>SUMIF(SET!$G$121:$M$121,CK$178,SET!$AM16:$AS16)+SUMIF($CS$178:$CV$178,CK$178,$CS432:$CV432)</f>
        <v>0</v>
      </c>
      <c r="CL432" s="230">
        <f>SUMIF(SET!$G$121:$M$121,CL$178,SET!$AM16:$AS16)+SUMIF($CS$178:$CV$178,CL$178,$CS432:$CV432)</f>
        <v>0</v>
      </c>
      <c r="CM432" s="230">
        <f>SUMIF(SET!$G$121:$M$121,CM$178,SET!$AM16:$AS16)+SUMIF($CS$178:$CV$178,CM$178,$CS432:$CV432)</f>
        <v>0</v>
      </c>
      <c r="CN432" s="230">
        <f>SUMIF(SET!$G$121:$M$121,CN$178,SET!$AM16:$AS16)+SUMIF($CS$178:$CV$178,CN$178,$CS432:$CV432)</f>
        <v>0</v>
      </c>
      <c r="CO432" s="230">
        <f>SUMIF(SET!$G$121:$M$121,CO$178,SET!$AM16:$AS16)+SUMIF($CS$178:$CV$178,CO$178,$CS432:$CV432)</f>
        <v>0</v>
      </c>
      <c r="CP432" s="230">
        <f>SUMIF(SET!$G$121:$M$121,CP$178,SET!$AM16:$AS16)+SUMIF($CS$178:$CV$178,CP$178,$CS432:$CV432)</f>
        <v>0</v>
      </c>
      <c r="CQ432" s="231">
        <f>SUMIF(SET!$G$121:$M$121,CQ$178,SET!$AM16:$AS16)+SUMIF($CS$178:$CV$178,CQ$178,$CS432:$CV432)</f>
        <v>0</v>
      </c>
      <c r="CR432" s="521">
        <f>SET!AU16</f>
        <v>0</v>
      </c>
      <c r="CS432" s="228">
        <f>SET!AV16</f>
        <v>0</v>
      </c>
      <c r="CT432" s="229">
        <f>SET!AW16</f>
        <v>0</v>
      </c>
      <c r="CU432" s="230">
        <f>SET!AX16</f>
        <v>0</v>
      </c>
      <c r="CV432" s="231">
        <f>SET!AY16</f>
        <v>0</v>
      </c>
      <c r="CW432" s="521">
        <f>SUM(SET!AU16:AY16)</f>
        <v>0</v>
      </c>
      <c r="CX432" s="521">
        <f>SET!AK16</f>
        <v>0</v>
      </c>
      <c r="CY432" s="2"/>
    </row>
    <row r="433" spans="1:103" ht="14.25" hidden="1" customHeight="1" x14ac:dyDescent="0.2">
      <c r="A433" s="2"/>
      <c r="B433" s="105">
        <f t="shared" si="92"/>
        <v>45545</v>
      </c>
      <c r="C433" s="146">
        <f>IF(AND(E433&gt;(N$559-1),E433&lt;(R$559+1)),W$551,IF(ISERROR(HLOOKUP(E433,$N$552:$U$552,1,FALSE)),HLOOKUP(WEEKDAY(E433,2),IMPOSTAZIONI!$C$52:$P$57,6,FALSE),$W$550))</f>
        <v>0</v>
      </c>
      <c r="D433" s="71" t="str">
        <f t="shared" si="93"/>
        <v/>
      </c>
      <c r="E433" s="2258">
        <f t="shared" si="98"/>
        <v>45545</v>
      </c>
      <c r="F433" s="2259"/>
      <c r="G433" s="2228" t="str">
        <f>SET!E17</f>
        <v xml:space="preserve">disattivato  </v>
      </c>
      <c r="H433" s="2229"/>
      <c r="I433" s="2230"/>
      <c r="J433" s="262" t="str">
        <f t="shared" si="83"/>
        <v/>
      </c>
      <c r="K433" s="263"/>
      <c r="L433" s="2217">
        <f t="shared" si="99"/>
        <v>37</v>
      </c>
      <c r="M433" s="2218"/>
      <c r="N433" s="261"/>
      <c r="O433" s="261"/>
      <c r="P433" s="261"/>
      <c r="Q433" s="2219">
        <f t="shared" si="94"/>
        <v>45545</v>
      </c>
      <c r="R433" s="2219"/>
      <c r="S433" s="261"/>
      <c r="T433" s="1173">
        <f t="shared" si="84"/>
        <v>1</v>
      </c>
      <c r="U433" s="261"/>
      <c r="V433" s="261"/>
      <c r="W433" s="261"/>
      <c r="X433" s="261"/>
      <c r="Y433" s="261"/>
      <c r="Z433" s="261"/>
      <c r="AA433" s="261"/>
      <c r="AB433" s="261"/>
      <c r="AC433" s="261"/>
      <c r="AD433" s="261"/>
      <c r="AE433" s="261"/>
      <c r="AF433" s="261"/>
      <c r="AG433" s="1173">
        <f t="shared" si="95"/>
        <v>0</v>
      </c>
      <c r="AH433" s="61" t="str">
        <f t="shared" si="96"/>
        <v/>
      </c>
      <c r="AI433" s="89" t="e">
        <f t="shared" si="97"/>
        <v>#N/A</v>
      </c>
      <c r="AJ433" s="2"/>
      <c r="AK433" s="61">
        <f>IF(G433=G$547,0,IF(OR(G433&lt;&gt;0,CH433&lt;&gt;0,C433="L"),COUNTIF(AK$180:AK432,"&gt;0")+1,0))</f>
        <v>0</v>
      </c>
      <c r="AL433" s="61" t="str">
        <f t="shared" si="85"/>
        <v/>
      </c>
      <c r="AM433" s="61" t="e">
        <f t="shared" si="86"/>
        <v>#N/A</v>
      </c>
      <c r="AN433" s="89" t="e">
        <f t="shared" si="87"/>
        <v>#N/A</v>
      </c>
      <c r="AO433" s="230">
        <f>SUM(SET!X17:AD17)-BD433+AY433</f>
        <v>0</v>
      </c>
      <c r="AP433" s="228">
        <f>SUMIF(SET!$G$121:$M$121,AP$178,SET!$P17:$V17)+SUMIF($AZ$178:$BC$178,AP$178,$AZ433:$BC433)</f>
        <v>0</v>
      </c>
      <c r="AQ433" s="229">
        <f>SUMIF(SET!$G$121:$M$121,AQ$178,SET!$P17:$V17)+SUMIF($AZ$178:$BC$178,AQ$178,$AZ433:$BC433)</f>
        <v>0</v>
      </c>
      <c r="AR433" s="230">
        <f>SUMIF(SET!$G$121:$M$121,AR$178,SET!$P17:$V17)+SUMIF($AZ$178:$BC$178,AR$178,$AZ433:$BC433)</f>
        <v>0</v>
      </c>
      <c r="AS433" s="230">
        <f>SUMIF(SET!$G$121:$M$121,AS$178,SET!$P17:$V17)+SUMIF($AZ$178:$BC$178,AS$178,$AZ433:$BC433)</f>
        <v>0</v>
      </c>
      <c r="AT433" s="230">
        <f>SUMIF(SET!$G$121:$M$121,AT$178,SET!$P17:$V17)+SUMIF($AZ$178:$BC$178,AT$178,$AZ433:$BC433)</f>
        <v>0</v>
      </c>
      <c r="AU433" s="230">
        <f>SUMIF(SET!$G$121:$M$121,AU$178,SET!$P17:$V17)+SUMIF($AZ$178:$BC$178,AU$178,$AZ433:$BC433)</f>
        <v>0</v>
      </c>
      <c r="AV433" s="230">
        <f>SUMIF(SET!$G$121:$M$121,AV$178,SET!$P17:$V17)+SUMIF($AZ$178:$BC$178,AV$178,$AZ433:$BC433)</f>
        <v>0</v>
      </c>
      <c r="AW433" s="230">
        <f>SUMIF(SET!$G$121:$M$121,AW$178,SET!$P17:$V17)+SUMIF($AZ$178:$BC$178,AW$178,$AZ433:$BC433)</f>
        <v>0</v>
      </c>
      <c r="AX433" s="231">
        <f>SUMIF(SET!$G$121:$M$121,AX$178,SET!$P17:$V17)+SUMIF($AZ$178:$BC$178,AX$178,$AZ433:$BC433)</f>
        <v>0</v>
      </c>
      <c r="AY433" s="232">
        <f>SET!AF17</f>
        <v>0</v>
      </c>
      <c r="AZ433" s="228">
        <f>SET!AG17</f>
        <v>0</v>
      </c>
      <c r="BA433" s="229">
        <f>SET!AH17</f>
        <v>0</v>
      </c>
      <c r="BB433" s="230">
        <f>SET!AI17</f>
        <v>0</v>
      </c>
      <c r="BC433" s="231">
        <f>SET!AJ17</f>
        <v>0</v>
      </c>
      <c r="BD433" s="228">
        <f>SUMIF(SET!$G$120:$M$120,"&gt;0",SET!$X17:$AD17)</f>
        <v>0</v>
      </c>
      <c r="BE433" s="696"/>
      <c r="BF433" s="228">
        <f>SUMIF(SET!$BA$6:$BG$6,BF$177,SET!$BA17:$BG17)</f>
        <v>0</v>
      </c>
      <c r="BG433" s="229">
        <f>SUMIF(SET!$BA$6:$BG$6,BG$177,SET!$BA17:$BG17)</f>
        <v>0</v>
      </c>
      <c r="BH433" s="229">
        <f>SUMIF(SET!$BA$6:$BG$6,BH$177,SET!$BA17:$BG17)</f>
        <v>0</v>
      </c>
      <c r="BI433" s="229">
        <f>SUMIF(SET!$BA$6:$BG$6,BI$177,SET!$BA17:$BG17)</f>
        <v>0</v>
      </c>
      <c r="BJ433" s="229">
        <f>SUMIF(SET!$BA$6:$BG$6,BJ$177,SET!$BA17:$BG17)</f>
        <v>0</v>
      </c>
      <c r="BK433" s="229">
        <f>SUMIF(SET!$BA$6:$BG$6,BK$177,SET!$BA17:$BG17)</f>
        <v>0</v>
      </c>
      <c r="BL433" s="229">
        <f>SUMIF(SET!$BA$6:$BG$6,BL$177,SET!$BA17:$BG17)</f>
        <v>0</v>
      </c>
      <c r="BM433" s="229">
        <f>SUMIF(SET!$BA$6:$BG$6,BM$177,SET!$BA17:$BG17)</f>
        <v>0</v>
      </c>
      <c r="BN433" s="229">
        <f>SUMIF(SET!$BA$6:$BG$6,BN$177,SET!$BA17:$BG17)</f>
        <v>0</v>
      </c>
      <c r="BO433" s="231">
        <f>SUMIF(SET!$BA$6:$BG$6,BO$177,SET!$BA17:$BG17)</f>
        <v>0</v>
      </c>
      <c r="BP433" s="231">
        <f>SUMIF(SET!$BA$6:$BG$6,BP$177,SET!$BA17:$BG17)</f>
        <v>0</v>
      </c>
      <c r="BQ433" s="252"/>
      <c r="BR433" s="228">
        <f>SUMIF(SET!$BA$5:$BG$5,BR$177,SET!$BA17:$BG17)</f>
        <v>0</v>
      </c>
      <c r="BS433" s="229">
        <f>SUMIF(SET!$BA$5:$BG$5,BS$177,SET!$BA17:$BG17)</f>
        <v>0</v>
      </c>
      <c r="BT433" s="229">
        <f>SUMIF(SET!$BA$5:$BG$5,BT$177,SET!$BA17:$BG17)</f>
        <v>0</v>
      </c>
      <c r="BU433" s="229">
        <f>SUMIF(SET!$BA$5:$BG$5,BU$177,SET!$BA17:$BG17)</f>
        <v>0</v>
      </c>
      <c r="BV433" s="229">
        <f>SUMIF(SET!$BA$5:$BG$5,BV$177,SET!$BA17:$BG17)</f>
        <v>0</v>
      </c>
      <c r="BW433" s="229">
        <f>SUMIF(SET!$BA$5:$BG$5,BW$177,SET!$BA17:$BG17)</f>
        <v>0</v>
      </c>
      <c r="BX433" s="230">
        <f>SUMIF(SET!$BA$5:$BG$5,BX$177,SET!$BA17:$BG17)</f>
        <v>0</v>
      </c>
      <c r="BY433" s="998">
        <f>SUMIF(SET!$BA$5:$BG$5,BY$177,SET!$BA17:$BG17)</f>
        <v>0</v>
      </c>
      <c r="CB433" s="252"/>
      <c r="CC433" s="61" t="e">
        <f t="shared" si="88"/>
        <v>#N/A</v>
      </c>
      <c r="CD433" s="61">
        <f t="shared" si="89"/>
        <v>0</v>
      </c>
      <c r="CE433" s="105" t="str">
        <f t="shared" si="100"/>
        <v/>
      </c>
      <c r="CF433" s="61" t="e">
        <f t="shared" si="90"/>
        <v>#N/A</v>
      </c>
      <c r="CG433" s="61" t="e">
        <f t="shared" si="91"/>
        <v>#N/A</v>
      </c>
      <c r="CH433" s="521">
        <f>SET!AL17-CW433+CR433</f>
        <v>0</v>
      </c>
      <c r="CI433" s="228">
        <f>SUMIF(SET!$G$121:$M$121,CI$178,SET!$AM17:$AS17)+SUMIF($CS$178:$CV$178,CI$178,$CS433:$CV433)</f>
        <v>0</v>
      </c>
      <c r="CJ433" s="229">
        <f>SUMIF(SET!$G$121:$M$121,CJ$178,SET!$AM17:$AS17)+SUMIF($CS$178:$CV$178,CJ$178,$CS433:$CV433)</f>
        <v>0</v>
      </c>
      <c r="CK433" s="230">
        <f>SUMIF(SET!$G$121:$M$121,CK$178,SET!$AM17:$AS17)+SUMIF($CS$178:$CV$178,CK$178,$CS433:$CV433)</f>
        <v>0</v>
      </c>
      <c r="CL433" s="230">
        <f>SUMIF(SET!$G$121:$M$121,CL$178,SET!$AM17:$AS17)+SUMIF($CS$178:$CV$178,CL$178,$CS433:$CV433)</f>
        <v>0</v>
      </c>
      <c r="CM433" s="230">
        <f>SUMIF(SET!$G$121:$M$121,CM$178,SET!$AM17:$AS17)+SUMIF($CS$178:$CV$178,CM$178,$CS433:$CV433)</f>
        <v>0</v>
      </c>
      <c r="CN433" s="230">
        <f>SUMIF(SET!$G$121:$M$121,CN$178,SET!$AM17:$AS17)+SUMIF($CS$178:$CV$178,CN$178,$CS433:$CV433)</f>
        <v>0</v>
      </c>
      <c r="CO433" s="230">
        <f>SUMIF(SET!$G$121:$M$121,CO$178,SET!$AM17:$AS17)+SUMIF($CS$178:$CV$178,CO$178,$CS433:$CV433)</f>
        <v>0</v>
      </c>
      <c r="CP433" s="230">
        <f>SUMIF(SET!$G$121:$M$121,CP$178,SET!$AM17:$AS17)+SUMIF($CS$178:$CV$178,CP$178,$CS433:$CV433)</f>
        <v>0</v>
      </c>
      <c r="CQ433" s="231">
        <f>SUMIF(SET!$G$121:$M$121,CQ$178,SET!$AM17:$AS17)+SUMIF($CS$178:$CV$178,CQ$178,$CS433:$CV433)</f>
        <v>0</v>
      </c>
      <c r="CR433" s="521">
        <f>SET!AU17</f>
        <v>0</v>
      </c>
      <c r="CS433" s="228">
        <f>SET!AV17</f>
        <v>0</v>
      </c>
      <c r="CT433" s="229">
        <f>SET!AW17</f>
        <v>0</v>
      </c>
      <c r="CU433" s="230">
        <f>SET!AX17</f>
        <v>0</v>
      </c>
      <c r="CV433" s="231">
        <f>SET!AY17</f>
        <v>0</v>
      </c>
      <c r="CW433" s="521">
        <f>SUM(SET!AU17:AY17)</f>
        <v>0</v>
      </c>
      <c r="CX433" s="521">
        <f>SET!AK17</f>
        <v>0</v>
      </c>
      <c r="CY433" s="2"/>
    </row>
    <row r="434" spans="1:103" ht="14.25" hidden="1" customHeight="1" x14ac:dyDescent="0.2">
      <c r="A434" s="2"/>
      <c r="B434" s="105">
        <f t="shared" si="92"/>
        <v>45546</v>
      </c>
      <c r="C434" s="146">
        <f>IF(AND(E434&gt;(N$559-1),E434&lt;(R$559+1)),W$551,IF(ISERROR(HLOOKUP(E434,$N$552:$U$552,1,FALSE)),HLOOKUP(WEEKDAY(E434,2),IMPOSTAZIONI!$C$52:$P$57,6,FALSE),$W$550))</f>
        <v>0</v>
      </c>
      <c r="D434" s="71" t="str">
        <f t="shared" si="93"/>
        <v/>
      </c>
      <c r="E434" s="2258">
        <f t="shared" si="98"/>
        <v>45546</v>
      </c>
      <c r="F434" s="2259"/>
      <c r="G434" s="2228" t="str">
        <f>SET!E18</f>
        <v xml:space="preserve">disattivato  </v>
      </c>
      <c r="H434" s="2229"/>
      <c r="I434" s="2230"/>
      <c r="J434" s="262" t="str">
        <f t="shared" si="83"/>
        <v/>
      </c>
      <c r="K434" s="263"/>
      <c r="L434" s="2217">
        <f t="shared" si="99"/>
        <v>37</v>
      </c>
      <c r="M434" s="2218"/>
      <c r="N434" s="261"/>
      <c r="O434" s="261"/>
      <c r="P434" s="261"/>
      <c r="Q434" s="2219">
        <f t="shared" si="94"/>
        <v>45546</v>
      </c>
      <c r="R434" s="2219"/>
      <c r="S434" s="261"/>
      <c r="T434" s="1173">
        <f t="shared" si="84"/>
        <v>1</v>
      </c>
      <c r="U434" s="261"/>
      <c r="V434" s="261"/>
      <c r="W434" s="261"/>
      <c r="X434" s="261"/>
      <c r="Y434" s="261"/>
      <c r="Z434" s="261"/>
      <c r="AA434" s="261"/>
      <c r="AB434" s="261"/>
      <c r="AC434" s="261"/>
      <c r="AD434" s="261"/>
      <c r="AE434" s="261"/>
      <c r="AF434" s="261"/>
      <c r="AG434" s="1173">
        <f t="shared" si="95"/>
        <v>0</v>
      </c>
      <c r="AH434" s="61" t="str">
        <f t="shared" si="96"/>
        <v/>
      </c>
      <c r="AI434" s="89" t="e">
        <f t="shared" si="97"/>
        <v>#N/A</v>
      </c>
      <c r="AJ434" s="2"/>
      <c r="AK434" s="61">
        <f>IF(G434=G$547,0,IF(OR(G434&lt;&gt;0,CH434&lt;&gt;0,C434="L"),COUNTIF(AK$180:AK433,"&gt;0")+1,0))</f>
        <v>0</v>
      </c>
      <c r="AL434" s="61" t="str">
        <f t="shared" si="85"/>
        <v/>
      </c>
      <c r="AM434" s="61" t="e">
        <f t="shared" si="86"/>
        <v>#N/A</v>
      </c>
      <c r="AN434" s="89" t="e">
        <f t="shared" si="87"/>
        <v>#N/A</v>
      </c>
      <c r="AO434" s="230">
        <f>SUM(SET!X18:AD18)-BD434+AY434</f>
        <v>0</v>
      </c>
      <c r="AP434" s="228">
        <f>SUMIF(SET!$G$121:$M$121,AP$178,SET!$P18:$V18)+SUMIF($AZ$178:$BC$178,AP$178,$AZ434:$BC434)</f>
        <v>0</v>
      </c>
      <c r="AQ434" s="229">
        <f>SUMIF(SET!$G$121:$M$121,AQ$178,SET!$P18:$V18)+SUMIF($AZ$178:$BC$178,AQ$178,$AZ434:$BC434)</f>
        <v>0</v>
      </c>
      <c r="AR434" s="230">
        <f>SUMIF(SET!$G$121:$M$121,AR$178,SET!$P18:$V18)+SUMIF($AZ$178:$BC$178,AR$178,$AZ434:$BC434)</f>
        <v>0</v>
      </c>
      <c r="AS434" s="230">
        <f>SUMIF(SET!$G$121:$M$121,AS$178,SET!$P18:$V18)+SUMIF($AZ$178:$BC$178,AS$178,$AZ434:$BC434)</f>
        <v>0</v>
      </c>
      <c r="AT434" s="230">
        <f>SUMIF(SET!$G$121:$M$121,AT$178,SET!$P18:$V18)+SUMIF($AZ$178:$BC$178,AT$178,$AZ434:$BC434)</f>
        <v>0</v>
      </c>
      <c r="AU434" s="230">
        <f>SUMIF(SET!$G$121:$M$121,AU$178,SET!$P18:$V18)+SUMIF($AZ$178:$BC$178,AU$178,$AZ434:$BC434)</f>
        <v>0</v>
      </c>
      <c r="AV434" s="230">
        <f>SUMIF(SET!$G$121:$M$121,AV$178,SET!$P18:$V18)+SUMIF($AZ$178:$BC$178,AV$178,$AZ434:$BC434)</f>
        <v>0</v>
      </c>
      <c r="AW434" s="230">
        <f>SUMIF(SET!$G$121:$M$121,AW$178,SET!$P18:$V18)+SUMIF($AZ$178:$BC$178,AW$178,$AZ434:$BC434)</f>
        <v>0</v>
      </c>
      <c r="AX434" s="231">
        <f>SUMIF(SET!$G$121:$M$121,AX$178,SET!$P18:$V18)+SUMIF($AZ$178:$BC$178,AX$178,$AZ434:$BC434)</f>
        <v>0</v>
      </c>
      <c r="AY434" s="232">
        <f>SET!AF18</f>
        <v>0</v>
      </c>
      <c r="AZ434" s="228">
        <f>SET!AG18</f>
        <v>0</v>
      </c>
      <c r="BA434" s="229">
        <f>SET!AH18</f>
        <v>0</v>
      </c>
      <c r="BB434" s="230">
        <f>SET!AI18</f>
        <v>0</v>
      </c>
      <c r="BC434" s="231">
        <f>SET!AJ18</f>
        <v>0</v>
      </c>
      <c r="BD434" s="228">
        <f>SUMIF(SET!$G$120:$M$120,"&gt;0",SET!$X18:$AD18)</f>
        <v>0</v>
      </c>
      <c r="BE434" s="696"/>
      <c r="BF434" s="228">
        <f>SUMIF(SET!$BA$6:$BG$6,BF$177,SET!$BA18:$BG18)</f>
        <v>0</v>
      </c>
      <c r="BG434" s="229">
        <f>SUMIF(SET!$BA$6:$BG$6,BG$177,SET!$BA18:$BG18)</f>
        <v>0</v>
      </c>
      <c r="BH434" s="229">
        <f>SUMIF(SET!$BA$6:$BG$6,BH$177,SET!$BA18:$BG18)</f>
        <v>0</v>
      </c>
      <c r="BI434" s="229">
        <f>SUMIF(SET!$BA$6:$BG$6,BI$177,SET!$BA18:$BG18)</f>
        <v>0</v>
      </c>
      <c r="BJ434" s="229">
        <f>SUMIF(SET!$BA$6:$BG$6,BJ$177,SET!$BA18:$BG18)</f>
        <v>0</v>
      </c>
      <c r="BK434" s="229">
        <f>SUMIF(SET!$BA$6:$BG$6,BK$177,SET!$BA18:$BG18)</f>
        <v>0</v>
      </c>
      <c r="BL434" s="229">
        <f>SUMIF(SET!$BA$6:$BG$6,BL$177,SET!$BA18:$BG18)</f>
        <v>0</v>
      </c>
      <c r="BM434" s="229">
        <f>SUMIF(SET!$BA$6:$BG$6,BM$177,SET!$BA18:$BG18)</f>
        <v>0</v>
      </c>
      <c r="BN434" s="229">
        <f>SUMIF(SET!$BA$6:$BG$6,BN$177,SET!$BA18:$BG18)</f>
        <v>0</v>
      </c>
      <c r="BO434" s="231">
        <f>SUMIF(SET!$BA$6:$BG$6,BO$177,SET!$BA18:$BG18)</f>
        <v>0</v>
      </c>
      <c r="BP434" s="231">
        <f>SUMIF(SET!$BA$6:$BG$6,BP$177,SET!$BA18:$BG18)</f>
        <v>0</v>
      </c>
      <c r="BQ434" s="252"/>
      <c r="BR434" s="228">
        <f>SUMIF(SET!$BA$5:$BG$5,BR$177,SET!$BA18:$BG18)</f>
        <v>0</v>
      </c>
      <c r="BS434" s="229">
        <f>SUMIF(SET!$BA$5:$BG$5,BS$177,SET!$BA18:$BG18)</f>
        <v>0</v>
      </c>
      <c r="BT434" s="229">
        <f>SUMIF(SET!$BA$5:$BG$5,BT$177,SET!$BA18:$BG18)</f>
        <v>0</v>
      </c>
      <c r="BU434" s="229">
        <f>SUMIF(SET!$BA$5:$BG$5,BU$177,SET!$BA18:$BG18)</f>
        <v>0</v>
      </c>
      <c r="BV434" s="229">
        <f>SUMIF(SET!$BA$5:$BG$5,BV$177,SET!$BA18:$BG18)</f>
        <v>0</v>
      </c>
      <c r="BW434" s="229">
        <f>SUMIF(SET!$BA$5:$BG$5,BW$177,SET!$BA18:$BG18)</f>
        <v>0</v>
      </c>
      <c r="BX434" s="230">
        <f>SUMIF(SET!$BA$5:$BG$5,BX$177,SET!$BA18:$BG18)</f>
        <v>0</v>
      </c>
      <c r="BY434" s="998">
        <f>SUMIF(SET!$BA$5:$BG$5,BY$177,SET!$BA18:$BG18)</f>
        <v>0</v>
      </c>
      <c r="CB434" s="252"/>
      <c r="CC434" s="61" t="e">
        <f t="shared" si="88"/>
        <v>#N/A</v>
      </c>
      <c r="CD434" s="61">
        <f t="shared" si="89"/>
        <v>0</v>
      </c>
      <c r="CE434" s="105" t="str">
        <f t="shared" si="100"/>
        <v/>
      </c>
      <c r="CF434" s="61" t="e">
        <f t="shared" si="90"/>
        <v>#N/A</v>
      </c>
      <c r="CG434" s="61" t="e">
        <f t="shared" si="91"/>
        <v>#N/A</v>
      </c>
      <c r="CH434" s="521">
        <f>SET!AL18-CW434+CR434</f>
        <v>0</v>
      </c>
      <c r="CI434" s="228">
        <f>SUMIF(SET!$G$121:$M$121,CI$178,SET!$AM18:$AS18)+SUMIF($CS$178:$CV$178,CI$178,$CS434:$CV434)</f>
        <v>0</v>
      </c>
      <c r="CJ434" s="229">
        <f>SUMIF(SET!$G$121:$M$121,CJ$178,SET!$AM18:$AS18)+SUMIF($CS$178:$CV$178,CJ$178,$CS434:$CV434)</f>
        <v>0</v>
      </c>
      <c r="CK434" s="230">
        <f>SUMIF(SET!$G$121:$M$121,CK$178,SET!$AM18:$AS18)+SUMIF($CS$178:$CV$178,CK$178,$CS434:$CV434)</f>
        <v>0</v>
      </c>
      <c r="CL434" s="230">
        <f>SUMIF(SET!$G$121:$M$121,CL$178,SET!$AM18:$AS18)+SUMIF($CS$178:$CV$178,CL$178,$CS434:$CV434)</f>
        <v>0</v>
      </c>
      <c r="CM434" s="230">
        <f>SUMIF(SET!$G$121:$M$121,CM$178,SET!$AM18:$AS18)+SUMIF($CS$178:$CV$178,CM$178,$CS434:$CV434)</f>
        <v>0</v>
      </c>
      <c r="CN434" s="230">
        <f>SUMIF(SET!$G$121:$M$121,CN$178,SET!$AM18:$AS18)+SUMIF($CS$178:$CV$178,CN$178,$CS434:$CV434)</f>
        <v>0</v>
      </c>
      <c r="CO434" s="230">
        <f>SUMIF(SET!$G$121:$M$121,CO$178,SET!$AM18:$AS18)+SUMIF($CS$178:$CV$178,CO$178,$CS434:$CV434)</f>
        <v>0</v>
      </c>
      <c r="CP434" s="230">
        <f>SUMIF(SET!$G$121:$M$121,CP$178,SET!$AM18:$AS18)+SUMIF($CS$178:$CV$178,CP$178,$CS434:$CV434)</f>
        <v>0</v>
      </c>
      <c r="CQ434" s="231">
        <f>SUMIF(SET!$G$121:$M$121,CQ$178,SET!$AM18:$AS18)+SUMIF($CS$178:$CV$178,CQ$178,$CS434:$CV434)</f>
        <v>0</v>
      </c>
      <c r="CR434" s="521">
        <f>SET!AU18</f>
        <v>0</v>
      </c>
      <c r="CS434" s="228">
        <f>SET!AV18</f>
        <v>0</v>
      </c>
      <c r="CT434" s="229">
        <f>SET!AW18</f>
        <v>0</v>
      </c>
      <c r="CU434" s="230">
        <f>SET!AX18</f>
        <v>0</v>
      </c>
      <c r="CV434" s="231">
        <f>SET!AY18</f>
        <v>0</v>
      </c>
      <c r="CW434" s="521">
        <f>SUM(SET!AU18:AY18)</f>
        <v>0</v>
      </c>
      <c r="CX434" s="521">
        <f>SET!AK18</f>
        <v>0</v>
      </c>
      <c r="CY434" s="2"/>
    </row>
    <row r="435" spans="1:103" ht="14.25" hidden="1" customHeight="1" x14ac:dyDescent="0.2">
      <c r="A435" s="2"/>
      <c r="B435" s="105">
        <f t="shared" si="92"/>
        <v>45547</v>
      </c>
      <c r="C435" s="146">
        <f>IF(AND(E435&gt;(N$559-1),E435&lt;(R$559+1)),W$551,IF(ISERROR(HLOOKUP(E435,$N$552:$U$552,1,FALSE)),HLOOKUP(WEEKDAY(E435,2),IMPOSTAZIONI!$C$52:$P$57,6,FALSE),$W$550))</f>
        <v>0</v>
      </c>
      <c r="D435" s="71" t="str">
        <f t="shared" si="93"/>
        <v/>
      </c>
      <c r="E435" s="2258">
        <f t="shared" si="98"/>
        <v>45547</v>
      </c>
      <c r="F435" s="2259"/>
      <c r="G435" s="2228" t="str">
        <f>SET!E19</f>
        <v xml:space="preserve">disattivato  </v>
      </c>
      <c r="H435" s="2229"/>
      <c r="I435" s="2230"/>
      <c r="J435" s="262" t="str">
        <f t="shared" si="83"/>
        <v/>
      </c>
      <c r="K435" s="263"/>
      <c r="L435" s="2217">
        <f t="shared" si="99"/>
        <v>37</v>
      </c>
      <c r="M435" s="2218"/>
      <c r="N435" s="261"/>
      <c r="O435" s="261"/>
      <c r="P435" s="261"/>
      <c r="Q435" s="2219">
        <f t="shared" si="94"/>
        <v>45547</v>
      </c>
      <c r="R435" s="2219"/>
      <c r="S435" s="261"/>
      <c r="T435" s="1173">
        <f t="shared" si="84"/>
        <v>1</v>
      </c>
      <c r="U435" s="261"/>
      <c r="V435" s="261"/>
      <c r="W435" s="261"/>
      <c r="X435" s="261"/>
      <c r="Y435" s="261"/>
      <c r="Z435" s="261"/>
      <c r="AA435" s="261"/>
      <c r="AB435" s="261"/>
      <c r="AC435" s="261"/>
      <c r="AD435" s="261"/>
      <c r="AE435" s="261"/>
      <c r="AF435" s="261"/>
      <c r="AG435" s="1173">
        <f t="shared" si="95"/>
        <v>0</v>
      </c>
      <c r="AH435" s="61" t="str">
        <f t="shared" si="96"/>
        <v/>
      </c>
      <c r="AI435" s="89" t="e">
        <f t="shared" si="97"/>
        <v>#N/A</v>
      </c>
      <c r="AJ435" s="2"/>
      <c r="AK435" s="61">
        <f>IF(G435=G$547,0,IF(OR(G435&lt;&gt;0,CH435&lt;&gt;0,C435="L"),COUNTIF(AK$180:AK434,"&gt;0")+1,0))</f>
        <v>0</v>
      </c>
      <c r="AL435" s="61" t="str">
        <f t="shared" si="85"/>
        <v/>
      </c>
      <c r="AM435" s="61" t="e">
        <f t="shared" si="86"/>
        <v>#N/A</v>
      </c>
      <c r="AN435" s="89" t="e">
        <f t="shared" si="87"/>
        <v>#N/A</v>
      </c>
      <c r="AO435" s="230">
        <f>SUM(SET!X19:AD19)-BD435+AY435</f>
        <v>0</v>
      </c>
      <c r="AP435" s="228">
        <f>SUMIF(SET!$G$121:$M$121,AP$178,SET!$P19:$V19)+SUMIF($AZ$178:$BC$178,AP$178,$AZ435:$BC435)</f>
        <v>0</v>
      </c>
      <c r="AQ435" s="229">
        <f>SUMIF(SET!$G$121:$M$121,AQ$178,SET!$P19:$V19)+SUMIF($AZ$178:$BC$178,AQ$178,$AZ435:$BC435)</f>
        <v>0</v>
      </c>
      <c r="AR435" s="230">
        <f>SUMIF(SET!$G$121:$M$121,AR$178,SET!$P19:$V19)+SUMIF($AZ$178:$BC$178,AR$178,$AZ435:$BC435)</f>
        <v>0</v>
      </c>
      <c r="AS435" s="230">
        <f>SUMIF(SET!$G$121:$M$121,AS$178,SET!$P19:$V19)+SUMIF($AZ$178:$BC$178,AS$178,$AZ435:$BC435)</f>
        <v>0</v>
      </c>
      <c r="AT435" s="230">
        <f>SUMIF(SET!$G$121:$M$121,AT$178,SET!$P19:$V19)+SUMIF($AZ$178:$BC$178,AT$178,$AZ435:$BC435)</f>
        <v>0</v>
      </c>
      <c r="AU435" s="230">
        <f>SUMIF(SET!$G$121:$M$121,AU$178,SET!$P19:$V19)+SUMIF($AZ$178:$BC$178,AU$178,$AZ435:$BC435)</f>
        <v>0</v>
      </c>
      <c r="AV435" s="230">
        <f>SUMIF(SET!$G$121:$M$121,AV$178,SET!$P19:$V19)+SUMIF($AZ$178:$BC$178,AV$178,$AZ435:$BC435)</f>
        <v>0</v>
      </c>
      <c r="AW435" s="230">
        <f>SUMIF(SET!$G$121:$M$121,AW$178,SET!$P19:$V19)+SUMIF($AZ$178:$BC$178,AW$178,$AZ435:$BC435)</f>
        <v>0</v>
      </c>
      <c r="AX435" s="231">
        <f>SUMIF(SET!$G$121:$M$121,AX$178,SET!$P19:$V19)+SUMIF($AZ$178:$BC$178,AX$178,$AZ435:$BC435)</f>
        <v>0</v>
      </c>
      <c r="AY435" s="232">
        <f>SET!AF19</f>
        <v>0</v>
      </c>
      <c r="AZ435" s="228">
        <f>SET!AG19</f>
        <v>0</v>
      </c>
      <c r="BA435" s="229">
        <f>SET!AH19</f>
        <v>0</v>
      </c>
      <c r="BB435" s="230">
        <f>SET!AI19</f>
        <v>0</v>
      </c>
      <c r="BC435" s="231">
        <f>SET!AJ19</f>
        <v>0</v>
      </c>
      <c r="BD435" s="228">
        <f>SUMIF(SET!$G$120:$M$120,"&gt;0",SET!$X19:$AD19)</f>
        <v>0</v>
      </c>
      <c r="BE435" s="696"/>
      <c r="BF435" s="228">
        <f>SUMIF(SET!$BA$6:$BG$6,BF$177,SET!$BA19:$BG19)</f>
        <v>0</v>
      </c>
      <c r="BG435" s="229">
        <f>SUMIF(SET!$BA$6:$BG$6,BG$177,SET!$BA19:$BG19)</f>
        <v>0</v>
      </c>
      <c r="BH435" s="229">
        <f>SUMIF(SET!$BA$6:$BG$6,BH$177,SET!$BA19:$BG19)</f>
        <v>0</v>
      </c>
      <c r="BI435" s="229">
        <f>SUMIF(SET!$BA$6:$BG$6,BI$177,SET!$BA19:$BG19)</f>
        <v>0</v>
      </c>
      <c r="BJ435" s="229">
        <f>SUMIF(SET!$BA$6:$BG$6,BJ$177,SET!$BA19:$BG19)</f>
        <v>0</v>
      </c>
      <c r="BK435" s="229">
        <f>SUMIF(SET!$BA$6:$BG$6,BK$177,SET!$BA19:$BG19)</f>
        <v>0</v>
      </c>
      <c r="BL435" s="229">
        <f>SUMIF(SET!$BA$6:$BG$6,BL$177,SET!$BA19:$BG19)</f>
        <v>0</v>
      </c>
      <c r="BM435" s="229">
        <f>SUMIF(SET!$BA$6:$BG$6,BM$177,SET!$BA19:$BG19)</f>
        <v>0</v>
      </c>
      <c r="BN435" s="229">
        <f>SUMIF(SET!$BA$6:$BG$6,BN$177,SET!$BA19:$BG19)</f>
        <v>0</v>
      </c>
      <c r="BO435" s="231">
        <f>SUMIF(SET!$BA$6:$BG$6,BO$177,SET!$BA19:$BG19)</f>
        <v>0</v>
      </c>
      <c r="BP435" s="231">
        <f>SUMIF(SET!$BA$6:$BG$6,BP$177,SET!$BA19:$BG19)</f>
        <v>0</v>
      </c>
      <c r="BQ435" s="252"/>
      <c r="BR435" s="228">
        <f>SUMIF(SET!$BA$5:$BG$5,BR$177,SET!$BA19:$BG19)</f>
        <v>0</v>
      </c>
      <c r="BS435" s="229">
        <f>SUMIF(SET!$BA$5:$BG$5,BS$177,SET!$BA19:$BG19)</f>
        <v>0</v>
      </c>
      <c r="BT435" s="229">
        <f>SUMIF(SET!$BA$5:$BG$5,BT$177,SET!$BA19:$BG19)</f>
        <v>0</v>
      </c>
      <c r="BU435" s="229">
        <f>SUMIF(SET!$BA$5:$BG$5,BU$177,SET!$BA19:$BG19)</f>
        <v>0</v>
      </c>
      <c r="BV435" s="229">
        <f>SUMIF(SET!$BA$5:$BG$5,BV$177,SET!$BA19:$BG19)</f>
        <v>0</v>
      </c>
      <c r="BW435" s="229">
        <f>SUMIF(SET!$BA$5:$BG$5,BW$177,SET!$BA19:$BG19)</f>
        <v>0</v>
      </c>
      <c r="BX435" s="230">
        <f>SUMIF(SET!$BA$5:$BG$5,BX$177,SET!$BA19:$BG19)</f>
        <v>0</v>
      </c>
      <c r="BY435" s="998">
        <f>SUMIF(SET!$BA$5:$BG$5,BY$177,SET!$BA19:$BG19)</f>
        <v>0</v>
      </c>
      <c r="CB435" s="252"/>
      <c r="CC435" s="61" t="e">
        <f t="shared" si="88"/>
        <v>#N/A</v>
      </c>
      <c r="CD435" s="61">
        <f t="shared" si="89"/>
        <v>0</v>
      </c>
      <c r="CE435" s="105" t="str">
        <f t="shared" si="100"/>
        <v/>
      </c>
      <c r="CF435" s="61" t="e">
        <f t="shared" si="90"/>
        <v>#N/A</v>
      </c>
      <c r="CG435" s="61" t="e">
        <f t="shared" si="91"/>
        <v>#N/A</v>
      </c>
      <c r="CH435" s="521">
        <f>SET!AL19-CW435+CR435</f>
        <v>0</v>
      </c>
      <c r="CI435" s="228">
        <f>SUMIF(SET!$G$121:$M$121,CI$178,SET!$AM19:$AS19)+SUMIF($CS$178:$CV$178,CI$178,$CS435:$CV435)</f>
        <v>0</v>
      </c>
      <c r="CJ435" s="229">
        <f>SUMIF(SET!$G$121:$M$121,CJ$178,SET!$AM19:$AS19)+SUMIF($CS$178:$CV$178,CJ$178,$CS435:$CV435)</f>
        <v>0</v>
      </c>
      <c r="CK435" s="230">
        <f>SUMIF(SET!$G$121:$M$121,CK$178,SET!$AM19:$AS19)+SUMIF($CS$178:$CV$178,CK$178,$CS435:$CV435)</f>
        <v>0</v>
      </c>
      <c r="CL435" s="230">
        <f>SUMIF(SET!$G$121:$M$121,CL$178,SET!$AM19:$AS19)+SUMIF($CS$178:$CV$178,CL$178,$CS435:$CV435)</f>
        <v>0</v>
      </c>
      <c r="CM435" s="230">
        <f>SUMIF(SET!$G$121:$M$121,CM$178,SET!$AM19:$AS19)+SUMIF($CS$178:$CV$178,CM$178,$CS435:$CV435)</f>
        <v>0</v>
      </c>
      <c r="CN435" s="230">
        <f>SUMIF(SET!$G$121:$M$121,CN$178,SET!$AM19:$AS19)+SUMIF($CS$178:$CV$178,CN$178,$CS435:$CV435)</f>
        <v>0</v>
      </c>
      <c r="CO435" s="230">
        <f>SUMIF(SET!$G$121:$M$121,CO$178,SET!$AM19:$AS19)+SUMIF($CS$178:$CV$178,CO$178,$CS435:$CV435)</f>
        <v>0</v>
      </c>
      <c r="CP435" s="230">
        <f>SUMIF(SET!$G$121:$M$121,CP$178,SET!$AM19:$AS19)+SUMIF($CS$178:$CV$178,CP$178,$CS435:$CV435)</f>
        <v>0</v>
      </c>
      <c r="CQ435" s="231">
        <f>SUMIF(SET!$G$121:$M$121,CQ$178,SET!$AM19:$AS19)+SUMIF($CS$178:$CV$178,CQ$178,$CS435:$CV435)</f>
        <v>0</v>
      </c>
      <c r="CR435" s="521">
        <f>SET!AU19</f>
        <v>0</v>
      </c>
      <c r="CS435" s="228">
        <f>SET!AV19</f>
        <v>0</v>
      </c>
      <c r="CT435" s="229">
        <f>SET!AW19</f>
        <v>0</v>
      </c>
      <c r="CU435" s="230">
        <f>SET!AX19</f>
        <v>0</v>
      </c>
      <c r="CV435" s="231">
        <f>SET!AY19</f>
        <v>0</v>
      </c>
      <c r="CW435" s="521">
        <f>SUM(SET!AU19:AY19)</f>
        <v>0</v>
      </c>
      <c r="CX435" s="521">
        <f>SET!AK19</f>
        <v>0</v>
      </c>
      <c r="CY435" s="2"/>
    </row>
    <row r="436" spans="1:103" ht="14.25" hidden="1" customHeight="1" x14ac:dyDescent="0.2">
      <c r="A436" s="2"/>
      <c r="B436" s="105">
        <f t="shared" si="92"/>
        <v>45548</v>
      </c>
      <c r="C436" s="146">
        <f>IF(AND(E436&gt;(N$559-1),E436&lt;(R$559+1)),W$551,IF(ISERROR(HLOOKUP(E436,$N$552:$U$552,1,FALSE)),HLOOKUP(WEEKDAY(E436,2),IMPOSTAZIONI!$C$52:$P$57,6,FALSE),$W$550))</f>
        <v>0</v>
      </c>
      <c r="D436" s="71" t="str">
        <f t="shared" si="93"/>
        <v/>
      </c>
      <c r="E436" s="2258">
        <f t="shared" si="98"/>
        <v>45548</v>
      </c>
      <c r="F436" s="2259"/>
      <c r="G436" s="2228" t="str">
        <f>SET!E20</f>
        <v xml:space="preserve">disattivato  </v>
      </c>
      <c r="H436" s="2229"/>
      <c r="I436" s="2230"/>
      <c r="J436" s="262" t="str">
        <f t="shared" ref="J436:J499" si="101">IF(E436=T$5,"&gt;","")</f>
        <v/>
      </c>
      <c r="K436" s="263"/>
      <c r="L436" s="2217">
        <f t="shared" si="99"/>
        <v>37</v>
      </c>
      <c r="M436" s="2218"/>
      <c r="N436" s="261"/>
      <c r="O436" s="261"/>
      <c r="P436" s="261"/>
      <c r="Q436" s="2219">
        <f t="shared" si="94"/>
        <v>45548</v>
      </c>
      <c r="R436" s="2219"/>
      <c r="S436" s="261"/>
      <c r="T436" s="1173">
        <f t="shared" ref="T436:T499" si="102">IF(OR(G436&lt;&gt;0,CH436&lt;&gt;0),1,0)</f>
        <v>1</v>
      </c>
      <c r="U436" s="261"/>
      <c r="V436" s="261"/>
      <c r="W436" s="261"/>
      <c r="X436" s="261"/>
      <c r="Y436" s="261"/>
      <c r="Z436" s="261"/>
      <c r="AA436" s="261"/>
      <c r="AB436" s="261"/>
      <c r="AC436" s="261"/>
      <c r="AD436" s="261"/>
      <c r="AE436" s="261"/>
      <c r="AF436" s="261"/>
      <c r="AG436" s="1173">
        <f t="shared" si="95"/>
        <v>0</v>
      </c>
      <c r="AH436" s="61" t="str">
        <f t="shared" si="96"/>
        <v/>
      </c>
      <c r="AI436" s="89" t="e">
        <f t="shared" si="97"/>
        <v>#N/A</v>
      </c>
      <c r="AJ436" s="2"/>
      <c r="AK436" s="61">
        <f>IF(G436=G$547,0,IF(OR(G436&lt;&gt;0,CH436&lt;&gt;0,C436="L"),COUNTIF(AK$180:AK435,"&gt;0")+1,0))</f>
        <v>0</v>
      </c>
      <c r="AL436" s="61" t="str">
        <f t="shared" ref="AL436:AL499" si="103">IF(AL$177=5,AH436,IF(AK436=0,"",IF(AL$177=1,IF(AND(AK436&gt;($CD$549-1),AK436&lt;($CD$550+1)),"Y",""),IF(AL$177=2,IF(AL$176=MONTH(E436),"Y",""),IF(AL$177=3,"Y",IF(AL$177=4,IF(AND(E436&gt;(AO$177-1),E436&lt;(AO$178+1)),"Y",""),IF(AL$177=5,IF(AG436=1,"Y",""),"")))))))</f>
        <v/>
      </c>
      <c r="AM436" s="61" t="e">
        <f t="shared" ref="AM436:AM499" si="104">IF(AM$175=AM$174,CG436,IF(AND(AN$177&gt;0,AN$178&gt;0),IF(AND(E436&gt;(AN$177-1),E436&lt;(AN$178+1),OR(AO436&lt;&gt;0,AN436=AM$177)),"X",""),""))</f>
        <v>#N/A</v>
      </c>
      <c r="AN436" s="89" t="e">
        <f t="shared" ref="AN436:AN499" si="105">IF(AND(E436&gt;(AN$177-1),E436&lt;(AN$178+1)),C436,0)</f>
        <v>#N/A</v>
      </c>
      <c r="AO436" s="230">
        <f>SUM(SET!X20:AD20)-BD436+AY436</f>
        <v>0</v>
      </c>
      <c r="AP436" s="228">
        <f>SUMIF(SET!$G$121:$M$121,AP$178,SET!$P20:$V20)+SUMIF($AZ$178:$BC$178,AP$178,$AZ436:$BC436)</f>
        <v>0</v>
      </c>
      <c r="AQ436" s="229">
        <f>SUMIF(SET!$G$121:$M$121,AQ$178,SET!$P20:$V20)+SUMIF($AZ$178:$BC$178,AQ$178,$AZ436:$BC436)</f>
        <v>0</v>
      </c>
      <c r="AR436" s="230">
        <f>SUMIF(SET!$G$121:$M$121,AR$178,SET!$P20:$V20)+SUMIF($AZ$178:$BC$178,AR$178,$AZ436:$BC436)</f>
        <v>0</v>
      </c>
      <c r="AS436" s="230">
        <f>SUMIF(SET!$G$121:$M$121,AS$178,SET!$P20:$V20)+SUMIF($AZ$178:$BC$178,AS$178,$AZ436:$BC436)</f>
        <v>0</v>
      </c>
      <c r="AT436" s="230">
        <f>SUMIF(SET!$G$121:$M$121,AT$178,SET!$P20:$V20)+SUMIF($AZ$178:$BC$178,AT$178,$AZ436:$BC436)</f>
        <v>0</v>
      </c>
      <c r="AU436" s="230">
        <f>SUMIF(SET!$G$121:$M$121,AU$178,SET!$P20:$V20)+SUMIF($AZ$178:$BC$178,AU$178,$AZ436:$BC436)</f>
        <v>0</v>
      </c>
      <c r="AV436" s="230">
        <f>SUMIF(SET!$G$121:$M$121,AV$178,SET!$P20:$V20)+SUMIF($AZ$178:$BC$178,AV$178,$AZ436:$BC436)</f>
        <v>0</v>
      </c>
      <c r="AW436" s="230">
        <f>SUMIF(SET!$G$121:$M$121,AW$178,SET!$P20:$V20)+SUMIF($AZ$178:$BC$178,AW$178,$AZ436:$BC436)</f>
        <v>0</v>
      </c>
      <c r="AX436" s="231">
        <f>SUMIF(SET!$G$121:$M$121,AX$178,SET!$P20:$V20)+SUMIF($AZ$178:$BC$178,AX$178,$AZ436:$BC436)</f>
        <v>0</v>
      </c>
      <c r="AY436" s="232">
        <f>SET!AF20</f>
        <v>0</v>
      </c>
      <c r="AZ436" s="228">
        <f>SET!AG20</f>
        <v>0</v>
      </c>
      <c r="BA436" s="229">
        <f>SET!AH20</f>
        <v>0</v>
      </c>
      <c r="BB436" s="230">
        <f>SET!AI20</f>
        <v>0</v>
      </c>
      <c r="BC436" s="231">
        <f>SET!AJ20</f>
        <v>0</v>
      </c>
      <c r="BD436" s="228">
        <f>SUMIF(SET!$G$120:$M$120,"&gt;0",SET!$X20:$AD20)</f>
        <v>0</v>
      </c>
      <c r="BE436" s="696"/>
      <c r="BF436" s="228">
        <f>SUMIF(SET!$BA$6:$BG$6,BF$177,SET!$BA20:$BG20)</f>
        <v>0</v>
      </c>
      <c r="BG436" s="229">
        <f>SUMIF(SET!$BA$6:$BG$6,BG$177,SET!$BA20:$BG20)</f>
        <v>0</v>
      </c>
      <c r="BH436" s="229">
        <f>SUMIF(SET!$BA$6:$BG$6,BH$177,SET!$BA20:$BG20)</f>
        <v>0</v>
      </c>
      <c r="BI436" s="229">
        <f>SUMIF(SET!$BA$6:$BG$6,BI$177,SET!$BA20:$BG20)</f>
        <v>0</v>
      </c>
      <c r="BJ436" s="229">
        <f>SUMIF(SET!$BA$6:$BG$6,BJ$177,SET!$BA20:$BG20)</f>
        <v>0</v>
      </c>
      <c r="BK436" s="229">
        <f>SUMIF(SET!$BA$6:$BG$6,BK$177,SET!$BA20:$BG20)</f>
        <v>0</v>
      </c>
      <c r="BL436" s="229">
        <f>SUMIF(SET!$BA$6:$BG$6,BL$177,SET!$BA20:$BG20)</f>
        <v>0</v>
      </c>
      <c r="BM436" s="229">
        <f>SUMIF(SET!$BA$6:$BG$6,BM$177,SET!$BA20:$BG20)</f>
        <v>0</v>
      </c>
      <c r="BN436" s="229">
        <f>SUMIF(SET!$BA$6:$BG$6,BN$177,SET!$BA20:$BG20)</f>
        <v>0</v>
      </c>
      <c r="BO436" s="231">
        <f>SUMIF(SET!$BA$6:$BG$6,BO$177,SET!$BA20:$BG20)</f>
        <v>0</v>
      </c>
      <c r="BP436" s="231">
        <f>SUMIF(SET!$BA$6:$BG$6,BP$177,SET!$BA20:$BG20)</f>
        <v>0</v>
      </c>
      <c r="BQ436" s="252"/>
      <c r="BR436" s="228">
        <f>SUMIF(SET!$BA$5:$BG$5,BR$177,SET!$BA20:$BG20)</f>
        <v>0</v>
      </c>
      <c r="BS436" s="229">
        <f>SUMIF(SET!$BA$5:$BG$5,BS$177,SET!$BA20:$BG20)</f>
        <v>0</v>
      </c>
      <c r="BT436" s="229">
        <f>SUMIF(SET!$BA$5:$BG$5,BT$177,SET!$BA20:$BG20)</f>
        <v>0</v>
      </c>
      <c r="BU436" s="229">
        <f>SUMIF(SET!$BA$5:$BG$5,BU$177,SET!$BA20:$BG20)</f>
        <v>0</v>
      </c>
      <c r="BV436" s="229">
        <f>SUMIF(SET!$BA$5:$BG$5,BV$177,SET!$BA20:$BG20)</f>
        <v>0</v>
      </c>
      <c r="BW436" s="229">
        <f>SUMIF(SET!$BA$5:$BG$5,BW$177,SET!$BA20:$BG20)</f>
        <v>0</v>
      </c>
      <c r="BX436" s="230">
        <f>SUMIF(SET!$BA$5:$BG$5,BX$177,SET!$BA20:$BG20)</f>
        <v>0</v>
      </c>
      <c r="BY436" s="998">
        <f>SUMIF(SET!$BA$5:$BG$5,BY$177,SET!$BA20:$BG20)</f>
        <v>0</v>
      </c>
      <c r="CB436" s="252"/>
      <c r="CC436" s="61" t="e">
        <f t="shared" ref="CC436:CC499" si="106">IF(AM436="X",AK436,0)</f>
        <v>#N/A</v>
      </c>
      <c r="CD436" s="61">
        <f t="shared" ref="CD436:CD499" si="107">IF(AL436="Y",AK436,0)</f>
        <v>0</v>
      </c>
      <c r="CE436" s="105" t="str">
        <f t="shared" si="100"/>
        <v/>
      </c>
      <c r="CF436" s="61" t="e">
        <f t="shared" ref="CF436:CF499" si="108">IF(CG436="X",AK436,0)</f>
        <v>#N/A</v>
      </c>
      <c r="CG436" s="61" t="e">
        <f t="shared" ref="CG436:CG499" si="109">IF(AND(L436&gt;(AI$177-1),L436&lt;(AI$178+1),OR(AO436&lt;&gt;0,AI436=CG$177)),"X","")</f>
        <v>#N/A</v>
      </c>
      <c r="CH436" s="521">
        <f>SET!AL20-CW436+CR436</f>
        <v>0</v>
      </c>
      <c r="CI436" s="228">
        <f>SUMIF(SET!$G$121:$M$121,CI$178,SET!$AM20:$AS20)+SUMIF($CS$178:$CV$178,CI$178,$CS436:$CV436)</f>
        <v>0</v>
      </c>
      <c r="CJ436" s="229">
        <f>SUMIF(SET!$G$121:$M$121,CJ$178,SET!$AM20:$AS20)+SUMIF($CS$178:$CV$178,CJ$178,$CS436:$CV436)</f>
        <v>0</v>
      </c>
      <c r="CK436" s="230">
        <f>SUMIF(SET!$G$121:$M$121,CK$178,SET!$AM20:$AS20)+SUMIF($CS$178:$CV$178,CK$178,$CS436:$CV436)</f>
        <v>0</v>
      </c>
      <c r="CL436" s="230">
        <f>SUMIF(SET!$G$121:$M$121,CL$178,SET!$AM20:$AS20)+SUMIF($CS$178:$CV$178,CL$178,$CS436:$CV436)</f>
        <v>0</v>
      </c>
      <c r="CM436" s="230">
        <f>SUMIF(SET!$G$121:$M$121,CM$178,SET!$AM20:$AS20)+SUMIF($CS$178:$CV$178,CM$178,$CS436:$CV436)</f>
        <v>0</v>
      </c>
      <c r="CN436" s="230">
        <f>SUMIF(SET!$G$121:$M$121,CN$178,SET!$AM20:$AS20)+SUMIF($CS$178:$CV$178,CN$178,$CS436:$CV436)</f>
        <v>0</v>
      </c>
      <c r="CO436" s="230">
        <f>SUMIF(SET!$G$121:$M$121,CO$178,SET!$AM20:$AS20)+SUMIF($CS$178:$CV$178,CO$178,$CS436:$CV436)</f>
        <v>0</v>
      </c>
      <c r="CP436" s="230">
        <f>SUMIF(SET!$G$121:$M$121,CP$178,SET!$AM20:$AS20)+SUMIF($CS$178:$CV$178,CP$178,$CS436:$CV436)</f>
        <v>0</v>
      </c>
      <c r="CQ436" s="231">
        <f>SUMIF(SET!$G$121:$M$121,CQ$178,SET!$AM20:$AS20)+SUMIF($CS$178:$CV$178,CQ$178,$CS436:$CV436)</f>
        <v>0</v>
      </c>
      <c r="CR436" s="521">
        <f>SET!AU20</f>
        <v>0</v>
      </c>
      <c r="CS436" s="228">
        <f>SET!AV20</f>
        <v>0</v>
      </c>
      <c r="CT436" s="229">
        <f>SET!AW20</f>
        <v>0</v>
      </c>
      <c r="CU436" s="230">
        <f>SET!AX20</f>
        <v>0</v>
      </c>
      <c r="CV436" s="231">
        <f>SET!AY20</f>
        <v>0</v>
      </c>
      <c r="CW436" s="521">
        <f>SUM(SET!AU20:AY20)</f>
        <v>0</v>
      </c>
      <c r="CX436" s="521">
        <f>SET!AK20</f>
        <v>0</v>
      </c>
      <c r="CY436" s="2"/>
    </row>
    <row r="437" spans="1:103" ht="14.25" hidden="1" customHeight="1" x14ac:dyDescent="0.2">
      <c r="A437" s="2"/>
      <c r="B437" s="105">
        <f t="shared" ref="B437:B500" si="110">E437</f>
        <v>45549</v>
      </c>
      <c r="C437" s="146">
        <f>IF(AND(E437&gt;(N$559-1),E437&lt;(R$559+1)),W$551,IF(ISERROR(HLOOKUP(E437,$N$552:$U$552,1,FALSE)),HLOOKUP(WEEKDAY(E437,2),IMPOSTAZIONI!$C$52:$P$57,6,FALSE),$W$550))</f>
        <v>0</v>
      </c>
      <c r="D437" s="71" t="str">
        <f t="shared" ref="D437:D500" si="111">IF(C437="L",MONTH(E437),"")</f>
        <v/>
      </c>
      <c r="E437" s="2258">
        <f t="shared" si="98"/>
        <v>45549</v>
      </c>
      <c r="F437" s="2259"/>
      <c r="G437" s="2228" t="str">
        <f>SET!E21</f>
        <v xml:space="preserve">disattivato  </v>
      </c>
      <c r="H437" s="2229"/>
      <c r="I437" s="2230"/>
      <c r="J437" s="262" t="str">
        <f t="shared" si="101"/>
        <v/>
      </c>
      <c r="K437" s="263"/>
      <c r="L437" s="2217">
        <f t="shared" si="99"/>
        <v>37</v>
      </c>
      <c r="M437" s="2218"/>
      <c r="N437" s="261"/>
      <c r="O437" s="261"/>
      <c r="P437" s="261"/>
      <c r="Q437" s="2219">
        <f t="shared" ref="Q437:Q500" si="112">E437</f>
        <v>45549</v>
      </c>
      <c r="R437" s="2219"/>
      <c r="S437" s="261"/>
      <c r="T437" s="1173">
        <f t="shared" si="102"/>
        <v>1</v>
      </c>
      <c r="U437" s="261"/>
      <c r="V437" s="261"/>
      <c r="W437" s="261"/>
      <c r="X437" s="261"/>
      <c r="Y437" s="261"/>
      <c r="Z437" s="261"/>
      <c r="AA437" s="261"/>
      <c r="AB437" s="261"/>
      <c r="AC437" s="261"/>
      <c r="AD437" s="261"/>
      <c r="AE437" s="261"/>
      <c r="AF437" s="261"/>
      <c r="AG437" s="1173">
        <f t="shared" ref="AG437:AG500" si="113">IF(AND(L437&gt;(AG$176-1),L437&lt;(AG$177+1)),1,0)</f>
        <v>0</v>
      </c>
      <c r="AH437" s="61" t="str">
        <f t="shared" ref="AH437:AH500" si="114">IF(AK437=0,"",IF(AH$177=5,IF(AND(L437&gt;(AG$176-1),L437&lt;(AG$177+1)),"Y",""),""))</f>
        <v/>
      </c>
      <c r="AI437" s="89" t="e">
        <f t="shared" ref="AI437:AI500" si="115">IF(AND($L437&gt;(AI$177-1),$L437&lt;(AI$178+1)),$C437,0)</f>
        <v>#N/A</v>
      </c>
      <c r="AJ437" s="2"/>
      <c r="AK437" s="61">
        <f>IF(G437=G$547,0,IF(OR(G437&lt;&gt;0,CH437&lt;&gt;0,C437="L"),COUNTIF(AK$180:AK436,"&gt;0")+1,0))</f>
        <v>0</v>
      </c>
      <c r="AL437" s="61" t="str">
        <f t="shared" si="103"/>
        <v/>
      </c>
      <c r="AM437" s="61" t="e">
        <f t="shared" si="104"/>
        <v>#N/A</v>
      </c>
      <c r="AN437" s="89" t="e">
        <f t="shared" si="105"/>
        <v>#N/A</v>
      </c>
      <c r="AO437" s="230">
        <f>SUM(SET!X21:AD21)-BD437+AY437</f>
        <v>0</v>
      </c>
      <c r="AP437" s="228">
        <f>SUMIF(SET!$G$121:$M$121,AP$178,SET!$P21:$V21)+SUMIF($AZ$178:$BC$178,AP$178,$AZ437:$BC437)</f>
        <v>0</v>
      </c>
      <c r="AQ437" s="229">
        <f>SUMIF(SET!$G$121:$M$121,AQ$178,SET!$P21:$V21)+SUMIF($AZ$178:$BC$178,AQ$178,$AZ437:$BC437)</f>
        <v>0</v>
      </c>
      <c r="AR437" s="230">
        <f>SUMIF(SET!$G$121:$M$121,AR$178,SET!$P21:$V21)+SUMIF($AZ$178:$BC$178,AR$178,$AZ437:$BC437)</f>
        <v>0</v>
      </c>
      <c r="AS437" s="230">
        <f>SUMIF(SET!$G$121:$M$121,AS$178,SET!$P21:$V21)+SUMIF($AZ$178:$BC$178,AS$178,$AZ437:$BC437)</f>
        <v>0</v>
      </c>
      <c r="AT437" s="230">
        <f>SUMIF(SET!$G$121:$M$121,AT$178,SET!$P21:$V21)+SUMIF($AZ$178:$BC$178,AT$178,$AZ437:$BC437)</f>
        <v>0</v>
      </c>
      <c r="AU437" s="230">
        <f>SUMIF(SET!$G$121:$M$121,AU$178,SET!$P21:$V21)+SUMIF($AZ$178:$BC$178,AU$178,$AZ437:$BC437)</f>
        <v>0</v>
      </c>
      <c r="AV437" s="230">
        <f>SUMIF(SET!$G$121:$M$121,AV$178,SET!$P21:$V21)+SUMIF($AZ$178:$BC$178,AV$178,$AZ437:$BC437)</f>
        <v>0</v>
      </c>
      <c r="AW437" s="230">
        <f>SUMIF(SET!$G$121:$M$121,AW$178,SET!$P21:$V21)+SUMIF($AZ$178:$BC$178,AW$178,$AZ437:$BC437)</f>
        <v>0</v>
      </c>
      <c r="AX437" s="231">
        <f>SUMIF(SET!$G$121:$M$121,AX$178,SET!$P21:$V21)+SUMIF($AZ$178:$BC$178,AX$178,$AZ437:$BC437)</f>
        <v>0</v>
      </c>
      <c r="AY437" s="232">
        <f>SET!AF21</f>
        <v>0</v>
      </c>
      <c r="AZ437" s="228">
        <f>SET!AG21</f>
        <v>0</v>
      </c>
      <c r="BA437" s="229">
        <f>SET!AH21</f>
        <v>0</v>
      </c>
      <c r="BB437" s="230">
        <f>SET!AI21</f>
        <v>0</v>
      </c>
      <c r="BC437" s="231">
        <f>SET!AJ21</f>
        <v>0</v>
      </c>
      <c r="BD437" s="228">
        <f>SUMIF(SET!$G$120:$M$120,"&gt;0",SET!$X21:$AD21)</f>
        <v>0</v>
      </c>
      <c r="BE437" s="696"/>
      <c r="BF437" s="228">
        <f>SUMIF(SET!$BA$6:$BG$6,BF$177,SET!$BA21:$BG21)</f>
        <v>0</v>
      </c>
      <c r="BG437" s="229">
        <f>SUMIF(SET!$BA$6:$BG$6,BG$177,SET!$BA21:$BG21)</f>
        <v>0</v>
      </c>
      <c r="BH437" s="229">
        <f>SUMIF(SET!$BA$6:$BG$6,BH$177,SET!$BA21:$BG21)</f>
        <v>0</v>
      </c>
      <c r="BI437" s="229">
        <f>SUMIF(SET!$BA$6:$BG$6,BI$177,SET!$BA21:$BG21)</f>
        <v>0</v>
      </c>
      <c r="BJ437" s="229">
        <f>SUMIF(SET!$BA$6:$BG$6,BJ$177,SET!$BA21:$BG21)</f>
        <v>0</v>
      </c>
      <c r="BK437" s="229">
        <f>SUMIF(SET!$BA$6:$BG$6,BK$177,SET!$BA21:$BG21)</f>
        <v>0</v>
      </c>
      <c r="BL437" s="229">
        <f>SUMIF(SET!$BA$6:$BG$6,BL$177,SET!$BA21:$BG21)</f>
        <v>0</v>
      </c>
      <c r="BM437" s="229">
        <f>SUMIF(SET!$BA$6:$BG$6,BM$177,SET!$BA21:$BG21)</f>
        <v>0</v>
      </c>
      <c r="BN437" s="229">
        <f>SUMIF(SET!$BA$6:$BG$6,BN$177,SET!$BA21:$BG21)</f>
        <v>0</v>
      </c>
      <c r="BO437" s="231">
        <f>SUMIF(SET!$BA$6:$BG$6,BO$177,SET!$BA21:$BG21)</f>
        <v>0</v>
      </c>
      <c r="BP437" s="231">
        <f>SUMIF(SET!$BA$6:$BG$6,BP$177,SET!$BA21:$BG21)</f>
        <v>0</v>
      </c>
      <c r="BQ437" s="252"/>
      <c r="BR437" s="228">
        <f>SUMIF(SET!$BA$5:$BG$5,BR$177,SET!$BA21:$BG21)</f>
        <v>0</v>
      </c>
      <c r="BS437" s="229">
        <f>SUMIF(SET!$BA$5:$BG$5,BS$177,SET!$BA21:$BG21)</f>
        <v>0</v>
      </c>
      <c r="BT437" s="229">
        <f>SUMIF(SET!$BA$5:$BG$5,BT$177,SET!$BA21:$BG21)</f>
        <v>0</v>
      </c>
      <c r="BU437" s="229">
        <f>SUMIF(SET!$BA$5:$BG$5,BU$177,SET!$BA21:$BG21)</f>
        <v>0</v>
      </c>
      <c r="BV437" s="229">
        <f>SUMIF(SET!$BA$5:$BG$5,BV$177,SET!$BA21:$BG21)</f>
        <v>0</v>
      </c>
      <c r="BW437" s="229">
        <f>SUMIF(SET!$BA$5:$BG$5,BW$177,SET!$BA21:$BG21)</f>
        <v>0</v>
      </c>
      <c r="BX437" s="230">
        <f>SUMIF(SET!$BA$5:$BG$5,BX$177,SET!$BA21:$BG21)</f>
        <v>0</v>
      </c>
      <c r="BY437" s="998">
        <f>SUMIF(SET!$BA$5:$BG$5,BY$177,SET!$BA21:$BG21)</f>
        <v>0</v>
      </c>
      <c r="CB437" s="252"/>
      <c r="CC437" s="61" t="e">
        <f t="shared" si="106"/>
        <v>#N/A</v>
      </c>
      <c r="CD437" s="61">
        <f t="shared" si="107"/>
        <v>0</v>
      </c>
      <c r="CE437" s="105" t="str">
        <f t="shared" si="100"/>
        <v/>
      </c>
      <c r="CF437" s="61" t="e">
        <f t="shared" si="108"/>
        <v>#N/A</v>
      </c>
      <c r="CG437" s="61" t="e">
        <f t="shared" si="109"/>
        <v>#N/A</v>
      </c>
      <c r="CH437" s="521">
        <f>SET!AL21-CW437+CR437</f>
        <v>0</v>
      </c>
      <c r="CI437" s="228">
        <f>SUMIF(SET!$G$121:$M$121,CI$178,SET!$AM21:$AS21)+SUMIF($CS$178:$CV$178,CI$178,$CS437:$CV437)</f>
        <v>0</v>
      </c>
      <c r="CJ437" s="229">
        <f>SUMIF(SET!$G$121:$M$121,CJ$178,SET!$AM21:$AS21)+SUMIF($CS$178:$CV$178,CJ$178,$CS437:$CV437)</f>
        <v>0</v>
      </c>
      <c r="CK437" s="230">
        <f>SUMIF(SET!$G$121:$M$121,CK$178,SET!$AM21:$AS21)+SUMIF($CS$178:$CV$178,CK$178,$CS437:$CV437)</f>
        <v>0</v>
      </c>
      <c r="CL437" s="230">
        <f>SUMIF(SET!$G$121:$M$121,CL$178,SET!$AM21:$AS21)+SUMIF($CS$178:$CV$178,CL$178,$CS437:$CV437)</f>
        <v>0</v>
      </c>
      <c r="CM437" s="230">
        <f>SUMIF(SET!$G$121:$M$121,CM$178,SET!$AM21:$AS21)+SUMIF($CS$178:$CV$178,CM$178,$CS437:$CV437)</f>
        <v>0</v>
      </c>
      <c r="CN437" s="230">
        <f>SUMIF(SET!$G$121:$M$121,CN$178,SET!$AM21:$AS21)+SUMIF($CS$178:$CV$178,CN$178,$CS437:$CV437)</f>
        <v>0</v>
      </c>
      <c r="CO437" s="230">
        <f>SUMIF(SET!$G$121:$M$121,CO$178,SET!$AM21:$AS21)+SUMIF($CS$178:$CV$178,CO$178,$CS437:$CV437)</f>
        <v>0</v>
      </c>
      <c r="CP437" s="230">
        <f>SUMIF(SET!$G$121:$M$121,CP$178,SET!$AM21:$AS21)+SUMIF($CS$178:$CV$178,CP$178,$CS437:$CV437)</f>
        <v>0</v>
      </c>
      <c r="CQ437" s="231">
        <f>SUMIF(SET!$G$121:$M$121,CQ$178,SET!$AM21:$AS21)+SUMIF($CS$178:$CV$178,CQ$178,$CS437:$CV437)</f>
        <v>0</v>
      </c>
      <c r="CR437" s="521">
        <f>SET!AU21</f>
        <v>0</v>
      </c>
      <c r="CS437" s="228">
        <f>SET!AV21</f>
        <v>0</v>
      </c>
      <c r="CT437" s="229">
        <f>SET!AW21</f>
        <v>0</v>
      </c>
      <c r="CU437" s="230">
        <f>SET!AX21</f>
        <v>0</v>
      </c>
      <c r="CV437" s="231">
        <f>SET!AY21</f>
        <v>0</v>
      </c>
      <c r="CW437" s="521">
        <f>SUM(SET!AU21:AY21)</f>
        <v>0</v>
      </c>
      <c r="CX437" s="521">
        <f>SET!AK21</f>
        <v>0</v>
      </c>
      <c r="CY437" s="2"/>
    </row>
    <row r="438" spans="1:103" ht="14.25" hidden="1" customHeight="1" x14ac:dyDescent="0.2">
      <c r="A438" s="2"/>
      <c r="B438" s="105">
        <f t="shared" si="110"/>
        <v>45550</v>
      </c>
      <c r="C438" s="146">
        <f>IF(AND(E438&gt;(N$559-1),E438&lt;(R$559+1)),W$551,IF(ISERROR(HLOOKUP(E438,$N$552:$U$552,1,FALSE)),HLOOKUP(WEEKDAY(E438,2),IMPOSTAZIONI!$C$52:$P$57,6,FALSE),$W$550))</f>
        <v>0</v>
      </c>
      <c r="D438" s="71" t="str">
        <f t="shared" si="111"/>
        <v/>
      </c>
      <c r="E438" s="2258">
        <f t="shared" ref="E438:E501" si="116">E437+1</f>
        <v>45550</v>
      </c>
      <c r="F438" s="2259"/>
      <c r="G438" s="2228" t="str">
        <f>SET!E22</f>
        <v xml:space="preserve">disattivato  </v>
      </c>
      <c r="H438" s="2229"/>
      <c r="I438" s="2230"/>
      <c r="J438" s="262" t="str">
        <f t="shared" si="101"/>
        <v/>
      </c>
      <c r="K438" s="263"/>
      <c r="L438" s="2220">
        <f t="shared" si="99"/>
        <v>37</v>
      </c>
      <c r="M438" s="2221"/>
      <c r="N438" s="261"/>
      <c r="O438" s="261"/>
      <c r="P438" s="261"/>
      <c r="Q438" s="2219">
        <f t="shared" si="112"/>
        <v>45550</v>
      </c>
      <c r="R438" s="2219"/>
      <c r="S438" s="261"/>
      <c r="T438" s="1173">
        <f t="shared" si="102"/>
        <v>1</v>
      </c>
      <c r="U438" s="261"/>
      <c r="V438" s="261"/>
      <c r="W438" s="261"/>
      <c r="X438" s="261"/>
      <c r="Y438" s="261"/>
      <c r="Z438" s="261"/>
      <c r="AA438" s="261"/>
      <c r="AB438" s="261"/>
      <c r="AC438" s="261"/>
      <c r="AD438" s="261"/>
      <c r="AE438" s="261"/>
      <c r="AF438" s="261"/>
      <c r="AG438" s="1173">
        <f t="shared" si="113"/>
        <v>0</v>
      </c>
      <c r="AH438" s="61" t="str">
        <f t="shared" si="114"/>
        <v/>
      </c>
      <c r="AI438" s="89" t="e">
        <f t="shared" si="115"/>
        <v>#N/A</v>
      </c>
      <c r="AJ438" s="2"/>
      <c r="AK438" s="61">
        <f>IF(G438=G$547,0,IF(OR(G438&lt;&gt;0,CH438&lt;&gt;0,C438="L"),COUNTIF(AK$180:AK437,"&gt;0")+1,0))</f>
        <v>0</v>
      </c>
      <c r="AL438" s="61" t="str">
        <f t="shared" si="103"/>
        <v/>
      </c>
      <c r="AM438" s="61" t="e">
        <f t="shared" si="104"/>
        <v>#N/A</v>
      </c>
      <c r="AN438" s="89" t="e">
        <f t="shared" si="105"/>
        <v>#N/A</v>
      </c>
      <c r="AO438" s="230">
        <f>SUM(SET!X22:AD22)-BD438+AY438</f>
        <v>0</v>
      </c>
      <c r="AP438" s="228">
        <f>SUMIF(SET!$G$121:$M$121,AP$178,SET!$P22:$V22)+SUMIF($AZ$178:$BC$178,AP$178,$AZ438:$BC438)</f>
        <v>0</v>
      </c>
      <c r="AQ438" s="229">
        <f>SUMIF(SET!$G$121:$M$121,AQ$178,SET!$P22:$V22)+SUMIF($AZ$178:$BC$178,AQ$178,$AZ438:$BC438)</f>
        <v>0</v>
      </c>
      <c r="AR438" s="230">
        <f>SUMIF(SET!$G$121:$M$121,AR$178,SET!$P22:$V22)+SUMIF($AZ$178:$BC$178,AR$178,$AZ438:$BC438)</f>
        <v>0</v>
      </c>
      <c r="AS438" s="230">
        <f>SUMIF(SET!$G$121:$M$121,AS$178,SET!$P22:$V22)+SUMIF($AZ$178:$BC$178,AS$178,$AZ438:$BC438)</f>
        <v>0</v>
      </c>
      <c r="AT438" s="230">
        <f>SUMIF(SET!$G$121:$M$121,AT$178,SET!$P22:$V22)+SUMIF($AZ$178:$BC$178,AT$178,$AZ438:$BC438)</f>
        <v>0</v>
      </c>
      <c r="AU438" s="230">
        <f>SUMIF(SET!$G$121:$M$121,AU$178,SET!$P22:$V22)+SUMIF($AZ$178:$BC$178,AU$178,$AZ438:$BC438)</f>
        <v>0</v>
      </c>
      <c r="AV438" s="230">
        <f>SUMIF(SET!$G$121:$M$121,AV$178,SET!$P22:$V22)+SUMIF($AZ$178:$BC$178,AV$178,$AZ438:$BC438)</f>
        <v>0</v>
      </c>
      <c r="AW438" s="230">
        <f>SUMIF(SET!$G$121:$M$121,AW$178,SET!$P22:$V22)+SUMIF($AZ$178:$BC$178,AW$178,$AZ438:$BC438)</f>
        <v>0</v>
      </c>
      <c r="AX438" s="231">
        <f>SUMIF(SET!$G$121:$M$121,AX$178,SET!$P22:$V22)+SUMIF($AZ$178:$BC$178,AX$178,$AZ438:$BC438)</f>
        <v>0</v>
      </c>
      <c r="AY438" s="232">
        <f>SET!AF22</f>
        <v>0</v>
      </c>
      <c r="AZ438" s="228">
        <f>SET!AG22</f>
        <v>0</v>
      </c>
      <c r="BA438" s="229">
        <f>SET!AH22</f>
        <v>0</v>
      </c>
      <c r="BB438" s="230">
        <f>SET!AI22</f>
        <v>0</v>
      </c>
      <c r="BC438" s="231">
        <f>SET!AJ22</f>
        <v>0</v>
      </c>
      <c r="BD438" s="228">
        <f>SUMIF(SET!$G$120:$M$120,"&gt;0",SET!$X22:$AD22)</f>
        <v>0</v>
      </c>
      <c r="BE438" s="696"/>
      <c r="BF438" s="228">
        <f>SUMIF(SET!$BA$6:$BG$6,BF$177,SET!$BA22:$BG22)</f>
        <v>0</v>
      </c>
      <c r="BG438" s="229">
        <f>SUMIF(SET!$BA$6:$BG$6,BG$177,SET!$BA22:$BG22)</f>
        <v>0</v>
      </c>
      <c r="BH438" s="229">
        <f>SUMIF(SET!$BA$6:$BG$6,BH$177,SET!$BA22:$BG22)</f>
        <v>0</v>
      </c>
      <c r="BI438" s="229">
        <f>SUMIF(SET!$BA$6:$BG$6,BI$177,SET!$BA22:$BG22)</f>
        <v>0</v>
      </c>
      <c r="BJ438" s="229">
        <f>SUMIF(SET!$BA$6:$BG$6,BJ$177,SET!$BA22:$BG22)</f>
        <v>0</v>
      </c>
      <c r="BK438" s="229">
        <f>SUMIF(SET!$BA$6:$BG$6,BK$177,SET!$BA22:$BG22)</f>
        <v>0</v>
      </c>
      <c r="BL438" s="229">
        <f>SUMIF(SET!$BA$6:$BG$6,BL$177,SET!$BA22:$BG22)</f>
        <v>0</v>
      </c>
      <c r="BM438" s="229">
        <f>SUMIF(SET!$BA$6:$BG$6,BM$177,SET!$BA22:$BG22)</f>
        <v>0</v>
      </c>
      <c r="BN438" s="229">
        <f>SUMIF(SET!$BA$6:$BG$6,BN$177,SET!$BA22:$BG22)</f>
        <v>0</v>
      </c>
      <c r="BO438" s="231">
        <f>SUMIF(SET!$BA$6:$BG$6,BO$177,SET!$BA22:$BG22)</f>
        <v>0</v>
      </c>
      <c r="BP438" s="231">
        <f>SUMIF(SET!$BA$6:$BG$6,BP$177,SET!$BA22:$BG22)</f>
        <v>0</v>
      </c>
      <c r="BQ438" s="252"/>
      <c r="BR438" s="228">
        <f>SUMIF(SET!$BA$5:$BG$5,BR$177,SET!$BA22:$BG22)</f>
        <v>0</v>
      </c>
      <c r="BS438" s="229">
        <f>SUMIF(SET!$BA$5:$BG$5,BS$177,SET!$BA22:$BG22)</f>
        <v>0</v>
      </c>
      <c r="BT438" s="229">
        <f>SUMIF(SET!$BA$5:$BG$5,BT$177,SET!$BA22:$BG22)</f>
        <v>0</v>
      </c>
      <c r="BU438" s="229">
        <f>SUMIF(SET!$BA$5:$BG$5,BU$177,SET!$BA22:$BG22)</f>
        <v>0</v>
      </c>
      <c r="BV438" s="229">
        <f>SUMIF(SET!$BA$5:$BG$5,BV$177,SET!$BA22:$BG22)</f>
        <v>0</v>
      </c>
      <c r="BW438" s="229">
        <f>SUMIF(SET!$BA$5:$BG$5,BW$177,SET!$BA22:$BG22)</f>
        <v>0</v>
      </c>
      <c r="BX438" s="230">
        <f>SUMIF(SET!$BA$5:$BG$5,BX$177,SET!$BA22:$BG22)</f>
        <v>0</v>
      </c>
      <c r="BY438" s="998">
        <f>SUMIF(SET!$BA$5:$BG$5,BY$177,SET!$BA22:$BG22)</f>
        <v>0</v>
      </c>
      <c r="CB438" s="252"/>
      <c r="CC438" s="61" t="e">
        <f t="shared" si="106"/>
        <v>#N/A</v>
      </c>
      <c r="CD438" s="61">
        <f t="shared" si="107"/>
        <v>0</v>
      </c>
      <c r="CE438" s="105" t="str">
        <f t="shared" si="100"/>
        <v/>
      </c>
      <c r="CF438" s="61" t="e">
        <f t="shared" si="108"/>
        <v>#N/A</v>
      </c>
      <c r="CG438" s="61" t="e">
        <f t="shared" si="109"/>
        <v>#N/A</v>
      </c>
      <c r="CH438" s="521">
        <f>SET!AL22-CW438+CR438</f>
        <v>0</v>
      </c>
      <c r="CI438" s="228">
        <f>SUMIF(SET!$G$121:$M$121,CI$178,SET!$AM22:$AS22)+SUMIF($CS$178:$CV$178,CI$178,$CS438:$CV438)</f>
        <v>0</v>
      </c>
      <c r="CJ438" s="229">
        <f>SUMIF(SET!$G$121:$M$121,CJ$178,SET!$AM22:$AS22)+SUMIF($CS$178:$CV$178,CJ$178,$CS438:$CV438)</f>
        <v>0</v>
      </c>
      <c r="CK438" s="230">
        <f>SUMIF(SET!$G$121:$M$121,CK$178,SET!$AM22:$AS22)+SUMIF($CS$178:$CV$178,CK$178,$CS438:$CV438)</f>
        <v>0</v>
      </c>
      <c r="CL438" s="230">
        <f>SUMIF(SET!$G$121:$M$121,CL$178,SET!$AM22:$AS22)+SUMIF($CS$178:$CV$178,CL$178,$CS438:$CV438)</f>
        <v>0</v>
      </c>
      <c r="CM438" s="230">
        <f>SUMIF(SET!$G$121:$M$121,CM$178,SET!$AM22:$AS22)+SUMIF($CS$178:$CV$178,CM$178,$CS438:$CV438)</f>
        <v>0</v>
      </c>
      <c r="CN438" s="230">
        <f>SUMIF(SET!$G$121:$M$121,CN$178,SET!$AM22:$AS22)+SUMIF($CS$178:$CV$178,CN$178,$CS438:$CV438)</f>
        <v>0</v>
      </c>
      <c r="CO438" s="230">
        <f>SUMIF(SET!$G$121:$M$121,CO$178,SET!$AM22:$AS22)+SUMIF($CS$178:$CV$178,CO$178,$CS438:$CV438)</f>
        <v>0</v>
      </c>
      <c r="CP438" s="230">
        <f>SUMIF(SET!$G$121:$M$121,CP$178,SET!$AM22:$AS22)+SUMIF($CS$178:$CV$178,CP$178,$CS438:$CV438)</f>
        <v>0</v>
      </c>
      <c r="CQ438" s="231">
        <f>SUMIF(SET!$G$121:$M$121,CQ$178,SET!$AM22:$AS22)+SUMIF($CS$178:$CV$178,CQ$178,$CS438:$CV438)</f>
        <v>0</v>
      </c>
      <c r="CR438" s="521">
        <f>SET!AU22</f>
        <v>0</v>
      </c>
      <c r="CS438" s="228">
        <f>SET!AV22</f>
        <v>0</v>
      </c>
      <c r="CT438" s="229">
        <f>SET!AW22</f>
        <v>0</v>
      </c>
      <c r="CU438" s="230">
        <f>SET!AX22</f>
        <v>0</v>
      </c>
      <c r="CV438" s="231">
        <f>SET!AY22</f>
        <v>0</v>
      </c>
      <c r="CW438" s="521">
        <f>SUM(SET!AU22:AY22)</f>
        <v>0</v>
      </c>
      <c r="CX438" s="521">
        <f>SET!AK22</f>
        <v>0</v>
      </c>
      <c r="CY438" s="2"/>
    </row>
    <row r="439" spans="1:103" ht="14.25" hidden="1" customHeight="1" x14ac:dyDescent="0.2">
      <c r="A439" s="2"/>
      <c r="B439" s="105">
        <f t="shared" si="110"/>
        <v>45551</v>
      </c>
      <c r="C439" s="146">
        <f>IF(AND(E439&gt;(N$559-1),E439&lt;(R$559+1)),W$551,IF(ISERROR(HLOOKUP(E439,$N$552:$U$552,1,FALSE)),HLOOKUP(WEEKDAY(E439,2),IMPOSTAZIONI!$C$52:$P$57,6,FALSE),$W$550))</f>
        <v>0</v>
      </c>
      <c r="D439" s="71" t="str">
        <f t="shared" si="111"/>
        <v/>
      </c>
      <c r="E439" s="2258">
        <f t="shared" si="116"/>
        <v>45551</v>
      </c>
      <c r="F439" s="2259"/>
      <c r="G439" s="2228" t="str">
        <f>SET!E23</f>
        <v xml:space="preserve">disattivato  </v>
      </c>
      <c r="H439" s="2229"/>
      <c r="I439" s="2230"/>
      <c r="J439" s="262" t="str">
        <f t="shared" si="101"/>
        <v/>
      </c>
      <c r="K439" s="263"/>
      <c r="L439" s="2222">
        <f t="shared" si="99"/>
        <v>38</v>
      </c>
      <c r="M439" s="2223"/>
      <c r="N439" s="261"/>
      <c r="O439" s="261"/>
      <c r="P439" s="261"/>
      <c r="Q439" s="2219">
        <f t="shared" si="112"/>
        <v>45551</v>
      </c>
      <c r="R439" s="2219"/>
      <c r="S439" s="261"/>
      <c r="T439" s="1173">
        <f t="shared" si="102"/>
        <v>1</v>
      </c>
      <c r="U439" s="261"/>
      <c r="V439" s="261"/>
      <c r="W439" s="261"/>
      <c r="X439" s="261"/>
      <c r="Y439" s="261"/>
      <c r="Z439" s="261"/>
      <c r="AA439" s="261"/>
      <c r="AB439" s="261"/>
      <c r="AC439" s="261"/>
      <c r="AD439" s="261"/>
      <c r="AE439" s="261"/>
      <c r="AF439" s="261"/>
      <c r="AG439" s="1173">
        <f t="shared" si="113"/>
        <v>0</v>
      </c>
      <c r="AH439" s="61" t="str">
        <f t="shared" si="114"/>
        <v/>
      </c>
      <c r="AI439" s="89" t="e">
        <f t="shared" si="115"/>
        <v>#N/A</v>
      </c>
      <c r="AJ439" s="2"/>
      <c r="AK439" s="61">
        <f>IF(G439=G$547,0,IF(OR(G439&lt;&gt;0,CH439&lt;&gt;0,C439="L"),COUNTIF(AK$180:AK438,"&gt;0")+1,0))</f>
        <v>0</v>
      </c>
      <c r="AL439" s="61" t="str">
        <f t="shared" si="103"/>
        <v/>
      </c>
      <c r="AM439" s="61" t="e">
        <f t="shared" si="104"/>
        <v>#N/A</v>
      </c>
      <c r="AN439" s="89" t="e">
        <f t="shared" si="105"/>
        <v>#N/A</v>
      </c>
      <c r="AO439" s="230">
        <f>SUM(SET!X23:AD23)-BD439+AY439</f>
        <v>0</v>
      </c>
      <c r="AP439" s="228">
        <f>SUMIF(SET!$G$121:$M$121,AP$178,SET!$P23:$V23)+SUMIF($AZ$178:$BC$178,AP$178,$AZ439:$BC439)</f>
        <v>0</v>
      </c>
      <c r="AQ439" s="229">
        <f>SUMIF(SET!$G$121:$M$121,AQ$178,SET!$P23:$V23)+SUMIF($AZ$178:$BC$178,AQ$178,$AZ439:$BC439)</f>
        <v>0</v>
      </c>
      <c r="AR439" s="230">
        <f>SUMIF(SET!$G$121:$M$121,AR$178,SET!$P23:$V23)+SUMIF($AZ$178:$BC$178,AR$178,$AZ439:$BC439)</f>
        <v>0</v>
      </c>
      <c r="AS439" s="230">
        <f>SUMIF(SET!$G$121:$M$121,AS$178,SET!$P23:$V23)+SUMIF($AZ$178:$BC$178,AS$178,$AZ439:$BC439)</f>
        <v>0</v>
      </c>
      <c r="AT439" s="230">
        <f>SUMIF(SET!$G$121:$M$121,AT$178,SET!$P23:$V23)+SUMIF($AZ$178:$BC$178,AT$178,$AZ439:$BC439)</f>
        <v>0</v>
      </c>
      <c r="AU439" s="230">
        <f>SUMIF(SET!$G$121:$M$121,AU$178,SET!$P23:$V23)+SUMIF($AZ$178:$BC$178,AU$178,$AZ439:$BC439)</f>
        <v>0</v>
      </c>
      <c r="AV439" s="230">
        <f>SUMIF(SET!$G$121:$M$121,AV$178,SET!$P23:$V23)+SUMIF($AZ$178:$BC$178,AV$178,$AZ439:$BC439)</f>
        <v>0</v>
      </c>
      <c r="AW439" s="230">
        <f>SUMIF(SET!$G$121:$M$121,AW$178,SET!$P23:$V23)+SUMIF($AZ$178:$BC$178,AW$178,$AZ439:$BC439)</f>
        <v>0</v>
      </c>
      <c r="AX439" s="231">
        <f>SUMIF(SET!$G$121:$M$121,AX$178,SET!$P23:$V23)+SUMIF($AZ$178:$BC$178,AX$178,$AZ439:$BC439)</f>
        <v>0</v>
      </c>
      <c r="AY439" s="232">
        <f>SET!AF23</f>
        <v>0</v>
      </c>
      <c r="AZ439" s="228">
        <f>SET!AG23</f>
        <v>0</v>
      </c>
      <c r="BA439" s="229">
        <f>SET!AH23</f>
        <v>0</v>
      </c>
      <c r="BB439" s="230">
        <f>SET!AI23</f>
        <v>0</v>
      </c>
      <c r="BC439" s="231">
        <f>SET!AJ23</f>
        <v>0</v>
      </c>
      <c r="BD439" s="228">
        <f>SUMIF(SET!$G$120:$M$120,"&gt;0",SET!$X23:$AD23)</f>
        <v>0</v>
      </c>
      <c r="BE439" s="696"/>
      <c r="BF439" s="228">
        <f>SUMIF(SET!$BA$6:$BG$6,BF$177,SET!$BA23:$BG23)</f>
        <v>0</v>
      </c>
      <c r="BG439" s="229">
        <f>SUMIF(SET!$BA$6:$BG$6,BG$177,SET!$BA23:$BG23)</f>
        <v>0</v>
      </c>
      <c r="BH439" s="229">
        <f>SUMIF(SET!$BA$6:$BG$6,BH$177,SET!$BA23:$BG23)</f>
        <v>0</v>
      </c>
      <c r="BI439" s="229">
        <f>SUMIF(SET!$BA$6:$BG$6,BI$177,SET!$BA23:$BG23)</f>
        <v>0</v>
      </c>
      <c r="BJ439" s="229">
        <f>SUMIF(SET!$BA$6:$BG$6,BJ$177,SET!$BA23:$BG23)</f>
        <v>0</v>
      </c>
      <c r="BK439" s="229">
        <f>SUMIF(SET!$BA$6:$BG$6,BK$177,SET!$BA23:$BG23)</f>
        <v>0</v>
      </c>
      <c r="BL439" s="229">
        <f>SUMIF(SET!$BA$6:$BG$6,BL$177,SET!$BA23:$BG23)</f>
        <v>0</v>
      </c>
      <c r="BM439" s="229">
        <f>SUMIF(SET!$BA$6:$BG$6,BM$177,SET!$BA23:$BG23)</f>
        <v>0</v>
      </c>
      <c r="BN439" s="229">
        <f>SUMIF(SET!$BA$6:$BG$6,BN$177,SET!$BA23:$BG23)</f>
        <v>0</v>
      </c>
      <c r="BO439" s="231">
        <f>SUMIF(SET!$BA$6:$BG$6,BO$177,SET!$BA23:$BG23)</f>
        <v>0</v>
      </c>
      <c r="BP439" s="231">
        <f>SUMIF(SET!$BA$6:$BG$6,BP$177,SET!$BA23:$BG23)</f>
        <v>0</v>
      </c>
      <c r="BQ439" s="252"/>
      <c r="BR439" s="228">
        <f>SUMIF(SET!$BA$5:$BG$5,BR$177,SET!$BA23:$BG23)</f>
        <v>0</v>
      </c>
      <c r="BS439" s="229">
        <f>SUMIF(SET!$BA$5:$BG$5,BS$177,SET!$BA23:$BG23)</f>
        <v>0</v>
      </c>
      <c r="BT439" s="229">
        <f>SUMIF(SET!$BA$5:$BG$5,BT$177,SET!$BA23:$BG23)</f>
        <v>0</v>
      </c>
      <c r="BU439" s="229">
        <f>SUMIF(SET!$BA$5:$BG$5,BU$177,SET!$BA23:$BG23)</f>
        <v>0</v>
      </c>
      <c r="BV439" s="229">
        <f>SUMIF(SET!$BA$5:$BG$5,BV$177,SET!$BA23:$BG23)</f>
        <v>0</v>
      </c>
      <c r="BW439" s="229">
        <f>SUMIF(SET!$BA$5:$BG$5,BW$177,SET!$BA23:$BG23)</f>
        <v>0</v>
      </c>
      <c r="BX439" s="230">
        <f>SUMIF(SET!$BA$5:$BG$5,BX$177,SET!$BA23:$BG23)</f>
        <v>0</v>
      </c>
      <c r="BY439" s="998">
        <f>SUMIF(SET!$BA$5:$BG$5,BY$177,SET!$BA23:$BG23)</f>
        <v>0</v>
      </c>
      <c r="CB439" s="252"/>
      <c r="CC439" s="61" t="e">
        <f t="shared" si="106"/>
        <v>#N/A</v>
      </c>
      <c r="CD439" s="61">
        <f t="shared" si="107"/>
        <v>0</v>
      </c>
      <c r="CE439" s="105" t="str">
        <f t="shared" si="100"/>
        <v/>
      </c>
      <c r="CF439" s="61" t="e">
        <f t="shared" si="108"/>
        <v>#N/A</v>
      </c>
      <c r="CG439" s="61" t="e">
        <f t="shared" si="109"/>
        <v>#N/A</v>
      </c>
      <c r="CH439" s="521">
        <f>SET!AL23-CW439+CR439</f>
        <v>0</v>
      </c>
      <c r="CI439" s="228">
        <f>SUMIF(SET!$G$121:$M$121,CI$178,SET!$AM23:$AS23)+SUMIF($CS$178:$CV$178,CI$178,$CS439:$CV439)</f>
        <v>0</v>
      </c>
      <c r="CJ439" s="229">
        <f>SUMIF(SET!$G$121:$M$121,CJ$178,SET!$AM23:$AS23)+SUMIF($CS$178:$CV$178,CJ$178,$CS439:$CV439)</f>
        <v>0</v>
      </c>
      <c r="CK439" s="230">
        <f>SUMIF(SET!$G$121:$M$121,CK$178,SET!$AM23:$AS23)+SUMIF($CS$178:$CV$178,CK$178,$CS439:$CV439)</f>
        <v>0</v>
      </c>
      <c r="CL439" s="230">
        <f>SUMIF(SET!$G$121:$M$121,CL$178,SET!$AM23:$AS23)+SUMIF($CS$178:$CV$178,CL$178,$CS439:$CV439)</f>
        <v>0</v>
      </c>
      <c r="CM439" s="230">
        <f>SUMIF(SET!$G$121:$M$121,CM$178,SET!$AM23:$AS23)+SUMIF($CS$178:$CV$178,CM$178,$CS439:$CV439)</f>
        <v>0</v>
      </c>
      <c r="CN439" s="230">
        <f>SUMIF(SET!$G$121:$M$121,CN$178,SET!$AM23:$AS23)+SUMIF($CS$178:$CV$178,CN$178,$CS439:$CV439)</f>
        <v>0</v>
      </c>
      <c r="CO439" s="230">
        <f>SUMIF(SET!$G$121:$M$121,CO$178,SET!$AM23:$AS23)+SUMIF($CS$178:$CV$178,CO$178,$CS439:$CV439)</f>
        <v>0</v>
      </c>
      <c r="CP439" s="230">
        <f>SUMIF(SET!$G$121:$M$121,CP$178,SET!$AM23:$AS23)+SUMIF($CS$178:$CV$178,CP$178,$CS439:$CV439)</f>
        <v>0</v>
      </c>
      <c r="CQ439" s="231">
        <f>SUMIF(SET!$G$121:$M$121,CQ$178,SET!$AM23:$AS23)+SUMIF($CS$178:$CV$178,CQ$178,$CS439:$CV439)</f>
        <v>0</v>
      </c>
      <c r="CR439" s="521">
        <f>SET!AU23</f>
        <v>0</v>
      </c>
      <c r="CS439" s="228">
        <f>SET!AV23</f>
        <v>0</v>
      </c>
      <c r="CT439" s="229">
        <f>SET!AW23</f>
        <v>0</v>
      </c>
      <c r="CU439" s="230">
        <f>SET!AX23</f>
        <v>0</v>
      </c>
      <c r="CV439" s="231">
        <f>SET!AY23</f>
        <v>0</v>
      </c>
      <c r="CW439" s="521">
        <f>SUM(SET!AU23:AY23)</f>
        <v>0</v>
      </c>
      <c r="CX439" s="521">
        <f>SET!AK23</f>
        <v>0</v>
      </c>
      <c r="CY439" s="2"/>
    </row>
    <row r="440" spans="1:103" ht="14.25" hidden="1" customHeight="1" x14ac:dyDescent="0.2">
      <c r="A440" s="2"/>
      <c r="B440" s="105">
        <f t="shared" si="110"/>
        <v>45552</v>
      </c>
      <c r="C440" s="146">
        <f>IF(AND(E440&gt;(N$559-1),E440&lt;(R$559+1)),W$551,IF(ISERROR(HLOOKUP(E440,$N$552:$U$552,1,FALSE)),HLOOKUP(WEEKDAY(E440,2),IMPOSTAZIONI!$C$52:$P$57,6,FALSE),$W$550))</f>
        <v>0</v>
      </c>
      <c r="D440" s="71" t="str">
        <f t="shared" si="111"/>
        <v/>
      </c>
      <c r="E440" s="2258">
        <f t="shared" si="116"/>
        <v>45552</v>
      </c>
      <c r="F440" s="2259"/>
      <c r="G440" s="2228" t="str">
        <f>SET!E24</f>
        <v xml:space="preserve">disattivato  </v>
      </c>
      <c r="H440" s="2229"/>
      <c r="I440" s="2230"/>
      <c r="J440" s="262" t="str">
        <f t="shared" si="101"/>
        <v/>
      </c>
      <c r="K440" s="263"/>
      <c r="L440" s="2217">
        <f t="shared" si="99"/>
        <v>38</v>
      </c>
      <c r="M440" s="2218"/>
      <c r="N440" s="261"/>
      <c r="O440" s="261"/>
      <c r="P440" s="261"/>
      <c r="Q440" s="2219">
        <f t="shared" si="112"/>
        <v>45552</v>
      </c>
      <c r="R440" s="2219"/>
      <c r="S440" s="261"/>
      <c r="T440" s="1173">
        <f t="shared" si="102"/>
        <v>1</v>
      </c>
      <c r="U440" s="261"/>
      <c r="V440" s="261"/>
      <c r="W440" s="261"/>
      <c r="X440" s="261"/>
      <c r="Y440" s="261"/>
      <c r="Z440" s="261"/>
      <c r="AA440" s="261"/>
      <c r="AB440" s="261"/>
      <c r="AC440" s="261"/>
      <c r="AD440" s="261"/>
      <c r="AE440" s="261"/>
      <c r="AF440" s="261"/>
      <c r="AG440" s="1173">
        <f t="shared" si="113"/>
        <v>0</v>
      </c>
      <c r="AH440" s="61" t="str">
        <f t="shared" si="114"/>
        <v/>
      </c>
      <c r="AI440" s="89" t="e">
        <f t="shared" si="115"/>
        <v>#N/A</v>
      </c>
      <c r="AJ440" s="2"/>
      <c r="AK440" s="61">
        <f>IF(G440=G$547,0,IF(OR(G440&lt;&gt;0,CH440&lt;&gt;0,C440="L"),COUNTIF(AK$180:AK439,"&gt;0")+1,0))</f>
        <v>0</v>
      </c>
      <c r="AL440" s="61" t="str">
        <f t="shared" si="103"/>
        <v/>
      </c>
      <c r="AM440" s="61" t="e">
        <f t="shared" si="104"/>
        <v>#N/A</v>
      </c>
      <c r="AN440" s="89" t="e">
        <f t="shared" si="105"/>
        <v>#N/A</v>
      </c>
      <c r="AO440" s="230">
        <f>SUM(SET!X24:AD24)-BD440+AY440</f>
        <v>0</v>
      </c>
      <c r="AP440" s="228">
        <f>SUMIF(SET!$G$121:$M$121,AP$178,SET!$P24:$V24)+SUMIF($AZ$178:$BC$178,AP$178,$AZ440:$BC440)</f>
        <v>0</v>
      </c>
      <c r="AQ440" s="229">
        <f>SUMIF(SET!$G$121:$M$121,AQ$178,SET!$P24:$V24)+SUMIF($AZ$178:$BC$178,AQ$178,$AZ440:$BC440)</f>
        <v>0</v>
      </c>
      <c r="AR440" s="230">
        <f>SUMIF(SET!$G$121:$M$121,AR$178,SET!$P24:$V24)+SUMIF($AZ$178:$BC$178,AR$178,$AZ440:$BC440)</f>
        <v>0</v>
      </c>
      <c r="AS440" s="230">
        <f>SUMIF(SET!$G$121:$M$121,AS$178,SET!$P24:$V24)+SUMIF($AZ$178:$BC$178,AS$178,$AZ440:$BC440)</f>
        <v>0</v>
      </c>
      <c r="AT440" s="230">
        <f>SUMIF(SET!$G$121:$M$121,AT$178,SET!$P24:$V24)+SUMIF($AZ$178:$BC$178,AT$178,$AZ440:$BC440)</f>
        <v>0</v>
      </c>
      <c r="AU440" s="230">
        <f>SUMIF(SET!$G$121:$M$121,AU$178,SET!$P24:$V24)+SUMIF($AZ$178:$BC$178,AU$178,$AZ440:$BC440)</f>
        <v>0</v>
      </c>
      <c r="AV440" s="230">
        <f>SUMIF(SET!$G$121:$M$121,AV$178,SET!$P24:$V24)+SUMIF($AZ$178:$BC$178,AV$178,$AZ440:$BC440)</f>
        <v>0</v>
      </c>
      <c r="AW440" s="230">
        <f>SUMIF(SET!$G$121:$M$121,AW$178,SET!$P24:$V24)+SUMIF($AZ$178:$BC$178,AW$178,$AZ440:$BC440)</f>
        <v>0</v>
      </c>
      <c r="AX440" s="231">
        <f>SUMIF(SET!$G$121:$M$121,AX$178,SET!$P24:$V24)+SUMIF($AZ$178:$BC$178,AX$178,$AZ440:$BC440)</f>
        <v>0</v>
      </c>
      <c r="AY440" s="232">
        <f>SET!AF24</f>
        <v>0</v>
      </c>
      <c r="AZ440" s="228">
        <f>SET!AG24</f>
        <v>0</v>
      </c>
      <c r="BA440" s="229">
        <f>SET!AH24</f>
        <v>0</v>
      </c>
      <c r="BB440" s="230">
        <f>SET!AI24</f>
        <v>0</v>
      </c>
      <c r="BC440" s="231">
        <f>SET!AJ24</f>
        <v>0</v>
      </c>
      <c r="BD440" s="228">
        <f>SUMIF(SET!$G$120:$M$120,"&gt;0",SET!$X24:$AD24)</f>
        <v>0</v>
      </c>
      <c r="BE440" s="696"/>
      <c r="BF440" s="228">
        <f>SUMIF(SET!$BA$6:$BG$6,BF$177,SET!$BA24:$BG24)</f>
        <v>0</v>
      </c>
      <c r="BG440" s="229">
        <f>SUMIF(SET!$BA$6:$BG$6,BG$177,SET!$BA24:$BG24)</f>
        <v>0</v>
      </c>
      <c r="BH440" s="229">
        <f>SUMIF(SET!$BA$6:$BG$6,BH$177,SET!$BA24:$BG24)</f>
        <v>0</v>
      </c>
      <c r="BI440" s="229">
        <f>SUMIF(SET!$BA$6:$BG$6,BI$177,SET!$BA24:$BG24)</f>
        <v>0</v>
      </c>
      <c r="BJ440" s="229">
        <f>SUMIF(SET!$BA$6:$BG$6,BJ$177,SET!$BA24:$BG24)</f>
        <v>0</v>
      </c>
      <c r="BK440" s="229">
        <f>SUMIF(SET!$BA$6:$BG$6,BK$177,SET!$BA24:$BG24)</f>
        <v>0</v>
      </c>
      <c r="BL440" s="229">
        <f>SUMIF(SET!$BA$6:$BG$6,BL$177,SET!$BA24:$BG24)</f>
        <v>0</v>
      </c>
      <c r="BM440" s="229">
        <f>SUMIF(SET!$BA$6:$BG$6,BM$177,SET!$BA24:$BG24)</f>
        <v>0</v>
      </c>
      <c r="BN440" s="229">
        <f>SUMIF(SET!$BA$6:$BG$6,BN$177,SET!$BA24:$BG24)</f>
        <v>0</v>
      </c>
      <c r="BO440" s="231">
        <f>SUMIF(SET!$BA$6:$BG$6,BO$177,SET!$BA24:$BG24)</f>
        <v>0</v>
      </c>
      <c r="BP440" s="231">
        <f>SUMIF(SET!$BA$6:$BG$6,BP$177,SET!$BA24:$BG24)</f>
        <v>0</v>
      </c>
      <c r="BQ440" s="252"/>
      <c r="BR440" s="228">
        <f>SUMIF(SET!$BA$5:$BG$5,BR$177,SET!$BA24:$BG24)</f>
        <v>0</v>
      </c>
      <c r="BS440" s="229">
        <f>SUMIF(SET!$BA$5:$BG$5,BS$177,SET!$BA24:$BG24)</f>
        <v>0</v>
      </c>
      <c r="BT440" s="229">
        <f>SUMIF(SET!$BA$5:$BG$5,BT$177,SET!$BA24:$BG24)</f>
        <v>0</v>
      </c>
      <c r="BU440" s="229">
        <f>SUMIF(SET!$BA$5:$BG$5,BU$177,SET!$BA24:$BG24)</f>
        <v>0</v>
      </c>
      <c r="BV440" s="229">
        <f>SUMIF(SET!$BA$5:$BG$5,BV$177,SET!$BA24:$BG24)</f>
        <v>0</v>
      </c>
      <c r="BW440" s="229">
        <f>SUMIF(SET!$BA$5:$BG$5,BW$177,SET!$BA24:$BG24)</f>
        <v>0</v>
      </c>
      <c r="BX440" s="230">
        <f>SUMIF(SET!$BA$5:$BG$5,BX$177,SET!$BA24:$BG24)</f>
        <v>0</v>
      </c>
      <c r="BY440" s="998">
        <f>SUMIF(SET!$BA$5:$BG$5,BY$177,SET!$BA24:$BG24)</f>
        <v>0</v>
      </c>
      <c r="CB440" s="252"/>
      <c r="CC440" s="61" t="e">
        <f t="shared" si="106"/>
        <v>#N/A</v>
      </c>
      <c r="CD440" s="61">
        <f t="shared" si="107"/>
        <v>0</v>
      </c>
      <c r="CE440" s="105" t="str">
        <f t="shared" si="100"/>
        <v/>
      </c>
      <c r="CF440" s="61" t="e">
        <f t="shared" si="108"/>
        <v>#N/A</v>
      </c>
      <c r="CG440" s="61" t="e">
        <f t="shared" si="109"/>
        <v>#N/A</v>
      </c>
      <c r="CH440" s="521">
        <f>SET!AL24-CW440+CR440</f>
        <v>0</v>
      </c>
      <c r="CI440" s="228">
        <f>SUMIF(SET!$G$121:$M$121,CI$178,SET!$AM24:$AS24)+SUMIF($CS$178:$CV$178,CI$178,$CS440:$CV440)</f>
        <v>0</v>
      </c>
      <c r="CJ440" s="229">
        <f>SUMIF(SET!$G$121:$M$121,CJ$178,SET!$AM24:$AS24)+SUMIF($CS$178:$CV$178,CJ$178,$CS440:$CV440)</f>
        <v>0</v>
      </c>
      <c r="CK440" s="230">
        <f>SUMIF(SET!$G$121:$M$121,CK$178,SET!$AM24:$AS24)+SUMIF($CS$178:$CV$178,CK$178,$CS440:$CV440)</f>
        <v>0</v>
      </c>
      <c r="CL440" s="230">
        <f>SUMIF(SET!$G$121:$M$121,CL$178,SET!$AM24:$AS24)+SUMIF($CS$178:$CV$178,CL$178,$CS440:$CV440)</f>
        <v>0</v>
      </c>
      <c r="CM440" s="230">
        <f>SUMIF(SET!$G$121:$M$121,CM$178,SET!$AM24:$AS24)+SUMIF($CS$178:$CV$178,CM$178,$CS440:$CV440)</f>
        <v>0</v>
      </c>
      <c r="CN440" s="230">
        <f>SUMIF(SET!$G$121:$M$121,CN$178,SET!$AM24:$AS24)+SUMIF($CS$178:$CV$178,CN$178,$CS440:$CV440)</f>
        <v>0</v>
      </c>
      <c r="CO440" s="230">
        <f>SUMIF(SET!$G$121:$M$121,CO$178,SET!$AM24:$AS24)+SUMIF($CS$178:$CV$178,CO$178,$CS440:$CV440)</f>
        <v>0</v>
      </c>
      <c r="CP440" s="230">
        <f>SUMIF(SET!$G$121:$M$121,CP$178,SET!$AM24:$AS24)+SUMIF($CS$178:$CV$178,CP$178,$CS440:$CV440)</f>
        <v>0</v>
      </c>
      <c r="CQ440" s="231">
        <f>SUMIF(SET!$G$121:$M$121,CQ$178,SET!$AM24:$AS24)+SUMIF($CS$178:$CV$178,CQ$178,$CS440:$CV440)</f>
        <v>0</v>
      </c>
      <c r="CR440" s="521">
        <f>SET!AU24</f>
        <v>0</v>
      </c>
      <c r="CS440" s="228">
        <f>SET!AV24</f>
        <v>0</v>
      </c>
      <c r="CT440" s="229">
        <f>SET!AW24</f>
        <v>0</v>
      </c>
      <c r="CU440" s="230">
        <f>SET!AX24</f>
        <v>0</v>
      </c>
      <c r="CV440" s="231">
        <f>SET!AY24</f>
        <v>0</v>
      </c>
      <c r="CW440" s="521">
        <f>SUM(SET!AU24:AY24)</f>
        <v>0</v>
      </c>
      <c r="CX440" s="521">
        <f>SET!AK24</f>
        <v>0</v>
      </c>
      <c r="CY440" s="2"/>
    </row>
    <row r="441" spans="1:103" ht="14.25" hidden="1" customHeight="1" x14ac:dyDescent="0.2">
      <c r="A441" s="2"/>
      <c r="B441" s="105">
        <f t="shared" si="110"/>
        <v>45553</v>
      </c>
      <c r="C441" s="146">
        <f>IF(AND(E441&gt;(N$559-1),E441&lt;(R$559+1)),W$551,IF(ISERROR(HLOOKUP(E441,$N$552:$U$552,1,FALSE)),HLOOKUP(WEEKDAY(E441,2),IMPOSTAZIONI!$C$52:$P$57,6,FALSE),$W$550))</f>
        <v>0</v>
      </c>
      <c r="D441" s="71" t="str">
        <f t="shared" si="111"/>
        <v/>
      </c>
      <c r="E441" s="2258">
        <f t="shared" si="116"/>
        <v>45553</v>
      </c>
      <c r="F441" s="2259"/>
      <c r="G441" s="2228" t="str">
        <f>SET!E25</f>
        <v xml:space="preserve">disattivato  </v>
      </c>
      <c r="H441" s="2229"/>
      <c r="I441" s="2230"/>
      <c r="J441" s="262" t="str">
        <f t="shared" si="101"/>
        <v/>
      </c>
      <c r="K441" s="263"/>
      <c r="L441" s="2217">
        <f t="shared" si="99"/>
        <v>38</v>
      </c>
      <c r="M441" s="2218"/>
      <c r="N441" s="261"/>
      <c r="O441" s="261"/>
      <c r="P441" s="261"/>
      <c r="Q441" s="2219">
        <f t="shared" si="112"/>
        <v>45553</v>
      </c>
      <c r="R441" s="2219"/>
      <c r="S441" s="261"/>
      <c r="T441" s="1173">
        <f t="shared" si="102"/>
        <v>1</v>
      </c>
      <c r="U441" s="261"/>
      <c r="V441" s="261"/>
      <c r="W441" s="261"/>
      <c r="X441" s="261"/>
      <c r="Y441" s="261"/>
      <c r="Z441" s="261"/>
      <c r="AA441" s="261"/>
      <c r="AB441" s="261"/>
      <c r="AC441" s="261"/>
      <c r="AD441" s="261"/>
      <c r="AE441" s="261"/>
      <c r="AF441" s="261"/>
      <c r="AG441" s="1173">
        <f t="shared" si="113"/>
        <v>0</v>
      </c>
      <c r="AH441" s="61" t="str">
        <f t="shared" si="114"/>
        <v/>
      </c>
      <c r="AI441" s="89" t="e">
        <f t="shared" si="115"/>
        <v>#N/A</v>
      </c>
      <c r="AJ441" s="2"/>
      <c r="AK441" s="61">
        <f>IF(G441=G$547,0,IF(OR(G441&lt;&gt;0,CH441&lt;&gt;0,C441="L"),COUNTIF(AK$180:AK440,"&gt;0")+1,0))</f>
        <v>0</v>
      </c>
      <c r="AL441" s="61" t="str">
        <f t="shared" si="103"/>
        <v/>
      </c>
      <c r="AM441" s="61" t="e">
        <f t="shared" si="104"/>
        <v>#N/A</v>
      </c>
      <c r="AN441" s="89" t="e">
        <f t="shared" si="105"/>
        <v>#N/A</v>
      </c>
      <c r="AO441" s="230">
        <f>SUM(SET!X25:AD25)-BD441+AY441</f>
        <v>0</v>
      </c>
      <c r="AP441" s="228">
        <f>SUMIF(SET!$G$121:$M$121,AP$178,SET!$P25:$V25)+SUMIF($AZ$178:$BC$178,AP$178,$AZ441:$BC441)</f>
        <v>0</v>
      </c>
      <c r="AQ441" s="229">
        <f>SUMIF(SET!$G$121:$M$121,AQ$178,SET!$P25:$V25)+SUMIF($AZ$178:$BC$178,AQ$178,$AZ441:$BC441)</f>
        <v>0</v>
      </c>
      <c r="AR441" s="230">
        <f>SUMIF(SET!$G$121:$M$121,AR$178,SET!$P25:$V25)+SUMIF($AZ$178:$BC$178,AR$178,$AZ441:$BC441)</f>
        <v>0</v>
      </c>
      <c r="AS441" s="230">
        <f>SUMIF(SET!$G$121:$M$121,AS$178,SET!$P25:$V25)+SUMIF($AZ$178:$BC$178,AS$178,$AZ441:$BC441)</f>
        <v>0</v>
      </c>
      <c r="AT441" s="230">
        <f>SUMIF(SET!$G$121:$M$121,AT$178,SET!$P25:$V25)+SUMIF($AZ$178:$BC$178,AT$178,$AZ441:$BC441)</f>
        <v>0</v>
      </c>
      <c r="AU441" s="230">
        <f>SUMIF(SET!$G$121:$M$121,AU$178,SET!$P25:$V25)+SUMIF($AZ$178:$BC$178,AU$178,$AZ441:$BC441)</f>
        <v>0</v>
      </c>
      <c r="AV441" s="230">
        <f>SUMIF(SET!$G$121:$M$121,AV$178,SET!$P25:$V25)+SUMIF($AZ$178:$BC$178,AV$178,$AZ441:$BC441)</f>
        <v>0</v>
      </c>
      <c r="AW441" s="230">
        <f>SUMIF(SET!$G$121:$M$121,AW$178,SET!$P25:$V25)+SUMIF($AZ$178:$BC$178,AW$178,$AZ441:$BC441)</f>
        <v>0</v>
      </c>
      <c r="AX441" s="231">
        <f>SUMIF(SET!$G$121:$M$121,AX$178,SET!$P25:$V25)+SUMIF($AZ$178:$BC$178,AX$178,$AZ441:$BC441)</f>
        <v>0</v>
      </c>
      <c r="AY441" s="232">
        <f>SET!AF25</f>
        <v>0</v>
      </c>
      <c r="AZ441" s="228">
        <f>SET!AG25</f>
        <v>0</v>
      </c>
      <c r="BA441" s="229">
        <f>SET!AH25</f>
        <v>0</v>
      </c>
      <c r="BB441" s="230">
        <f>SET!AI25</f>
        <v>0</v>
      </c>
      <c r="BC441" s="231">
        <f>SET!AJ25</f>
        <v>0</v>
      </c>
      <c r="BD441" s="228">
        <f>SUMIF(SET!$G$120:$M$120,"&gt;0",SET!$X25:$AD25)</f>
        <v>0</v>
      </c>
      <c r="BE441" s="696"/>
      <c r="BF441" s="228">
        <f>SUMIF(SET!$BA$6:$BG$6,BF$177,SET!$BA25:$BG25)</f>
        <v>0</v>
      </c>
      <c r="BG441" s="229">
        <f>SUMIF(SET!$BA$6:$BG$6,BG$177,SET!$BA25:$BG25)</f>
        <v>0</v>
      </c>
      <c r="BH441" s="229">
        <f>SUMIF(SET!$BA$6:$BG$6,BH$177,SET!$BA25:$BG25)</f>
        <v>0</v>
      </c>
      <c r="BI441" s="229">
        <f>SUMIF(SET!$BA$6:$BG$6,BI$177,SET!$BA25:$BG25)</f>
        <v>0</v>
      </c>
      <c r="BJ441" s="229">
        <f>SUMIF(SET!$BA$6:$BG$6,BJ$177,SET!$BA25:$BG25)</f>
        <v>0</v>
      </c>
      <c r="BK441" s="229">
        <f>SUMIF(SET!$BA$6:$BG$6,BK$177,SET!$BA25:$BG25)</f>
        <v>0</v>
      </c>
      <c r="BL441" s="229">
        <f>SUMIF(SET!$BA$6:$BG$6,BL$177,SET!$BA25:$BG25)</f>
        <v>0</v>
      </c>
      <c r="BM441" s="229">
        <f>SUMIF(SET!$BA$6:$BG$6,BM$177,SET!$BA25:$BG25)</f>
        <v>0</v>
      </c>
      <c r="BN441" s="229">
        <f>SUMIF(SET!$BA$6:$BG$6,BN$177,SET!$BA25:$BG25)</f>
        <v>0</v>
      </c>
      <c r="BO441" s="231">
        <f>SUMIF(SET!$BA$6:$BG$6,BO$177,SET!$BA25:$BG25)</f>
        <v>0</v>
      </c>
      <c r="BP441" s="231">
        <f>SUMIF(SET!$BA$6:$BG$6,BP$177,SET!$BA25:$BG25)</f>
        <v>0</v>
      </c>
      <c r="BQ441" s="252"/>
      <c r="BR441" s="228">
        <f>SUMIF(SET!$BA$5:$BG$5,BR$177,SET!$BA25:$BG25)</f>
        <v>0</v>
      </c>
      <c r="BS441" s="229">
        <f>SUMIF(SET!$BA$5:$BG$5,BS$177,SET!$BA25:$BG25)</f>
        <v>0</v>
      </c>
      <c r="BT441" s="229">
        <f>SUMIF(SET!$BA$5:$BG$5,BT$177,SET!$BA25:$BG25)</f>
        <v>0</v>
      </c>
      <c r="BU441" s="229">
        <f>SUMIF(SET!$BA$5:$BG$5,BU$177,SET!$BA25:$BG25)</f>
        <v>0</v>
      </c>
      <c r="BV441" s="229">
        <f>SUMIF(SET!$BA$5:$BG$5,BV$177,SET!$BA25:$BG25)</f>
        <v>0</v>
      </c>
      <c r="BW441" s="229">
        <f>SUMIF(SET!$BA$5:$BG$5,BW$177,SET!$BA25:$BG25)</f>
        <v>0</v>
      </c>
      <c r="BX441" s="230">
        <f>SUMIF(SET!$BA$5:$BG$5,BX$177,SET!$BA25:$BG25)</f>
        <v>0</v>
      </c>
      <c r="BY441" s="998">
        <f>SUMIF(SET!$BA$5:$BG$5,BY$177,SET!$BA25:$BG25)</f>
        <v>0</v>
      </c>
      <c r="CB441" s="252"/>
      <c r="CC441" s="61" t="e">
        <f t="shared" si="106"/>
        <v>#N/A</v>
      </c>
      <c r="CD441" s="61">
        <f t="shared" si="107"/>
        <v>0</v>
      </c>
      <c r="CE441" s="105" t="str">
        <f t="shared" si="100"/>
        <v/>
      </c>
      <c r="CF441" s="61" t="e">
        <f t="shared" si="108"/>
        <v>#N/A</v>
      </c>
      <c r="CG441" s="61" t="e">
        <f t="shared" si="109"/>
        <v>#N/A</v>
      </c>
      <c r="CH441" s="521">
        <f>SET!AL25-CW441+CR441</f>
        <v>0</v>
      </c>
      <c r="CI441" s="228">
        <f>SUMIF(SET!$G$121:$M$121,CI$178,SET!$AM25:$AS25)+SUMIF($CS$178:$CV$178,CI$178,$CS441:$CV441)</f>
        <v>0</v>
      </c>
      <c r="CJ441" s="229">
        <f>SUMIF(SET!$G$121:$M$121,CJ$178,SET!$AM25:$AS25)+SUMIF($CS$178:$CV$178,CJ$178,$CS441:$CV441)</f>
        <v>0</v>
      </c>
      <c r="CK441" s="230">
        <f>SUMIF(SET!$G$121:$M$121,CK$178,SET!$AM25:$AS25)+SUMIF($CS$178:$CV$178,CK$178,$CS441:$CV441)</f>
        <v>0</v>
      </c>
      <c r="CL441" s="230">
        <f>SUMIF(SET!$G$121:$M$121,CL$178,SET!$AM25:$AS25)+SUMIF($CS$178:$CV$178,CL$178,$CS441:$CV441)</f>
        <v>0</v>
      </c>
      <c r="CM441" s="230">
        <f>SUMIF(SET!$G$121:$M$121,CM$178,SET!$AM25:$AS25)+SUMIF($CS$178:$CV$178,CM$178,$CS441:$CV441)</f>
        <v>0</v>
      </c>
      <c r="CN441" s="230">
        <f>SUMIF(SET!$G$121:$M$121,CN$178,SET!$AM25:$AS25)+SUMIF($CS$178:$CV$178,CN$178,$CS441:$CV441)</f>
        <v>0</v>
      </c>
      <c r="CO441" s="230">
        <f>SUMIF(SET!$G$121:$M$121,CO$178,SET!$AM25:$AS25)+SUMIF($CS$178:$CV$178,CO$178,$CS441:$CV441)</f>
        <v>0</v>
      </c>
      <c r="CP441" s="230">
        <f>SUMIF(SET!$G$121:$M$121,CP$178,SET!$AM25:$AS25)+SUMIF($CS$178:$CV$178,CP$178,$CS441:$CV441)</f>
        <v>0</v>
      </c>
      <c r="CQ441" s="231">
        <f>SUMIF(SET!$G$121:$M$121,CQ$178,SET!$AM25:$AS25)+SUMIF($CS$178:$CV$178,CQ$178,$CS441:$CV441)</f>
        <v>0</v>
      </c>
      <c r="CR441" s="521">
        <f>SET!AU25</f>
        <v>0</v>
      </c>
      <c r="CS441" s="228">
        <f>SET!AV25</f>
        <v>0</v>
      </c>
      <c r="CT441" s="229">
        <f>SET!AW25</f>
        <v>0</v>
      </c>
      <c r="CU441" s="230">
        <f>SET!AX25</f>
        <v>0</v>
      </c>
      <c r="CV441" s="231">
        <f>SET!AY25</f>
        <v>0</v>
      </c>
      <c r="CW441" s="521">
        <f>SUM(SET!AU25:AY25)</f>
        <v>0</v>
      </c>
      <c r="CX441" s="521">
        <f>SET!AK25</f>
        <v>0</v>
      </c>
      <c r="CY441" s="2"/>
    </row>
    <row r="442" spans="1:103" ht="14.25" hidden="1" customHeight="1" x14ac:dyDescent="0.2">
      <c r="A442" s="2"/>
      <c r="B442" s="105">
        <f t="shared" si="110"/>
        <v>45554</v>
      </c>
      <c r="C442" s="146">
        <f>IF(AND(E442&gt;(N$559-1),E442&lt;(R$559+1)),W$551,IF(ISERROR(HLOOKUP(E442,$N$552:$U$552,1,FALSE)),HLOOKUP(WEEKDAY(E442,2),IMPOSTAZIONI!$C$52:$P$57,6,FALSE),$W$550))</f>
        <v>0</v>
      </c>
      <c r="D442" s="71" t="str">
        <f t="shared" si="111"/>
        <v/>
      </c>
      <c r="E442" s="2258">
        <f t="shared" si="116"/>
        <v>45554</v>
      </c>
      <c r="F442" s="2259"/>
      <c r="G442" s="2228" t="str">
        <f>SET!E26</f>
        <v xml:space="preserve">disattivato  </v>
      </c>
      <c r="H442" s="2229"/>
      <c r="I442" s="2230"/>
      <c r="J442" s="262" t="str">
        <f t="shared" si="101"/>
        <v/>
      </c>
      <c r="K442" s="263"/>
      <c r="L442" s="2217">
        <f t="shared" si="99"/>
        <v>38</v>
      </c>
      <c r="M442" s="2218"/>
      <c r="N442" s="261"/>
      <c r="O442" s="261"/>
      <c r="P442" s="261"/>
      <c r="Q442" s="2219">
        <f t="shared" si="112"/>
        <v>45554</v>
      </c>
      <c r="R442" s="2219"/>
      <c r="S442" s="261"/>
      <c r="T442" s="1173">
        <f t="shared" si="102"/>
        <v>1</v>
      </c>
      <c r="U442" s="261"/>
      <c r="V442" s="261"/>
      <c r="W442" s="261"/>
      <c r="X442" s="261"/>
      <c r="Y442" s="261"/>
      <c r="Z442" s="261"/>
      <c r="AA442" s="261"/>
      <c r="AB442" s="261"/>
      <c r="AC442" s="261"/>
      <c r="AD442" s="261"/>
      <c r="AE442" s="261"/>
      <c r="AF442" s="261"/>
      <c r="AG442" s="1173">
        <f t="shared" si="113"/>
        <v>0</v>
      </c>
      <c r="AH442" s="61" t="str">
        <f t="shared" si="114"/>
        <v/>
      </c>
      <c r="AI442" s="89" t="e">
        <f t="shared" si="115"/>
        <v>#N/A</v>
      </c>
      <c r="AJ442" s="2"/>
      <c r="AK442" s="61">
        <f>IF(G442=G$547,0,IF(OR(G442&lt;&gt;0,CH442&lt;&gt;0,C442="L"),COUNTIF(AK$180:AK441,"&gt;0")+1,0))</f>
        <v>0</v>
      </c>
      <c r="AL442" s="61" t="str">
        <f t="shared" si="103"/>
        <v/>
      </c>
      <c r="AM442" s="61" t="e">
        <f t="shared" si="104"/>
        <v>#N/A</v>
      </c>
      <c r="AN442" s="89" t="e">
        <f t="shared" si="105"/>
        <v>#N/A</v>
      </c>
      <c r="AO442" s="230">
        <f>SUM(SET!X26:AD26)-BD442+AY442</f>
        <v>0</v>
      </c>
      <c r="AP442" s="228">
        <f>SUMIF(SET!$G$121:$M$121,AP$178,SET!$P26:$V26)+SUMIF($AZ$178:$BC$178,AP$178,$AZ442:$BC442)</f>
        <v>0</v>
      </c>
      <c r="AQ442" s="229">
        <f>SUMIF(SET!$G$121:$M$121,AQ$178,SET!$P26:$V26)+SUMIF($AZ$178:$BC$178,AQ$178,$AZ442:$BC442)</f>
        <v>0</v>
      </c>
      <c r="AR442" s="230">
        <f>SUMIF(SET!$G$121:$M$121,AR$178,SET!$P26:$V26)+SUMIF($AZ$178:$BC$178,AR$178,$AZ442:$BC442)</f>
        <v>0</v>
      </c>
      <c r="AS442" s="230">
        <f>SUMIF(SET!$G$121:$M$121,AS$178,SET!$P26:$V26)+SUMIF($AZ$178:$BC$178,AS$178,$AZ442:$BC442)</f>
        <v>0</v>
      </c>
      <c r="AT442" s="230">
        <f>SUMIF(SET!$G$121:$M$121,AT$178,SET!$P26:$V26)+SUMIF($AZ$178:$BC$178,AT$178,$AZ442:$BC442)</f>
        <v>0</v>
      </c>
      <c r="AU442" s="230">
        <f>SUMIF(SET!$G$121:$M$121,AU$178,SET!$P26:$V26)+SUMIF($AZ$178:$BC$178,AU$178,$AZ442:$BC442)</f>
        <v>0</v>
      </c>
      <c r="AV442" s="230">
        <f>SUMIF(SET!$G$121:$M$121,AV$178,SET!$P26:$V26)+SUMIF($AZ$178:$BC$178,AV$178,$AZ442:$BC442)</f>
        <v>0</v>
      </c>
      <c r="AW442" s="230">
        <f>SUMIF(SET!$G$121:$M$121,AW$178,SET!$P26:$V26)+SUMIF($AZ$178:$BC$178,AW$178,$AZ442:$BC442)</f>
        <v>0</v>
      </c>
      <c r="AX442" s="231">
        <f>SUMIF(SET!$G$121:$M$121,AX$178,SET!$P26:$V26)+SUMIF($AZ$178:$BC$178,AX$178,$AZ442:$BC442)</f>
        <v>0</v>
      </c>
      <c r="AY442" s="232">
        <f>SET!AF26</f>
        <v>0</v>
      </c>
      <c r="AZ442" s="228">
        <f>SET!AG26</f>
        <v>0</v>
      </c>
      <c r="BA442" s="229">
        <f>SET!AH26</f>
        <v>0</v>
      </c>
      <c r="BB442" s="230">
        <f>SET!AI26</f>
        <v>0</v>
      </c>
      <c r="BC442" s="231">
        <f>SET!AJ26</f>
        <v>0</v>
      </c>
      <c r="BD442" s="228">
        <f>SUMIF(SET!$G$120:$M$120,"&gt;0",SET!$X26:$AD26)</f>
        <v>0</v>
      </c>
      <c r="BE442" s="696"/>
      <c r="BF442" s="228">
        <f>SUMIF(SET!$BA$6:$BG$6,BF$177,SET!$BA26:$BG26)</f>
        <v>0</v>
      </c>
      <c r="BG442" s="229">
        <f>SUMIF(SET!$BA$6:$BG$6,BG$177,SET!$BA26:$BG26)</f>
        <v>0</v>
      </c>
      <c r="BH442" s="229">
        <f>SUMIF(SET!$BA$6:$BG$6,BH$177,SET!$BA26:$BG26)</f>
        <v>0</v>
      </c>
      <c r="BI442" s="229">
        <f>SUMIF(SET!$BA$6:$BG$6,BI$177,SET!$BA26:$BG26)</f>
        <v>0</v>
      </c>
      <c r="BJ442" s="229">
        <f>SUMIF(SET!$BA$6:$BG$6,BJ$177,SET!$BA26:$BG26)</f>
        <v>0</v>
      </c>
      <c r="BK442" s="229">
        <f>SUMIF(SET!$BA$6:$BG$6,BK$177,SET!$BA26:$BG26)</f>
        <v>0</v>
      </c>
      <c r="BL442" s="229">
        <f>SUMIF(SET!$BA$6:$BG$6,BL$177,SET!$BA26:$BG26)</f>
        <v>0</v>
      </c>
      <c r="BM442" s="229">
        <f>SUMIF(SET!$BA$6:$BG$6,BM$177,SET!$BA26:$BG26)</f>
        <v>0</v>
      </c>
      <c r="BN442" s="229">
        <f>SUMIF(SET!$BA$6:$BG$6,BN$177,SET!$BA26:$BG26)</f>
        <v>0</v>
      </c>
      <c r="BO442" s="231">
        <f>SUMIF(SET!$BA$6:$BG$6,BO$177,SET!$BA26:$BG26)</f>
        <v>0</v>
      </c>
      <c r="BP442" s="231">
        <f>SUMIF(SET!$BA$6:$BG$6,BP$177,SET!$BA26:$BG26)</f>
        <v>0</v>
      </c>
      <c r="BQ442" s="252"/>
      <c r="BR442" s="228">
        <f>SUMIF(SET!$BA$5:$BG$5,BR$177,SET!$BA26:$BG26)</f>
        <v>0</v>
      </c>
      <c r="BS442" s="229">
        <f>SUMIF(SET!$BA$5:$BG$5,BS$177,SET!$BA26:$BG26)</f>
        <v>0</v>
      </c>
      <c r="BT442" s="229">
        <f>SUMIF(SET!$BA$5:$BG$5,BT$177,SET!$BA26:$BG26)</f>
        <v>0</v>
      </c>
      <c r="BU442" s="229">
        <f>SUMIF(SET!$BA$5:$BG$5,BU$177,SET!$BA26:$BG26)</f>
        <v>0</v>
      </c>
      <c r="BV442" s="229">
        <f>SUMIF(SET!$BA$5:$BG$5,BV$177,SET!$BA26:$BG26)</f>
        <v>0</v>
      </c>
      <c r="BW442" s="229">
        <f>SUMIF(SET!$BA$5:$BG$5,BW$177,SET!$BA26:$BG26)</f>
        <v>0</v>
      </c>
      <c r="BX442" s="230">
        <f>SUMIF(SET!$BA$5:$BG$5,BX$177,SET!$BA26:$BG26)</f>
        <v>0</v>
      </c>
      <c r="BY442" s="998">
        <f>SUMIF(SET!$BA$5:$BG$5,BY$177,SET!$BA26:$BG26)</f>
        <v>0</v>
      </c>
      <c r="CB442" s="252"/>
      <c r="CC442" s="61" t="e">
        <f t="shared" si="106"/>
        <v>#N/A</v>
      </c>
      <c r="CD442" s="61">
        <f t="shared" si="107"/>
        <v>0</v>
      </c>
      <c r="CE442" s="105" t="str">
        <f t="shared" si="100"/>
        <v/>
      </c>
      <c r="CF442" s="61" t="e">
        <f t="shared" si="108"/>
        <v>#N/A</v>
      </c>
      <c r="CG442" s="61" t="e">
        <f t="shared" si="109"/>
        <v>#N/A</v>
      </c>
      <c r="CH442" s="521">
        <f>SET!AL26-CW442+CR442</f>
        <v>0</v>
      </c>
      <c r="CI442" s="228">
        <f>SUMIF(SET!$G$121:$M$121,CI$178,SET!$AM26:$AS26)+SUMIF($CS$178:$CV$178,CI$178,$CS442:$CV442)</f>
        <v>0</v>
      </c>
      <c r="CJ442" s="229">
        <f>SUMIF(SET!$G$121:$M$121,CJ$178,SET!$AM26:$AS26)+SUMIF($CS$178:$CV$178,CJ$178,$CS442:$CV442)</f>
        <v>0</v>
      </c>
      <c r="CK442" s="230">
        <f>SUMIF(SET!$G$121:$M$121,CK$178,SET!$AM26:$AS26)+SUMIF($CS$178:$CV$178,CK$178,$CS442:$CV442)</f>
        <v>0</v>
      </c>
      <c r="CL442" s="230">
        <f>SUMIF(SET!$G$121:$M$121,CL$178,SET!$AM26:$AS26)+SUMIF($CS$178:$CV$178,CL$178,$CS442:$CV442)</f>
        <v>0</v>
      </c>
      <c r="CM442" s="230">
        <f>SUMIF(SET!$G$121:$M$121,CM$178,SET!$AM26:$AS26)+SUMIF($CS$178:$CV$178,CM$178,$CS442:$CV442)</f>
        <v>0</v>
      </c>
      <c r="CN442" s="230">
        <f>SUMIF(SET!$G$121:$M$121,CN$178,SET!$AM26:$AS26)+SUMIF($CS$178:$CV$178,CN$178,$CS442:$CV442)</f>
        <v>0</v>
      </c>
      <c r="CO442" s="230">
        <f>SUMIF(SET!$G$121:$M$121,CO$178,SET!$AM26:$AS26)+SUMIF($CS$178:$CV$178,CO$178,$CS442:$CV442)</f>
        <v>0</v>
      </c>
      <c r="CP442" s="230">
        <f>SUMIF(SET!$G$121:$M$121,CP$178,SET!$AM26:$AS26)+SUMIF($CS$178:$CV$178,CP$178,$CS442:$CV442)</f>
        <v>0</v>
      </c>
      <c r="CQ442" s="231">
        <f>SUMIF(SET!$G$121:$M$121,CQ$178,SET!$AM26:$AS26)+SUMIF($CS$178:$CV$178,CQ$178,$CS442:$CV442)</f>
        <v>0</v>
      </c>
      <c r="CR442" s="521">
        <f>SET!AU26</f>
        <v>0</v>
      </c>
      <c r="CS442" s="228">
        <f>SET!AV26</f>
        <v>0</v>
      </c>
      <c r="CT442" s="229">
        <f>SET!AW26</f>
        <v>0</v>
      </c>
      <c r="CU442" s="230">
        <f>SET!AX26</f>
        <v>0</v>
      </c>
      <c r="CV442" s="231">
        <f>SET!AY26</f>
        <v>0</v>
      </c>
      <c r="CW442" s="521">
        <f>SUM(SET!AU26:AY26)</f>
        <v>0</v>
      </c>
      <c r="CX442" s="521">
        <f>SET!AK26</f>
        <v>0</v>
      </c>
      <c r="CY442" s="2"/>
    </row>
    <row r="443" spans="1:103" ht="14.25" hidden="1" customHeight="1" x14ac:dyDescent="0.2">
      <c r="A443" s="2"/>
      <c r="B443" s="105">
        <f t="shared" si="110"/>
        <v>45555</v>
      </c>
      <c r="C443" s="146">
        <f>IF(AND(E443&gt;(N$559-1),E443&lt;(R$559+1)),W$551,IF(ISERROR(HLOOKUP(E443,$N$552:$U$552,1,FALSE)),HLOOKUP(WEEKDAY(E443,2),IMPOSTAZIONI!$C$52:$P$57,6,FALSE),$W$550))</f>
        <v>0</v>
      </c>
      <c r="D443" s="71" t="str">
        <f t="shared" si="111"/>
        <v/>
      </c>
      <c r="E443" s="2258">
        <f t="shared" si="116"/>
        <v>45555</v>
      </c>
      <c r="F443" s="2259"/>
      <c r="G443" s="2228" t="str">
        <f>SET!E27</f>
        <v xml:space="preserve">disattivato  </v>
      </c>
      <c r="H443" s="2229"/>
      <c r="I443" s="2230"/>
      <c r="J443" s="262" t="str">
        <f t="shared" si="101"/>
        <v/>
      </c>
      <c r="K443" s="263"/>
      <c r="L443" s="2217">
        <f t="shared" si="99"/>
        <v>38</v>
      </c>
      <c r="M443" s="2218"/>
      <c r="N443" s="261"/>
      <c r="O443" s="261"/>
      <c r="P443" s="261"/>
      <c r="Q443" s="2219">
        <f t="shared" si="112"/>
        <v>45555</v>
      </c>
      <c r="R443" s="2219"/>
      <c r="S443" s="261"/>
      <c r="T443" s="1173">
        <f t="shared" si="102"/>
        <v>1</v>
      </c>
      <c r="U443" s="261"/>
      <c r="V443" s="261"/>
      <c r="W443" s="261"/>
      <c r="X443" s="261"/>
      <c r="Y443" s="261"/>
      <c r="Z443" s="261"/>
      <c r="AA443" s="261"/>
      <c r="AB443" s="261"/>
      <c r="AC443" s="261"/>
      <c r="AD443" s="261"/>
      <c r="AE443" s="261"/>
      <c r="AF443" s="261"/>
      <c r="AG443" s="1173">
        <f t="shared" si="113"/>
        <v>0</v>
      </c>
      <c r="AH443" s="61" t="str">
        <f t="shared" si="114"/>
        <v/>
      </c>
      <c r="AI443" s="89" t="e">
        <f t="shared" si="115"/>
        <v>#N/A</v>
      </c>
      <c r="AJ443" s="2"/>
      <c r="AK443" s="61">
        <f>IF(G443=G$547,0,IF(OR(G443&lt;&gt;0,CH443&lt;&gt;0,C443="L"),COUNTIF(AK$180:AK442,"&gt;0")+1,0))</f>
        <v>0</v>
      </c>
      <c r="AL443" s="61" t="str">
        <f t="shared" si="103"/>
        <v/>
      </c>
      <c r="AM443" s="61" t="e">
        <f t="shared" si="104"/>
        <v>#N/A</v>
      </c>
      <c r="AN443" s="89" t="e">
        <f t="shared" si="105"/>
        <v>#N/A</v>
      </c>
      <c r="AO443" s="230">
        <f>SUM(SET!X27:AD27)-BD443+AY443</f>
        <v>0</v>
      </c>
      <c r="AP443" s="228">
        <f>SUMIF(SET!$G$121:$M$121,AP$178,SET!$P27:$V27)+SUMIF($AZ$178:$BC$178,AP$178,$AZ443:$BC443)</f>
        <v>0</v>
      </c>
      <c r="AQ443" s="229">
        <f>SUMIF(SET!$G$121:$M$121,AQ$178,SET!$P27:$V27)+SUMIF($AZ$178:$BC$178,AQ$178,$AZ443:$BC443)</f>
        <v>0</v>
      </c>
      <c r="AR443" s="230">
        <f>SUMIF(SET!$G$121:$M$121,AR$178,SET!$P27:$V27)+SUMIF($AZ$178:$BC$178,AR$178,$AZ443:$BC443)</f>
        <v>0</v>
      </c>
      <c r="AS443" s="230">
        <f>SUMIF(SET!$G$121:$M$121,AS$178,SET!$P27:$V27)+SUMIF($AZ$178:$BC$178,AS$178,$AZ443:$BC443)</f>
        <v>0</v>
      </c>
      <c r="AT443" s="230">
        <f>SUMIF(SET!$G$121:$M$121,AT$178,SET!$P27:$V27)+SUMIF($AZ$178:$BC$178,AT$178,$AZ443:$BC443)</f>
        <v>0</v>
      </c>
      <c r="AU443" s="230">
        <f>SUMIF(SET!$G$121:$M$121,AU$178,SET!$P27:$V27)+SUMIF($AZ$178:$BC$178,AU$178,$AZ443:$BC443)</f>
        <v>0</v>
      </c>
      <c r="AV443" s="230">
        <f>SUMIF(SET!$G$121:$M$121,AV$178,SET!$P27:$V27)+SUMIF($AZ$178:$BC$178,AV$178,$AZ443:$BC443)</f>
        <v>0</v>
      </c>
      <c r="AW443" s="230">
        <f>SUMIF(SET!$G$121:$M$121,AW$178,SET!$P27:$V27)+SUMIF($AZ$178:$BC$178,AW$178,$AZ443:$BC443)</f>
        <v>0</v>
      </c>
      <c r="AX443" s="231">
        <f>SUMIF(SET!$G$121:$M$121,AX$178,SET!$P27:$V27)+SUMIF($AZ$178:$BC$178,AX$178,$AZ443:$BC443)</f>
        <v>0</v>
      </c>
      <c r="AY443" s="232">
        <f>SET!AF27</f>
        <v>0</v>
      </c>
      <c r="AZ443" s="228">
        <f>SET!AG27</f>
        <v>0</v>
      </c>
      <c r="BA443" s="229">
        <f>SET!AH27</f>
        <v>0</v>
      </c>
      <c r="BB443" s="230">
        <f>SET!AI27</f>
        <v>0</v>
      </c>
      <c r="BC443" s="231">
        <f>SET!AJ27</f>
        <v>0</v>
      </c>
      <c r="BD443" s="228">
        <f>SUMIF(SET!$G$120:$M$120,"&gt;0",SET!$X27:$AD27)</f>
        <v>0</v>
      </c>
      <c r="BE443" s="696"/>
      <c r="BF443" s="228">
        <f>SUMIF(SET!$BA$6:$BG$6,BF$177,SET!$BA27:$BG27)</f>
        <v>0</v>
      </c>
      <c r="BG443" s="229">
        <f>SUMIF(SET!$BA$6:$BG$6,BG$177,SET!$BA27:$BG27)</f>
        <v>0</v>
      </c>
      <c r="BH443" s="229">
        <f>SUMIF(SET!$BA$6:$BG$6,BH$177,SET!$BA27:$BG27)</f>
        <v>0</v>
      </c>
      <c r="BI443" s="229">
        <f>SUMIF(SET!$BA$6:$BG$6,BI$177,SET!$BA27:$BG27)</f>
        <v>0</v>
      </c>
      <c r="BJ443" s="229">
        <f>SUMIF(SET!$BA$6:$BG$6,BJ$177,SET!$BA27:$BG27)</f>
        <v>0</v>
      </c>
      <c r="BK443" s="229">
        <f>SUMIF(SET!$BA$6:$BG$6,BK$177,SET!$BA27:$BG27)</f>
        <v>0</v>
      </c>
      <c r="BL443" s="229">
        <f>SUMIF(SET!$BA$6:$BG$6,BL$177,SET!$BA27:$BG27)</f>
        <v>0</v>
      </c>
      <c r="BM443" s="229">
        <f>SUMIF(SET!$BA$6:$BG$6,BM$177,SET!$BA27:$BG27)</f>
        <v>0</v>
      </c>
      <c r="BN443" s="229">
        <f>SUMIF(SET!$BA$6:$BG$6,BN$177,SET!$BA27:$BG27)</f>
        <v>0</v>
      </c>
      <c r="BO443" s="231">
        <f>SUMIF(SET!$BA$6:$BG$6,BO$177,SET!$BA27:$BG27)</f>
        <v>0</v>
      </c>
      <c r="BP443" s="231">
        <f>SUMIF(SET!$BA$6:$BG$6,BP$177,SET!$BA27:$BG27)</f>
        <v>0</v>
      </c>
      <c r="BQ443" s="252"/>
      <c r="BR443" s="228">
        <f>SUMIF(SET!$BA$5:$BG$5,BR$177,SET!$BA27:$BG27)</f>
        <v>0</v>
      </c>
      <c r="BS443" s="229">
        <f>SUMIF(SET!$BA$5:$BG$5,BS$177,SET!$BA27:$BG27)</f>
        <v>0</v>
      </c>
      <c r="BT443" s="229">
        <f>SUMIF(SET!$BA$5:$BG$5,BT$177,SET!$BA27:$BG27)</f>
        <v>0</v>
      </c>
      <c r="BU443" s="229">
        <f>SUMIF(SET!$BA$5:$BG$5,BU$177,SET!$BA27:$BG27)</f>
        <v>0</v>
      </c>
      <c r="BV443" s="229">
        <f>SUMIF(SET!$BA$5:$BG$5,BV$177,SET!$BA27:$BG27)</f>
        <v>0</v>
      </c>
      <c r="BW443" s="229">
        <f>SUMIF(SET!$BA$5:$BG$5,BW$177,SET!$BA27:$BG27)</f>
        <v>0</v>
      </c>
      <c r="BX443" s="230">
        <f>SUMIF(SET!$BA$5:$BG$5,BX$177,SET!$BA27:$BG27)</f>
        <v>0</v>
      </c>
      <c r="BY443" s="998">
        <f>SUMIF(SET!$BA$5:$BG$5,BY$177,SET!$BA27:$BG27)</f>
        <v>0</v>
      </c>
      <c r="CB443" s="252"/>
      <c r="CC443" s="61" t="e">
        <f t="shared" si="106"/>
        <v>#N/A</v>
      </c>
      <c r="CD443" s="61">
        <f t="shared" si="107"/>
        <v>0</v>
      </c>
      <c r="CE443" s="105" t="str">
        <f t="shared" si="100"/>
        <v/>
      </c>
      <c r="CF443" s="61" t="e">
        <f t="shared" si="108"/>
        <v>#N/A</v>
      </c>
      <c r="CG443" s="61" t="e">
        <f t="shared" si="109"/>
        <v>#N/A</v>
      </c>
      <c r="CH443" s="521">
        <f>SET!AL27-CW443+CR443</f>
        <v>0</v>
      </c>
      <c r="CI443" s="228">
        <f>SUMIF(SET!$G$121:$M$121,CI$178,SET!$AM27:$AS27)+SUMIF($CS$178:$CV$178,CI$178,$CS443:$CV443)</f>
        <v>0</v>
      </c>
      <c r="CJ443" s="229">
        <f>SUMIF(SET!$G$121:$M$121,CJ$178,SET!$AM27:$AS27)+SUMIF($CS$178:$CV$178,CJ$178,$CS443:$CV443)</f>
        <v>0</v>
      </c>
      <c r="CK443" s="230">
        <f>SUMIF(SET!$G$121:$M$121,CK$178,SET!$AM27:$AS27)+SUMIF($CS$178:$CV$178,CK$178,$CS443:$CV443)</f>
        <v>0</v>
      </c>
      <c r="CL443" s="230">
        <f>SUMIF(SET!$G$121:$M$121,CL$178,SET!$AM27:$AS27)+SUMIF($CS$178:$CV$178,CL$178,$CS443:$CV443)</f>
        <v>0</v>
      </c>
      <c r="CM443" s="230">
        <f>SUMIF(SET!$G$121:$M$121,CM$178,SET!$AM27:$AS27)+SUMIF($CS$178:$CV$178,CM$178,$CS443:$CV443)</f>
        <v>0</v>
      </c>
      <c r="CN443" s="230">
        <f>SUMIF(SET!$G$121:$M$121,CN$178,SET!$AM27:$AS27)+SUMIF($CS$178:$CV$178,CN$178,$CS443:$CV443)</f>
        <v>0</v>
      </c>
      <c r="CO443" s="230">
        <f>SUMIF(SET!$G$121:$M$121,CO$178,SET!$AM27:$AS27)+SUMIF($CS$178:$CV$178,CO$178,$CS443:$CV443)</f>
        <v>0</v>
      </c>
      <c r="CP443" s="230">
        <f>SUMIF(SET!$G$121:$M$121,CP$178,SET!$AM27:$AS27)+SUMIF($CS$178:$CV$178,CP$178,$CS443:$CV443)</f>
        <v>0</v>
      </c>
      <c r="CQ443" s="231">
        <f>SUMIF(SET!$G$121:$M$121,CQ$178,SET!$AM27:$AS27)+SUMIF($CS$178:$CV$178,CQ$178,$CS443:$CV443)</f>
        <v>0</v>
      </c>
      <c r="CR443" s="521">
        <f>SET!AU27</f>
        <v>0</v>
      </c>
      <c r="CS443" s="228">
        <f>SET!AV27</f>
        <v>0</v>
      </c>
      <c r="CT443" s="229">
        <f>SET!AW27</f>
        <v>0</v>
      </c>
      <c r="CU443" s="230">
        <f>SET!AX27</f>
        <v>0</v>
      </c>
      <c r="CV443" s="231">
        <f>SET!AY27</f>
        <v>0</v>
      </c>
      <c r="CW443" s="521">
        <f>SUM(SET!AU27:AY27)</f>
        <v>0</v>
      </c>
      <c r="CX443" s="521">
        <f>SET!AK27</f>
        <v>0</v>
      </c>
      <c r="CY443" s="2"/>
    </row>
    <row r="444" spans="1:103" ht="14.25" hidden="1" customHeight="1" x14ac:dyDescent="0.2">
      <c r="A444" s="2"/>
      <c r="B444" s="105">
        <f t="shared" si="110"/>
        <v>45556</v>
      </c>
      <c r="C444" s="146">
        <f>IF(AND(E444&gt;(N$559-1),E444&lt;(R$559+1)),W$551,IF(ISERROR(HLOOKUP(E444,$N$552:$U$552,1,FALSE)),HLOOKUP(WEEKDAY(E444,2),IMPOSTAZIONI!$C$52:$P$57,6,FALSE),$W$550))</f>
        <v>0</v>
      </c>
      <c r="D444" s="71" t="str">
        <f t="shared" si="111"/>
        <v/>
      </c>
      <c r="E444" s="2258">
        <f t="shared" si="116"/>
        <v>45556</v>
      </c>
      <c r="F444" s="2259"/>
      <c r="G444" s="2228" t="str">
        <f>SET!E28</f>
        <v xml:space="preserve">disattivato  </v>
      </c>
      <c r="H444" s="2229"/>
      <c r="I444" s="2230"/>
      <c r="J444" s="262" t="str">
        <f t="shared" si="101"/>
        <v/>
      </c>
      <c r="K444" s="263"/>
      <c r="L444" s="2217">
        <f t="shared" si="99"/>
        <v>38</v>
      </c>
      <c r="M444" s="2218"/>
      <c r="N444" s="261"/>
      <c r="O444" s="261"/>
      <c r="P444" s="261"/>
      <c r="Q444" s="2219">
        <f t="shared" si="112"/>
        <v>45556</v>
      </c>
      <c r="R444" s="2219"/>
      <c r="S444" s="261"/>
      <c r="T444" s="1173">
        <f t="shared" si="102"/>
        <v>1</v>
      </c>
      <c r="U444" s="261"/>
      <c r="V444" s="261"/>
      <c r="W444" s="261"/>
      <c r="X444" s="261"/>
      <c r="Y444" s="261"/>
      <c r="Z444" s="261"/>
      <c r="AA444" s="261"/>
      <c r="AB444" s="261"/>
      <c r="AC444" s="261"/>
      <c r="AD444" s="261"/>
      <c r="AE444" s="261"/>
      <c r="AF444" s="261"/>
      <c r="AG444" s="1173">
        <f t="shared" si="113"/>
        <v>0</v>
      </c>
      <c r="AH444" s="61" t="str">
        <f t="shared" si="114"/>
        <v/>
      </c>
      <c r="AI444" s="89" t="e">
        <f t="shared" si="115"/>
        <v>#N/A</v>
      </c>
      <c r="AJ444" s="2"/>
      <c r="AK444" s="61">
        <f>IF(G444=G$547,0,IF(OR(G444&lt;&gt;0,CH444&lt;&gt;0,C444="L"),COUNTIF(AK$180:AK443,"&gt;0")+1,0))</f>
        <v>0</v>
      </c>
      <c r="AL444" s="61" t="str">
        <f t="shared" si="103"/>
        <v/>
      </c>
      <c r="AM444" s="61" t="e">
        <f t="shared" si="104"/>
        <v>#N/A</v>
      </c>
      <c r="AN444" s="89" t="e">
        <f t="shared" si="105"/>
        <v>#N/A</v>
      </c>
      <c r="AO444" s="230">
        <f>SUM(SET!X28:AD28)-BD444+AY444</f>
        <v>0</v>
      </c>
      <c r="AP444" s="228">
        <f>SUMIF(SET!$G$121:$M$121,AP$178,SET!$P28:$V28)+SUMIF($AZ$178:$BC$178,AP$178,$AZ444:$BC444)</f>
        <v>0</v>
      </c>
      <c r="AQ444" s="229">
        <f>SUMIF(SET!$G$121:$M$121,AQ$178,SET!$P28:$V28)+SUMIF($AZ$178:$BC$178,AQ$178,$AZ444:$BC444)</f>
        <v>0</v>
      </c>
      <c r="AR444" s="230">
        <f>SUMIF(SET!$G$121:$M$121,AR$178,SET!$P28:$V28)+SUMIF($AZ$178:$BC$178,AR$178,$AZ444:$BC444)</f>
        <v>0</v>
      </c>
      <c r="AS444" s="230">
        <f>SUMIF(SET!$G$121:$M$121,AS$178,SET!$P28:$V28)+SUMIF($AZ$178:$BC$178,AS$178,$AZ444:$BC444)</f>
        <v>0</v>
      </c>
      <c r="AT444" s="230">
        <f>SUMIF(SET!$G$121:$M$121,AT$178,SET!$P28:$V28)+SUMIF($AZ$178:$BC$178,AT$178,$AZ444:$BC444)</f>
        <v>0</v>
      </c>
      <c r="AU444" s="230">
        <f>SUMIF(SET!$G$121:$M$121,AU$178,SET!$P28:$V28)+SUMIF($AZ$178:$BC$178,AU$178,$AZ444:$BC444)</f>
        <v>0</v>
      </c>
      <c r="AV444" s="230">
        <f>SUMIF(SET!$G$121:$M$121,AV$178,SET!$P28:$V28)+SUMIF($AZ$178:$BC$178,AV$178,$AZ444:$BC444)</f>
        <v>0</v>
      </c>
      <c r="AW444" s="230">
        <f>SUMIF(SET!$G$121:$M$121,AW$178,SET!$P28:$V28)+SUMIF($AZ$178:$BC$178,AW$178,$AZ444:$BC444)</f>
        <v>0</v>
      </c>
      <c r="AX444" s="231">
        <f>SUMIF(SET!$G$121:$M$121,AX$178,SET!$P28:$V28)+SUMIF($AZ$178:$BC$178,AX$178,$AZ444:$BC444)</f>
        <v>0</v>
      </c>
      <c r="AY444" s="232">
        <f>SET!AF28</f>
        <v>0</v>
      </c>
      <c r="AZ444" s="228">
        <f>SET!AG28</f>
        <v>0</v>
      </c>
      <c r="BA444" s="229">
        <f>SET!AH28</f>
        <v>0</v>
      </c>
      <c r="BB444" s="230">
        <f>SET!AI28</f>
        <v>0</v>
      </c>
      <c r="BC444" s="231">
        <f>SET!AJ28</f>
        <v>0</v>
      </c>
      <c r="BD444" s="228">
        <f>SUMIF(SET!$G$120:$M$120,"&gt;0",SET!$X28:$AD28)</f>
        <v>0</v>
      </c>
      <c r="BE444" s="696"/>
      <c r="BF444" s="228">
        <f>SUMIF(SET!$BA$6:$BG$6,BF$177,SET!$BA28:$BG28)</f>
        <v>0</v>
      </c>
      <c r="BG444" s="229">
        <f>SUMIF(SET!$BA$6:$BG$6,BG$177,SET!$BA28:$BG28)</f>
        <v>0</v>
      </c>
      <c r="BH444" s="229">
        <f>SUMIF(SET!$BA$6:$BG$6,BH$177,SET!$BA28:$BG28)</f>
        <v>0</v>
      </c>
      <c r="BI444" s="229">
        <f>SUMIF(SET!$BA$6:$BG$6,BI$177,SET!$BA28:$BG28)</f>
        <v>0</v>
      </c>
      <c r="BJ444" s="229">
        <f>SUMIF(SET!$BA$6:$BG$6,BJ$177,SET!$BA28:$BG28)</f>
        <v>0</v>
      </c>
      <c r="BK444" s="229">
        <f>SUMIF(SET!$BA$6:$BG$6,BK$177,SET!$BA28:$BG28)</f>
        <v>0</v>
      </c>
      <c r="BL444" s="229">
        <f>SUMIF(SET!$BA$6:$BG$6,BL$177,SET!$BA28:$BG28)</f>
        <v>0</v>
      </c>
      <c r="BM444" s="229">
        <f>SUMIF(SET!$BA$6:$BG$6,BM$177,SET!$BA28:$BG28)</f>
        <v>0</v>
      </c>
      <c r="BN444" s="229">
        <f>SUMIF(SET!$BA$6:$BG$6,BN$177,SET!$BA28:$BG28)</f>
        <v>0</v>
      </c>
      <c r="BO444" s="231">
        <f>SUMIF(SET!$BA$6:$BG$6,BO$177,SET!$BA28:$BG28)</f>
        <v>0</v>
      </c>
      <c r="BP444" s="231">
        <f>SUMIF(SET!$BA$6:$BG$6,BP$177,SET!$BA28:$BG28)</f>
        <v>0</v>
      </c>
      <c r="BQ444" s="252"/>
      <c r="BR444" s="228">
        <f>SUMIF(SET!$BA$5:$BG$5,BR$177,SET!$BA28:$BG28)</f>
        <v>0</v>
      </c>
      <c r="BS444" s="229">
        <f>SUMIF(SET!$BA$5:$BG$5,BS$177,SET!$BA28:$BG28)</f>
        <v>0</v>
      </c>
      <c r="BT444" s="229">
        <f>SUMIF(SET!$BA$5:$BG$5,BT$177,SET!$BA28:$BG28)</f>
        <v>0</v>
      </c>
      <c r="BU444" s="229">
        <f>SUMIF(SET!$BA$5:$BG$5,BU$177,SET!$BA28:$BG28)</f>
        <v>0</v>
      </c>
      <c r="BV444" s="229">
        <f>SUMIF(SET!$BA$5:$BG$5,BV$177,SET!$BA28:$BG28)</f>
        <v>0</v>
      </c>
      <c r="BW444" s="229">
        <f>SUMIF(SET!$BA$5:$BG$5,BW$177,SET!$BA28:$BG28)</f>
        <v>0</v>
      </c>
      <c r="BX444" s="230">
        <f>SUMIF(SET!$BA$5:$BG$5,BX$177,SET!$BA28:$BG28)</f>
        <v>0</v>
      </c>
      <c r="BY444" s="998">
        <f>SUMIF(SET!$BA$5:$BG$5,BY$177,SET!$BA28:$BG28)</f>
        <v>0</v>
      </c>
      <c r="CB444" s="252"/>
      <c r="CC444" s="61" t="e">
        <f t="shared" si="106"/>
        <v>#N/A</v>
      </c>
      <c r="CD444" s="61">
        <f t="shared" si="107"/>
        <v>0</v>
      </c>
      <c r="CE444" s="105" t="str">
        <f t="shared" si="100"/>
        <v/>
      </c>
      <c r="CF444" s="61" t="e">
        <f t="shared" si="108"/>
        <v>#N/A</v>
      </c>
      <c r="CG444" s="61" t="e">
        <f t="shared" si="109"/>
        <v>#N/A</v>
      </c>
      <c r="CH444" s="521">
        <f>SET!AL28-CW444+CR444</f>
        <v>0</v>
      </c>
      <c r="CI444" s="228">
        <f>SUMIF(SET!$G$121:$M$121,CI$178,SET!$AM28:$AS28)+SUMIF($CS$178:$CV$178,CI$178,$CS444:$CV444)</f>
        <v>0</v>
      </c>
      <c r="CJ444" s="229">
        <f>SUMIF(SET!$G$121:$M$121,CJ$178,SET!$AM28:$AS28)+SUMIF($CS$178:$CV$178,CJ$178,$CS444:$CV444)</f>
        <v>0</v>
      </c>
      <c r="CK444" s="230">
        <f>SUMIF(SET!$G$121:$M$121,CK$178,SET!$AM28:$AS28)+SUMIF($CS$178:$CV$178,CK$178,$CS444:$CV444)</f>
        <v>0</v>
      </c>
      <c r="CL444" s="230">
        <f>SUMIF(SET!$G$121:$M$121,CL$178,SET!$AM28:$AS28)+SUMIF($CS$178:$CV$178,CL$178,$CS444:$CV444)</f>
        <v>0</v>
      </c>
      <c r="CM444" s="230">
        <f>SUMIF(SET!$G$121:$M$121,CM$178,SET!$AM28:$AS28)+SUMIF($CS$178:$CV$178,CM$178,$CS444:$CV444)</f>
        <v>0</v>
      </c>
      <c r="CN444" s="230">
        <f>SUMIF(SET!$G$121:$M$121,CN$178,SET!$AM28:$AS28)+SUMIF($CS$178:$CV$178,CN$178,$CS444:$CV444)</f>
        <v>0</v>
      </c>
      <c r="CO444" s="230">
        <f>SUMIF(SET!$G$121:$M$121,CO$178,SET!$AM28:$AS28)+SUMIF($CS$178:$CV$178,CO$178,$CS444:$CV444)</f>
        <v>0</v>
      </c>
      <c r="CP444" s="230">
        <f>SUMIF(SET!$G$121:$M$121,CP$178,SET!$AM28:$AS28)+SUMIF($CS$178:$CV$178,CP$178,$CS444:$CV444)</f>
        <v>0</v>
      </c>
      <c r="CQ444" s="231">
        <f>SUMIF(SET!$G$121:$M$121,CQ$178,SET!$AM28:$AS28)+SUMIF($CS$178:$CV$178,CQ$178,$CS444:$CV444)</f>
        <v>0</v>
      </c>
      <c r="CR444" s="521">
        <f>SET!AU28</f>
        <v>0</v>
      </c>
      <c r="CS444" s="228">
        <f>SET!AV28</f>
        <v>0</v>
      </c>
      <c r="CT444" s="229">
        <f>SET!AW28</f>
        <v>0</v>
      </c>
      <c r="CU444" s="230">
        <f>SET!AX28</f>
        <v>0</v>
      </c>
      <c r="CV444" s="231">
        <f>SET!AY28</f>
        <v>0</v>
      </c>
      <c r="CW444" s="521">
        <f>SUM(SET!AU28:AY28)</f>
        <v>0</v>
      </c>
      <c r="CX444" s="521">
        <f>SET!AK28</f>
        <v>0</v>
      </c>
      <c r="CY444" s="2"/>
    </row>
    <row r="445" spans="1:103" ht="14.25" hidden="1" customHeight="1" x14ac:dyDescent="0.2">
      <c r="A445" s="2"/>
      <c r="B445" s="105">
        <f t="shared" si="110"/>
        <v>45557</v>
      </c>
      <c r="C445" s="146">
        <f>IF(AND(E445&gt;(N$559-1),E445&lt;(R$559+1)),W$551,IF(ISERROR(HLOOKUP(E445,$N$552:$U$552,1,FALSE)),HLOOKUP(WEEKDAY(E445,2),IMPOSTAZIONI!$C$52:$P$57,6,FALSE),$W$550))</f>
        <v>0</v>
      </c>
      <c r="D445" s="71" t="str">
        <f t="shared" si="111"/>
        <v/>
      </c>
      <c r="E445" s="2258">
        <f t="shared" si="116"/>
        <v>45557</v>
      </c>
      <c r="F445" s="2259"/>
      <c r="G445" s="2228" t="str">
        <f>SET!E29</f>
        <v xml:space="preserve">disattivato  </v>
      </c>
      <c r="H445" s="2229"/>
      <c r="I445" s="2230"/>
      <c r="J445" s="262" t="str">
        <f t="shared" si="101"/>
        <v/>
      </c>
      <c r="K445" s="263"/>
      <c r="L445" s="2220">
        <f t="shared" si="99"/>
        <v>38</v>
      </c>
      <c r="M445" s="2221"/>
      <c r="N445" s="261"/>
      <c r="O445" s="261"/>
      <c r="P445" s="261"/>
      <c r="Q445" s="2219">
        <f t="shared" si="112"/>
        <v>45557</v>
      </c>
      <c r="R445" s="2219"/>
      <c r="S445" s="261"/>
      <c r="T445" s="1173">
        <f t="shared" si="102"/>
        <v>1</v>
      </c>
      <c r="U445" s="261"/>
      <c r="V445" s="261"/>
      <c r="W445" s="261"/>
      <c r="X445" s="261"/>
      <c r="Y445" s="261"/>
      <c r="Z445" s="261"/>
      <c r="AA445" s="261"/>
      <c r="AB445" s="261"/>
      <c r="AC445" s="261"/>
      <c r="AD445" s="261"/>
      <c r="AE445" s="261"/>
      <c r="AF445" s="261"/>
      <c r="AG445" s="1173">
        <f t="shared" si="113"/>
        <v>0</v>
      </c>
      <c r="AH445" s="61" t="str">
        <f t="shared" si="114"/>
        <v/>
      </c>
      <c r="AI445" s="89" t="e">
        <f t="shared" si="115"/>
        <v>#N/A</v>
      </c>
      <c r="AJ445" s="2"/>
      <c r="AK445" s="61">
        <f>IF(G445=G$547,0,IF(OR(G445&lt;&gt;0,CH445&lt;&gt;0,C445="L"),COUNTIF(AK$180:AK444,"&gt;0")+1,0))</f>
        <v>0</v>
      </c>
      <c r="AL445" s="61" t="str">
        <f t="shared" si="103"/>
        <v/>
      </c>
      <c r="AM445" s="61" t="e">
        <f t="shared" si="104"/>
        <v>#N/A</v>
      </c>
      <c r="AN445" s="89" t="e">
        <f t="shared" si="105"/>
        <v>#N/A</v>
      </c>
      <c r="AO445" s="230">
        <f>SUM(SET!X29:AD29)-BD445+AY445</f>
        <v>0</v>
      </c>
      <c r="AP445" s="228">
        <f>SUMIF(SET!$G$121:$M$121,AP$178,SET!$P29:$V29)+SUMIF($AZ$178:$BC$178,AP$178,$AZ445:$BC445)</f>
        <v>0</v>
      </c>
      <c r="AQ445" s="229">
        <f>SUMIF(SET!$G$121:$M$121,AQ$178,SET!$P29:$V29)+SUMIF($AZ$178:$BC$178,AQ$178,$AZ445:$BC445)</f>
        <v>0</v>
      </c>
      <c r="AR445" s="230">
        <f>SUMIF(SET!$G$121:$M$121,AR$178,SET!$P29:$V29)+SUMIF($AZ$178:$BC$178,AR$178,$AZ445:$BC445)</f>
        <v>0</v>
      </c>
      <c r="AS445" s="230">
        <f>SUMIF(SET!$G$121:$M$121,AS$178,SET!$P29:$V29)+SUMIF($AZ$178:$BC$178,AS$178,$AZ445:$BC445)</f>
        <v>0</v>
      </c>
      <c r="AT445" s="230">
        <f>SUMIF(SET!$G$121:$M$121,AT$178,SET!$P29:$V29)+SUMIF($AZ$178:$BC$178,AT$178,$AZ445:$BC445)</f>
        <v>0</v>
      </c>
      <c r="AU445" s="230">
        <f>SUMIF(SET!$G$121:$M$121,AU$178,SET!$P29:$V29)+SUMIF($AZ$178:$BC$178,AU$178,$AZ445:$BC445)</f>
        <v>0</v>
      </c>
      <c r="AV445" s="230">
        <f>SUMIF(SET!$G$121:$M$121,AV$178,SET!$P29:$V29)+SUMIF($AZ$178:$BC$178,AV$178,$AZ445:$BC445)</f>
        <v>0</v>
      </c>
      <c r="AW445" s="230">
        <f>SUMIF(SET!$G$121:$M$121,AW$178,SET!$P29:$V29)+SUMIF($AZ$178:$BC$178,AW$178,$AZ445:$BC445)</f>
        <v>0</v>
      </c>
      <c r="AX445" s="231">
        <f>SUMIF(SET!$G$121:$M$121,AX$178,SET!$P29:$V29)+SUMIF($AZ$178:$BC$178,AX$178,$AZ445:$BC445)</f>
        <v>0</v>
      </c>
      <c r="AY445" s="232">
        <f>SET!AF29</f>
        <v>0</v>
      </c>
      <c r="AZ445" s="228">
        <f>SET!AG29</f>
        <v>0</v>
      </c>
      <c r="BA445" s="229">
        <f>SET!AH29</f>
        <v>0</v>
      </c>
      <c r="BB445" s="230">
        <f>SET!AI29</f>
        <v>0</v>
      </c>
      <c r="BC445" s="231">
        <f>SET!AJ29</f>
        <v>0</v>
      </c>
      <c r="BD445" s="228">
        <f>SUMIF(SET!$G$120:$M$120,"&gt;0",SET!$X29:$AD29)</f>
        <v>0</v>
      </c>
      <c r="BE445" s="696"/>
      <c r="BF445" s="228">
        <f>SUMIF(SET!$BA$6:$BG$6,BF$177,SET!$BA29:$BG29)</f>
        <v>0</v>
      </c>
      <c r="BG445" s="229">
        <f>SUMIF(SET!$BA$6:$BG$6,BG$177,SET!$BA29:$BG29)</f>
        <v>0</v>
      </c>
      <c r="BH445" s="229">
        <f>SUMIF(SET!$BA$6:$BG$6,BH$177,SET!$BA29:$BG29)</f>
        <v>0</v>
      </c>
      <c r="BI445" s="229">
        <f>SUMIF(SET!$BA$6:$BG$6,BI$177,SET!$BA29:$BG29)</f>
        <v>0</v>
      </c>
      <c r="BJ445" s="229">
        <f>SUMIF(SET!$BA$6:$BG$6,BJ$177,SET!$BA29:$BG29)</f>
        <v>0</v>
      </c>
      <c r="BK445" s="229">
        <f>SUMIF(SET!$BA$6:$BG$6,BK$177,SET!$BA29:$BG29)</f>
        <v>0</v>
      </c>
      <c r="BL445" s="229">
        <f>SUMIF(SET!$BA$6:$BG$6,BL$177,SET!$BA29:$BG29)</f>
        <v>0</v>
      </c>
      <c r="BM445" s="229">
        <f>SUMIF(SET!$BA$6:$BG$6,BM$177,SET!$BA29:$BG29)</f>
        <v>0</v>
      </c>
      <c r="BN445" s="229">
        <f>SUMIF(SET!$BA$6:$BG$6,BN$177,SET!$BA29:$BG29)</f>
        <v>0</v>
      </c>
      <c r="BO445" s="231">
        <f>SUMIF(SET!$BA$6:$BG$6,BO$177,SET!$BA29:$BG29)</f>
        <v>0</v>
      </c>
      <c r="BP445" s="231">
        <f>SUMIF(SET!$BA$6:$BG$6,BP$177,SET!$BA29:$BG29)</f>
        <v>0</v>
      </c>
      <c r="BQ445" s="252"/>
      <c r="BR445" s="228">
        <f>SUMIF(SET!$BA$5:$BG$5,BR$177,SET!$BA29:$BG29)</f>
        <v>0</v>
      </c>
      <c r="BS445" s="229">
        <f>SUMIF(SET!$BA$5:$BG$5,BS$177,SET!$BA29:$BG29)</f>
        <v>0</v>
      </c>
      <c r="BT445" s="229">
        <f>SUMIF(SET!$BA$5:$BG$5,BT$177,SET!$BA29:$BG29)</f>
        <v>0</v>
      </c>
      <c r="BU445" s="229">
        <f>SUMIF(SET!$BA$5:$BG$5,BU$177,SET!$BA29:$BG29)</f>
        <v>0</v>
      </c>
      <c r="BV445" s="229">
        <f>SUMIF(SET!$BA$5:$BG$5,BV$177,SET!$BA29:$BG29)</f>
        <v>0</v>
      </c>
      <c r="BW445" s="229">
        <f>SUMIF(SET!$BA$5:$BG$5,BW$177,SET!$BA29:$BG29)</f>
        <v>0</v>
      </c>
      <c r="BX445" s="230">
        <f>SUMIF(SET!$BA$5:$BG$5,BX$177,SET!$BA29:$BG29)</f>
        <v>0</v>
      </c>
      <c r="BY445" s="998">
        <f>SUMIF(SET!$BA$5:$BG$5,BY$177,SET!$BA29:$BG29)</f>
        <v>0</v>
      </c>
      <c r="CB445" s="252"/>
      <c r="CC445" s="61" t="e">
        <f t="shared" si="106"/>
        <v>#N/A</v>
      </c>
      <c r="CD445" s="61">
        <f t="shared" si="107"/>
        <v>0</v>
      </c>
      <c r="CE445" s="105" t="str">
        <f t="shared" si="100"/>
        <v/>
      </c>
      <c r="CF445" s="61" t="e">
        <f t="shared" si="108"/>
        <v>#N/A</v>
      </c>
      <c r="CG445" s="61" t="e">
        <f t="shared" si="109"/>
        <v>#N/A</v>
      </c>
      <c r="CH445" s="521">
        <f>SET!AL29-CW445+CR445</f>
        <v>0</v>
      </c>
      <c r="CI445" s="228">
        <f>SUMIF(SET!$G$121:$M$121,CI$178,SET!$AM29:$AS29)+SUMIF($CS$178:$CV$178,CI$178,$CS445:$CV445)</f>
        <v>0</v>
      </c>
      <c r="CJ445" s="229">
        <f>SUMIF(SET!$G$121:$M$121,CJ$178,SET!$AM29:$AS29)+SUMIF($CS$178:$CV$178,CJ$178,$CS445:$CV445)</f>
        <v>0</v>
      </c>
      <c r="CK445" s="230">
        <f>SUMIF(SET!$G$121:$M$121,CK$178,SET!$AM29:$AS29)+SUMIF($CS$178:$CV$178,CK$178,$CS445:$CV445)</f>
        <v>0</v>
      </c>
      <c r="CL445" s="230">
        <f>SUMIF(SET!$G$121:$M$121,CL$178,SET!$AM29:$AS29)+SUMIF($CS$178:$CV$178,CL$178,$CS445:$CV445)</f>
        <v>0</v>
      </c>
      <c r="CM445" s="230">
        <f>SUMIF(SET!$G$121:$M$121,CM$178,SET!$AM29:$AS29)+SUMIF($CS$178:$CV$178,CM$178,$CS445:$CV445)</f>
        <v>0</v>
      </c>
      <c r="CN445" s="230">
        <f>SUMIF(SET!$G$121:$M$121,CN$178,SET!$AM29:$AS29)+SUMIF($CS$178:$CV$178,CN$178,$CS445:$CV445)</f>
        <v>0</v>
      </c>
      <c r="CO445" s="230">
        <f>SUMIF(SET!$G$121:$M$121,CO$178,SET!$AM29:$AS29)+SUMIF($CS$178:$CV$178,CO$178,$CS445:$CV445)</f>
        <v>0</v>
      </c>
      <c r="CP445" s="230">
        <f>SUMIF(SET!$G$121:$M$121,CP$178,SET!$AM29:$AS29)+SUMIF($CS$178:$CV$178,CP$178,$CS445:$CV445)</f>
        <v>0</v>
      </c>
      <c r="CQ445" s="231">
        <f>SUMIF(SET!$G$121:$M$121,CQ$178,SET!$AM29:$AS29)+SUMIF($CS$178:$CV$178,CQ$178,$CS445:$CV445)</f>
        <v>0</v>
      </c>
      <c r="CR445" s="521">
        <f>SET!AU29</f>
        <v>0</v>
      </c>
      <c r="CS445" s="228">
        <f>SET!AV29</f>
        <v>0</v>
      </c>
      <c r="CT445" s="229">
        <f>SET!AW29</f>
        <v>0</v>
      </c>
      <c r="CU445" s="230">
        <f>SET!AX29</f>
        <v>0</v>
      </c>
      <c r="CV445" s="231">
        <f>SET!AY29</f>
        <v>0</v>
      </c>
      <c r="CW445" s="521">
        <f>SUM(SET!AU29:AY29)</f>
        <v>0</v>
      </c>
      <c r="CX445" s="521">
        <f>SET!AK29</f>
        <v>0</v>
      </c>
      <c r="CY445" s="2"/>
    </row>
    <row r="446" spans="1:103" ht="14.25" hidden="1" customHeight="1" x14ac:dyDescent="0.2">
      <c r="A446" s="2"/>
      <c r="B446" s="105">
        <f t="shared" si="110"/>
        <v>45558</v>
      </c>
      <c r="C446" s="146">
        <f>IF(AND(E446&gt;(N$559-1),E446&lt;(R$559+1)),W$551,IF(ISERROR(HLOOKUP(E446,$N$552:$U$552,1,FALSE)),HLOOKUP(WEEKDAY(E446,2),IMPOSTAZIONI!$C$52:$P$57,6,FALSE),$W$550))</f>
        <v>0</v>
      </c>
      <c r="D446" s="71" t="str">
        <f t="shared" si="111"/>
        <v/>
      </c>
      <c r="E446" s="2258">
        <f t="shared" si="116"/>
        <v>45558</v>
      </c>
      <c r="F446" s="2259"/>
      <c r="G446" s="2228" t="str">
        <f>SET!E30</f>
        <v xml:space="preserve">disattivato  </v>
      </c>
      <c r="H446" s="2229"/>
      <c r="I446" s="2230"/>
      <c r="J446" s="262" t="str">
        <f t="shared" si="101"/>
        <v/>
      </c>
      <c r="K446" s="263"/>
      <c r="L446" s="2222">
        <f t="shared" ref="L446:L509" si="117">L439+1</f>
        <v>39</v>
      </c>
      <c r="M446" s="2223"/>
      <c r="N446" s="261"/>
      <c r="O446" s="261"/>
      <c r="P446" s="261"/>
      <c r="Q446" s="2219">
        <f t="shared" si="112"/>
        <v>45558</v>
      </c>
      <c r="R446" s="2219"/>
      <c r="S446" s="261"/>
      <c r="T446" s="1173">
        <f t="shared" si="102"/>
        <v>1</v>
      </c>
      <c r="U446" s="261"/>
      <c r="V446" s="261"/>
      <c r="W446" s="261"/>
      <c r="X446" s="261"/>
      <c r="Y446" s="261"/>
      <c r="Z446" s="261"/>
      <c r="AA446" s="261"/>
      <c r="AB446" s="261"/>
      <c r="AC446" s="261"/>
      <c r="AD446" s="261"/>
      <c r="AE446" s="261"/>
      <c r="AF446" s="261"/>
      <c r="AG446" s="1173">
        <f t="shared" si="113"/>
        <v>0</v>
      </c>
      <c r="AH446" s="61" t="str">
        <f t="shared" si="114"/>
        <v/>
      </c>
      <c r="AI446" s="89" t="e">
        <f t="shared" si="115"/>
        <v>#N/A</v>
      </c>
      <c r="AJ446" s="2"/>
      <c r="AK446" s="61">
        <f>IF(G446=G$547,0,IF(OR(G446&lt;&gt;0,CH446&lt;&gt;0,C446="L"),COUNTIF(AK$180:AK445,"&gt;0")+1,0))</f>
        <v>0</v>
      </c>
      <c r="AL446" s="61" t="str">
        <f t="shared" si="103"/>
        <v/>
      </c>
      <c r="AM446" s="61" t="e">
        <f t="shared" si="104"/>
        <v>#N/A</v>
      </c>
      <c r="AN446" s="89" t="e">
        <f t="shared" si="105"/>
        <v>#N/A</v>
      </c>
      <c r="AO446" s="230">
        <f>SUM(SET!X30:AD30)-BD446+AY446</f>
        <v>0</v>
      </c>
      <c r="AP446" s="228">
        <f>SUMIF(SET!$G$121:$M$121,AP$178,SET!$P30:$V30)+SUMIF($AZ$178:$BC$178,AP$178,$AZ446:$BC446)</f>
        <v>0</v>
      </c>
      <c r="AQ446" s="229">
        <f>SUMIF(SET!$G$121:$M$121,AQ$178,SET!$P30:$V30)+SUMIF($AZ$178:$BC$178,AQ$178,$AZ446:$BC446)</f>
        <v>0</v>
      </c>
      <c r="AR446" s="230">
        <f>SUMIF(SET!$G$121:$M$121,AR$178,SET!$P30:$V30)+SUMIF($AZ$178:$BC$178,AR$178,$AZ446:$BC446)</f>
        <v>0</v>
      </c>
      <c r="AS446" s="230">
        <f>SUMIF(SET!$G$121:$M$121,AS$178,SET!$P30:$V30)+SUMIF($AZ$178:$BC$178,AS$178,$AZ446:$BC446)</f>
        <v>0</v>
      </c>
      <c r="AT446" s="230">
        <f>SUMIF(SET!$G$121:$M$121,AT$178,SET!$P30:$V30)+SUMIF($AZ$178:$BC$178,AT$178,$AZ446:$BC446)</f>
        <v>0</v>
      </c>
      <c r="AU446" s="230">
        <f>SUMIF(SET!$G$121:$M$121,AU$178,SET!$P30:$V30)+SUMIF($AZ$178:$BC$178,AU$178,$AZ446:$BC446)</f>
        <v>0</v>
      </c>
      <c r="AV446" s="230">
        <f>SUMIF(SET!$G$121:$M$121,AV$178,SET!$P30:$V30)+SUMIF($AZ$178:$BC$178,AV$178,$AZ446:$BC446)</f>
        <v>0</v>
      </c>
      <c r="AW446" s="230">
        <f>SUMIF(SET!$G$121:$M$121,AW$178,SET!$P30:$V30)+SUMIF($AZ$178:$BC$178,AW$178,$AZ446:$BC446)</f>
        <v>0</v>
      </c>
      <c r="AX446" s="231">
        <f>SUMIF(SET!$G$121:$M$121,AX$178,SET!$P30:$V30)+SUMIF($AZ$178:$BC$178,AX$178,$AZ446:$BC446)</f>
        <v>0</v>
      </c>
      <c r="AY446" s="232">
        <f>SET!AF30</f>
        <v>0</v>
      </c>
      <c r="AZ446" s="228">
        <f>SET!AG30</f>
        <v>0</v>
      </c>
      <c r="BA446" s="229">
        <f>SET!AH30</f>
        <v>0</v>
      </c>
      <c r="BB446" s="230">
        <f>SET!AI30</f>
        <v>0</v>
      </c>
      <c r="BC446" s="231">
        <f>SET!AJ30</f>
        <v>0</v>
      </c>
      <c r="BD446" s="228">
        <f>SUMIF(SET!$G$120:$M$120,"&gt;0",SET!$X30:$AD30)</f>
        <v>0</v>
      </c>
      <c r="BE446" s="696"/>
      <c r="BF446" s="228">
        <f>SUMIF(SET!$BA$6:$BG$6,BF$177,SET!$BA30:$BG30)</f>
        <v>0</v>
      </c>
      <c r="BG446" s="229">
        <f>SUMIF(SET!$BA$6:$BG$6,BG$177,SET!$BA30:$BG30)</f>
        <v>0</v>
      </c>
      <c r="BH446" s="229">
        <f>SUMIF(SET!$BA$6:$BG$6,BH$177,SET!$BA30:$BG30)</f>
        <v>0</v>
      </c>
      <c r="BI446" s="229">
        <f>SUMIF(SET!$BA$6:$BG$6,BI$177,SET!$BA30:$BG30)</f>
        <v>0</v>
      </c>
      <c r="BJ446" s="229">
        <f>SUMIF(SET!$BA$6:$BG$6,BJ$177,SET!$BA30:$BG30)</f>
        <v>0</v>
      </c>
      <c r="BK446" s="229">
        <f>SUMIF(SET!$BA$6:$BG$6,BK$177,SET!$BA30:$BG30)</f>
        <v>0</v>
      </c>
      <c r="BL446" s="229">
        <f>SUMIF(SET!$BA$6:$BG$6,BL$177,SET!$BA30:$BG30)</f>
        <v>0</v>
      </c>
      <c r="BM446" s="229">
        <f>SUMIF(SET!$BA$6:$BG$6,BM$177,SET!$BA30:$BG30)</f>
        <v>0</v>
      </c>
      <c r="BN446" s="229">
        <f>SUMIF(SET!$BA$6:$BG$6,BN$177,SET!$BA30:$BG30)</f>
        <v>0</v>
      </c>
      <c r="BO446" s="231">
        <f>SUMIF(SET!$BA$6:$BG$6,BO$177,SET!$BA30:$BG30)</f>
        <v>0</v>
      </c>
      <c r="BP446" s="231">
        <f>SUMIF(SET!$BA$6:$BG$6,BP$177,SET!$BA30:$BG30)</f>
        <v>0</v>
      </c>
      <c r="BQ446" s="252"/>
      <c r="BR446" s="228">
        <f>SUMIF(SET!$BA$5:$BG$5,BR$177,SET!$BA30:$BG30)</f>
        <v>0</v>
      </c>
      <c r="BS446" s="229">
        <f>SUMIF(SET!$BA$5:$BG$5,BS$177,SET!$BA30:$BG30)</f>
        <v>0</v>
      </c>
      <c r="BT446" s="229">
        <f>SUMIF(SET!$BA$5:$BG$5,BT$177,SET!$BA30:$BG30)</f>
        <v>0</v>
      </c>
      <c r="BU446" s="229">
        <f>SUMIF(SET!$BA$5:$BG$5,BU$177,SET!$BA30:$BG30)</f>
        <v>0</v>
      </c>
      <c r="BV446" s="229">
        <f>SUMIF(SET!$BA$5:$BG$5,BV$177,SET!$BA30:$BG30)</f>
        <v>0</v>
      </c>
      <c r="BW446" s="229">
        <f>SUMIF(SET!$BA$5:$BG$5,BW$177,SET!$BA30:$BG30)</f>
        <v>0</v>
      </c>
      <c r="BX446" s="230">
        <f>SUMIF(SET!$BA$5:$BG$5,BX$177,SET!$BA30:$BG30)</f>
        <v>0</v>
      </c>
      <c r="BY446" s="998">
        <f>SUMIF(SET!$BA$5:$BG$5,BY$177,SET!$BA30:$BG30)</f>
        <v>0</v>
      </c>
      <c r="CB446" s="252"/>
      <c r="CC446" s="61" t="e">
        <f t="shared" si="106"/>
        <v>#N/A</v>
      </c>
      <c r="CD446" s="61">
        <f t="shared" si="107"/>
        <v>0</v>
      </c>
      <c r="CE446" s="105" t="str">
        <f t="shared" si="100"/>
        <v/>
      </c>
      <c r="CF446" s="61" t="e">
        <f t="shared" si="108"/>
        <v>#N/A</v>
      </c>
      <c r="CG446" s="61" t="e">
        <f t="shared" si="109"/>
        <v>#N/A</v>
      </c>
      <c r="CH446" s="521">
        <f>SET!AL30-CW446+CR446</f>
        <v>0</v>
      </c>
      <c r="CI446" s="228">
        <f>SUMIF(SET!$G$121:$M$121,CI$178,SET!$AM30:$AS30)+SUMIF($CS$178:$CV$178,CI$178,$CS446:$CV446)</f>
        <v>0</v>
      </c>
      <c r="CJ446" s="229">
        <f>SUMIF(SET!$G$121:$M$121,CJ$178,SET!$AM30:$AS30)+SUMIF($CS$178:$CV$178,CJ$178,$CS446:$CV446)</f>
        <v>0</v>
      </c>
      <c r="CK446" s="230">
        <f>SUMIF(SET!$G$121:$M$121,CK$178,SET!$AM30:$AS30)+SUMIF($CS$178:$CV$178,CK$178,$CS446:$CV446)</f>
        <v>0</v>
      </c>
      <c r="CL446" s="230">
        <f>SUMIF(SET!$G$121:$M$121,CL$178,SET!$AM30:$AS30)+SUMIF($CS$178:$CV$178,CL$178,$CS446:$CV446)</f>
        <v>0</v>
      </c>
      <c r="CM446" s="230">
        <f>SUMIF(SET!$G$121:$M$121,CM$178,SET!$AM30:$AS30)+SUMIF($CS$178:$CV$178,CM$178,$CS446:$CV446)</f>
        <v>0</v>
      </c>
      <c r="CN446" s="230">
        <f>SUMIF(SET!$G$121:$M$121,CN$178,SET!$AM30:$AS30)+SUMIF($CS$178:$CV$178,CN$178,$CS446:$CV446)</f>
        <v>0</v>
      </c>
      <c r="CO446" s="230">
        <f>SUMIF(SET!$G$121:$M$121,CO$178,SET!$AM30:$AS30)+SUMIF($CS$178:$CV$178,CO$178,$CS446:$CV446)</f>
        <v>0</v>
      </c>
      <c r="CP446" s="230">
        <f>SUMIF(SET!$G$121:$M$121,CP$178,SET!$AM30:$AS30)+SUMIF($CS$178:$CV$178,CP$178,$CS446:$CV446)</f>
        <v>0</v>
      </c>
      <c r="CQ446" s="231">
        <f>SUMIF(SET!$G$121:$M$121,CQ$178,SET!$AM30:$AS30)+SUMIF($CS$178:$CV$178,CQ$178,$CS446:$CV446)</f>
        <v>0</v>
      </c>
      <c r="CR446" s="521">
        <f>SET!AU30</f>
        <v>0</v>
      </c>
      <c r="CS446" s="228">
        <f>SET!AV30</f>
        <v>0</v>
      </c>
      <c r="CT446" s="229">
        <f>SET!AW30</f>
        <v>0</v>
      </c>
      <c r="CU446" s="230">
        <f>SET!AX30</f>
        <v>0</v>
      </c>
      <c r="CV446" s="231">
        <f>SET!AY30</f>
        <v>0</v>
      </c>
      <c r="CW446" s="521">
        <f>SUM(SET!AU30:AY30)</f>
        <v>0</v>
      </c>
      <c r="CX446" s="521">
        <f>SET!AK30</f>
        <v>0</v>
      </c>
      <c r="CY446" s="2"/>
    </row>
    <row r="447" spans="1:103" ht="14.25" hidden="1" customHeight="1" x14ac:dyDescent="0.2">
      <c r="A447" s="2"/>
      <c r="B447" s="105">
        <f t="shared" si="110"/>
        <v>45559</v>
      </c>
      <c r="C447" s="146">
        <f>IF(AND(E447&gt;(N$559-1),E447&lt;(R$559+1)),W$551,IF(ISERROR(HLOOKUP(E447,$N$552:$U$552,1,FALSE)),HLOOKUP(WEEKDAY(E447,2),IMPOSTAZIONI!$C$52:$P$57,6,FALSE),$W$550))</f>
        <v>0</v>
      </c>
      <c r="D447" s="71" t="str">
        <f t="shared" si="111"/>
        <v/>
      </c>
      <c r="E447" s="2258">
        <f t="shared" si="116"/>
        <v>45559</v>
      </c>
      <c r="F447" s="2259"/>
      <c r="G447" s="2228" t="str">
        <f>SET!E31</f>
        <v xml:space="preserve">disattivato  </v>
      </c>
      <c r="H447" s="2229"/>
      <c r="I447" s="2230"/>
      <c r="J447" s="262" t="str">
        <f t="shared" si="101"/>
        <v/>
      </c>
      <c r="K447" s="263"/>
      <c r="L447" s="2217">
        <f t="shared" si="117"/>
        <v>39</v>
      </c>
      <c r="M447" s="2218"/>
      <c r="N447" s="261"/>
      <c r="O447" s="261"/>
      <c r="P447" s="261"/>
      <c r="Q447" s="2219">
        <f t="shared" si="112"/>
        <v>45559</v>
      </c>
      <c r="R447" s="2219"/>
      <c r="S447" s="261"/>
      <c r="T447" s="1173">
        <f t="shared" si="102"/>
        <v>1</v>
      </c>
      <c r="U447" s="261"/>
      <c r="V447" s="261"/>
      <c r="W447" s="261"/>
      <c r="X447" s="261"/>
      <c r="Y447" s="261"/>
      <c r="Z447" s="261"/>
      <c r="AA447" s="261"/>
      <c r="AB447" s="261"/>
      <c r="AC447" s="261"/>
      <c r="AD447" s="261"/>
      <c r="AE447" s="261"/>
      <c r="AF447" s="261"/>
      <c r="AG447" s="1173">
        <f t="shared" si="113"/>
        <v>0</v>
      </c>
      <c r="AH447" s="61" t="str">
        <f t="shared" si="114"/>
        <v/>
      </c>
      <c r="AI447" s="89" t="e">
        <f t="shared" si="115"/>
        <v>#N/A</v>
      </c>
      <c r="AJ447" s="2"/>
      <c r="AK447" s="61">
        <f>IF(G447=G$547,0,IF(OR(G447&lt;&gt;0,CH447&lt;&gt;0,C447="L"),COUNTIF(AK$180:AK446,"&gt;0")+1,0))</f>
        <v>0</v>
      </c>
      <c r="AL447" s="61" t="str">
        <f t="shared" si="103"/>
        <v/>
      </c>
      <c r="AM447" s="61" t="e">
        <f t="shared" si="104"/>
        <v>#N/A</v>
      </c>
      <c r="AN447" s="89" t="e">
        <f t="shared" si="105"/>
        <v>#N/A</v>
      </c>
      <c r="AO447" s="230">
        <f>SUM(SET!X31:AD31)-BD447+AY447</f>
        <v>0</v>
      </c>
      <c r="AP447" s="228">
        <f>SUMIF(SET!$G$121:$M$121,AP$178,SET!$P31:$V31)+SUMIF($AZ$178:$BC$178,AP$178,$AZ447:$BC447)</f>
        <v>0</v>
      </c>
      <c r="AQ447" s="229">
        <f>SUMIF(SET!$G$121:$M$121,AQ$178,SET!$P31:$V31)+SUMIF($AZ$178:$BC$178,AQ$178,$AZ447:$BC447)</f>
        <v>0</v>
      </c>
      <c r="AR447" s="230">
        <f>SUMIF(SET!$G$121:$M$121,AR$178,SET!$P31:$V31)+SUMIF($AZ$178:$BC$178,AR$178,$AZ447:$BC447)</f>
        <v>0</v>
      </c>
      <c r="AS447" s="230">
        <f>SUMIF(SET!$G$121:$M$121,AS$178,SET!$P31:$V31)+SUMIF($AZ$178:$BC$178,AS$178,$AZ447:$BC447)</f>
        <v>0</v>
      </c>
      <c r="AT447" s="230">
        <f>SUMIF(SET!$G$121:$M$121,AT$178,SET!$P31:$V31)+SUMIF($AZ$178:$BC$178,AT$178,$AZ447:$BC447)</f>
        <v>0</v>
      </c>
      <c r="AU447" s="230">
        <f>SUMIF(SET!$G$121:$M$121,AU$178,SET!$P31:$V31)+SUMIF($AZ$178:$BC$178,AU$178,$AZ447:$BC447)</f>
        <v>0</v>
      </c>
      <c r="AV447" s="230">
        <f>SUMIF(SET!$G$121:$M$121,AV$178,SET!$P31:$V31)+SUMIF($AZ$178:$BC$178,AV$178,$AZ447:$BC447)</f>
        <v>0</v>
      </c>
      <c r="AW447" s="230">
        <f>SUMIF(SET!$G$121:$M$121,AW$178,SET!$P31:$V31)+SUMIF($AZ$178:$BC$178,AW$178,$AZ447:$BC447)</f>
        <v>0</v>
      </c>
      <c r="AX447" s="231">
        <f>SUMIF(SET!$G$121:$M$121,AX$178,SET!$P31:$V31)+SUMIF($AZ$178:$BC$178,AX$178,$AZ447:$BC447)</f>
        <v>0</v>
      </c>
      <c r="AY447" s="232">
        <f>SET!AF31</f>
        <v>0</v>
      </c>
      <c r="AZ447" s="228">
        <f>SET!AG31</f>
        <v>0</v>
      </c>
      <c r="BA447" s="229">
        <f>SET!AH31</f>
        <v>0</v>
      </c>
      <c r="BB447" s="230">
        <f>SET!AI31</f>
        <v>0</v>
      </c>
      <c r="BC447" s="231">
        <f>SET!AJ31</f>
        <v>0</v>
      </c>
      <c r="BD447" s="228">
        <f>SUMIF(SET!$G$120:$M$120,"&gt;0",SET!$X31:$AD31)</f>
        <v>0</v>
      </c>
      <c r="BE447" s="696"/>
      <c r="BF447" s="228">
        <f>SUMIF(SET!$BA$6:$BG$6,BF$177,SET!$BA31:$BG31)</f>
        <v>0</v>
      </c>
      <c r="BG447" s="229">
        <f>SUMIF(SET!$BA$6:$BG$6,BG$177,SET!$BA31:$BG31)</f>
        <v>0</v>
      </c>
      <c r="BH447" s="229">
        <f>SUMIF(SET!$BA$6:$BG$6,BH$177,SET!$BA31:$BG31)</f>
        <v>0</v>
      </c>
      <c r="BI447" s="229">
        <f>SUMIF(SET!$BA$6:$BG$6,BI$177,SET!$BA31:$BG31)</f>
        <v>0</v>
      </c>
      <c r="BJ447" s="229">
        <f>SUMIF(SET!$BA$6:$BG$6,BJ$177,SET!$BA31:$BG31)</f>
        <v>0</v>
      </c>
      <c r="BK447" s="229">
        <f>SUMIF(SET!$BA$6:$BG$6,BK$177,SET!$BA31:$BG31)</f>
        <v>0</v>
      </c>
      <c r="BL447" s="229">
        <f>SUMIF(SET!$BA$6:$BG$6,BL$177,SET!$BA31:$BG31)</f>
        <v>0</v>
      </c>
      <c r="BM447" s="229">
        <f>SUMIF(SET!$BA$6:$BG$6,BM$177,SET!$BA31:$BG31)</f>
        <v>0</v>
      </c>
      <c r="BN447" s="229">
        <f>SUMIF(SET!$BA$6:$BG$6,BN$177,SET!$BA31:$BG31)</f>
        <v>0</v>
      </c>
      <c r="BO447" s="231">
        <f>SUMIF(SET!$BA$6:$BG$6,BO$177,SET!$BA31:$BG31)</f>
        <v>0</v>
      </c>
      <c r="BP447" s="231">
        <f>SUMIF(SET!$BA$6:$BG$6,BP$177,SET!$BA31:$BG31)</f>
        <v>0</v>
      </c>
      <c r="BQ447" s="252"/>
      <c r="BR447" s="228">
        <f>SUMIF(SET!$BA$5:$BG$5,BR$177,SET!$BA31:$BG31)</f>
        <v>0</v>
      </c>
      <c r="BS447" s="229">
        <f>SUMIF(SET!$BA$5:$BG$5,BS$177,SET!$BA31:$BG31)</f>
        <v>0</v>
      </c>
      <c r="BT447" s="229">
        <f>SUMIF(SET!$BA$5:$BG$5,BT$177,SET!$BA31:$BG31)</f>
        <v>0</v>
      </c>
      <c r="BU447" s="229">
        <f>SUMIF(SET!$BA$5:$BG$5,BU$177,SET!$BA31:$BG31)</f>
        <v>0</v>
      </c>
      <c r="BV447" s="229">
        <f>SUMIF(SET!$BA$5:$BG$5,BV$177,SET!$BA31:$BG31)</f>
        <v>0</v>
      </c>
      <c r="BW447" s="229">
        <f>SUMIF(SET!$BA$5:$BG$5,BW$177,SET!$BA31:$BG31)</f>
        <v>0</v>
      </c>
      <c r="BX447" s="230">
        <f>SUMIF(SET!$BA$5:$BG$5,BX$177,SET!$BA31:$BG31)</f>
        <v>0</v>
      </c>
      <c r="BY447" s="998">
        <f>SUMIF(SET!$BA$5:$BG$5,BY$177,SET!$BA31:$BG31)</f>
        <v>0</v>
      </c>
      <c r="CB447" s="252"/>
      <c r="CC447" s="61" t="e">
        <f t="shared" si="106"/>
        <v>#N/A</v>
      </c>
      <c r="CD447" s="61">
        <f t="shared" si="107"/>
        <v>0</v>
      </c>
      <c r="CE447" s="105" t="str">
        <f t="shared" si="100"/>
        <v/>
      </c>
      <c r="CF447" s="61" t="e">
        <f t="shared" si="108"/>
        <v>#N/A</v>
      </c>
      <c r="CG447" s="61" t="e">
        <f t="shared" si="109"/>
        <v>#N/A</v>
      </c>
      <c r="CH447" s="521">
        <f>SET!AL31-CW447+CR447</f>
        <v>0</v>
      </c>
      <c r="CI447" s="228">
        <f>SUMIF(SET!$G$121:$M$121,CI$178,SET!$AM31:$AS31)+SUMIF($CS$178:$CV$178,CI$178,$CS447:$CV447)</f>
        <v>0</v>
      </c>
      <c r="CJ447" s="229">
        <f>SUMIF(SET!$G$121:$M$121,CJ$178,SET!$AM31:$AS31)+SUMIF($CS$178:$CV$178,CJ$178,$CS447:$CV447)</f>
        <v>0</v>
      </c>
      <c r="CK447" s="230">
        <f>SUMIF(SET!$G$121:$M$121,CK$178,SET!$AM31:$AS31)+SUMIF($CS$178:$CV$178,CK$178,$CS447:$CV447)</f>
        <v>0</v>
      </c>
      <c r="CL447" s="230">
        <f>SUMIF(SET!$G$121:$M$121,CL$178,SET!$AM31:$AS31)+SUMIF($CS$178:$CV$178,CL$178,$CS447:$CV447)</f>
        <v>0</v>
      </c>
      <c r="CM447" s="230">
        <f>SUMIF(SET!$G$121:$M$121,CM$178,SET!$AM31:$AS31)+SUMIF($CS$178:$CV$178,CM$178,$CS447:$CV447)</f>
        <v>0</v>
      </c>
      <c r="CN447" s="230">
        <f>SUMIF(SET!$G$121:$M$121,CN$178,SET!$AM31:$AS31)+SUMIF($CS$178:$CV$178,CN$178,$CS447:$CV447)</f>
        <v>0</v>
      </c>
      <c r="CO447" s="230">
        <f>SUMIF(SET!$G$121:$M$121,CO$178,SET!$AM31:$AS31)+SUMIF($CS$178:$CV$178,CO$178,$CS447:$CV447)</f>
        <v>0</v>
      </c>
      <c r="CP447" s="230">
        <f>SUMIF(SET!$G$121:$M$121,CP$178,SET!$AM31:$AS31)+SUMIF($CS$178:$CV$178,CP$178,$CS447:$CV447)</f>
        <v>0</v>
      </c>
      <c r="CQ447" s="231">
        <f>SUMIF(SET!$G$121:$M$121,CQ$178,SET!$AM31:$AS31)+SUMIF($CS$178:$CV$178,CQ$178,$CS447:$CV447)</f>
        <v>0</v>
      </c>
      <c r="CR447" s="521">
        <f>SET!AU31</f>
        <v>0</v>
      </c>
      <c r="CS447" s="228">
        <f>SET!AV31</f>
        <v>0</v>
      </c>
      <c r="CT447" s="229">
        <f>SET!AW31</f>
        <v>0</v>
      </c>
      <c r="CU447" s="230">
        <f>SET!AX31</f>
        <v>0</v>
      </c>
      <c r="CV447" s="231">
        <f>SET!AY31</f>
        <v>0</v>
      </c>
      <c r="CW447" s="521">
        <f>SUM(SET!AU31:AY31)</f>
        <v>0</v>
      </c>
      <c r="CX447" s="521">
        <f>SET!AK31</f>
        <v>0</v>
      </c>
      <c r="CY447" s="2"/>
    </row>
    <row r="448" spans="1:103" ht="14.25" hidden="1" customHeight="1" x14ac:dyDescent="0.2">
      <c r="A448" s="2"/>
      <c r="B448" s="105">
        <f t="shared" si="110"/>
        <v>45560</v>
      </c>
      <c r="C448" s="146">
        <f>IF(AND(E448&gt;(N$559-1),E448&lt;(R$559+1)),W$551,IF(ISERROR(HLOOKUP(E448,$N$552:$U$552,1,FALSE)),HLOOKUP(WEEKDAY(E448,2),IMPOSTAZIONI!$C$52:$P$57,6,FALSE),$W$550))</f>
        <v>0</v>
      </c>
      <c r="D448" s="71" t="str">
        <f t="shared" si="111"/>
        <v/>
      </c>
      <c r="E448" s="2258">
        <f t="shared" si="116"/>
        <v>45560</v>
      </c>
      <c r="F448" s="2259"/>
      <c r="G448" s="2228" t="str">
        <f>SET!E32</f>
        <v xml:space="preserve">disattivato  </v>
      </c>
      <c r="H448" s="2229"/>
      <c r="I448" s="2230"/>
      <c r="J448" s="262" t="str">
        <f t="shared" si="101"/>
        <v/>
      </c>
      <c r="K448" s="263"/>
      <c r="L448" s="2217">
        <f t="shared" si="117"/>
        <v>39</v>
      </c>
      <c r="M448" s="2218"/>
      <c r="N448" s="261"/>
      <c r="O448" s="261"/>
      <c r="P448" s="261"/>
      <c r="Q448" s="2219">
        <f t="shared" si="112"/>
        <v>45560</v>
      </c>
      <c r="R448" s="2219"/>
      <c r="S448" s="261"/>
      <c r="T448" s="1173">
        <f t="shared" si="102"/>
        <v>1</v>
      </c>
      <c r="U448" s="261"/>
      <c r="V448" s="261"/>
      <c r="W448" s="261"/>
      <c r="X448" s="261"/>
      <c r="Y448" s="261"/>
      <c r="Z448" s="261"/>
      <c r="AA448" s="261"/>
      <c r="AB448" s="261"/>
      <c r="AC448" s="261"/>
      <c r="AD448" s="261"/>
      <c r="AE448" s="261"/>
      <c r="AF448" s="261"/>
      <c r="AG448" s="1173">
        <f t="shared" si="113"/>
        <v>0</v>
      </c>
      <c r="AH448" s="61" t="str">
        <f t="shared" si="114"/>
        <v/>
      </c>
      <c r="AI448" s="89" t="e">
        <f t="shared" si="115"/>
        <v>#N/A</v>
      </c>
      <c r="AJ448" s="2"/>
      <c r="AK448" s="61">
        <f>IF(G448=G$547,0,IF(OR(G448&lt;&gt;0,CH448&lt;&gt;0,C448="L"),COUNTIF(AK$180:AK447,"&gt;0")+1,0))</f>
        <v>0</v>
      </c>
      <c r="AL448" s="61" t="str">
        <f t="shared" si="103"/>
        <v/>
      </c>
      <c r="AM448" s="61" t="e">
        <f t="shared" si="104"/>
        <v>#N/A</v>
      </c>
      <c r="AN448" s="89" t="e">
        <f t="shared" si="105"/>
        <v>#N/A</v>
      </c>
      <c r="AO448" s="230">
        <f>SUM(SET!X32:AD32)-BD448+AY448</f>
        <v>0</v>
      </c>
      <c r="AP448" s="228">
        <f>SUMIF(SET!$G$121:$M$121,AP$178,SET!$P32:$V32)+SUMIF($AZ$178:$BC$178,AP$178,$AZ448:$BC448)</f>
        <v>0</v>
      </c>
      <c r="AQ448" s="229">
        <f>SUMIF(SET!$G$121:$M$121,AQ$178,SET!$P32:$V32)+SUMIF($AZ$178:$BC$178,AQ$178,$AZ448:$BC448)</f>
        <v>0</v>
      </c>
      <c r="AR448" s="230">
        <f>SUMIF(SET!$G$121:$M$121,AR$178,SET!$P32:$V32)+SUMIF($AZ$178:$BC$178,AR$178,$AZ448:$BC448)</f>
        <v>0</v>
      </c>
      <c r="AS448" s="230">
        <f>SUMIF(SET!$G$121:$M$121,AS$178,SET!$P32:$V32)+SUMIF($AZ$178:$BC$178,AS$178,$AZ448:$BC448)</f>
        <v>0</v>
      </c>
      <c r="AT448" s="230">
        <f>SUMIF(SET!$G$121:$M$121,AT$178,SET!$P32:$V32)+SUMIF($AZ$178:$BC$178,AT$178,$AZ448:$BC448)</f>
        <v>0</v>
      </c>
      <c r="AU448" s="230">
        <f>SUMIF(SET!$G$121:$M$121,AU$178,SET!$P32:$V32)+SUMIF($AZ$178:$BC$178,AU$178,$AZ448:$BC448)</f>
        <v>0</v>
      </c>
      <c r="AV448" s="230">
        <f>SUMIF(SET!$G$121:$M$121,AV$178,SET!$P32:$V32)+SUMIF($AZ$178:$BC$178,AV$178,$AZ448:$BC448)</f>
        <v>0</v>
      </c>
      <c r="AW448" s="230">
        <f>SUMIF(SET!$G$121:$M$121,AW$178,SET!$P32:$V32)+SUMIF($AZ$178:$BC$178,AW$178,$AZ448:$BC448)</f>
        <v>0</v>
      </c>
      <c r="AX448" s="231">
        <f>SUMIF(SET!$G$121:$M$121,AX$178,SET!$P32:$V32)+SUMIF($AZ$178:$BC$178,AX$178,$AZ448:$BC448)</f>
        <v>0</v>
      </c>
      <c r="AY448" s="232">
        <f>SET!AF32</f>
        <v>0</v>
      </c>
      <c r="AZ448" s="228">
        <f>SET!AG32</f>
        <v>0</v>
      </c>
      <c r="BA448" s="229">
        <f>SET!AH32</f>
        <v>0</v>
      </c>
      <c r="BB448" s="230">
        <f>SET!AI32</f>
        <v>0</v>
      </c>
      <c r="BC448" s="231">
        <f>SET!AJ32</f>
        <v>0</v>
      </c>
      <c r="BD448" s="228">
        <f>SUMIF(SET!$G$120:$M$120,"&gt;0",SET!$X32:$AD32)</f>
        <v>0</v>
      </c>
      <c r="BE448" s="696"/>
      <c r="BF448" s="228">
        <f>SUMIF(SET!$BA$6:$BG$6,BF$177,SET!$BA32:$BG32)</f>
        <v>0</v>
      </c>
      <c r="BG448" s="229">
        <f>SUMIF(SET!$BA$6:$BG$6,BG$177,SET!$BA32:$BG32)</f>
        <v>0</v>
      </c>
      <c r="BH448" s="229">
        <f>SUMIF(SET!$BA$6:$BG$6,BH$177,SET!$BA32:$BG32)</f>
        <v>0</v>
      </c>
      <c r="BI448" s="229">
        <f>SUMIF(SET!$BA$6:$BG$6,BI$177,SET!$BA32:$BG32)</f>
        <v>0</v>
      </c>
      <c r="BJ448" s="229">
        <f>SUMIF(SET!$BA$6:$BG$6,BJ$177,SET!$BA32:$BG32)</f>
        <v>0</v>
      </c>
      <c r="BK448" s="229">
        <f>SUMIF(SET!$BA$6:$BG$6,BK$177,SET!$BA32:$BG32)</f>
        <v>0</v>
      </c>
      <c r="BL448" s="229">
        <f>SUMIF(SET!$BA$6:$BG$6,BL$177,SET!$BA32:$BG32)</f>
        <v>0</v>
      </c>
      <c r="BM448" s="229">
        <f>SUMIF(SET!$BA$6:$BG$6,BM$177,SET!$BA32:$BG32)</f>
        <v>0</v>
      </c>
      <c r="BN448" s="229">
        <f>SUMIF(SET!$BA$6:$BG$6,BN$177,SET!$BA32:$BG32)</f>
        <v>0</v>
      </c>
      <c r="BO448" s="231">
        <f>SUMIF(SET!$BA$6:$BG$6,BO$177,SET!$BA32:$BG32)</f>
        <v>0</v>
      </c>
      <c r="BP448" s="231">
        <f>SUMIF(SET!$BA$6:$BG$6,BP$177,SET!$BA32:$BG32)</f>
        <v>0</v>
      </c>
      <c r="BQ448" s="252"/>
      <c r="BR448" s="228">
        <f>SUMIF(SET!$BA$5:$BG$5,BR$177,SET!$BA32:$BG32)</f>
        <v>0</v>
      </c>
      <c r="BS448" s="229">
        <f>SUMIF(SET!$BA$5:$BG$5,BS$177,SET!$BA32:$BG32)</f>
        <v>0</v>
      </c>
      <c r="BT448" s="229">
        <f>SUMIF(SET!$BA$5:$BG$5,BT$177,SET!$BA32:$BG32)</f>
        <v>0</v>
      </c>
      <c r="BU448" s="229">
        <f>SUMIF(SET!$BA$5:$BG$5,BU$177,SET!$BA32:$BG32)</f>
        <v>0</v>
      </c>
      <c r="BV448" s="229">
        <f>SUMIF(SET!$BA$5:$BG$5,BV$177,SET!$BA32:$BG32)</f>
        <v>0</v>
      </c>
      <c r="BW448" s="229">
        <f>SUMIF(SET!$BA$5:$BG$5,BW$177,SET!$BA32:$BG32)</f>
        <v>0</v>
      </c>
      <c r="BX448" s="230">
        <f>SUMIF(SET!$BA$5:$BG$5,BX$177,SET!$BA32:$BG32)</f>
        <v>0</v>
      </c>
      <c r="BY448" s="998">
        <f>SUMIF(SET!$BA$5:$BG$5,BY$177,SET!$BA32:$BG32)</f>
        <v>0</v>
      </c>
      <c r="CB448" s="252"/>
      <c r="CC448" s="61" t="e">
        <f t="shared" si="106"/>
        <v>#N/A</v>
      </c>
      <c r="CD448" s="61">
        <f t="shared" si="107"/>
        <v>0</v>
      </c>
      <c r="CE448" s="105" t="str">
        <f t="shared" si="100"/>
        <v/>
      </c>
      <c r="CF448" s="61" t="e">
        <f t="shared" si="108"/>
        <v>#N/A</v>
      </c>
      <c r="CG448" s="61" t="e">
        <f t="shared" si="109"/>
        <v>#N/A</v>
      </c>
      <c r="CH448" s="521">
        <f>SET!AL32-CW448+CR448</f>
        <v>0</v>
      </c>
      <c r="CI448" s="228">
        <f>SUMIF(SET!$G$121:$M$121,CI$178,SET!$AM32:$AS32)+SUMIF($CS$178:$CV$178,CI$178,$CS448:$CV448)</f>
        <v>0</v>
      </c>
      <c r="CJ448" s="229">
        <f>SUMIF(SET!$G$121:$M$121,CJ$178,SET!$AM32:$AS32)+SUMIF($CS$178:$CV$178,CJ$178,$CS448:$CV448)</f>
        <v>0</v>
      </c>
      <c r="CK448" s="230">
        <f>SUMIF(SET!$G$121:$M$121,CK$178,SET!$AM32:$AS32)+SUMIF($CS$178:$CV$178,CK$178,$CS448:$CV448)</f>
        <v>0</v>
      </c>
      <c r="CL448" s="230">
        <f>SUMIF(SET!$G$121:$M$121,CL$178,SET!$AM32:$AS32)+SUMIF($CS$178:$CV$178,CL$178,$CS448:$CV448)</f>
        <v>0</v>
      </c>
      <c r="CM448" s="230">
        <f>SUMIF(SET!$G$121:$M$121,CM$178,SET!$AM32:$AS32)+SUMIF($CS$178:$CV$178,CM$178,$CS448:$CV448)</f>
        <v>0</v>
      </c>
      <c r="CN448" s="230">
        <f>SUMIF(SET!$G$121:$M$121,CN$178,SET!$AM32:$AS32)+SUMIF($CS$178:$CV$178,CN$178,$CS448:$CV448)</f>
        <v>0</v>
      </c>
      <c r="CO448" s="230">
        <f>SUMIF(SET!$G$121:$M$121,CO$178,SET!$AM32:$AS32)+SUMIF($CS$178:$CV$178,CO$178,$CS448:$CV448)</f>
        <v>0</v>
      </c>
      <c r="CP448" s="230">
        <f>SUMIF(SET!$G$121:$M$121,CP$178,SET!$AM32:$AS32)+SUMIF($CS$178:$CV$178,CP$178,$CS448:$CV448)</f>
        <v>0</v>
      </c>
      <c r="CQ448" s="231">
        <f>SUMIF(SET!$G$121:$M$121,CQ$178,SET!$AM32:$AS32)+SUMIF($CS$178:$CV$178,CQ$178,$CS448:$CV448)</f>
        <v>0</v>
      </c>
      <c r="CR448" s="521">
        <f>SET!AU32</f>
        <v>0</v>
      </c>
      <c r="CS448" s="228">
        <f>SET!AV32</f>
        <v>0</v>
      </c>
      <c r="CT448" s="229">
        <f>SET!AW32</f>
        <v>0</v>
      </c>
      <c r="CU448" s="230">
        <f>SET!AX32</f>
        <v>0</v>
      </c>
      <c r="CV448" s="231">
        <f>SET!AY32</f>
        <v>0</v>
      </c>
      <c r="CW448" s="521">
        <f>SUM(SET!AU32:AY32)</f>
        <v>0</v>
      </c>
      <c r="CX448" s="521">
        <f>SET!AK32</f>
        <v>0</v>
      </c>
      <c r="CY448" s="2"/>
    </row>
    <row r="449" spans="1:103" ht="14.25" hidden="1" customHeight="1" x14ac:dyDescent="0.2">
      <c r="A449" s="2"/>
      <c r="B449" s="105">
        <f t="shared" si="110"/>
        <v>45561</v>
      </c>
      <c r="C449" s="146">
        <f>IF(AND(E449&gt;(N$559-1),E449&lt;(R$559+1)),W$551,IF(ISERROR(HLOOKUP(E449,$N$552:$U$552,1,FALSE)),HLOOKUP(WEEKDAY(E449,2),IMPOSTAZIONI!$C$52:$P$57,6,FALSE),$W$550))</f>
        <v>0</v>
      </c>
      <c r="D449" s="71" t="str">
        <f t="shared" si="111"/>
        <v/>
      </c>
      <c r="E449" s="2258">
        <f t="shared" si="116"/>
        <v>45561</v>
      </c>
      <c r="F449" s="2259"/>
      <c r="G449" s="2228" t="str">
        <f>SET!E33</f>
        <v xml:space="preserve">disattivato  </v>
      </c>
      <c r="H449" s="2229"/>
      <c r="I449" s="2230"/>
      <c r="J449" s="262" t="str">
        <f t="shared" si="101"/>
        <v/>
      </c>
      <c r="K449" s="263"/>
      <c r="L449" s="2217">
        <f t="shared" si="117"/>
        <v>39</v>
      </c>
      <c r="M449" s="2218"/>
      <c r="N449" s="261"/>
      <c r="O449" s="261"/>
      <c r="P449" s="261"/>
      <c r="Q449" s="2219">
        <f t="shared" si="112"/>
        <v>45561</v>
      </c>
      <c r="R449" s="2219"/>
      <c r="S449" s="261"/>
      <c r="T449" s="1173">
        <f t="shared" si="102"/>
        <v>1</v>
      </c>
      <c r="U449" s="261"/>
      <c r="V449" s="261"/>
      <c r="W449" s="261"/>
      <c r="X449" s="261"/>
      <c r="Y449" s="261"/>
      <c r="Z449" s="261"/>
      <c r="AA449" s="261"/>
      <c r="AB449" s="261"/>
      <c r="AC449" s="261"/>
      <c r="AD449" s="261"/>
      <c r="AE449" s="261"/>
      <c r="AF449" s="261"/>
      <c r="AG449" s="1173">
        <f t="shared" si="113"/>
        <v>0</v>
      </c>
      <c r="AH449" s="61" t="str">
        <f t="shared" si="114"/>
        <v/>
      </c>
      <c r="AI449" s="89" t="e">
        <f t="shared" si="115"/>
        <v>#N/A</v>
      </c>
      <c r="AJ449" s="2"/>
      <c r="AK449" s="61">
        <f>IF(G449=G$547,0,IF(OR(G449&lt;&gt;0,CH449&lt;&gt;0,C449="L"),COUNTIF(AK$180:AK448,"&gt;0")+1,0))</f>
        <v>0</v>
      </c>
      <c r="AL449" s="61" t="str">
        <f t="shared" si="103"/>
        <v/>
      </c>
      <c r="AM449" s="61" t="e">
        <f t="shared" si="104"/>
        <v>#N/A</v>
      </c>
      <c r="AN449" s="89" t="e">
        <f t="shared" si="105"/>
        <v>#N/A</v>
      </c>
      <c r="AO449" s="230">
        <f>SUM(SET!X33:AD33)-BD449+AY449</f>
        <v>0</v>
      </c>
      <c r="AP449" s="228">
        <f>SUMIF(SET!$G$121:$M$121,AP$178,SET!$P33:$V33)+SUMIF($AZ$178:$BC$178,AP$178,$AZ449:$BC449)</f>
        <v>0</v>
      </c>
      <c r="AQ449" s="229">
        <f>SUMIF(SET!$G$121:$M$121,AQ$178,SET!$P33:$V33)+SUMIF($AZ$178:$BC$178,AQ$178,$AZ449:$BC449)</f>
        <v>0</v>
      </c>
      <c r="AR449" s="230">
        <f>SUMIF(SET!$G$121:$M$121,AR$178,SET!$P33:$V33)+SUMIF($AZ$178:$BC$178,AR$178,$AZ449:$BC449)</f>
        <v>0</v>
      </c>
      <c r="AS449" s="230">
        <f>SUMIF(SET!$G$121:$M$121,AS$178,SET!$P33:$V33)+SUMIF($AZ$178:$BC$178,AS$178,$AZ449:$BC449)</f>
        <v>0</v>
      </c>
      <c r="AT449" s="230">
        <f>SUMIF(SET!$G$121:$M$121,AT$178,SET!$P33:$V33)+SUMIF($AZ$178:$BC$178,AT$178,$AZ449:$BC449)</f>
        <v>0</v>
      </c>
      <c r="AU449" s="230">
        <f>SUMIF(SET!$G$121:$M$121,AU$178,SET!$P33:$V33)+SUMIF($AZ$178:$BC$178,AU$178,$AZ449:$BC449)</f>
        <v>0</v>
      </c>
      <c r="AV449" s="230">
        <f>SUMIF(SET!$G$121:$M$121,AV$178,SET!$P33:$V33)+SUMIF($AZ$178:$BC$178,AV$178,$AZ449:$BC449)</f>
        <v>0</v>
      </c>
      <c r="AW449" s="230">
        <f>SUMIF(SET!$G$121:$M$121,AW$178,SET!$P33:$V33)+SUMIF($AZ$178:$BC$178,AW$178,$AZ449:$BC449)</f>
        <v>0</v>
      </c>
      <c r="AX449" s="231">
        <f>SUMIF(SET!$G$121:$M$121,AX$178,SET!$P33:$V33)+SUMIF($AZ$178:$BC$178,AX$178,$AZ449:$BC449)</f>
        <v>0</v>
      </c>
      <c r="AY449" s="232">
        <f>SET!AF33</f>
        <v>0</v>
      </c>
      <c r="AZ449" s="228">
        <f>SET!AG33</f>
        <v>0</v>
      </c>
      <c r="BA449" s="229">
        <f>SET!AH33</f>
        <v>0</v>
      </c>
      <c r="BB449" s="230">
        <f>SET!AI33</f>
        <v>0</v>
      </c>
      <c r="BC449" s="231">
        <f>SET!AJ33</f>
        <v>0</v>
      </c>
      <c r="BD449" s="228">
        <f>SUMIF(SET!$G$120:$M$120,"&gt;0",SET!$X33:$AD33)</f>
        <v>0</v>
      </c>
      <c r="BE449" s="696"/>
      <c r="BF449" s="228">
        <f>SUMIF(SET!$BA$6:$BG$6,BF$177,SET!$BA33:$BG33)</f>
        <v>0</v>
      </c>
      <c r="BG449" s="229">
        <f>SUMIF(SET!$BA$6:$BG$6,BG$177,SET!$BA33:$BG33)</f>
        <v>0</v>
      </c>
      <c r="BH449" s="229">
        <f>SUMIF(SET!$BA$6:$BG$6,BH$177,SET!$BA33:$BG33)</f>
        <v>0</v>
      </c>
      <c r="BI449" s="229">
        <f>SUMIF(SET!$BA$6:$BG$6,BI$177,SET!$BA33:$BG33)</f>
        <v>0</v>
      </c>
      <c r="BJ449" s="229">
        <f>SUMIF(SET!$BA$6:$BG$6,BJ$177,SET!$BA33:$BG33)</f>
        <v>0</v>
      </c>
      <c r="BK449" s="229">
        <f>SUMIF(SET!$BA$6:$BG$6,BK$177,SET!$BA33:$BG33)</f>
        <v>0</v>
      </c>
      <c r="BL449" s="229">
        <f>SUMIF(SET!$BA$6:$BG$6,BL$177,SET!$BA33:$BG33)</f>
        <v>0</v>
      </c>
      <c r="BM449" s="229">
        <f>SUMIF(SET!$BA$6:$BG$6,BM$177,SET!$BA33:$BG33)</f>
        <v>0</v>
      </c>
      <c r="BN449" s="229">
        <f>SUMIF(SET!$BA$6:$BG$6,BN$177,SET!$BA33:$BG33)</f>
        <v>0</v>
      </c>
      <c r="BO449" s="231">
        <f>SUMIF(SET!$BA$6:$BG$6,BO$177,SET!$BA33:$BG33)</f>
        <v>0</v>
      </c>
      <c r="BP449" s="231">
        <f>SUMIF(SET!$BA$6:$BG$6,BP$177,SET!$BA33:$BG33)</f>
        <v>0</v>
      </c>
      <c r="BQ449" s="252"/>
      <c r="BR449" s="228">
        <f>SUMIF(SET!$BA$5:$BG$5,BR$177,SET!$BA33:$BG33)</f>
        <v>0</v>
      </c>
      <c r="BS449" s="229">
        <f>SUMIF(SET!$BA$5:$BG$5,BS$177,SET!$BA33:$BG33)</f>
        <v>0</v>
      </c>
      <c r="BT449" s="229">
        <f>SUMIF(SET!$BA$5:$BG$5,BT$177,SET!$BA33:$BG33)</f>
        <v>0</v>
      </c>
      <c r="BU449" s="229">
        <f>SUMIF(SET!$BA$5:$BG$5,BU$177,SET!$BA33:$BG33)</f>
        <v>0</v>
      </c>
      <c r="BV449" s="229">
        <f>SUMIF(SET!$BA$5:$BG$5,BV$177,SET!$BA33:$BG33)</f>
        <v>0</v>
      </c>
      <c r="BW449" s="229">
        <f>SUMIF(SET!$BA$5:$BG$5,BW$177,SET!$BA33:$BG33)</f>
        <v>0</v>
      </c>
      <c r="BX449" s="230">
        <f>SUMIF(SET!$BA$5:$BG$5,BX$177,SET!$BA33:$BG33)</f>
        <v>0</v>
      </c>
      <c r="BY449" s="998">
        <f>SUMIF(SET!$BA$5:$BG$5,BY$177,SET!$BA33:$BG33)</f>
        <v>0</v>
      </c>
      <c r="CB449" s="252"/>
      <c r="CC449" s="61" t="e">
        <f t="shared" si="106"/>
        <v>#N/A</v>
      </c>
      <c r="CD449" s="61">
        <f t="shared" si="107"/>
        <v>0</v>
      </c>
      <c r="CE449" s="105" t="str">
        <f t="shared" si="100"/>
        <v/>
      </c>
      <c r="CF449" s="61" t="e">
        <f t="shared" si="108"/>
        <v>#N/A</v>
      </c>
      <c r="CG449" s="61" t="e">
        <f t="shared" si="109"/>
        <v>#N/A</v>
      </c>
      <c r="CH449" s="521">
        <f>SET!AL33-CW449+CR449</f>
        <v>0</v>
      </c>
      <c r="CI449" s="228">
        <f>SUMIF(SET!$G$121:$M$121,CI$178,SET!$AM33:$AS33)+SUMIF($CS$178:$CV$178,CI$178,$CS449:$CV449)</f>
        <v>0</v>
      </c>
      <c r="CJ449" s="229">
        <f>SUMIF(SET!$G$121:$M$121,CJ$178,SET!$AM33:$AS33)+SUMIF($CS$178:$CV$178,CJ$178,$CS449:$CV449)</f>
        <v>0</v>
      </c>
      <c r="CK449" s="230">
        <f>SUMIF(SET!$G$121:$M$121,CK$178,SET!$AM33:$AS33)+SUMIF($CS$178:$CV$178,CK$178,$CS449:$CV449)</f>
        <v>0</v>
      </c>
      <c r="CL449" s="230">
        <f>SUMIF(SET!$G$121:$M$121,CL$178,SET!$AM33:$AS33)+SUMIF($CS$178:$CV$178,CL$178,$CS449:$CV449)</f>
        <v>0</v>
      </c>
      <c r="CM449" s="230">
        <f>SUMIF(SET!$G$121:$M$121,CM$178,SET!$AM33:$AS33)+SUMIF($CS$178:$CV$178,CM$178,$CS449:$CV449)</f>
        <v>0</v>
      </c>
      <c r="CN449" s="230">
        <f>SUMIF(SET!$G$121:$M$121,CN$178,SET!$AM33:$AS33)+SUMIF($CS$178:$CV$178,CN$178,$CS449:$CV449)</f>
        <v>0</v>
      </c>
      <c r="CO449" s="230">
        <f>SUMIF(SET!$G$121:$M$121,CO$178,SET!$AM33:$AS33)+SUMIF($CS$178:$CV$178,CO$178,$CS449:$CV449)</f>
        <v>0</v>
      </c>
      <c r="CP449" s="230">
        <f>SUMIF(SET!$G$121:$M$121,CP$178,SET!$AM33:$AS33)+SUMIF($CS$178:$CV$178,CP$178,$CS449:$CV449)</f>
        <v>0</v>
      </c>
      <c r="CQ449" s="231">
        <f>SUMIF(SET!$G$121:$M$121,CQ$178,SET!$AM33:$AS33)+SUMIF($CS$178:$CV$178,CQ$178,$CS449:$CV449)</f>
        <v>0</v>
      </c>
      <c r="CR449" s="521">
        <f>SET!AU33</f>
        <v>0</v>
      </c>
      <c r="CS449" s="228">
        <f>SET!AV33</f>
        <v>0</v>
      </c>
      <c r="CT449" s="229">
        <f>SET!AW33</f>
        <v>0</v>
      </c>
      <c r="CU449" s="230">
        <f>SET!AX33</f>
        <v>0</v>
      </c>
      <c r="CV449" s="231">
        <f>SET!AY33</f>
        <v>0</v>
      </c>
      <c r="CW449" s="521">
        <f>SUM(SET!AU33:AY33)</f>
        <v>0</v>
      </c>
      <c r="CX449" s="521">
        <f>SET!AK33</f>
        <v>0</v>
      </c>
      <c r="CY449" s="2"/>
    </row>
    <row r="450" spans="1:103" ht="14.25" hidden="1" customHeight="1" x14ac:dyDescent="0.2">
      <c r="A450" s="2"/>
      <c r="B450" s="105">
        <f t="shared" si="110"/>
        <v>45562</v>
      </c>
      <c r="C450" s="146">
        <f>IF(AND(E450&gt;(N$559-1),E450&lt;(R$559+1)),W$551,IF(ISERROR(HLOOKUP(E450,$N$552:$U$552,1,FALSE)),HLOOKUP(WEEKDAY(E450,2),IMPOSTAZIONI!$C$52:$P$57,6,FALSE),$W$550))</f>
        <v>0</v>
      </c>
      <c r="D450" s="71" t="str">
        <f t="shared" si="111"/>
        <v/>
      </c>
      <c r="E450" s="2258">
        <f t="shared" si="116"/>
        <v>45562</v>
      </c>
      <c r="F450" s="2259"/>
      <c r="G450" s="2228" t="str">
        <f>SET!E34</f>
        <v xml:space="preserve">disattivato  </v>
      </c>
      <c r="H450" s="2229"/>
      <c r="I450" s="2230"/>
      <c r="J450" s="262" t="str">
        <f t="shared" si="101"/>
        <v/>
      </c>
      <c r="K450" s="263"/>
      <c r="L450" s="2217">
        <f t="shared" si="117"/>
        <v>39</v>
      </c>
      <c r="M450" s="2218"/>
      <c r="N450" s="261"/>
      <c r="O450" s="261"/>
      <c r="P450" s="261"/>
      <c r="Q450" s="2219">
        <f t="shared" si="112"/>
        <v>45562</v>
      </c>
      <c r="R450" s="2219"/>
      <c r="S450" s="261"/>
      <c r="T450" s="1173">
        <f t="shared" si="102"/>
        <v>1</v>
      </c>
      <c r="U450" s="261"/>
      <c r="V450" s="261"/>
      <c r="W450" s="261"/>
      <c r="X450" s="261"/>
      <c r="Y450" s="261"/>
      <c r="Z450" s="261"/>
      <c r="AA450" s="261"/>
      <c r="AB450" s="261"/>
      <c r="AC450" s="261"/>
      <c r="AD450" s="261"/>
      <c r="AE450" s="261"/>
      <c r="AF450" s="261"/>
      <c r="AG450" s="1173">
        <f t="shared" si="113"/>
        <v>0</v>
      </c>
      <c r="AH450" s="61" t="str">
        <f t="shared" si="114"/>
        <v/>
      </c>
      <c r="AI450" s="89" t="e">
        <f t="shared" si="115"/>
        <v>#N/A</v>
      </c>
      <c r="AJ450" s="2"/>
      <c r="AK450" s="61">
        <f>IF(G450=G$547,0,IF(OR(G450&lt;&gt;0,CH450&lt;&gt;0,C450="L"),COUNTIF(AK$180:AK449,"&gt;0")+1,0))</f>
        <v>0</v>
      </c>
      <c r="AL450" s="61" t="str">
        <f t="shared" si="103"/>
        <v/>
      </c>
      <c r="AM450" s="61" t="e">
        <f t="shared" si="104"/>
        <v>#N/A</v>
      </c>
      <c r="AN450" s="89" t="e">
        <f t="shared" si="105"/>
        <v>#N/A</v>
      </c>
      <c r="AO450" s="230">
        <f>SUM(SET!X34:AD34)-BD450+AY450</f>
        <v>0</v>
      </c>
      <c r="AP450" s="228">
        <f>SUMIF(SET!$G$121:$M$121,AP$178,SET!$P34:$V34)+SUMIF($AZ$178:$BC$178,AP$178,$AZ450:$BC450)</f>
        <v>0</v>
      </c>
      <c r="AQ450" s="229">
        <f>SUMIF(SET!$G$121:$M$121,AQ$178,SET!$P34:$V34)+SUMIF($AZ$178:$BC$178,AQ$178,$AZ450:$BC450)</f>
        <v>0</v>
      </c>
      <c r="AR450" s="230">
        <f>SUMIF(SET!$G$121:$M$121,AR$178,SET!$P34:$V34)+SUMIF($AZ$178:$BC$178,AR$178,$AZ450:$BC450)</f>
        <v>0</v>
      </c>
      <c r="AS450" s="230">
        <f>SUMIF(SET!$G$121:$M$121,AS$178,SET!$P34:$V34)+SUMIF($AZ$178:$BC$178,AS$178,$AZ450:$BC450)</f>
        <v>0</v>
      </c>
      <c r="AT450" s="230">
        <f>SUMIF(SET!$G$121:$M$121,AT$178,SET!$P34:$V34)+SUMIF($AZ$178:$BC$178,AT$178,$AZ450:$BC450)</f>
        <v>0</v>
      </c>
      <c r="AU450" s="230">
        <f>SUMIF(SET!$G$121:$M$121,AU$178,SET!$P34:$V34)+SUMIF($AZ$178:$BC$178,AU$178,$AZ450:$BC450)</f>
        <v>0</v>
      </c>
      <c r="AV450" s="230">
        <f>SUMIF(SET!$G$121:$M$121,AV$178,SET!$P34:$V34)+SUMIF($AZ$178:$BC$178,AV$178,$AZ450:$BC450)</f>
        <v>0</v>
      </c>
      <c r="AW450" s="230">
        <f>SUMIF(SET!$G$121:$M$121,AW$178,SET!$P34:$V34)+SUMIF($AZ$178:$BC$178,AW$178,$AZ450:$BC450)</f>
        <v>0</v>
      </c>
      <c r="AX450" s="231">
        <f>SUMIF(SET!$G$121:$M$121,AX$178,SET!$P34:$V34)+SUMIF($AZ$178:$BC$178,AX$178,$AZ450:$BC450)</f>
        <v>0</v>
      </c>
      <c r="AY450" s="232">
        <f>SET!AF34</f>
        <v>0</v>
      </c>
      <c r="AZ450" s="228">
        <f>SET!AG34</f>
        <v>0</v>
      </c>
      <c r="BA450" s="229">
        <f>SET!AH34</f>
        <v>0</v>
      </c>
      <c r="BB450" s="230">
        <f>SET!AI34</f>
        <v>0</v>
      </c>
      <c r="BC450" s="231">
        <f>SET!AJ34</f>
        <v>0</v>
      </c>
      <c r="BD450" s="228">
        <f>SUMIF(SET!$G$120:$M$120,"&gt;0",SET!$X34:$AD34)</f>
        <v>0</v>
      </c>
      <c r="BE450" s="696"/>
      <c r="BF450" s="228">
        <f>SUMIF(SET!$BA$6:$BG$6,BF$177,SET!$BA34:$BG34)</f>
        <v>0</v>
      </c>
      <c r="BG450" s="229">
        <f>SUMIF(SET!$BA$6:$BG$6,BG$177,SET!$BA34:$BG34)</f>
        <v>0</v>
      </c>
      <c r="BH450" s="229">
        <f>SUMIF(SET!$BA$6:$BG$6,BH$177,SET!$BA34:$BG34)</f>
        <v>0</v>
      </c>
      <c r="BI450" s="229">
        <f>SUMIF(SET!$BA$6:$BG$6,BI$177,SET!$BA34:$BG34)</f>
        <v>0</v>
      </c>
      <c r="BJ450" s="229">
        <f>SUMIF(SET!$BA$6:$BG$6,BJ$177,SET!$BA34:$BG34)</f>
        <v>0</v>
      </c>
      <c r="BK450" s="229">
        <f>SUMIF(SET!$BA$6:$BG$6,BK$177,SET!$BA34:$BG34)</f>
        <v>0</v>
      </c>
      <c r="BL450" s="229">
        <f>SUMIF(SET!$BA$6:$BG$6,BL$177,SET!$BA34:$BG34)</f>
        <v>0</v>
      </c>
      <c r="BM450" s="229">
        <f>SUMIF(SET!$BA$6:$BG$6,BM$177,SET!$BA34:$BG34)</f>
        <v>0</v>
      </c>
      <c r="BN450" s="229">
        <f>SUMIF(SET!$BA$6:$BG$6,BN$177,SET!$BA34:$BG34)</f>
        <v>0</v>
      </c>
      <c r="BO450" s="231">
        <f>SUMIF(SET!$BA$6:$BG$6,BO$177,SET!$BA34:$BG34)</f>
        <v>0</v>
      </c>
      <c r="BP450" s="231">
        <f>SUMIF(SET!$BA$6:$BG$6,BP$177,SET!$BA34:$BG34)</f>
        <v>0</v>
      </c>
      <c r="BQ450" s="252"/>
      <c r="BR450" s="228">
        <f>SUMIF(SET!$BA$5:$BG$5,BR$177,SET!$BA34:$BG34)</f>
        <v>0</v>
      </c>
      <c r="BS450" s="229">
        <f>SUMIF(SET!$BA$5:$BG$5,BS$177,SET!$BA34:$BG34)</f>
        <v>0</v>
      </c>
      <c r="BT450" s="229">
        <f>SUMIF(SET!$BA$5:$BG$5,BT$177,SET!$BA34:$BG34)</f>
        <v>0</v>
      </c>
      <c r="BU450" s="229">
        <f>SUMIF(SET!$BA$5:$BG$5,BU$177,SET!$BA34:$BG34)</f>
        <v>0</v>
      </c>
      <c r="BV450" s="229">
        <f>SUMIF(SET!$BA$5:$BG$5,BV$177,SET!$BA34:$BG34)</f>
        <v>0</v>
      </c>
      <c r="BW450" s="229">
        <f>SUMIF(SET!$BA$5:$BG$5,BW$177,SET!$BA34:$BG34)</f>
        <v>0</v>
      </c>
      <c r="BX450" s="230">
        <f>SUMIF(SET!$BA$5:$BG$5,BX$177,SET!$BA34:$BG34)</f>
        <v>0</v>
      </c>
      <c r="BY450" s="998">
        <f>SUMIF(SET!$BA$5:$BG$5,BY$177,SET!$BA34:$BG34)</f>
        <v>0</v>
      </c>
      <c r="CB450" s="252"/>
      <c r="CC450" s="61" t="e">
        <f t="shared" si="106"/>
        <v>#N/A</v>
      </c>
      <c r="CD450" s="61">
        <f t="shared" si="107"/>
        <v>0</v>
      </c>
      <c r="CE450" s="105" t="str">
        <f t="shared" si="100"/>
        <v/>
      </c>
      <c r="CF450" s="61" t="e">
        <f t="shared" si="108"/>
        <v>#N/A</v>
      </c>
      <c r="CG450" s="61" t="e">
        <f t="shared" si="109"/>
        <v>#N/A</v>
      </c>
      <c r="CH450" s="521">
        <f>SET!AL34-CW450+CR450</f>
        <v>0</v>
      </c>
      <c r="CI450" s="228">
        <f>SUMIF(SET!$G$121:$M$121,CI$178,SET!$AM34:$AS34)+SUMIF($CS$178:$CV$178,CI$178,$CS450:$CV450)</f>
        <v>0</v>
      </c>
      <c r="CJ450" s="229">
        <f>SUMIF(SET!$G$121:$M$121,CJ$178,SET!$AM34:$AS34)+SUMIF($CS$178:$CV$178,CJ$178,$CS450:$CV450)</f>
        <v>0</v>
      </c>
      <c r="CK450" s="230">
        <f>SUMIF(SET!$G$121:$M$121,CK$178,SET!$AM34:$AS34)+SUMIF($CS$178:$CV$178,CK$178,$CS450:$CV450)</f>
        <v>0</v>
      </c>
      <c r="CL450" s="230">
        <f>SUMIF(SET!$G$121:$M$121,CL$178,SET!$AM34:$AS34)+SUMIF($CS$178:$CV$178,CL$178,$CS450:$CV450)</f>
        <v>0</v>
      </c>
      <c r="CM450" s="230">
        <f>SUMIF(SET!$G$121:$M$121,CM$178,SET!$AM34:$AS34)+SUMIF($CS$178:$CV$178,CM$178,$CS450:$CV450)</f>
        <v>0</v>
      </c>
      <c r="CN450" s="230">
        <f>SUMIF(SET!$G$121:$M$121,CN$178,SET!$AM34:$AS34)+SUMIF($CS$178:$CV$178,CN$178,$CS450:$CV450)</f>
        <v>0</v>
      </c>
      <c r="CO450" s="230">
        <f>SUMIF(SET!$G$121:$M$121,CO$178,SET!$AM34:$AS34)+SUMIF($CS$178:$CV$178,CO$178,$CS450:$CV450)</f>
        <v>0</v>
      </c>
      <c r="CP450" s="230">
        <f>SUMIF(SET!$G$121:$M$121,CP$178,SET!$AM34:$AS34)+SUMIF($CS$178:$CV$178,CP$178,$CS450:$CV450)</f>
        <v>0</v>
      </c>
      <c r="CQ450" s="231">
        <f>SUMIF(SET!$G$121:$M$121,CQ$178,SET!$AM34:$AS34)+SUMIF($CS$178:$CV$178,CQ$178,$CS450:$CV450)</f>
        <v>0</v>
      </c>
      <c r="CR450" s="521">
        <f>SET!AU34</f>
        <v>0</v>
      </c>
      <c r="CS450" s="228">
        <f>SET!AV34</f>
        <v>0</v>
      </c>
      <c r="CT450" s="229">
        <f>SET!AW34</f>
        <v>0</v>
      </c>
      <c r="CU450" s="230">
        <f>SET!AX34</f>
        <v>0</v>
      </c>
      <c r="CV450" s="231">
        <f>SET!AY34</f>
        <v>0</v>
      </c>
      <c r="CW450" s="521">
        <f>SUM(SET!AU34:AY34)</f>
        <v>0</v>
      </c>
      <c r="CX450" s="521">
        <f>SET!AK34</f>
        <v>0</v>
      </c>
      <c r="CY450" s="2"/>
    </row>
    <row r="451" spans="1:103" ht="14.25" hidden="1" customHeight="1" x14ac:dyDescent="0.2">
      <c r="A451" s="2"/>
      <c r="B451" s="105">
        <f t="shared" si="110"/>
        <v>45563</v>
      </c>
      <c r="C451" s="146">
        <f>IF(AND(E451&gt;(N$559-1),E451&lt;(R$559+1)),W$551,IF(ISERROR(HLOOKUP(E451,$N$552:$U$552,1,FALSE)),HLOOKUP(WEEKDAY(E451,2),IMPOSTAZIONI!$C$52:$P$57,6,FALSE),$W$550))</f>
        <v>0</v>
      </c>
      <c r="D451" s="71" t="str">
        <f t="shared" si="111"/>
        <v/>
      </c>
      <c r="E451" s="2258">
        <f t="shared" si="116"/>
        <v>45563</v>
      </c>
      <c r="F451" s="2259"/>
      <c r="G451" s="2228" t="str">
        <f>SET!E35</f>
        <v xml:space="preserve">disattivato  </v>
      </c>
      <c r="H451" s="2229"/>
      <c r="I451" s="2230"/>
      <c r="J451" s="262" t="str">
        <f t="shared" si="101"/>
        <v/>
      </c>
      <c r="K451" s="263"/>
      <c r="L451" s="2217">
        <f t="shared" si="117"/>
        <v>39</v>
      </c>
      <c r="M451" s="2218"/>
      <c r="N451" s="261"/>
      <c r="O451" s="261"/>
      <c r="P451" s="261"/>
      <c r="Q451" s="2219">
        <f t="shared" si="112"/>
        <v>45563</v>
      </c>
      <c r="R451" s="2219"/>
      <c r="S451" s="261"/>
      <c r="T451" s="1173">
        <f t="shared" si="102"/>
        <v>1</v>
      </c>
      <c r="U451" s="261"/>
      <c r="V451" s="261"/>
      <c r="W451" s="261"/>
      <c r="X451" s="261"/>
      <c r="Y451" s="261"/>
      <c r="Z451" s="261"/>
      <c r="AA451" s="261"/>
      <c r="AB451" s="261"/>
      <c r="AC451" s="261"/>
      <c r="AD451" s="261"/>
      <c r="AE451" s="261"/>
      <c r="AF451" s="261"/>
      <c r="AG451" s="1173">
        <f t="shared" si="113"/>
        <v>0</v>
      </c>
      <c r="AH451" s="61" t="str">
        <f t="shared" si="114"/>
        <v/>
      </c>
      <c r="AI451" s="89" t="e">
        <f t="shared" si="115"/>
        <v>#N/A</v>
      </c>
      <c r="AJ451" s="2"/>
      <c r="AK451" s="61">
        <f>IF(G451=G$547,0,IF(OR(G451&lt;&gt;0,CH451&lt;&gt;0,C451="L"),COUNTIF(AK$180:AK450,"&gt;0")+1,0))</f>
        <v>0</v>
      </c>
      <c r="AL451" s="61" t="str">
        <f t="shared" si="103"/>
        <v/>
      </c>
      <c r="AM451" s="61" t="e">
        <f t="shared" si="104"/>
        <v>#N/A</v>
      </c>
      <c r="AN451" s="89" t="e">
        <f t="shared" si="105"/>
        <v>#N/A</v>
      </c>
      <c r="AO451" s="230">
        <f>SUM(SET!X35:AD35)-BD451+AY451</f>
        <v>0</v>
      </c>
      <c r="AP451" s="228">
        <f>SUMIF(SET!$G$121:$M$121,AP$178,SET!$P35:$V35)+SUMIF($AZ$178:$BC$178,AP$178,$AZ451:$BC451)</f>
        <v>0</v>
      </c>
      <c r="AQ451" s="229">
        <f>SUMIF(SET!$G$121:$M$121,AQ$178,SET!$P35:$V35)+SUMIF($AZ$178:$BC$178,AQ$178,$AZ451:$BC451)</f>
        <v>0</v>
      </c>
      <c r="AR451" s="230">
        <f>SUMIF(SET!$G$121:$M$121,AR$178,SET!$P35:$V35)+SUMIF($AZ$178:$BC$178,AR$178,$AZ451:$BC451)</f>
        <v>0</v>
      </c>
      <c r="AS451" s="230">
        <f>SUMIF(SET!$G$121:$M$121,AS$178,SET!$P35:$V35)+SUMIF($AZ$178:$BC$178,AS$178,$AZ451:$BC451)</f>
        <v>0</v>
      </c>
      <c r="AT451" s="230">
        <f>SUMIF(SET!$G$121:$M$121,AT$178,SET!$P35:$V35)+SUMIF($AZ$178:$BC$178,AT$178,$AZ451:$BC451)</f>
        <v>0</v>
      </c>
      <c r="AU451" s="230">
        <f>SUMIF(SET!$G$121:$M$121,AU$178,SET!$P35:$V35)+SUMIF($AZ$178:$BC$178,AU$178,$AZ451:$BC451)</f>
        <v>0</v>
      </c>
      <c r="AV451" s="230">
        <f>SUMIF(SET!$G$121:$M$121,AV$178,SET!$P35:$V35)+SUMIF($AZ$178:$BC$178,AV$178,$AZ451:$BC451)</f>
        <v>0</v>
      </c>
      <c r="AW451" s="230">
        <f>SUMIF(SET!$G$121:$M$121,AW$178,SET!$P35:$V35)+SUMIF($AZ$178:$BC$178,AW$178,$AZ451:$BC451)</f>
        <v>0</v>
      </c>
      <c r="AX451" s="231">
        <f>SUMIF(SET!$G$121:$M$121,AX$178,SET!$P35:$V35)+SUMIF($AZ$178:$BC$178,AX$178,$AZ451:$BC451)</f>
        <v>0</v>
      </c>
      <c r="AY451" s="232">
        <f>SET!AF35</f>
        <v>0</v>
      </c>
      <c r="AZ451" s="228">
        <f>SET!AG35</f>
        <v>0</v>
      </c>
      <c r="BA451" s="229">
        <f>SET!AH35</f>
        <v>0</v>
      </c>
      <c r="BB451" s="230">
        <f>SET!AI35</f>
        <v>0</v>
      </c>
      <c r="BC451" s="231">
        <f>SET!AJ35</f>
        <v>0</v>
      </c>
      <c r="BD451" s="228">
        <f>SUMIF(SET!$G$120:$M$120,"&gt;0",SET!$X35:$AD35)</f>
        <v>0</v>
      </c>
      <c r="BE451" s="696"/>
      <c r="BF451" s="228">
        <f>SUMIF(SET!$BA$6:$BG$6,BF$177,SET!$BA35:$BG35)</f>
        <v>0</v>
      </c>
      <c r="BG451" s="229">
        <f>SUMIF(SET!$BA$6:$BG$6,BG$177,SET!$BA35:$BG35)</f>
        <v>0</v>
      </c>
      <c r="BH451" s="229">
        <f>SUMIF(SET!$BA$6:$BG$6,BH$177,SET!$BA35:$BG35)</f>
        <v>0</v>
      </c>
      <c r="BI451" s="229">
        <f>SUMIF(SET!$BA$6:$BG$6,BI$177,SET!$BA35:$BG35)</f>
        <v>0</v>
      </c>
      <c r="BJ451" s="229">
        <f>SUMIF(SET!$BA$6:$BG$6,BJ$177,SET!$BA35:$BG35)</f>
        <v>0</v>
      </c>
      <c r="BK451" s="229">
        <f>SUMIF(SET!$BA$6:$BG$6,BK$177,SET!$BA35:$BG35)</f>
        <v>0</v>
      </c>
      <c r="BL451" s="229">
        <f>SUMIF(SET!$BA$6:$BG$6,BL$177,SET!$BA35:$BG35)</f>
        <v>0</v>
      </c>
      <c r="BM451" s="229">
        <f>SUMIF(SET!$BA$6:$BG$6,BM$177,SET!$BA35:$BG35)</f>
        <v>0</v>
      </c>
      <c r="BN451" s="229">
        <f>SUMIF(SET!$BA$6:$BG$6,BN$177,SET!$BA35:$BG35)</f>
        <v>0</v>
      </c>
      <c r="BO451" s="231">
        <f>SUMIF(SET!$BA$6:$BG$6,BO$177,SET!$BA35:$BG35)</f>
        <v>0</v>
      </c>
      <c r="BP451" s="231">
        <f>SUMIF(SET!$BA$6:$BG$6,BP$177,SET!$BA35:$BG35)</f>
        <v>0</v>
      </c>
      <c r="BQ451" s="252"/>
      <c r="BR451" s="228">
        <f>SUMIF(SET!$BA$5:$BG$5,BR$177,SET!$BA35:$BG35)</f>
        <v>0</v>
      </c>
      <c r="BS451" s="229">
        <f>SUMIF(SET!$BA$5:$BG$5,BS$177,SET!$BA35:$BG35)</f>
        <v>0</v>
      </c>
      <c r="BT451" s="229">
        <f>SUMIF(SET!$BA$5:$BG$5,BT$177,SET!$BA35:$BG35)</f>
        <v>0</v>
      </c>
      <c r="BU451" s="229">
        <f>SUMIF(SET!$BA$5:$BG$5,BU$177,SET!$BA35:$BG35)</f>
        <v>0</v>
      </c>
      <c r="BV451" s="229">
        <f>SUMIF(SET!$BA$5:$BG$5,BV$177,SET!$BA35:$BG35)</f>
        <v>0</v>
      </c>
      <c r="BW451" s="229">
        <f>SUMIF(SET!$BA$5:$BG$5,BW$177,SET!$BA35:$BG35)</f>
        <v>0</v>
      </c>
      <c r="BX451" s="230">
        <f>SUMIF(SET!$BA$5:$BG$5,BX$177,SET!$BA35:$BG35)</f>
        <v>0</v>
      </c>
      <c r="BY451" s="998">
        <f>SUMIF(SET!$BA$5:$BG$5,BY$177,SET!$BA35:$BG35)</f>
        <v>0</v>
      </c>
      <c r="CB451" s="252"/>
      <c r="CC451" s="61" t="e">
        <f t="shared" si="106"/>
        <v>#N/A</v>
      </c>
      <c r="CD451" s="61">
        <f t="shared" si="107"/>
        <v>0</v>
      </c>
      <c r="CE451" s="105" t="str">
        <f t="shared" si="100"/>
        <v/>
      </c>
      <c r="CF451" s="61" t="e">
        <f t="shared" si="108"/>
        <v>#N/A</v>
      </c>
      <c r="CG451" s="61" t="e">
        <f t="shared" si="109"/>
        <v>#N/A</v>
      </c>
      <c r="CH451" s="521">
        <f>SET!AL35-CW451+CR451</f>
        <v>0</v>
      </c>
      <c r="CI451" s="228">
        <f>SUMIF(SET!$G$121:$M$121,CI$178,SET!$AM35:$AS35)+SUMIF($CS$178:$CV$178,CI$178,$CS451:$CV451)</f>
        <v>0</v>
      </c>
      <c r="CJ451" s="229">
        <f>SUMIF(SET!$G$121:$M$121,CJ$178,SET!$AM35:$AS35)+SUMIF($CS$178:$CV$178,CJ$178,$CS451:$CV451)</f>
        <v>0</v>
      </c>
      <c r="CK451" s="230">
        <f>SUMIF(SET!$G$121:$M$121,CK$178,SET!$AM35:$AS35)+SUMIF($CS$178:$CV$178,CK$178,$CS451:$CV451)</f>
        <v>0</v>
      </c>
      <c r="CL451" s="230">
        <f>SUMIF(SET!$G$121:$M$121,CL$178,SET!$AM35:$AS35)+SUMIF($CS$178:$CV$178,CL$178,$CS451:$CV451)</f>
        <v>0</v>
      </c>
      <c r="CM451" s="230">
        <f>SUMIF(SET!$G$121:$M$121,CM$178,SET!$AM35:$AS35)+SUMIF($CS$178:$CV$178,CM$178,$CS451:$CV451)</f>
        <v>0</v>
      </c>
      <c r="CN451" s="230">
        <f>SUMIF(SET!$G$121:$M$121,CN$178,SET!$AM35:$AS35)+SUMIF($CS$178:$CV$178,CN$178,$CS451:$CV451)</f>
        <v>0</v>
      </c>
      <c r="CO451" s="230">
        <f>SUMIF(SET!$G$121:$M$121,CO$178,SET!$AM35:$AS35)+SUMIF($CS$178:$CV$178,CO$178,$CS451:$CV451)</f>
        <v>0</v>
      </c>
      <c r="CP451" s="230">
        <f>SUMIF(SET!$G$121:$M$121,CP$178,SET!$AM35:$AS35)+SUMIF($CS$178:$CV$178,CP$178,$CS451:$CV451)</f>
        <v>0</v>
      </c>
      <c r="CQ451" s="231">
        <f>SUMIF(SET!$G$121:$M$121,CQ$178,SET!$AM35:$AS35)+SUMIF($CS$178:$CV$178,CQ$178,$CS451:$CV451)</f>
        <v>0</v>
      </c>
      <c r="CR451" s="521">
        <f>SET!AU35</f>
        <v>0</v>
      </c>
      <c r="CS451" s="228">
        <f>SET!AV35</f>
        <v>0</v>
      </c>
      <c r="CT451" s="229">
        <f>SET!AW35</f>
        <v>0</v>
      </c>
      <c r="CU451" s="230">
        <f>SET!AX35</f>
        <v>0</v>
      </c>
      <c r="CV451" s="231">
        <f>SET!AY35</f>
        <v>0</v>
      </c>
      <c r="CW451" s="521">
        <f>SUM(SET!AU35:AY35)</f>
        <v>0</v>
      </c>
      <c r="CX451" s="521">
        <f>SET!AK35</f>
        <v>0</v>
      </c>
      <c r="CY451" s="2"/>
    </row>
    <row r="452" spans="1:103" ht="14.25" hidden="1" customHeight="1" x14ac:dyDescent="0.2">
      <c r="A452" s="2"/>
      <c r="B452" s="105">
        <f t="shared" si="110"/>
        <v>45564</v>
      </c>
      <c r="C452" s="146">
        <f>IF(AND(E452&gt;(N$559-1),E452&lt;(R$559+1)),W$551,IF(ISERROR(HLOOKUP(E452,$N$552:$U$552,1,FALSE)),HLOOKUP(WEEKDAY(E452,2),IMPOSTAZIONI!$C$52:$P$57,6,FALSE),$W$550))</f>
        <v>0</v>
      </c>
      <c r="D452" s="71" t="str">
        <f t="shared" si="111"/>
        <v/>
      </c>
      <c r="E452" s="2258">
        <f t="shared" si="116"/>
        <v>45564</v>
      </c>
      <c r="F452" s="2259"/>
      <c r="G452" s="2228" t="str">
        <f>SET!E36</f>
        <v xml:space="preserve">disattivato  </v>
      </c>
      <c r="H452" s="2229"/>
      <c r="I452" s="2230"/>
      <c r="J452" s="262" t="str">
        <f t="shared" si="101"/>
        <v/>
      </c>
      <c r="K452" s="263"/>
      <c r="L452" s="2220">
        <f t="shared" si="117"/>
        <v>39</v>
      </c>
      <c r="M452" s="2221"/>
      <c r="N452" s="261"/>
      <c r="O452" s="261"/>
      <c r="P452" s="261"/>
      <c r="Q452" s="2219">
        <f t="shared" si="112"/>
        <v>45564</v>
      </c>
      <c r="R452" s="2219"/>
      <c r="S452" s="261"/>
      <c r="T452" s="1173">
        <f t="shared" si="102"/>
        <v>1</v>
      </c>
      <c r="U452" s="261"/>
      <c r="V452" s="261"/>
      <c r="W452" s="261"/>
      <c r="X452" s="261"/>
      <c r="Y452" s="261"/>
      <c r="Z452" s="261"/>
      <c r="AA452" s="261"/>
      <c r="AB452" s="261"/>
      <c r="AC452" s="261"/>
      <c r="AD452" s="261"/>
      <c r="AE452" s="261"/>
      <c r="AF452" s="261"/>
      <c r="AG452" s="1173">
        <f t="shared" si="113"/>
        <v>0</v>
      </c>
      <c r="AH452" s="61" t="str">
        <f t="shared" si="114"/>
        <v/>
      </c>
      <c r="AI452" s="89" t="e">
        <f t="shared" si="115"/>
        <v>#N/A</v>
      </c>
      <c r="AJ452" s="2"/>
      <c r="AK452" s="61">
        <f>IF(G452=G$547,0,IF(OR(G452&lt;&gt;0,CH452&lt;&gt;0,C452="L"),COUNTIF(AK$180:AK451,"&gt;0")+1,0))</f>
        <v>0</v>
      </c>
      <c r="AL452" s="61" t="str">
        <f t="shared" si="103"/>
        <v/>
      </c>
      <c r="AM452" s="61" t="e">
        <f t="shared" si="104"/>
        <v>#N/A</v>
      </c>
      <c r="AN452" s="89" t="e">
        <f t="shared" si="105"/>
        <v>#N/A</v>
      </c>
      <c r="AO452" s="230">
        <f>SUM(SET!X36:AD36)-BD452+AY452</f>
        <v>0</v>
      </c>
      <c r="AP452" s="228">
        <f>SUMIF(SET!$G$121:$M$121,AP$178,SET!$P36:$V36)+SUMIF($AZ$178:$BC$178,AP$178,$AZ452:$BC452)</f>
        <v>0</v>
      </c>
      <c r="AQ452" s="229">
        <f>SUMIF(SET!$G$121:$M$121,AQ$178,SET!$P36:$V36)+SUMIF($AZ$178:$BC$178,AQ$178,$AZ452:$BC452)</f>
        <v>0</v>
      </c>
      <c r="AR452" s="230">
        <f>SUMIF(SET!$G$121:$M$121,AR$178,SET!$P36:$V36)+SUMIF($AZ$178:$BC$178,AR$178,$AZ452:$BC452)</f>
        <v>0</v>
      </c>
      <c r="AS452" s="230">
        <f>SUMIF(SET!$G$121:$M$121,AS$178,SET!$P36:$V36)+SUMIF($AZ$178:$BC$178,AS$178,$AZ452:$BC452)</f>
        <v>0</v>
      </c>
      <c r="AT452" s="230">
        <f>SUMIF(SET!$G$121:$M$121,AT$178,SET!$P36:$V36)+SUMIF($AZ$178:$BC$178,AT$178,$AZ452:$BC452)</f>
        <v>0</v>
      </c>
      <c r="AU452" s="230">
        <f>SUMIF(SET!$G$121:$M$121,AU$178,SET!$P36:$V36)+SUMIF($AZ$178:$BC$178,AU$178,$AZ452:$BC452)</f>
        <v>0</v>
      </c>
      <c r="AV452" s="230">
        <f>SUMIF(SET!$G$121:$M$121,AV$178,SET!$P36:$V36)+SUMIF($AZ$178:$BC$178,AV$178,$AZ452:$BC452)</f>
        <v>0</v>
      </c>
      <c r="AW452" s="230">
        <f>SUMIF(SET!$G$121:$M$121,AW$178,SET!$P36:$V36)+SUMIF($AZ$178:$BC$178,AW$178,$AZ452:$BC452)</f>
        <v>0</v>
      </c>
      <c r="AX452" s="231">
        <f>SUMIF(SET!$G$121:$M$121,AX$178,SET!$P36:$V36)+SUMIF($AZ$178:$BC$178,AX$178,$AZ452:$BC452)</f>
        <v>0</v>
      </c>
      <c r="AY452" s="232">
        <f>SET!AF36</f>
        <v>0</v>
      </c>
      <c r="AZ452" s="228">
        <f>SET!AG36</f>
        <v>0</v>
      </c>
      <c r="BA452" s="229">
        <f>SET!AH36</f>
        <v>0</v>
      </c>
      <c r="BB452" s="230">
        <f>SET!AI36</f>
        <v>0</v>
      </c>
      <c r="BC452" s="231">
        <f>SET!AJ36</f>
        <v>0</v>
      </c>
      <c r="BD452" s="228">
        <f>SUMIF(SET!$G$120:$M$120,"&gt;0",SET!$X36:$AD36)</f>
        <v>0</v>
      </c>
      <c r="BE452" s="696"/>
      <c r="BF452" s="228">
        <f>SUMIF(SET!$BA$6:$BG$6,BF$177,SET!$BA36:$BG36)</f>
        <v>0</v>
      </c>
      <c r="BG452" s="229">
        <f>SUMIF(SET!$BA$6:$BG$6,BG$177,SET!$BA36:$BG36)</f>
        <v>0</v>
      </c>
      <c r="BH452" s="229">
        <f>SUMIF(SET!$BA$6:$BG$6,BH$177,SET!$BA36:$BG36)</f>
        <v>0</v>
      </c>
      <c r="BI452" s="229">
        <f>SUMIF(SET!$BA$6:$BG$6,BI$177,SET!$BA36:$BG36)</f>
        <v>0</v>
      </c>
      <c r="BJ452" s="229">
        <f>SUMIF(SET!$BA$6:$BG$6,BJ$177,SET!$BA36:$BG36)</f>
        <v>0</v>
      </c>
      <c r="BK452" s="229">
        <f>SUMIF(SET!$BA$6:$BG$6,BK$177,SET!$BA36:$BG36)</f>
        <v>0</v>
      </c>
      <c r="BL452" s="229">
        <f>SUMIF(SET!$BA$6:$BG$6,BL$177,SET!$BA36:$BG36)</f>
        <v>0</v>
      </c>
      <c r="BM452" s="229">
        <f>SUMIF(SET!$BA$6:$BG$6,BM$177,SET!$BA36:$BG36)</f>
        <v>0</v>
      </c>
      <c r="BN452" s="229">
        <f>SUMIF(SET!$BA$6:$BG$6,BN$177,SET!$BA36:$BG36)</f>
        <v>0</v>
      </c>
      <c r="BO452" s="231">
        <f>SUMIF(SET!$BA$6:$BG$6,BO$177,SET!$BA36:$BG36)</f>
        <v>0</v>
      </c>
      <c r="BP452" s="231">
        <f>SUMIF(SET!$BA$6:$BG$6,BP$177,SET!$BA36:$BG36)</f>
        <v>0</v>
      </c>
      <c r="BQ452" s="252"/>
      <c r="BR452" s="228">
        <f>SUMIF(SET!$BA$5:$BG$5,BR$177,SET!$BA36:$BG36)</f>
        <v>0</v>
      </c>
      <c r="BS452" s="229">
        <f>SUMIF(SET!$BA$5:$BG$5,BS$177,SET!$BA36:$BG36)</f>
        <v>0</v>
      </c>
      <c r="BT452" s="229">
        <f>SUMIF(SET!$BA$5:$BG$5,BT$177,SET!$BA36:$BG36)</f>
        <v>0</v>
      </c>
      <c r="BU452" s="229">
        <f>SUMIF(SET!$BA$5:$BG$5,BU$177,SET!$BA36:$BG36)</f>
        <v>0</v>
      </c>
      <c r="BV452" s="229">
        <f>SUMIF(SET!$BA$5:$BG$5,BV$177,SET!$BA36:$BG36)</f>
        <v>0</v>
      </c>
      <c r="BW452" s="229">
        <f>SUMIF(SET!$BA$5:$BG$5,BW$177,SET!$BA36:$BG36)</f>
        <v>0</v>
      </c>
      <c r="BX452" s="230">
        <f>SUMIF(SET!$BA$5:$BG$5,BX$177,SET!$BA36:$BG36)</f>
        <v>0</v>
      </c>
      <c r="BY452" s="998">
        <f>SUMIF(SET!$BA$5:$BG$5,BY$177,SET!$BA36:$BG36)</f>
        <v>0</v>
      </c>
      <c r="CB452" s="252"/>
      <c r="CC452" s="61" t="e">
        <f t="shared" si="106"/>
        <v>#N/A</v>
      </c>
      <c r="CD452" s="61">
        <f t="shared" si="107"/>
        <v>0</v>
      </c>
      <c r="CE452" s="105" t="str">
        <f t="shared" si="100"/>
        <v/>
      </c>
      <c r="CF452" s="61" t="e">
        <f t="shared" si="108"/>
        <v>#N/A</v>
      </c>
      <c r="CG452" s="61" t="e">
        <f t="shared" si="109"/>
        <v>#N/A</v>
      </c>
      <c r="CH452" s="521">
        <f>SET!AL36-CW452+CR452</f>
        <v>0</v>
      </c>
      <c r="CI452" s="228">
        <f>SUMIF(SET!$G$121:$M$121,CI$178,SET!$AM36:$AS36)+SUMIF($CS$178:$CV$178,CI$178,$CS452:$CV452)</f>
        <v>0</v>
      </c>
      <c r="CJ452" s="229">
        <f>SUMIF(SET!$G$121:$M$121,CJ$178,SET!$AM36:$AS36)+SUMIF($CS$178:$CV$178,CJ$178,$CS452:$CV452)</f>
        <v>0</v>
      </c>
      <c r="CK452" s="230">
        <f>SUMIF(SET!$G$121:$M$121,CK$178,SET!$AM36:$AS36)+SUMIF($CS$178:$CV$178,CK$178,$CS452:$CV452)</f>
        <v>0</v>
      </c>
      <c r="CL452" s="230">
        <f>SUMIF(SET!$G$121:$M$121,CL$178,SET!$AM36:$AS36)+SUMIF($CS$178:$CV$178,CL$178,$CS452:$CV452)</f>
        <v>0</v>
      </c>
      <c r="CM452" s="230">
        <f>SUMIF(SET!$G$121:$M$121,CM$178,SET!$AM36:$AS36)+SUMIF($CS$178:$CV$178,CM$178,$CS452:$CV452)</f>
        <v>0</v>
      </c>
      <c r="CN452" s="230">
        <f>SUMIF(SET!$G$121:$M$121,CN$178,SET!$AM36:$AS36)+SUMIF($CS$178:$CV$178,CN$178,$CS452:$CV452)</f>
        <v>0</v>
      </c>
      <c r="CO452" s="230">
        <f>SUMIF(SET!$G$121:$M$121,CO$178,SET!$AM36:$AS36)+SUMIF($CS$178:$CV$178,CO$178,$CS452:$CV452)</f>
        <v>0</v>
      </c>
      <c r="CP452" s="230">
        <f>SUMIF(SET!$G$121:$M$121,CP$178,SET!$AM36:$AS36)+SUMIF($CS$178:$CV$178,CP$178,$CS452:$CV452)</f>
        <v>0</v>
      </c>
      <c r="CQ452" s="231">
        <f>SUMIF(SET!$G$121:$M$121,CQ$178,SET!$AM36:$AS36)+SUMIF($CS$178:$CV$178,CQ$178,$CS452:$CV452)</f>
        <v>0</v>
      </c>
      <c r="CR452" s="521">
        <f>SET!AU36</f>
        <v>0</v>
      </c>
      <c r="CS452" s="228">
        <f>SET!AV36</f>
        <v>0</v>
      </c>
      <c r="CT452" s="229">
        <f>SET!AW36</f>
        <v>0</v>
      </c>
      <c r="CU452" s="230">
        <f>SET!AX36</f>
        <v>0</v>
      </c>
      <c r="CV452" s="231">
        <f>SET!AY36</f>
        <v>0</v>
      </c>
      <c r="CW452" s="521">
        <f>SUM(SET!AU36:AY36)</f>
        <v>0</v>
      </c>
      <c r="CX452" s="521">
        <f>SET!AK36</f>
        <v>0</v>
      </c>
      <c r="CY452" s="2"/>
    </row>
    <row r="453" spans="1:103" ht="14.25" hidden="1" customHeight="1" x14ac:dyDescent="0.2">
      <c r="A453" s="2"/>
      <c r="B453" s="105">
        <f t="shared" si="110"/>
        <v>45565</v>
      </c>
      <c r="C453" s="146">
        <f>IF(AND(E453&gt;(N$559-1),E453&lt;(R$559+1)),W$551,IF(ISERROR(HLOOKUP(E453,$N$552:$U$552,1,FALSE)),HLOOKUP(WEEKDAY(E453,2),IMPOSTAZIONI!$C$52:$P$57,6,FALSE),$W$550))</f>
        <v>0</v>
      </c>
      <c r="D453" s="71" t="str">
        <f t="shared" si="111"/>
        <v/>
      </c>
      <c r="E453" s="2258">
        <f t="shared" si="116"/>
        <v>45565</v>
      </c>
      <c r="F453" s="2259"/>
      <c r="G453" s="2228" t="str">
        <f>SET!E37</f>
        <v xml:space="preserve">disattivato  </v>
      </c>
      <c r="H453" s="2229"/>
      <c r="I453" s="2230"/>
      <c r="J453" s="262" t="str">
        <f t="shared" si="101"/>
        <v/>
      </c>
      <c r="K453" s="263"/>
      <c r="L453" s="2222">
        <f t="shared" si="117"/>
        <v>40</v>
      </c>
      <c r="M453" s="2223"/>
      <c r="N453" s="261"/>
      <c r="O453" s="261"/>
      <c r="P453" s="261"/>
      <c r="Q453" s="2219">
        <f t="shared" si="112"/>
        <v>45565</v>
      </c>
      <c r="R453" s="2219"/>
      <c r="S453" s="261"/>
      <c r="T453" s="1173">
        <f t="shared" si="102"/>
        <v>1</v>
      </c>
      <c r="U453" s="261"/>
      <c r="V453" s="261"/>
      <c r="W453" s="261"/>
      <c r="X453" s="261"/>
      <c r="Y453" s="261"/>
      <c r="Z453" s="261"/>
      <c r="AA453" s="261"/>
      <c r="AB453" s="261"/>
      <c r="AC453" s="261"/>
      <c r="AD453" s="261"/>
      <c r="AE453" s="261"/>
      <c r="AF453" s="261"/>
      <c r="AG453" s="1173">
        <f t="shared" si="113"/>
        <v>0</v>
      </c>
      <c r="AH453" s="61" t="str">
        <f t="shared" si="114"/>
        <v/>
      </c>
      <c r="AI453" s="89" t="e">
        <f t="shared" si="115"/>
        <v>#N/A</v>
      </c>
      <c r="AJ453" s="2"/>
      <c r="AK453" s="61">
        <f>IF(G453=G$547,0,IF(OR(G453&lt;&gt;0,CH453&lt;&gt;0,C453="L"),COUNTIF(AK$180:AK452,"&gt;0")+1,0))</f>
        <v>0</v>
      </c>
      <c r="AL453" s="61" t="str">
        <f t="shared" si="103"/>
        <v/>
      </c>
      <c r="AM453" s="61" t="e">
        <f t="shared" si="104"/>
        <v>#N/A</v>
      </c>
      <c r="AN453" s="89" t="e">
        <f t="shared" si="105"/>
        <v>#N/A</v>
      </c>
      <c r="AO453" s="235">
        <f>SUM(SET!X37:AD37)-BD453+AY453</f>
        <v>0</v>
      </c>
      <c r="AP453" s="233">
        <f>SUMIF(SET!$G$121:$M$121,AP$178,SET!$P37:$V37)+SUMIF($AZ$178:$BC$178,AP$178,$AZ453:$BC453)</f>
        <v>0</v>
      </c>
      <c r="AQ453" s="234">
        <f>SUMIF(SET!$G$121:$M$121,AQ$178,SET!$P37:$V37)+SUMIF($AZ$178:$BC$178,AQ$178,$AZ453:$BC453)</f>
        <v>0</v>
      </c>
      <c r="AR453" s="235">
        <f>SUMIF(SET!$G$121:$M$121,AR$178,SET!$P37:$V37)+SUMIF($AZ$178:$BC$178,AR$178,$AZ453:$BC453)</f>
        <v>0</v>
      </c>
      <c r="AS453" s="235">
        <f>SUMIF(SET!$G$121:$M$121,AS$178,SET!$P37:$V37)+SUMIF($AZ$178:$BC$178,AS$178,$AZ453:$BC453)</f>
        <v>0</v>
      </c>
      <c r="AT453" s="235">
        <f>SUMIF(SET!$G$121:$M$121,AT$178,SET!$P37:$V37)+SUMIF($AZ$178:$BC$178,AT$178,$AZ453:$BC453)</f>
        <v>0</v>
      </c>
      <c r="AU453" s="235">
        <f>SUMIF(SET!$G$121:$M$121,AU$178,SET!$P37:$V37)+SUMIF($AZ$178:$BC$178,AU$178,$AZ453:$BC453)</f>
        <v>0</v>
      </c>
      <c r="AV453" s="235">
        <f>SUMIF(SET!$G$121:$M$121,AV$178,SET!$P37:$V37)+SUMIF($AZ$178:$BC$178,AV$178,$AZ453:$BC453)</f>
        <v>0</v>
      </c>
      <c r="AW453" s="235">
        <f>SUMIF(SET!$G$121:$M$121,AW$178,SET!$P37:$V37)+SUMIF($AZ$178:$BC$178,AW$178,$AZ453:$BC453)</f>
        <v>0</v>
      </c>
      <c r="AX453" s="236">
        <f>SUMIF(SET!$G$121:$M$121,AX$178,SET!$P37:$V37)+SUMIF($AZ$178:$BC$178,AX$178,$AZ453:$BC453)</f>
        <v>0</v>
      </c>
      <c r="AY453" s="237">
        <f>SET!AF37</f>
        <v>0</v>
      </c>
      <c r="AZ453" s="233">
        <f>SET!AG37</f>
        <v>0</v>
      </c>
      <c r="BA453" s="234">
        <f>SET!AH37</f>
        <v>0</v>
      </c>
      <c r="BB453" s="235">
        <f>SET!AI37</f>
        <v>0</v>
      </c>
      <c r="BC453" s="236">
        <f>SET!AJ37</f>
        <v>0</v>
      </c>
      <c r="BD453" s="233">
        <f>SUMIF(SET!$G$120:$M$120,"&gt;0",SET!$X37:$AD37)</f>
        <v>0</v>
      </c>
      <c r="BE453" s="696"/>
      <c r="BF453" s="233">
        <f>SUMIF(SET!$BA$6:$BG$6,BF$177,SET!$BA37:$BG37)</f>
        <v>0</v>
      </c>
      <c r="BG453" s="234">
        <f>SUMIF(SET!$BA$6:$BG$6,BG$177,SET!$BA37:$BG37)</f>
        <v>0</v>
      </c>
      <c r="BH453" s="234">
        <f>SUMIF(SET!$BA$6:$BG$6,BH$177,SET!$BA37:$BG37)</f>
        <v>0</v>
      </c>
      <c r="BI453" s="234">
        <f>SUMIF(SET!$BA$6:$BG$6,BI$177,SET!$BA37:$BG37)</f>
        <v>0</v>
      </c>
      <c r="BJ453" s="234">
        <f>SUMIF(SET!$BA$6:$BG$6,BJ$177,SET!$BA37:$BG37)</f>
        <v>0</v>
      </c>
      <c r="BK453" s="234">
        <f>SUMIF(SET!$BA$6:$BG$6,BK$177,SET!$BA37:$BG37)</f>
        <v>0</v>
      </c>
      <c r="BL453" s="234">
        <f>SUMIF(SET!$BA$6:$BG$6,BL$177,SET!$BA37:$BG37)</f>
        <v>0</v>
      </c>
      <c r="BM453" s="234">
        <f>SUMIF(SET!$BA$6:$BG$6,BM$177,SET!$BA37:$BG37)</f>
        <v>0</v>
      </c>
      <c r="BN453" s="234">
        <f>SUMIF(SET!$BA$6:$BG$6,BN$177,SET!$BA37:$BG37)</f>
        <v>0</v>
      </c>
      <c r="BO453" s="236">
        <f>SUMIF(SET!$BA$6:$BG$6,BO$177,SET!$BA37:$BG37)</f>
        <v>0</v>
      </c>
      <c r="BP453" s="236">
        <f>SUMIF(SET!$BA$6:$BG$6,BP$177,SET!$BA37:$BG37)</f>
        <v>0</v>
      </c>
      <c r="BQ453" s="252"/>
      <c r="BR453" s="233">
        <f>SUMIF(SET!$BA$5:$BG$5,BR$177,SET!$BA37:$BG37)</f>
        <v>0</v>
      </c>
      <c r="BS453" s="234">
        <f>SUMIF(SET!$BA$5:$BG$5,BS$177,SET!$BA37:$BG37)</f>
        <v>0</v>
      </c>
      <c r="BT453" s="234">
        <f>SUMIF(SET!$BA$5:$BG$5,BT$177,SET!$BA37:$BG37)</f>
        <v>0</v>
      </c>
      <c r="BU453" s="234">
        <f>SUMIF(SET!$BA$5:$BG$5,BU$177,SET!$BA37:$BG37)</f>
        <v>0</v>
      </c>
      <c r="BV453" s="234">
        <f>SUMIF(SET!$BA$5:$BG$5,BV$177,SET!$BA37:$BG37)</f>
        <v>0</v>
      </c>
      <c r="BW453" s="234">
        <f>SUMIF(SET!$BA$5:$BG$5,BW$177,SET!$BA37:$BG37)</f>
        <v>0</v>
      </c>
      <c r="BX453" s="235">
        <f>SUMIF(SET!$BA$5:$BG$5,BX$177,SET!$BA37:$BG37)</f>
        <v>0</v>
      </c>
      <c r="BY453" s="999">
        <f>SUMIF(SET!$BA$5:$BG$5,BY$177,SET!$BA37:$BG37)</f>
        <v>0</v>
      </c>
      <c r="CB453" s="252"/>
      <c r="CC453" s="61" t="e">
        <f t="shared" si="106"/>
        <v>#N/A</v>
      </c>
      <c r="CD453" s="61">
        <f t="shared" si="107"/>
        <v>0</v>
      </c>
      <c r="CE453" s="105" t="str">
        <f t="shared" si="100"/>
        <v/>
      </c>
      <c r="CF453" s="61" t="e">
        <f t="shared" si="108"/>
        <v>#N/A</v>
      </c>
      <c r="CG453" s="61" t="e">
        <f t="shared" si="109"/>
        <v>#N/A</v>
      </c>
      <c r="CH453" s="522">
        <f>SET!AL37-CW453+CR453</f>
        <v>0</v>
      </c>
      <c r="CI453" s="233">
        <f>SUMIF(SET!$G$121:$M$121,CI$178,SET!$AM37:$AS37)+SUMIF($CS$178:$CV$178,CI$178,$CS453:$CV453)</f>
        <v>0</v>
      </c>
      <c r="CJ453" s="234">
        <f>SUMIF(SET!$G$121:$M$121,CJ$178,SET!$AM37:$AS37)+SUMIF($CS$178:$CV$178,CJ$178,$CS453:$CV453)</f>
        <v>0</v>
      </c>
      <c r="CK453" s="235">
        <f>SUMIF(SET!$G$121:$M$121,CK$178,SET!$AM37:$AS37)+SUMIF($CS$178:$CV$178,CK$178,$CS453:$CV453)</f>
        <v>0</v>
      </c>
      <c r="CL453" s="235">
        <f>SUMIF(SET!$G$121:$M$121,CL$178,SET!$AM37:$AS37)+SUMIF($CS$178:$CV$178,CL$178,$CS453:$CV453)</f>
        <v>0</v>
      </c>
      <c r="CM453" s="235">
        <f>SUMIF(SET!$G$121:$M$121,CM$178,SET!$AM37:$AS37)+SUMIF($CS$178:$CV$178,CM$178,$CS453:$CV453)</f>
        <v>0</v>
      </c>
      <c r="CN453" s="235">
        <f>SUMIF(SET!$G$121:$M$121,CN$178,SET!$AM37:$AS37)+SUMIF($CS$178:$CV$178,CN$178,$CS453:$CV453)</f>
        <v>0</v>
      </c>
      <c r="CO453" s="235">
        <f>SUMIF(SET!$G$121:$M$121,CO$178,SET!$AM37:$AS37)+SUMIF($CS$178:$CV$178,CO$178,$CS453:$CV453)</f>
        <v>0</v>
      </c>
      <c r="CP453" s="235">
        <f>SUMIF(SET!$G$121:$M$121,CP$178,SET!$AM37:$AS37)+SUMIF($CS$178:$CV$178,CP$178,$CS453:$CV453)</f>
        <v>0</v>
      </c>
      <c r="CQ453" s="236">
        <f>SUMIF(SET!$G$121:$M$121,CQ$178,SET!$AM37:$AS37)+SUMIF($CS$178:$CV$178,CQ$178,$CS453:$CV453)</f>
        <v>0</v>
      </c>
      <c r="CR453" s="522">
        <f>SET!AU37</f>
        <v>0</v>
      </c>
      <c r="CS453" s="233">
        <f>SET!AV37</f>
        <v>0</v>
      </c>
      <c r="CT453" s="234">
        <f>SET!AW37</f>
        <v>0</v>
      </c>
      <c r="CU453" s="235">
        <f>SET!AX37</f>
        <v>0</v>
      </c>
      <c r="CV453" s="236">
        <f>SET!AY37</f>
        <v>0</v>
      </c>
      <c r="CW453" s="522">
        <f>SUM(SET!AU37:AY37)</f>
        <v>0</v>
      </c>
      <c r="CX453" s="522">
        <f>SET!AK37</f>
        <v>0</v>
      </c>
      <c r="CY453" s="2"/>
    </row>
    <row r="454" spans="1:103" ht="14.25" hidden="1" customHeight="1" x14ac:dyDescent="0.2">
      <c r="A454" s="2"/>
      <c r="B454" s="105">
        <f t="shared" si="110"/>
        <v>45566</v>
      </c>
      <c r="C454" s="146">
        <f>IF(AND(E454&gt;(N$560-1),E454&lt;(R$560+1)),W$551,IF(ISERROR(HLOOKUP(E454,$N$553:$U$553,1,FALSE)),HLOOKUP(WEEKDAY(E454,2),IMPOSTAZIONI!$C$52:$P$57,6,FALSE),$W$550))</f>
        <v>0</v>
      </c>
      <c r="D454" s="71" t="str">
        <f t="shared" si="111"/>
        <v/>
      </c>
      <c r="E454" s="2260">
        <f t="shared" si="116"/>
        <v>45566</v>
      </c>
      <c r="F454" s="2261"/>
      <c r="G454" s="2249" t="str">
        <f>OTT!E8</f>
        <v xml:space="preserve">disattivato  </v>
      </c>
      <c r="H454" s="2250"/>
      <c r="I454" s="2251"/>
      <c r="J454" s="262" t="str">
        <f t="shared" si="101"/>
        <v/>
      </c>
      <c r="K454" s="263"/>
      <c r="L454" s="2217">
        <f t="shared" si="117"/>
        <v>40</v>
      </c>
      <c r="M454" s="2218"/>
      <c r="N454" s="261"/>
      <c r="O454" s="261"/>
      <c r="P454" s="261"/>
      <c r="Q454" s="2219">
        <f t="shared" si="112"/>
        <v>45566</v>
      </c>
      <c r="R454" s="2219"/>
      <c r="S454" s="261"/>
      <c r="T454" s="1173">
        <f t="shared" si="102"/>
        <v>1</v>
      </c>
      <c r="U454" s="261"/>
      <c r="V454" s="261"/>
      <c r="W454" s="261"/>
      <c r="X454" s="261"/>
      <c r="Y454" s="261"/>
      <c r="Z454" s="261"/>
      <c r="AA454" s="261"/>
      <c r="AB454" s="261"/>
      <c r="AC454" s="261"/>
      <c r="AD454" s="261"/>
      <c r="AE454" s="261"/>
      <c r="AF454" s="261"/>
      <c r="AG454" s="1173">
        <f t="shared" si="113"/>
        <v>0</v>
      </c>
      <c r="AH454" s="61" t="str">
        <f t="shared" si="114"/>
        <v/>
      </c>
      <c r="AI454" s="89" t="e">
        <f t="shared" si="115"/>
        <v>#N/A</v>
      </c>
      <c r="AJ454" s="89">
        <f>IF(G454=G547,0,COUNTIF(T454:T484,"&gt;0"))</f>
        <v>0</v>
      </c>
      <c r="AK454" s="61">
        <f>IF(G454=G$547,0,IF(OR(G454&lt;&gt;0,CH454&lt;&gt;0,C454="L"),COUNTIF(AK$180:AK453,"&gt;0")+1,0))</f>
        <v>0</v>
      </c>
      <c r="AL454" s="61" t="str">
        <f t="shared" si="103"/>
        <v/>
      </c>
      <c r="AM454" s="61" t="e">
        <f t="shared" si="104"/>
        <v>#N/A</v>
      </c>
      <c r="AN454" s="89" t="e">
        <f t="shared" si="105"/>
        <v>#N/A</v>
      </c>
      <c r="AO454" s="230">
        <f>SUM(OTT!X8:AD8)-BD454+AY454</f>
        <v>0</v>
      </c>
      <c r="AP454" s="228">
        <f>SUMIF(OTT!$G$121:$M$121,AP$178,OTT!$P8:$V8)+SUMIF($AZ$178:$BC$178,AP$178,$AZ454:$BC454)</f>
        <v>0</v>
      </c>
      <c r="AQ454" s="229">
        <f>SUMIF(OTT!$G$121:$M$121,AQ$178,OTT!$P8:$V8)+SUMIF($AZ$178:$BC$178,AQ$178,$AZ454:$BC454)</f>
        <v>0</v>
      </c>
      <c r="AR454" s="230">
        <f>SUMIF(OTT!$G$121:$M$121,AR$178,OTT!$P8:$V8)+SUMIF($AZ$178:$BC$178,AR$178,$AZ454:$BC454)</f>
        <v>0</v>
      </c>
      <c r="AS454" s="230">
        <f>SUMIF(OTT!$G$121:$M$121,AS$178,OTT!$P8:$V8)+SUMIF($AZ$178:$BC$178,AS$178,$AZ454:$BC454)</f>
        <v>0</v>
      </c>
      <c r="AT454" s="230">
        <f>SUMIF(OTT!$G$121:$M$121,AT$178,OTT!$P8:$V8)+SUMIF($AZ$178:$BC$178,AT$178,$AZ454:$BC454)</f>
        <v>0</v>
      </c>
      <c r="AU454" s="230">
        <f>SUMIF(OTT!$G$121:$M$121,AU$178,OTT!$P8:$V8)+SUMIF($AZ$178:$BC$178,AU$178,$AZ454:$BC454)</f>
        <v>0</v>
      </c>
      <c r="AV454" s="230">
        <f>SUMIF(OTT!$G$121:$M$121,AV$178,OTT!$P8:$V8)+SUMIF($AZ$178:$BC$178,AV$178,$AZ454:$BC454)</f>
        <v>0</v>
      </c>
      <c r="AW454" s="230">
        <f>SUMIF(OTT!$G$121:$M$121,AW$178,OTT!$P8:$V8)+SUMIF($AZ$178:$BC$178,AW$178,$AZ454:$BC454)</f>
        <v>0</v>
      </c>
      <c r="AX454" s="231">
        <f>SUMIF(OTT!$G$121:$M$121,AX$178,OTT!$P8:$V8)+SUMIF($AZ$178:$BC$178,AX$178,$AZ454:$BC454)</f>
        <v>0</v>
      </c>
      <c r="AY454" s="232">
        <f>OTT!AF8</f>
        <v>0</v>
      </c>
      <c r="AZ454" s="228">
        <f>OTT!AG8</f>
        <v>0</v>
      </c>
      <c r="BA454" s="229">
        <f>OTT!AH8</f>
        <v>0</v>
      </c>
      <c r="BB454" s="230">
        <f>OTT!AI8</f>
        <v>0</v>
      </c>
      <c r="BC454" s="231">
        <f>OTT!AJ8</f>
        <v>0</v>
      </c>
      <c r="BD454" s="228">
        <f>SUMIF(OTT!$G$120:$M$120,"&gt;0",OTT!$X8:$AD8)</f>
        <v>0</v>
      </c>
      <c r="BE454" s="696"/>
      <c r="BF454" s="254">
        <f>SUMIF(OTT!$BA$6:$BG$6,BF$177,OTT!$BA8:$BG8)</f>
        <v>0</v>
      </c>
      <c r="BG454" s="255">
        <f>SUMIF(OTT!$BA$6:$BG$6,BG$177,OTT!$BA8:$BG8)</f>
        <v>0</v>
      </c>
      <c r="BH454" s="255">
        <f>SUMIF(OTT!$BA$6:$BG$6,BH$177,OTT!$BA8:$BG8)</f>
        <v>0</v>
      </c>
      <c r="BI454" s="255">
        <f>SUMIF(OTT!$BA$6:$BG$6,BI$177,OTT!$BA8:$BG8)</f>
        <v>0</v>
      </c>
      <c r="BJ454" s="255">
        <f>SUMIF(OTT!$BA$6:$BG$6,BJ$177,OTT!$BA8:$BG8)</f>
        <v>0</v>
      </c>
      <c r="BK454" s="255">
        <f>SUMIF(OTT!$BA$6:$BG$6,BK$177,OTT!$BA8:$BG8)</f>
        <v>0</v>
      </c>
      <c r="BL454" s="255">
        <f>SUMIF(OTT!$BA$6:$BG$6,BL$177,OTT!$BA8:$BG8)</f>
        <v>0</v>
      </c>
      <c r="BM454" s="255">
        <f>SUMIF(OTT!$BA$6:$BG$6,BM$177,OTT!$BA8:$BG8)</f>
        <v>0</v>
      </c>
      <c r="BN454" s="255">
        <f>SUMIF(OTT!$BA$6:$BG$6,BN$177,OTT!$BA8:$BG8)</f>
        <v>0</v>
      </c>
      <c r="BO454" s="256">
        <f>SUMIF(OTT!$BA$6:$BG$6,BO$177,OTT!$BA8:$BG8)</f>
        <v>0</v>
      </c>
      <c r="BP454" s="256">
        <f>SUMIF(OTT!$BA$6:$BG$6,BP$177,OTT!$BA8:$BG8)</f>
        <v>0</v>
      </c>
      <c r="BQ454" s="252"/>
      <c r="BR454" s="254">
        <f>SUMIF(OTT!$BA$5:$BG$5,BR$177,OTT!$BA8:$BG8)</f>
        <v>0</v>
      </c>
      <c r="BS454" s="255">
        <f>SUMIF(OTT!$BA$5:$BG$5,BS$177,OTT!$BA8:$BG8)</f>
        <v>0</v>
      </c>
      <c r="BT454" s="255">
        <f>SUMIF(OTT!$BA$5:$BG$5,BT$177,OTT!$BA8:$BG8)</f>
        <v>0</v>
      </c>
      <c r="BU454" s="255">
        <f>SUMIF(OTT!$BA$5:$BG$5,BU$177,OTT!$BA8:$BG8)</f>
        <v>0</v>
      </c>
      <c r="BV454" s="255">
        <f>SUMIF(OTT!$BA$5:$BG$5,BV$177,OTT!$BA8:$BG8)</f>
        <v>0</v>
      </c>
      <c r="BW454" s="255">
        <f>SUMIF(OTT!$BA$5:$BG$5,BW$177,OTT!$BA8:$BG8)</f>
        <v>0</v>
      </c>
      <c r="BX454" s="996">
        <f>SUMIF(OTT!$BA$5:$BG$5,BX$177,OTT!$BA8:$BG8)</f>
        <v>0</v>
      </c>
      <c r="BY454" s="997">
        <f>SUMIF(OTT!$BA$5:$BG$5,BY$177,OTT!$BA8:$BG8)</f>
        <v>0</v>
      </c>
      <c r="CB454" s="252"/>
      <c r="CC454" s="61" t="e">
        <f t="shared" si="106"/>
        <v>#N/A</v>
      </c>
      <c r="CD454" s="61">
        <f t="shared" si="107"/>
        <v>0</v>
      </c>
      <c r="CE454" s="105" t="str">
        <f t="shared" si="100"/>
        <v/>
      </c>
      <c r="CF454" s="61" t="e">
        <f t="shared" si="108"/>
        <v>#N/A</v>
      </c>
      <c r="CG454" s="61" t="e">
        <f t="shared" si="109"/>
        <v>#N/A</v>
      </c>
      <c r="CH454" s="523">
        <f>OTT!AL8-CW454+CR454</f>
        <v>0</v>
      </c>
      <c r="CI454" s="228">
        <f>SUMIF(OTT!$G$121:$M$121,CI$178,OTT!$AM8:$AS8)+SUMIF($CS$178:$CV$178,CI$178,$CS454:$CV454)</f>
        <v>0</v>
      </c>
      <c r="CJ454" s="229">
        <f>SUMIF(OTT!$G$121:$M$121,CJ$178,OTT!$AM8:$AS8)+SUMIF($CS$178:$CV$178,CJ$178,$CS454:$CV454)</f>
        <v>0</v>
      </c>
      <c r="CK454" s="230">
        <f>SUMIF(OTT!$G$121:$M$121,CK$178,OTT!$AM8:$AS8)+SUMIF($CS$178:$CV$178,CK$178,$CS454:$CV454)</f>
        <v>0</v>
      </c>
      <c r="CL454" s="230">
        <f>SUMIF(OTT!$G$121:$M$121,CL$178,OTT!$AM8:$AS8)+SUMIF($CS$178:$CV$178,CL$178,$CS454:$CV454)</f>
        <v>0</v>
      </c>
      <c r="CM454" s="230">
        <f>SUMIF(OTT!$G$121:$M$121,CM$178,OTT!$AM8:$AS8)+SUMIF($CS$178:$CV$178,CM$178,$CS454:$CV454)</f>
        <v>0</v>
      </c>
      <c r="CN454" s="230">
        <f>SUMIF(OTT!$G$121:$M$121,CN$178,OTT!$AM8:$AS8)+SUMIF($CS$178:$CV$178,CN$178,$CS454:$CV454)</f>
        <v>0</v>
      </c>
      <c r="CO454" s="230">
        <f>SUMIF(OTT!$G$121:$M$121,CO$178,OTT!$AM8:$AS8)+SUMIF($CS$178:$CV$178,CO$178,$CS454:$CV454)</f>
        <v>0</v>
      </c>
      <c r="CP454" s="230">
        <f>SUMIF(OTT!$G$121:$M$121,CP$178,OTT!$AM8:$AS8)+SUMIF($CS$178:$CV$178,CP$178,$CS454:$CV454)</f>
        <v>0</v>
      </c>
      <c r="CQ454" s="231">
        <f>SUMIF(OTT!$G$121:$M$121,CQ$178,OTT!$AM8:$AS8)+SUMIF($CS$178:$CV$178,CQ$178,$CS454:$CV454)</f>
        <v>0</v>
      </c>
      <c r="CR454" s="523">
        <f>OTT!AU8</f>
        <v>0</v>
      </c>
      <c r="CS454" s="228">
        <f>OTT!AV8</f>
        <v>0</v>
      </c>
      <c r="CT454" s="229">
        <f>OTT!AW8</f>
        <v>0</v>
      </c>
      <c r="CU454" s="230">
        <f>OTT!AX8</f>
        <v>0</v>
      </c>
      <c r="CV454" s="231">
        <f>OTT!AY8</f>
        <v>0</v>
      </c>
      <c r="CW454" s="523">
        <f>SUM(OTT!AU8:AY8)</f>
        <v>0</v>
      </c>
      <c r="CX454" s="523">
        <f>OTT!AK8</f>
        <v>0</v>
      </c>
      <c r="CY454" s="2"/>
    </row>
    <row r="455" spans="1:103" ht="14.25" hidden="1" customHeight="1" x14ac:dyDescent="0.2">
      <c r="A455" s="2"/>
      <c r="B455" s="105">
        <f t="shared" si="110"/>
        <v>45567</v>
      </c>
      <c r="C455" s="146">
        <f>IF(AND(E455&gt;(N$560-1),E455&lt;(R$560+1)),W$551,IF(ISERROR(HLOOKUP(E455,$N$553:$U$553,1,FALSE)),HLOOKUP(WEEKDAY(E455,2),IMPOSTAZIONI!$C$52:$P$57,6,FALSE),$W$550))</f>
        <v>0</v>
      </c>
      <c r="D455" s="71" t="str">
        <f t="shared" si="111"/>
        <v/>
      </c>
      <c r="E455" s="2258">
        <f t="shared" si="116"/>
        <v>45567</v>
      </c>
      <c r="F455" s="2259"/>
      <c r="G455" s="2228" t="str">
        <f>OTT!E9</f>
        <v xml:space="preserve">disattivato  </v>
      </c>
      <c r="H455" s="2229"/>
      <c r="I455" s="2230"/>
      <c r="J455" s="262" t="str">
        <f t="shared" si="101"/>
        <v/>
      </c>
      <c r="K455" s="263"/>
      <c r="L455" s="2217">
        <f t="shared" si="117"/>
        <v>40</v>
      </c>
      <c r="M455" s="2218"/>
      <c r="N455" s="261"/>
      <c r="O455" s="261"/>
      <c r="P455" s="261"/>
      <c r="Q455" s="2219">
        <f t="shared" si="112"/>
        <v>45567</v>
      </c>
      <c r="R455" s="2219"/>
      <c r="S455" s="261"/>
      <c r="T455" s="1173">
        <f t="shared" si="102"/>
        <v>1</v>
      </c>
      <c r="U455" s="261"/>
      <c r="V455" s="261"/>
      <c r="W455" s="261"/>
      <c r="X455" s="261"/>
      <c r="Y455" s="261"/>
      <c r="Z455" s="261"/>
      <c r="AA455" s="261"/>
      <c r="AB455" s="261"/>
      <c r="AC455" s="261"/>
      <c r="AD455" s="261"/>
      <c r="AE455" s="261"/>
      <c r="AF455" s="261"/>
      <c r="AG455" s="1173">
        <f t="shared" si="113"/>
        <v>0</v>
      </c>
      <c r="AH455" s="61" t="str">
        <f t="shared" si="114"/>
        <v/>
      </c>
      <c r="AI455" s="89" t="e">
        <f t="shared" si="115"/>
        <v>#N/A</v>
      </c>
      <c r="AJ455" s="2"/>
      <c r="AK455" s="61">
        <f>IF(G455=G$547,0,IF(OR(G455&lt;&gt;0,CH455&lt;&gt;0,C455="L"),COUNTIF(AK$180:AK454,"&gt;0")+1,0))</f>
        <v>0</v>
      </c>
      <c r="AL455" s="61" t="str">
        <f t="shared" si="103"/>
        <v/>
      </c>
      <c r="AM455" s="61" t="e">
        <f t="shared" si="104"/>
        <v>#N/A</v>
      </c>
      <c r="AN455" s="89" t="e">
        <f t="shared" si="105"/>
        <v>#N/A</v>
      </c>
      <c r="AO455" s="230">
        <f>SUM(OTT!X9:AD9)-BD455+AY455</f>
        <v>0</v>
      </c>
      <c r="AP455" s="228">
        <f>SUMIF(OTT!$G$121:$M$121,AP$178,OTT!$P9:$V9)+SUMIF($AZ$178:$BC$178,AP$178,$AZ455:$BC455)</f>
        <v>0</v>
      </c>
      <c r="AQ455" s="229">
        <f>SUMIF(OTT!$G$121:$M$121,AQ$178,OTT!$P9:$V9)+SUMIF($AZ$178:$BC$178,AQ$178,$AZ455:$BC455)</f>
        <v>0</v>
      </c>
      <c r="AR455" s="230">
        <f>SUMIF(OTT!$G$121:$M$121,AR$178,OTT!$P9:$V9)+SUMIF($AZ$178:$BC$178,AR$178,$AZ455:$BC455)</f>
        <v>0</v>
      </c>
      <c r="AS455" s="230">
        <f>SUMIF(OTT!$G$121:$M$121,AS$178,OTT!$P9:$V9)+SUMIF($AZ$178:$BC$178,AS$178,$AZ455:$BC455)</f>
        <v>0</v>
      </c>
      <c r="AT455" s="230">
        <f>SUMIF(OTT!$G$121:$M$121,AT$178,OTT!$P9:$V9)+SUMIF($AZ$178:$BC$178,AT$178,$AZ455:$BC455)</f>
        <v>0</v>
      </c>
      <c r="AU455" s="230">
        <f>SUMIF(OTT!$G$121:$M$121,AU$178,OTT!$P9:$V9)+SUMIF($AZ$178:$BC$178,AU$178,$AZ455:$BC455)</f>
        <v>0</v>
      </c>
      <c r="AV455" s="230">
        <f>SUMIF(OTT!$G$121:$M$121,AV$178,OTT!$P9:$V9)+SUMIF($AZ$178:$BC$178,AV$178,$AZ455:$BC455)</f>
        <v>0</v>
      </c>
      <c r="AW455" s="230">
        <f>SUMIF(OTT!$G$121:$M$121,AW$178,OTT!$P9:$V9)+SUMIF($AZ$178:$BC$178,AW$178,$AZ455:$BC455)</f>
        <v>0</v>
      </c>
      <c r="AX455" s="231">
        <f>SUMIF(OTT!$G$121:$M$121,AX$178,OTT!$P9:$V9)+SUMIF($AZ$178:$BC$178,AX$178,$AZ455:$BC455)</f>
        <v>0</v>
      </c>
      <c r="AY455" s="232">
        <f>OTT!AF9</f>
        <v>0</v>
      </c>
      <c r="AZ455" s="228">
        <f>OTT!AG9</f>
        <v>0</v>
      </c>
      <c r="BA455" s="229">
        <f>OTT!AH9</f>
        <v>0</v>
      </c>
      <c r="BB455" s="230">
        <f>OTT!AI9</f>
        <v>0</v>
      </c>
      <c r="BC455" s="231">
        <f>OTT!AJ9</f>
        <v>0</v>
      </c>
      <c r="BD455" s="228">
        <f>SUMIF(OTT!$G$120:$M$120,"&gt;0",OTT!$X9:$AD9)</f>
        <v>0</v>
      </c>
      <c r="BE455" s="696"/>
      <c r="BF455" s="228">
        <f>SUMIF(OTT!$BA$6:$BG$6,BF$177,OTT!$BA9:$BG9)</f>
        <v>0</v>
      </c>
      <c r="BG455" s="229">
        <f>SUMIF(OTT!$BA$6:$BG$6,BG$177,OTT!$BA9:$BG9)</f>
        <v>0</v>
      </c>
      <c r="BH455" s="229">
        <f>SUMIF(OTT!$BA$6:$BG$6,BH$177,OTT!$BA9:$BG9)</f>
        <v>0</v>
      </c>
      <c r="BI455" s="229">
        <f>SUMIF(OTT!$BA$6:$BG$6,BI$177,OTT!$BA9:$BG9)</f>
        <v>0</v>
      </c>
      <c r="BJ455" s="229">
        <f>SUMIF(OTT!$BA$6:$BG$6,BJ$177,OTT!$BA9:$BG9)</f>
        <v>0</v>
      </c>
      <c r="BK455" s="229">
        <f>SUMIF(OTT!$BA$6:$BG$6,BK$177,OTT!$BA9:$BG9)</f>
        <v>0</v>
      </c>
      <c r="BL455" s="229">
        <f>SUMIF(OTT!$BA$6:$BG$6,BL$177,OTT!$BA9:$BG9)</f>
        <v>0</v>
      </c>
      <c r="BM455" s="229">
        <f>SUMIF(OTT!$BA$6:$BG$6,BM$177,OTT!$BA9:$BG9)</f>
        <v>0</v>
      </c>
      <c r="BN455" s="229">
        <f>SUMIF(OTT!$BA$6:$BG$6,BN$177,OTT!$BA9:$BG9)</f>
        <v>0</v>
      </c>
      <c r="BO455" s="231">
        <f>SUMIF(OTT!$BA$6:$BG$6,BO$177,OTT!$BA9:$BG9)</f>
        <v>0</v>
      </c>
      <c r="BP455" s="231">
        <f>SUMIF(OTT!$BA$6:$BG$6,BP$177,OTT!$BA9:$BG9)</f>
        <v>0</v>
      </c>
      <c r="BQ455" s="252"/>
      <c r="BR455" s="228">
        <f>SUMIF(OTT!$BA$5:$BG$5,BR$177,OTT!$BA9:$BG9)</f>
        <v>0</v>
      </c>
      <c r="BS455" s="229">
        <f>SUMIF(OTT!$BA$5:$BG$5,BS$177,OTT!$BA9:$BG9)</f>
        <v>0</v>
      </c>
      <c r="BT455" s="229">
        <f>SUMIF(OTT!$BA$5:$BG$5,BT$177,OTT!$BA9:$BG9)</f>
        <v>0</v>
      </c>
      <c r="BU455" s="229">
        <f>SUMIF(OTT!$BA$5:$BG$5,BU$177,OTT!$BA9:$BG9)</f>
        <v>0</v>
      </c>
      <c r="BV455" s="229">
        <f>SUMIF(OTT!$BA$5:$BG$5,BV$177,OTT!$BA9:$BG9)</f>
        <v>0</v>
      </c>
      <c r="BW455" s="229">
        <f>SUMIF(OTT!$BA$5:$BG$5,BW$177,OTT!$BA9:$BG9)</f>
        <v>0</v>
      </c>
      <c r="BX455" s="230">
        <f>SUMIF(OTT!$BA$5:$BG$5,BX$177,OTT!$BA9:$BG9)</f>
        <v>0</v>
      </c>
      <c r="BY455" s="998">
        <f>SUMIF(OTT!$BA$5:$BG$5,BY$177,OTT!$BA9:$BG9)</f>
        <v>0</v>
      </c>
      <c r="CB455" s="252"/>
      <c r="CC455" s="61" t="e">
        <f t="shared" si="106"/>
        <v>#N/A</v>
      </c>
      <c r="CD455" s="61">
        <f t="shared" si="107"/>
        <v>0</v>
      </c>
      <c r="CE455" s="105" t="str">
        <f t="shared" si="100"/>
        <v/>
      </c>
      <c r="CF455" s="61" t="e">
        <f t="shared" si="108"/>
        <v>#N/A</v>
      </c>
      <c r="CG455" s="61" t="e">
        <f t="shared" si="109"/>
        <v>#N/A</v>
      </c>
      <c r="CH455" s="521">
        <f>OTT!AL9-CW455+CR455</f>
        <v>0</v>
      </c>
      <c r="CI455" s="228">
        <f>SUMIF(OTT!$G$121:$M$121,CI$178,OTT!$AM9:$AS9)+SUMIF($CS$178:$CV$178,CI$178,$CS455:$CV455)</f>
        <v>0</v>
      </c>
      <c r="CJ455" s="229">
        <f>SUMIF(OTT!$G$121:$M$121,CJ$178,OTT!$AM9:$AS9)+SUMIF($CS$178:$CV$178,CJ$178,$CS455:$CV455)</f>
        <v>0</v>
      </c>
      <c r="CK455" s="230">
        <f>SUMIF(OTT!$G$121:$M$121,CK$178,OTT!$AM9:$AS9)+SUMIF($CS$178:$CV$178,CK$178,$CS455:$CV455)</f>
        <v>0</v>
      </c>
      <c r="CL455" s="230">
        <f>SUMIF(OTT!$G$121:$M$121,CL$178,OTT!$AM9:$AS9)+SUMIF($CS$178:$CV$178,CL$178,$CS455:$CV455)</f>
        <v>0</v>
      </c>
      <c r="CM455" s="230">
        <f>SUMIF(OTT!$G$121:$M$121,CM$178,OTT!$AM9:$AS9)+SUMIF($CS$178:$CV$178,CM$178,$CS455:$CV455)</f>
        <v>0</v>
      </c>
      <c r="CN455" s="230">
        <f>SUMIF(OTT!$G$121:$M$121,CN$178,OTT!$AM9:$AS9)+SUMIF($CS$178:$CV$178,CN$178,$CS455:$CV455)</f>
        <v>0</v>
      </c>
      <c r="CO455" s="230">
        <f>SUMIF(OTT!$G$121:$M$121,CO$178,OTT!$AM9:$AS9)+SUMIF($CS$178:$CV$178,CO$178,$CS455:$CV455)</f>
        <v>0</v>
      </c>
      <c r="CP455" s="230">
        <f>SUMIF(OTT!$G$121:$M$121,CP$178,OTT!$AM9:$AS9)+SUMIF($CS$178:$CV$178,CP$178,$CS455:$CV455)</f>
        <v>0</v>
      </c>
      <c r="CQ455" s="231">
        <f>SUMIF(OTT!$G$121:$M$121,CQ$178,OTT!$AM9:$AS9)+SUMIF($CS$178:$CV$178,CQ$178,$CS455:$CV455)</f>
        <v>0</v>
      </c>
      <c r="CR455" s="521">
        <f>OTT!AU9</f>
        <v>0</v>
      </c>
      <c r="CS455" s="228">
        <f>OTT!AV9</f>
        <v>0</v>
      </c>
      <c r="CT455" s="229">
        <f>OTT!AW9</f>
        <v>0</v>
      </c>
      <c r="CU455" s="230">
        <f>OTT!AX9</f>
        <v>0</v>
      </c>
      <c r="CV455" s="231">
        <f>OTT!AY9</f>
        <v>0</v>
      </c>
      <c r="CW455" s="521">
        <f>SUM(OTT!AU9:AY9)</f>
        <v>0</v>
      </c>
      <c r="CX455" s="521">
        <f>OTT!AK9</f>
        <v>0</v>
      </c>
      <c r="CY455" s="2"/>
    </row>
    <row r="456" spans="1:103" ht="14.25" hidden="1" customHeight="1" x14ac:dyDescent="0.2">
      <c r="A456" s="2"/>
      <c r="B456" s="105">
        <f t="shared" si="110"/>
        <v>45568</v>
      </c>
      <c r="C456" s="146">
        <f>IF(AND(E456&gt;(N$560-1),E456&lt;(R$560+1)),W$551,IF(ISERROR(HLOOKUP(E456,$N$553:$U$553,1,FALSE)),HLOOKUP(WEEKDAY(E456,2),IMPOSTAZIONI!$C$52:$P$57,6,FALSE),$W$550))</f>
        <v>0</v>
      </c>
      <c r="D456" s="71" t="str">
        <f t="shared" si="111"/>
        <v/>
      </c>
      <c r="E456" s="2258">
        <f t="shared" si="116"/>
        <v>45568</v>
      </c>
      <c r="F456" s="2259"/>
      <c r="G456" s="2228" t="str">
        <f>OTT!E10</f>
        <v xml:space="preserve">disattivato  </v>
      </c>
      <c r="H456" s="2229"/>
      <c r="I456" s="2230"/>
      <c r="J456" s="262" t="str">
        <f t="shared" si="101"/>
        <v/>
      </c>
      <c r="K456" s="263"/>
      <c r="L456" s="2217">
        <f t="shared" si="117"/>
        <v>40</v>
      </c>
      <c r="M456" s="2218"/>
      <c r="N456" s="261"/>
      <c r="O456" s="261"/>
      <c r="P456" s="261"/>
      <c r="Q456" s="2219">
        <f t="shared" si="112"/>
        <v>45568</v>
      </c>
      <c r="R456" s="2219"/>
      <c r="S456" s="261"/>
      <c r="T456" s="1173">
        <f t="shared" si="102"/>
        <v>1</v>
      </c>
      <c r="U456" s="261"/>
      <c r="V456" s="261"/>
      <c r="W456" s="261"/>
      <c r="X456" s="261"/>
      <c r="Y456" s="261"/>
      <c r="Z456" s="261"/>
      <c r="AA456" s="261"/>
      <c r="AB456" s="261"/>
      <c r="AC456" s="261"/>
      <c r="AD456" s="261"/>
      <c r="AE456" s="261"/>
      <c r="AF456" s="261"/>
      <c r="AG456" s="1173">
        <f t="shared" si="113"/>
        <v>0</v>
      </c>
      <c r="AH456" s="61" t="str">
        <f t="shared" si="114"/>
        <v/>
      </c>
      <c r="AI456" s="89" t="e">
        <f t="shared" si="115"/>
        <v>#N/A</v>
      </c>
      <c r="AJ456" s="2"/>
      <c r="AK456" s="61">
        <f>IF(G456=G$547,0,IF(OR(G456&lt;&gt;0,CH456&lt;&gt;0,C456="L"),COUNTIF(AK$180:AK455,"&gt;0")+1,0))</f>
        <v>0</v>
      </c>
      <c r="AL456" s="61" t="str">
        <f t="shared" si="103"/>
        <v/>
      </c>
      <c r="AM456" s="61" t="e">
        <f t="shared" si="104"/>
        <v>#N/A</v>
      </c>
      <c r="AN456" s="89" t="e">
        <f t="shared" si="105"/>
        <v>#N/A</v>
      </c>
      <c r="AO456" s="230">
        <f>SUM(OTT!X10:AD10)-BD456+AY456</f>
        <v>0</v>
      </c>
      <c r="AP456" s="228">
        <f>SUMIF(OTT!$G$121:$M$121,AP$178,OTT!$P10:$V10)+SUMIF($AZ$178:$BC$178,AP$178,$AZ456:$BC456)</f>
        <v>0</v>
      </c>
      <c r="AQ456" s="229">
        <f>SUMIF(OTT!$G$121:$M$121,AQ$178,OTT!$P10:$V10)+SUMIF($AZ$178:$BC$178,AQ$178,$AZ456:$BC456)</f>
        <v>0</v>
      </c>
      <c r="AR456" s="230">
        <f>SUMIF(OTT!$G$121:$M$121,AR$178,OTT!$P10:$V10)+SUMIF($AZ$178:$BC$178,AR$178,$AZ456:$BC456)</f>
        <v>0</v>
      </c>
      <c r="AS456" s="230">
        <f>SUMIF(OTT!$G$121:$M$121,AS$178,OTT!$P10:$V10)+SUMIF($AZ$178:$BC$178,AS$178,$AZ456:$BC456)</f>
        <v>0</v>
      </c>
      <c r="AT456" s="230">
        <f>SUMIF(OTT!$G$121:$M$121,AT$178,OTT!$P10:$V10)+SUMIF($AZ$178:$BC$178,AT$178,$AZ456:$BC456)</f>
        <v>0</v>
      </c>
      <c r="AU456" s="230">
        <f>SUMIF(OTT!$G$121:$M$121,AU$178,OTT!$P10:$V10)+SUMIF($AZ$178:$BC$178,AU$178,$AZ456:$BC456)</f>
        <v>0</v>
      </c>
      <c r="AV456" s="230">
        <f>SUMIF(OTT!$G$121:$M$121,AV$178,OTT!$P10:$V10)+SUMIF($AZ$178:$BC$178,AV$178,$AZ456:$BC456)</f>
        <v>0</v>
      </c>
      <c r="AW456" s="230">
        <f>SUMIF(OTT!$G$121:$M$121,AW$178,OTT!$P10:$V10)+SUMIF($AZ$178:$BC$178,AW$178,$AZ456:$BC456)</f>
        <v>0</v>
      </c>
      <c r="AX456" s="231">
        <f>SUMIF(OTT!$G$121:$M$121,AX$178,OTT!$P10:$V10)+SUMIF($AZ$178:$BC$178,AX$178,$AZ456:$BC456)</f>
        <v>0</v>
      </c>
      <c r="AY456" s="232">
        <f>OTT!AF10</f>
        <v>0</v>
      </c>
      <c r="AZ456" s="228">
        <f>OTT!AG10</f>
        <v>0</v>
      </c>
      <c r="BA456" s="229">
        <f>OTT!AH10</f>
        <v>0</v>
      </c>
      <c r="BB456" s="230">
        <f>OTT!AI10</f>
        <v>0</v>
      </c>
      <c r="BC456" s="231">
        <f>OTT!AJ10</f>
        <v>0</v>
      </c>
      <c r="BD456" s="228">
        <f>SUMIF(OTT!$G$120:$M$120,"&gt;0",OTT!$X10:$AD10)</f>
        <v>0</v>
      </c>
      <c r="BE456" s="696"/>
      <c r="BF456" s="228">
        <f>SUMIF(OTT!$BA$6:$BG$6,BF$177,OTT!$BA10:$BG10)</f>
        <v>0</v>
      </c>
      <c r="BG456" s="229">
        <f>SUMIF(OTT!$BA$6:$BG$6,BG$177,OTT!$BA10:$BG10)</f>
        <v>0</v>
      </c>
      <c r="BH456" s="229">
        <f>SUMIF(OTT!$BA$6:$BG$6,BH$177,OTT!$BA10:$BG10)</f>
        <v>0</v>
      </c>
      <c r="BI456" s="229">
        <f>SUMIF(OTT!$BA$6:$BG$6,BI$177,OTT!$BA10:$BG10)</f>
        <v>0</v>
      </c>
      <c r="BJ456" s="229">
        <f>SUMIF(OTT!$BA$6:$BG$6,BJ$177,OTT!$BA10:$BG10)</f>
        <v>0</v>
      </c>
      <c r="BK456" s="229">
        <f>SUMIF(OTT!$BA$6:$BG$6,BK$177,OTT!$BA10:$BG10)</f>
        <v>0</v>
      </c>
      <c r="BL456" s="229">
        <f>SUMIF(OTT!$BA$6:$BG$6,BL$177,OTT!$BA10:$BG10)</f>
        <v>0</v>
      </c>
      <c r="BM456" s="229">
        <f>SUMIF(OTT!$BA$6:$BG$6,BM$177,OTT!$BA10:$BG10)</f>
        <v>0</v>
      </c>
      <c r="BN456" s="229">
        <f>SUMIF(OTT!$BA$6:$BG$6,BN$177,OTT!$BA10:$BG10)</f>
        <v>0</v>
      </c>
      <c r="BO456" s="231">
        <f>SUMIF(OTT!$BA$6:$BG$6,BO$177,OTT!$BA10:$BG10)</f>
        <v>0</v>
      </c>
      <c r="BP456" s="231">
        <f>SUMIF(OTT!$BA$6:$BG$6,BP$177,OTT!$BA10:$BG10)</f>
        <v>0</v>
      </c>
      <c r="BQ456" s="252"/>
      <c r="BR456" s="228">
        <f>SUMIF(OTT!$BA$5:$BG$5,BR$177,OTT!$BA10:$BG10)</f>
        <v>0</v>
      </c>
      <c r="BS456" s="229">
        <f>SUMIF(OTT!$BA$5:$BG$5,BS$177,OTT!$BA10:$BG10)</f>
        <v>0</v>
      </c>
      <c r="BT456" s="229">
        <f>SUMIF(OTT!$BA$5:$BG$5,BT$177,OTT!$BA10:$BG10)</f>
        <v>0</v>
      </c>
      <c r="BU456" s="229">
        <f>SUMIF(OTT!$BA$5:$BG$5,BU$177,OTT!$BA10:$BG10)</f>
        <v>0</v>
      </c>
      <c r="BV456" s="229">
        <f>SUMIF(OTT!$BA$5:$BG$5,BV$177,OTT!$BA10:$BG10)</f>
        <v>0</v>
      </c>
      <c r="BW456" s="229">
        <f>SUMIF(OTT!$BA$5:$BG$5,BW$177,OTT!$BA10:$BG10)</f>
        <v>0</v>
      </c>
      <c r="BX456" s="230">
        <f>SUMIF(OTT!$BA$5:$BG$5,BX$177,OTT!$BA10:$BG10)</f>
        <v>0</v>
      </c>
      <c r="BY456" s="998">
        <f>SUMIF(OTT!$BA$5:$BG$5,BY$177,OTT!$BA10:$BG10)</f>
        <v>0</v>
      </c>
      <c r="CB456" s="252"/>
      <c r="CC456" s="61" t="e">
        <f t="shared" si="106"/>
        <v>#N/A</v>
      </c>
      <c r="CD456" s="61">
        <f t="shared" si="107"/>
        <v>0</v>
      </c>
      <c r="CE456" s="105" t="str">
        <f t="shared" si="100"/>
        <v/>
      </c>
      <c r="CF456" s="61" t="e">
        <f t="shared" si="108"/>
        <v>#N/A</v>
      </c>
      <c r="CG456" s="61" t="e">
        <f t="shared" si="109"/>
        <v>#N/A</v>
      </c>
      <c r="CH456" s="521">
        <f>OTT!AL10-CW456+CR456</f>
        <v>0</v>
      </c>
      <c r="CI456" s="228">
        <f>SUMIF(OTT!$G$121:$M$121,CI$178,OTT!$AM10:$AS10)+SUMIF($CS$178:$CV$178,CI$178,$CS456:$CV456)</f>
        <v>0</v>
      </c>
      <c r="CJ456" s="229">
        <f>SUMIF(OTT!$G$121:$M$121,CJ$178,OTT!$AM10:$AS10)+SUMIF($CS$178:$CV$178,CJ$178,$CS456:$CV456)</f>
        <v>0</v>
      </c>
      <c r="CK456" s="230">
        <f>SUMIF(OTT!$G$121:$M$121,CK$178,OTT!$AM10:$AS10)+SUMIF($CS$178:$CV$178,CK$178,$CS456:$CV456)</f>
        <v>0</v>
      </c>
      <c r="CL456" s="230">
        <f>SUMIF(OTT!$G$121:$M$121,CL$178,OTT!$AM10:$AS10)+SUMIF($CS$178:$CV$178,CL$178,$CS456:$CV456)</f>
        <v>0</v>
      </c>
      <c r="CM456" s="230">
        <f>SUMIF(OTT!$G$121:$M$121,CM$178,OTT!$AM10:$AS10)+SUMIF($CS$178:$CV$178,CM$178,$CS456:$CV456)</f>
        <v>0</v>
      </c>
      <c r="CN456" s="230">
        <f>SUMIF(OTT!$G$121:$M$121,CN$178,OTT!$AM10:$AS10)+SUMIF($CS$178:$CV$178,CN$178,$CS456:$CV456)</f>
        <v>0</v>
      </c>
      <c r="CO456" s="230">
        <f>SUMIF(OTT!$G$121:$M$121,CO$178,OTT!$AM10:$AS10)+SUMIF($CS$178:$CV$178,CO$178,$CS456:$CV456)</f>
        <v>0</v>
      </c>
      <c r="CP456" s="230">
        <f>SUMIF(OTT!$G$121:$M$121,CP$178,OTT!$AM10:$AS10)+SUMIF($CS$178:$CV$178,CP$178,$CS456:$CV456)</f>
        <v>0</v>
      </c>
      <c r="CQ456" s="231">
        <f>SUMIF(OTT!$G$121:$M$121,CQ$178,OTT!$AM10:$AS10)+SUMIF($CS$178:$CV$178,CQ$178,$CS456:$CV456)</f>
        <v>0</v>
      </c>
      <c r="CR456" s="521">
        <f>OTT!AU10</f>
        <v>0</v>
      </c>
      <c r="CS456" s="228">
        <f>OTT!AV10</f>
        <v>0</v>
      </c>
      <c r="CT456" s="229">
        <f>OTT!AW10</f>
        <v>0</v>
      </c>
      <c r="CU456" s="230">
        <f>OTT!AX10</f>
        <v>0</v>
      </c>
      <c r="CV456" s="231">
        <f>OTT!AY10</f>
        <v>0</v>
      </c>
      <c r="CW456" s="521">
        <f>SUM(OTT!AU10:AY10)</f>
        <v>0</v>
      </c>
      <c r="CX456" s="521">
        <f>OTT!AK10</f>
        <v>0</v>
      </c>
      <c r="CY456" s="2"/>
    </row>
    <row r="457" spans="1:103" ht="14.25" hidden="1" customHeight="1" x14ac:dyDescent="0.2">
      <c r="A457" s="2"/>
      <c r="B457" s="105">
        <f t="shared" si="110"/>
        <v>45569</v>
      </c>
      <c r="C457" s="146">
        <f>IF(AND(E457&gt;(N$560-1),E457&lt;(R$560+1)),W$551,IF(ISERROR(HLOOKUP(E457,$N$553:$U$553,1,FALSE)),HLOOKUP(WEEKDAY(E457,2),IMPOSTAZIONI!$C$52:$P$57,6,FALSE),$W$550))</f>
        <v>0</v>
      </c>
      <c r="D457" s="71" t="str">
        <f t="shared" si="111"/>
        <v/>
      </c>
      <c r="E457" s="2258">
        <f t="shared" si="116"/>
        <v>45569</v>
      </c>
      <c r="F457" s="2259"/>
      <c r="G457" s="2228" t="str">
        <f>OTT!E11</f>
        <v xml:space="preserve">disattivato  </v>
      </c>
      <c r="H457" s="2229"/>
      <c r="I457" s="2230"/>
      <c r="J457" s="262" t="str">
        <f t="shared" si="101"/>
        <v/>
      </c>
      <c r="K457" s="263"/>
      <c r="L457" s="2217">
        <f t="shared" si="117"/>
        <v>40</v>
      </c>
      <c r="M457" s="2218"/>
      <c r="N457" s="261"/>
      <c r="O457" s="261"/>
      <c r="P457" s="261"/>
      <c r="Q457" s="2219">
        <f t="shared" si="112"/>
        <v>45569</v>
      </c>
      <c r="R457" s="2219"/>
      <c r="S457" s="261"/>
      <c r="T457" s="1173">
        <f t="shared" si="102"/>
        <v>1</v>
      </c>
      <c r="U457" s="261"/>
      <c r="V457" s="261"/>
      <c r="W457" s="261"/>
      <c r="X457" s="261"/>
      <c r="Y457" s="261"/>
      <c r="Z457" s="261"/>
      <c r="AA457" s="261"/>
      <c r="AB457" s="261"/>
      <c r="AC457" s="261"/>
      <c r="AD457" s="261"/>
      <c r="AE457" s="261"/>
      <c r="AF457" s="261"/>
      <c r="AG457" s="1173">
        <f t="shared" si="113"/>
        <v>0</v>
      </c>
      <c r="AH457" s="61" t="str">
        <f t="shared" si="114"/>
        <v/>
      </c>
      <c r="AI457" s="89" t="e">
        <f t="shared" si="115"/>
        <v>#N/A</v>
      </c>
      <c r="AJ457" s="2"/>
      <c r="AK457" s="61">
        <f>IF(G457=G$547,0,IF(OR(G457&lt;&gt;0,CH457&lt;&gt;0,C457="L"),COUNTIF(AK$180:AK456,"&gt;0")+1,0))</f>
        <v>0</v>
      </c>
      <c r="AL457" s="61" t="str">
        <f t="shared" si="103"/>
        <v/>
      </c>
      <c r="AM457" s="61" t="e">
        <f t="shared" si="104"/>
        <v>#N/A</v>
      </c>
      <c r="AN457" s="89" t="e">
        <f t="shared" si="105"/>
        <v>#N/A</v>
      </c>
      <c r="AO457" s="230">
        <f>SUM(OTT!X11:AD11)-BD457+AY457</f>
        <v>0</v>
      </c>
      <c r="AP457" s="228">
        <f>SUMIF(OTT!$G$121:$M$121,AP$178,OTT!$P11:$V11)+SUMIF($AZ$178:$BC$178,AP$178,$AZ457:$BC457)</f>
        <v>0</v>
      </c>
      <c r="AQ457" s="229">
        <f>SUMIF(OTT!$G$121:$M$121,AQ$178,OTT!$P11:$V11)+SUMIF($AZ$178:$BC$178,AQ$178,$AZ457:$BC457)</f>
        <v>0</v>
      </c>
      <c r="AR457" s="230">
        <f>SUMIF(OTT!$G$121:$M$121,AR$178,OTT!$P11:$V11)+SUMIF($AZ$178:$BC$178,AR$178,$AZ457:$BC457)</f>
        <v>0</v>
      </c>
      <c r="AS457" s="230">
        <f>SUMIF(OTT!$G$121:$M$121,AS$178,OTT!$P11:$V11)+SUMIF($AZ$178:$BC$178,AS$178,$AZ457:$BC457)</f>
        <v>0</v>
      </c>
      <c r="AT457" s="230">
        <f>SUMIF(OTT!$G$121:$M$121,AT$178,OTT!$P11:$V11)+SUMIF($AZ$178:$BC$178,AT$178,$AZ457:$BC457)</f>
        <v>0</v>
      </c>
      <c r="AU457" s="230">
        <f>SUMIF(OTT!$G$121:$M$121,AU$178,OTT!$P11:$V11)+SUMIF($AZ$178:$BC$178,AU$178,$AZ457:$BC457)</f>
        <v>0</v>
      </c>
      <c r="AV457" s="230">
        <f>SUMIF(OTT!$G$121:$M$121,AV$178,OTT!$P11:$V11)+SUMIF($AZ$178:$BC$178,AV$178,$AZ457:$BC457)</f>
        <v>0</v>
      </c>
      <c r="AW457" s="230">
        <f>SUMIF(OTT!$G$121:$M$121,AW$178,OTT!$P11:$V11)+SUMIF($AZ$178:$BC$178,AW$178,$AZ457:$BC457)</f>
        <v>0</v>
      </c>
      <c r="AX457" s="231">
        <f>SUMIF(OTT!$G$121:$M$121,AX$178,OTT!$P11:$V11)+SUMIF($AZ$178:$BC$178,AX$178,$AZ457:$BC457)</f>
        <v>0</v>
      </c>
      <c r="AY457" s="232">
        <f>OTT!AF11</f>
        <v>0</v>
      </c>
      <c r="AZ457" s="228">
        <f>OTT!AG11</f>
        <v>0</v>
      </c>
      <c r="BA457" s="229">
        <f>OTT!AH11</f>
        <v>0</v>
      </c>
      <c r="BB457" s="230">
        <f>OTT!AI11</f>
        <v>0</v>
      </c>
      <c r="BC457" s="231">
        <f>OTT!AJ11</f>
        <v>0</v>
      </c>
      <c r="BD457" s="228">
        <f>SUMIF(OTT!$G$120:$M$120,"&gt;0",OTT!$X11:$AD11)</f>
        <v>0</v>
      </c>
      <c r="BE457" s="696"/>
      <c r="BF457" s="228">
        <f>SUMIF(OTT!$BA$6:$BG$6,BF$177,OTT!$BA11:$BG11)</f>
        <v>0</v>
      </c>
      <c r="BG457" s="229">
        <f>SUMIF(OTT!$BA$6:$BG$6,BG$177,OTT!$BA11:$BG11)</f>
        <v>0</v>
      </c>
      <c r="BH457" s="229">
        <f>SUMIF(OTT!$BA$6:$BG$6,BH$177,OTT!$BA11:$BG11)</f>
        <v>0</v>
      </c>
      <c r="BI457" s="229">
        <f>SUMIF(OTT!$BA$6:$BG$6,BI$177,OTT!$BA11:$BG11)</f>
        <v>0</v>
      </c>
      <c r="BJ457" s="229">
        <f>SUMIF(OTT!$BA$6:$BG$6,BJ$177,OTT!$BA11:$BG11)</f>
        <v>0</v>
      </c>
      <c r="BK457" s="229">
        <f>SUMIF(OTT!$BA$6:$BG$6,BK$177,OTT!$BA11:$BG11)</f>
        <v>0</v>
      </c>
      <c r="BL457" s="229">
        <f>SUMIF(OTT!$BA$6:$BG$6,BL$177,OTT!$BA11:$BG11)</f>
        <v>0</v>
      </c>
      <c r="BM457" s="229">
        <f>SUMIF(OTT!$BA$6:$BG$6,BM$177,OTT!$BA11:$BG11)</f>
        <v>0</v>
      </c>
      <c r="BN457" s="229">
        <f>SUMIF(OTT!$BA$6:$BG$6,BN$177,OTT!$BA11:$BG11)</f>
        <v>0</v>
      </c>
      <c r="BO457" s="231">
        <f>SUMIF(OTT!$BA$6:$BG$6,BO$177,OTT!$BA11:$BG11)</f>
        <v>0</v>
      </c>
      <c r="BP457" s="231">
        <f>SUMIF(OTT!$BA$6:$BG$6,BP$177,OTT!$BA11:$BG11)</f>
        <v>0</v>
      </c>
      <c r="BQ457" s="252"/>
      <c r="BR457" s="228">
        <f>SUMIF(OTT!$BA$5:$BG$5,BR$177,OTT!$BA11:$BG11)</f>
        <v>0</v>
      </c>
      <c r="BS457" s="229">
        <f>SUMIF(OTT!$BA$5:$BG$5,BS$177,OTT!$BA11:$BG11)</f>
        <v>0</v>
      </c>
      <c r="BT457" s="229">
        <f>SUMIF(OTT!$BA$5:$BG$5,BT$177,OTT!$BA11:$BG11)</f>
        <v>0</v>
      </c>
      <c r="BU457" s="229">
        <f>SUMIF(OTT!$BA$5:$BG$5,BU$177,OTT!$BA11:$BG11)</f>
        <v>0</v>
      </c>
      <c r="BV457" s="229">
        <f>SUMIF(OTT!$BA$5:$BG$5,BV$177,OTT!$BA11:$BG11)</f>
        <v>0</v>
      </c>
      <c r="BW457" s="229">
        <f>SUMIF(OTT!$BA$5:$BG$5,BW$177,OTT!$BA11:$BG11)</f>
        <v>0</v>
      </c>
      <c r="BX457" s="230">
        <f>SUMIF(OTT!$BA$5:$BG$5,BX$177,OTT!$BA11:$BG11)</f>
        <v>0</v>
      </c>
      <c r="BY457" s="998">
        <f>SUMIF(OTT!$BA$5:$BG$5,BY$177,OTT!$BA11:$BG11)</f>
        <v>0</v>
      </c>
      <c r="CB457" s="252"/>
      <c r="CC457" s="61" t="e">
        <f t="shared" si="106"/>
        <v>#N/A</v>
      </c>
      <c r="CD457" s="61">
        <f t="shared" si="107"/>
        <v>0</v>
      </c>
      <c r="CE457" s="105" t="str">
        <f t="shared" si="100"/>
        <v/>
      </c>
      <c r="CF457" s="61" t="e">
        <f t="shared" si="108"/>
        <v>#N/A</v>
      </c>
      <c r="CG457" s="61" t="e">
        <f t="shared" si="109"/>
        <v>#N/A</v>
      </c>
      <c r="CH457" s="521">
        <f>OTT!AL11-CW457+CR457</f>
        <v>0</v>
      </c>
      <c r="CI457" s="228">
        <f>SUMIF(OTT!$G$121:$M$121,CI$178,OTT!$AM11:$AS11)+SUMIF($CS$178:$CV$178,CI$178,$CS457:$CV457)</f>
        <v>0</v>
      </c>
      <c r="CJ457" s="229">
        <f>SUMIF(OTT!$G$121:$M$121,CJ$178,OTT!$AM11:$AS11)+SUMIF($CS$178:$CV$178,CJ$178,$CS457:$CV457)</f>
        <v>0</v>
      </c>
      <c r="CK457" s="230">
        <f>SUMIF(OTT!$G$121:$M$121,CK$178,OTT!$AM11:$AS11)+SUMIF($CS$178:$CV$178,CK$178,$CS457:$CV457)</f>
        <v>0</v>
      </c>
      <c r="CL457" s="230">
        <f>SUMIF(OTT!$G$121:$M$121,CL$178,OTT!$AM11:$AS11)+SUMIF($CS$178:$CV$178,CL$178,$CS457:$CV457)</f>
        <v>0</v>
      </c>
      <c r="CM457" s="230">
        <f>SUMIF(OTT!$G$121:$M$121,CM$178,OTT!$AM11:$AS11)+SUMIF($CS$178:$CV$178,CM$178,$CS457:$CV457)</f>
        <v>0</v>
      </c>
      <c r="CN457" s="230">
        <f>SUMIF(OTT!$G$121:$M$121,CN$178,OTT!$AM11:$AS11)+SUMIF($CS$178:$CV$178,CN$178,$CS457:$CV457)</f>
        <v>0</v>
      </c>
      <c r="CO457" s="230">
        <f>SUMIF(OTT!$G$121:$M$121,CO$178,OTT!$AM11:$AS11)+SUMIF($CS$178:$CV$178,CO$178,$CS457:$CV457)</f>
        <v>0</v>
      </c>
      <c r="CP457" s="230">
        <f>SUMIF(OTT!$G$121:$M$121,CP$178,OTT!$AM11:$AS11)+SUMIF($CS$178:$CV$178,CP$178,$CS457:$CV457)</f>
        <v>0</v>
      </c>
      <c r="CQ457" s="231">
        <f>SUMIF(OTT!$G$121:$M$121,CQ$178,OTT!$AM11:$AS11)+SUMIF($CS$178:$CV$178,CQ$178,$CS457:$CV457)</f>
        <v>0</v>
      </c>
      <c r="CR457" s="521">
        <f>OTT!AU11</f>
        <v>0</v>
      </c>
      <c r="CS457" s="228">
        <f>OTT!AV11</f>
        <v>0</v>
      </c>
      <c r="CT457" s="229">
        <f>OTT!AW11</f>
        <v>0</v>
      </c>
      <c r="CU457" s="230">
        <f>OTT!AX11</f>
        <v>0</v>
      </c>
      <c r="CV457" s="231">
        <f>OTT!AY11</f>
        <v>0</v>
      </c>
      <c r="CW457" s="521">
        <f>SUM(OTT!AU11:AY11)</f>
        <v>0</v>
      </c>
      <c r="CX457" s="521">
        <f>OTT!AK11</f>
        <v>0</v>
      </c>
      <c r="CY457" s="2"/>
    </row>
    <row r="458" spans="1:103" ht="14.25" hidden="1" customHeight="1" x14ac:dyDescent="0.2">
      <c r="A458" s="2"/>
      <c r="B458" s="105">
        <f t="shared" si="110"/>
        <v>45570</v>
      </c>
      <c r="C458" s="146">
        <f>IF(AND(E458&gt;(N$560-1),E458&lt;(R$560+1)),W$551,IF(ISERROR(HLOOKUP(E458,$N$553:$U$553,1,FALSE)),HLOOKUP(WEEKDAY(E458,2),IMPOSTAZIONI!$C$52:$P$57,6,FALSE),$W$550))</f>
        <v>0</v>
      </c>
      <c r="D458" s="71" t="str">
        <f t="shared" si="111"/>
        <v/>
      </c>
      <c r="E458" s="2258">
        <f t="shared" si="116"/>
        <v>45570</v>
      </c>
      <c r="F458" s="2259"/>
      <c r="G458" s="2228" t="str">
        <f>OTT!E12</f>
        <v xml:space="preserve">disattivato  </v>
      </c>
      <c r="H458" s="2229"/>
      <c r="I458" s="2230"/>
      <c r="J458" s="262" t="str">
        <f t="shared" si="101"/>
        <v/>
      </c>
      <c r="K458" s="263"/>
      <c r="L458" s="2217">
        <f t="shared" si="117"/>
        <v>40</v>
      </c>
      <c r="M458" s="2218"/>
      <c r="N458" s="261"/>
      <c r="O458" s="261"/>
      <c r="P458" s="261"/>
      <c r="Q458" s="2219">
        <f t="shared" si="112"/>
        <v>45570</v>
      </c>
      <c r="R458" s="2219"/>
      <c r="S458" s="261"/>
      <c r="T458" s="1173">
        <f t="shared" si="102"/>
        <v>1</v>
      </c>
      <c r="U458" s="261"/>
      <c r="V458" s="261"/>
      <c r="W458" s="261"/>
      <c r="X458" s="261"/>
      <c r="Y458" s="261"/>
      <c r="Z458" s="261"/>
      <c r="AA458" s="261"/>
      <c r="AB458" s="261"/>
      <c r="AC458" s="261"/>
      <c r="AD458" s="261"/>
      <c r="AE458" s="261"/>
      <c r="AF458" s="261"/>
      <c r="AG458" s="1173">
        <f t="shared" si="113"/>
        <v>0</v>
      </c>
      <c r="AH458" s="61" t="str">
        <f t="shared" si="114"/>
        <v/>
      </c>
      <c r="AI458" s="89" t="e">
        <f t="shared" si="115"/>
        <v>#N/A</v>
      </c>
      <c r="AJ458" s="2"/>
      <c r="AK458" s="61">
        <f>IF(G458=G$547,0,IF(OR(G458&lt;&gt;0,CH458&lt;&gt;0,C458="L"),COUNTIF(AK$180:AK457,"&gt;0")+1,0))</f>
        <v>0</v>
      </c>
      <c r="AL458" s="61" t="str">
        <f t="shared" si="103"/>
        <v/>
      </c>
      <c r="AM458" s="61" t="e">
        <f t="shared" si="104"/>
        <v>#N/A</v>
      </c>
      <c r="AN458" s="89" t="e">
        <f t="shared" si="105"/>
        <v>#N/A</v>
      </c>
      <c r="AO458" s="230">
        <f>SUM(OTT!X12:AD12)-BD458+AY458</f>
        <v>0</v>
      </c>
      <c r="AP458" s="228">
        <f>SUMIF(OTT!$G$121:$M$121,AP$178,OTT!$P12:$V12)+SUMIF($AZ$178:$BC$178,AP$178,$AZ458:$BC458)</f>
        <v>0</v>
      </c>
      <c r="AQ458" s="229">
        <f>SUMIF(OTT!$G$121:$M$121,AQ$178,OTT!$P12:$V12)+SUMIF($AZ$178:$BC$178,AQ$178,$AZ458:$BC458)</f>
        <v>0</v>
      </c>
      <c r="AR458" s="230">
        <f>SUMIF(OTT!$G$121:$M$121,AR$178,OTT!$P12:$V12)+SUMIF($AZ$178:$BC$178,AR$178,$AZ458:$BC458)</f>
        <v>0</v>
      </c>
      <c r="AS458" s="230">
        <f>SUMIF(OTT!$G$121:$M$121,AS$178,OTT!$P12:$V12)+SUMIF($AZ$178:$BC$178,AS$178,$AZ458:$BC458)</f>
        <v>0</v>
      </c>
      <c r="AT458" s="230">
        <f>SUMIF(OTT!$G$121:$M$121,AT$178,OTT!$P12:$V12)+SUMIF($AZ$178:$BC$178,AT$178,$AZ458:$BC458)</f>
        <v>0</v>
      </c>
      <c r="AU458" s="230">
        <f>SUMIF(OTT!$G$121:$M$121,AU$178,OTT!$P12:$V12)+SUMIF($AZ$178:$BC$178,AU$178,$AZ458:$BC458)</f>
        <v>0</v>
      </c>
      <c r="AV458" s="230">
        <f>SUMIF(OTT!$G$121:$M$121,AV$178,OTT!$P12:$V12)+SUMIF($AZ$178:$BC$178,AV$178,$AZ458:$BC458)</f>
        <v>0</v>
      </c>
      <c r="AW458" s="230">
        <f>SUMIF(OTT!$G$121:$M$121,AW$178,OTT!$P12:$V12)+SUMIF($AZ$178:$BC$178,AW$178,$AZ458:$BC458)</f>
        <v>0</v>
      </c>
      <c r="AX458" s="231">
        <f>SUMIF(OTT!$G$121:$M$121,AX$178,OTT!$P12:$V12)+SUMIF($AZ$178:$BC$178,AX$178,$AZ458:$BC458)</f>
        <v>0</v>
      </c>
      <c r="AY458" s="232">
        <f>OTT!AF12</f>
        <v>0</v>
      </c>
      <c r="AZ458" s="228">
        <f>OTT!AG12</f>
        <v>0</v>
      </c>
      <c r="BA458" s="229">
        <f>OTT!AH12</f>
        <v>0</v>
      </c>
      <c r="BB458" s="230">
        <f>OTT!AI12</f>
        <v>0</v>
      </c>
      <c r="BC458" s="231">
        <f>OTT!AJ12</f>
        <v>0</v>
      </c>
      <c r="BD458" s="228">
        <f>SUMIF(OTT!$G$120:$M$120,"&gt;0",OTT!$X12:$AD12)</f>
        <v>0</v>
      </c>
      <c r="BE458" s="696"/>
      <c r="BF458" s="228">
        <f>SUMIF(OTT!$BA$6:$BG$6,BF$177,OTT!$BA12:$BG12)</f>
        <v>0</v>
      </c>
      <c r="BG458" s="229">
        <f>SUMIF(OTT!$BA$6:$BG$6,BG$177,OTT!$BA12:$BG12)</f>
        <v>0</v>
      </c>
      <c r="BH458" s="229">
        <f>SUMIF(OTT!$BA$6:$BG$6,BH$177,OTT!$BA12:$BG12)</f>
        <v>0</v>
      </c>
      <c r="BI458" s="229">
        <f>SUMIF(OTT!$BA$6:$BG$6,BI$177,OTT!$BA12:$BG12)</f>
        <v>0</v>
      </c>
      <c r="BJ458" s="229">
        <f>SUMIF(OTT!$BA$6:$BG$6,BJ$177,OTT!$BA12:$BG12)</f>
        <v>0</v>
      </c>
      <c r="BK458" s="229">
        <f>SUMIF(OTT!$BA$6:$BG$6,BK$177,OTT!$BA12:$BG12)</f>
        <v>0</v>
      </c>
      <c r="BL458" s="229">
        <f>SUMIF(OTT!$BA$6:$BG$6,BL$177,OTT!$BA12:$BG12)</f>
        <v>0</v>
      </c>
      <c r="BM458" s="229">
        <f>SUMIF(OTT!$BA$6:$BG$6,BM$177,OTT!$BA12:$BG12)</f>
        <v>0</v>
      </c>
      <c r="BN458" s="229">
        <f>SUMIF(OTT!$BA$6:$BG$6,BN$177,OTT!$BA12:$BG12)</f>
        <v>0</v>
      </c>
      <c r="BO458" s="231">
        <f>SUMIF(OTT!$BA$6:$BG$6,BO$177,OTT!$BA12:$BG12)</f>
        <v>0</v>
      </c>
      <c r="BP458" s="231">
        <f>SUMIF(OTT!$BA$6:$BG$6,BP$177,OTT!$BA12:$BG12)</f>
        <v>0</v>
      </c>
      <c r="BQ458" s="252"/>
      <c r="BR458" s="228">
        <f>SUMIF(OTT!$BA$5:$BG$5,BR$177,OTT!$BA12:$BG12)</f>
        <v>0</v>
      </c>
      <c r="BS458" s="229">
        <f>SUMIF(OTT!$BA$5:$BG$5,BS$177,OTT!$BA12:$BG12)</f>
        <v>0</v>
      </c>
      <c r="BT458" s="229">
        <f>SUMIF(OTT!$BA$5:$BG$5,BT$177,OTT!$BA12:$BG12)</f>
        <v>0</v>
      </c>
      <c r="BU458" s="229">
        <f>SUMIF(OTT!$BA$5:$BG$5,BU$177,OTT!$BA12:$BG12)</f>
        <v>0</v>
      </c>
      <c r="BV458" s="229">
        <f>SUMIF(OTT!$BA$5:$BG$5,BV$177,OTT!$BA12:$BG12)</f>
        <v>0</v>
      </c>
      <c r="BW458" s="229">
        <f>SUMIF(OTT!$BA$5:$BG$5,BW$177,OTT!$BA12:$BG12)</f>
        <v>0</v>
      </c>
      <c r="BX458" s="230">
        <f>SUMIF(OTT!$BA$5:$BG$5,BX$177,OTT!$BA12:$BG12)</f>
        <v>0</v>
      </c>
      <c r="BY458" s="998">
        <f>SUMIF(OTT!$BA$5:$BG$5,BY$177,OTT!$BA12:$BG12)</f>
        <v>0</v>
      </c>
      <c r="CB458" s="252"/>
      <c r="CC458" s="61" t="e">
        <f t="shared" si="106"/>
        <v>#N/A</v>
      </c>
      <c r="CD458" s="61">
        <f t="shared" si="107"/>
        <v>0</v>
      </c>
      <c r="CE458" s="105" t="str">
        <f t="shared" si="100"/>
        <v/>
      </c>
      <c r="CF458" s="61" t="e">
        <f t="shared" si="108"/>
        <v>#N/A</v>
      </c>
      <c r="CG458" s="61" t="e">
        <f t="shared" si="109"/>
        <v>#N/A</v>
      </c>
      <c r="CH458" s="521">
        <f>OTT!AL12-CW458+CR458</f>
        <v>0</v>
      </c>
      <c r="CI458" s="228">
        <f>SUMIF(OTT!$G$121:$M$121,CI$178,OTT!$AM12:$AS12)+SUMIF($CS$178:$CV$178,CI$178,$CS458:$CV458)</f>
        <v>0</v>
      </c>
      <c r="CJ458" s="229">
        <f>SUMIF(OTT!$G$121:$M$121,CJ$178,OTT!$AM12:$AS12)+SUMIF($CS$178:$CV$178,CJ$178,$CS458:$CV458)</f>
        <v>0</v>
      </c>
      <c r="CK458" s="230">
        <f>SUMIF(OTT!$G$121:$M$121,CK$178,OTT!$AM12:$AS12)+SUMIF($CS$178:$CV$178,CK$178,$CS458:$CV458)</f>
        <v>0</v>
      </c>
      <c r="CL458" s="230">
        <f>SUMIF(OTT!$G$121:$M$121,CL$178,OTT!$AM12:$AS12)+SUMIF($CS$178:$CV$178,CL$178,$CS458:$CV458)</f>
        <v>0</v>
      </c>
      <c r="CM458" s="230">
        <f>SUMIF(OTT!$G$121:$M$121,CM$178,OTT!$AM12:$AS12)+SUMIF($CS$178:$CV$178,CM$178,$CS458:$CV458)</f>
        <v>0</v>
      </c>
      <c r="CN458" s="230">
        <f>SUMIF(OTT!$G$121:$M$121,CN$178,OTT!$AM12:$AS12)+SUMIF($CS$178:$CV$178,CN$178,$CS458:$CV458)</f>
        <v>0</v>
      </c>
      <c r="CO458" s="230">
        <f>SUMIF(OTT!$G$121:$M$121,CO$178,OTT!$AM12:$AS12)+SUMIF($CS$178:$CV$178,CO$178,$CS458:$CV458)</f>
        <v>0</v>
      </c>
      <c r="CP458" s="230">
        <f>SUMIF(OTT!$G$121:$M$121,CP$178,OTT!$AM12:$AS12)+SUMIF($CS$178:$CV$178,CP$178,$CS458:$CV458)</f>
        <v>0</v>
      </c>
      <c r="CQ458" s="231">
        <f>SUMIF(OTT!$G$121:$M$121,CQ$178,OTT!$AM12:$AS12)+SUMIF($CS$178:$CV$178,CQ$178,$CS458:$CV458)</f>
        <v>0</v>
      </c>
      <c r="CR458" s="521">
        <f>OTT!AU12</f>
        <v>0</v>
      </c>
      <c r="CS458" s="228">
        <f>OTT!AV12</f>
        <v>0</v>
      </c>
      <c r="CT458" s="229">
        <f>OTT!AW12</f>
        <v>0</v>
      </c>
      <c r="CU458" s="230">
        <f>OTT!AX12</f>
        <v>0</v>
      </c>
      <c r="CV458" s="231">
        <f>OTT!AY12</f>
        <v>0</v>
      </c>
      <c r="CW458" s="521">
        <f>SUM(OTT!AU12:AY12)</f>
        <v>0</v>
      </c>
      <c r="CX458" s="521">
        <f>OTT!AK12</f>
        <v>0</v>
      </c>
      <c r="CY458" s="2"/>
    </row>
    <row r="459" spans="1:103" ht="14.25" hidden="1" customHeight="1" x14ac:dyDescent="0.2">
      <c r="A459" s="2"/>
      <c r="B459" s="105">
        <f t="shared" si="110"/>
        <v>45571</v>
      </c>
      <c r="C459" s="146">
        <f>IF(AND(E459&gt;(N$560-1),E459&lt;(R$560+1)),W$551,IF(ISERROR(HLOOKUP(E459,$N$553:$U$553,1,FALSE)),HLOOKUP(WEEKDAY(E459,2),IMPOSTAZIONI!$C$52:$P$57,6,FALSE),$W$550))</f>
        <v>0</v>
      </c>
      <c r="D459" s="71" t="str">
        <f t="shared" si="111"/>
        <v/>
      </c>
      <c r="E459" s="2258">
        <f t="shared" si="116"/>
        <v>45571</v>
      </c>
      <c r="F459" s="2259"/>
      <c r="G459" s="2228" t="str">
        <f>OTT!E13</f>
        <v xml:space="preserve">disattivato  </v>
      </c>
      <c r="H459" s="2229"/>
      <c r="I459" s="2230"/>
      <c r="J459" s="262" t="str">
        <f t="shared" si="101"/>
        <v/>
      </c>
      <c r="K459" s="263"/>
      <c r="L459" s="2220">
        <f t="shared" si="117"/>
        <v>40</v>
      </c>
      <c r="M459" s="2221"/>
      <c r="N459" s="261"/>
      <c r="O459" s="261"/>
      <c r="P459" s="261"/>
      <c r="Q459" s="2219">
        <f t="shared" si="112"/>
        <v>45571</v>
      </c>
      <c r="R459" s="2219"/>
      <c r="S459" s="261"/>
      <c r="T459" s="1173">
        <f t="shared" si="102"/>
        <v>1</v>
      </c>
      <c r="U459" s="261"/>
      <c r="V459" s="261"/>
      <c r="W459" s="261"/>
      <c r="X459" s="261"/>
      <c r="Y459" s="261"/>
      <c r="Z459" s="261"/>
      <c r="AA459" s="261"/>
      <c r="AB459" s="261"/>
      <c r="AC459" s="261"/>
      <c r="AD459" s="261"/>
      <c r="AE459" s="261"/>
      <c r="AF459" s="261"/>
      <c r="AG459" s="1173">
        <f t="shared" si="113"/>
        <v>0</v>
      </c>
      <c r="AH459" s="61" t="str">
        <f t="shared" si="114"/>
        <v/>
      </c>
      <c r="AI459" s="89" t="e">
        <f t="shared" si="115"/>
        <v>#N/A</v>
      </c>
      <c r="AJ459" s="2"/>
      <c r="AK459" s="61">
        <f>IF(G459=G$547,0,IF(OR(G459&lt;&gt;0,CH459&lt;&gt;0,C459="L"),COUNTIF(AK$180:AK458,"&gt;0")+1,0))</f>
        <v>0</v>
      </c>
      <c r="AL459" s="61" t="str">
        <f t="shared" si="103"/>
        <v/>
      </c>
      <c r="AM459" s="61" t="e">
        <f t="shared" si="104"/>
        <v>#N/A</v>
      </c>
      <c r="AN459" s="89" t="e">
        <f t="shared" si="105"/>
        <v>#N/A</v>
      </c>
      <c r="AO459" s="230">
        <f>SUM(OTT!X13:AD13)-BD459+AY459</f>
        <v>0</v>
      </c>
      <c r="AP459" s="228">
        <f>SUMIF(OTT!$G$121:$M$121,AP$178,OTT!$P13:$V13)+SUMIF($AZ$178:$BC$178,AP$178,$AZ459:$BC459)</f>
        <v>0</v>
      </c>
      <c r="AQ459" s="229">
        <f>SUMIF(OTT!$G$121:$M$121,AQ$178,OTT!$P13:$V13)+SUMIF($AZ$178:$BC$178,AQ$178,$AZ459:$BC459)</f>
        <v>0</v>
      </c>
      <c r="AR459" s="230">
        <f>SUMIF(OTT!$G$121:$M$121,AR$178,OTT!$P13:$V13)+SUMIF($AZ$178:$BC$178,AR$178,$AZ459:$BC459)</f>
        <v>0</v>
      </c>
      <c r="AS459" s="230">
        <f>SUMIF(OTT!$G$121:$M$121,AS$178,OTT!$P13:$V13)+SUMIF($AZ$178:$BC$178,AS$178,$AZ459:$BC459)</f>
        <v>0</v>
      </c>
      <c r="AT459" s="230">
        <f>SUMIF(OTT!$G$121:$M$121,AT$178,OTT!$P13:$V13)+SUMIF($AZ$178:$BC$178,AT$178,$AZ459:$BC459)</f>
        <v>0</v>
      </c>
      <c r="AU459" s="230">
        <f>SUMIF(OTT!$G$121:$M$121,AU$178,OTT!$P13:$V13)+SUMIF($AZ$178:$BC$178,AU$178,$AZ459:$BC459)</f>
        <v>0</v>
      </c>
      <c r="AV459" s="230">
        <f>SUMIF(OTT!$G$121:$M$121,AV$178,OTT!$P13:$V13)+SUMIF($AZ$178:$BC$178,AV$178,$AZ459:$BC459)</f>
        <v>0</v>
      </c>
      <c r="AW459" s="230">
        <f>SUMIF(OTT!$G$121:$M$121,AW$178,OTT!$P13:$V13)+SUMIF($AZ$178:$BC$178,AW$178,$AZ459:$BC459)</f>
        <v>0</v>
      </c>
      <c r="AX459" s="231">
        <f>SUMIF(OTT!$G$121:$M$121,AX$178,OTT!$P13:$V13)+SUMIF($AZ$178:$BC$178,AX$178,$AZ459:$BC459)</f>
        <v>0</v>
      </c>
      <c r="AY459" s="232">
        <f>OTT!AF13</f>
        <v>0</v>
      </c>
      <c r="AZ459" s="228">
        <f>OTT!AG13</f>
        <v>0</v>
      </c>
      <c r="BA459" s="229">
        <f>OTT!AH13</f>
        <v>0</v>
      </c>
      <c r="BB459" s="230">
        <f>OTT!AI13</f>
        <v>0</v>
      </c>
      <c r="BC459" s="231">
        <f>OTT!AJ13</f>
        <v>0</v>
      </c>
      <c r="BD459" s="228">
        <f>SUMIF(OTT!$G$120:$M$120,"&gt;0",OTT!$X13:$AD13)</f>
        <v>0</v>
      </c>
      <c r="BE459" s="696"/>
      <c r="BF459" s="228">
        <f>SUMIF(OTT!$BA$6:$BG$6,BF$177,OTT!$BA13:$BG13)</f>
        <v>0</v>
      </c>
      <c r="BG459" s="229">
        <f>SUMIF(OTT!$BA$6:$BG$6,BG$177,OTT!$BA13:$BG13)</f>
        <v>0</v>
      </c>
      <c r="BH459" s="229">
        <f>SUMIF(OTT!$BA$6:$BG$6,BH$177,OTT!$BA13:$BG13)</f>
        <v>0</v>
      </c>
      <c r="BI459" s="229">
        <f>SUMIF(OTT!$BA$6:$BG$6,BI$177,OTT!$BA13:$BG13)</f>
        <v>0</v>
      </c>
      <c r="BJ459" s="229">
        <f>SUMIF(OTT!$BA$6:$BG$6,BJ$177,OTT!$BA13:$BG13)</f>
        <v>0</v>
      </c>
      <c r="BK459" s="229">
        <f>SUMIF(OTT!$BA$6:$BG$6,BK$177,OTT!$BA13:$BG13)</f>
        <v>0</v>
      </c>
      <c r="BL459" s="229">
        <f>SUMIF(OTT!$BA$6:$BG$6,BL$177,OTT!$BA13:$BG13)</f>
        <v>0</v>
      </c>
      <c r="BM459" s="229">
        <f>SUMIF(OTT!$BA$6:$BG$6,BM$177,OTT!$BA13:$BG13)</f>
        <v>0</v>
      </c>
      <c r="BN459" s="229">
        <f>SUMIF(OTT!$BA$6:$BG$6,BN$177,OTT!$BA13:$BG13)</f>
        <v>0</v>
      </c>
      <c r="BO459" s="231">
        <f>SUMIF(OTT!$BA$6:$BG$6,BO$177,OTT!$BA13:$BG13)</f>
        <v>0</v>
      </c>
      <c r="BP459" s="231">
        <f>SUMIF(OTT!$BA$6:$BG$6,BP$177,OTT!$BA13:$BG13)</f>
        <v>0</v>
      </c>
      <c r="BQ459" s="252"/>
      <c r="BR459" s="228">
        <f>SUMIF(OTT!$BA$5:$BG$5,BR$177,OTT!$BA13:$BG13)</f>
        <v>0</v>
      </c>
      <c r="BS459" s="229">
        <f>SUMIF(OTT!$BA$5:$BG$5,BS$177,OTT!$BA13:$BG13)</f>
        <v>0</v>
      </c>
      <c r="BT459" s="229">
        <f>SUMIF(OTT!$BA$5:$BG$5,BT$177,OTT!$BA13:$BG13)</f>
        <v>0</v>
      </c>
      <c r="BU459" s="229">
        <f>SUMIF(OTT!$BA$5:$BG$5,BU$177,OTT!$BA13:$BG13)</f>
        <v>0</v>
      </c>
      <c r="BV459" s="229">
        <f>SUMIF(OTT!$BA$5:$BG$5,BV$177,OTT!$BA13:$BG13)</f>
        <v>0</v>
      </c>
      <c r="BW459" s="229">
        <f>SUMIF(OTT!$BA$5:$BG$5,BW$177,OTT!$BA13:$BG13)</f>
        <v>0</v>
      </c>
      <c r="BX459" s="230">
        <f>SUMIF(OTT!$BA$5:$BG$5,BX$177,OTT!$BA13:$BG13)</f>
        <v>0</v>
      </c>
      <c r="BY459" s="998">
        <f>SUMIF(OTT!$BA$5:$BG$5,BY$177,OTT!$BA13:$BG13)</f>
        <v>0</v>
      </c>
      <c r="CB459" s="252"/>
      <c r="CC459" s="61" t="e">
        <f t="shared" si="106"/>
        <v>#N/A</v>
      </c>
      <c r="CD459" s="61">
        <f t="shared" si="107"/>
        <v>0</v>
      </c>
      <c r="CE459" s="105" t="str">
        <f t="shared" si="100"/>
        <v/>
      </c>
      <c r="CF459" s="61" t="e">
        <f t="shared" si="108"/>
        <v>#N/A</v>
      </c>
      <c r="CG459" s="61" t="e">
        <f t="shared" si="109"/>
        <v>#N/A</v>
      </c>
      <c r="CH459" s="521">
        <f>OTT!AL13-CW459+CR459</f>
        <v>0</v>
      </c>
      <c r="CI459" s="228">
        <f>SUMIF(OTT!$G$121:$M$121,CI$178,OTT!$AM13:$AS13)+SUMIF($CS$178:$CV$178,CI$178,$CS459:$CV459)</f>
        <v>0</v>
      </c>
      <c r="CJ459" s="229">
        <f>SUMIF(OTT!$G$121:$M$121,CJ$178,OTT!$AM13:$AS13)+SUMIF($CS$178:$CV$178,CJ$178,$CS459:$CV459)</f>
        <v>0</v>
      </c>
      <c r="CK459" s="230">
        <f>SUMIF(OTT!$G$121:$M$121,CK$178,OTT!$AM13:$AS13)+SUMIF($CS$178:$CV$178,CK$178,$CS459:$CV459)</f>
        <v>0</v>
      </c>
      <c r="CL459" s="230">
        <f>SUMIF(OTT!$G$121:$M$121,CL$178,OTT!$AM13:$AS13)+SUMIF($CS$178:$CV$178,CL$178,$CS459:$CV459)</f>
        <v>0</v>
      </c>
      <c r="CM459" s="230">
        <f>SUMIF(OTT!$G$121:$M$121,CM$178,OTT!$AM13:$AS13)+SUMIF($CS$178:$CV$178,CM$178,$CS459:$CV459)</f>
        <v>0</v>
      </c>
      <c r="CN459" s="230">
        <f>SUMIF(OTT!$G$121:$M$121,CN$178,OTT!$AM13:$AS13)+SUMIF($CS$178:$CV$178,CN$178,$CS459:$CV459)</f>
        <v>0</v>
      </c>
      <c r="CO459" s="230">
        <f>SUMIF(OTT!$G$121:$M$121,CO$178,OTT!$AM13:$AS13)+SUMIF($CS$178:$CV$178,CO$178,$CS459:$CV459)</f>
        <v>0</v>
      </c>
      <c r="CP459" s="230">
        <f>SUMIF(OTT!$G$121:$M$121,CP$178,OTT!$AM13:$AS13)+SUMIF($CS$178:$CV$178,CP$178,$CS459:$CV459)</f>
        <v>0</v>
      </c>
      <c r="CQ459" s="231">
        <f>SUMIF(OTT!$G$121:$M$121,CQ$178,OTT!$AM13:$AS13)+SUMIF($CS$178:$CV$178,CQ$178,$CS459:$CV459)</f>
        <v>0</v>
      </c>
      <c r="CR459" s="521">
        <f>OTT!AU13</f>
        <v>0</v>
      </c>
      <c r="CS459" s="228">
        <f>OTT!AV13</f>
        <v>0</v>
      </c>
      <c r="CT459" s="229">
        <f>OTT!AW13</f>
        <v>0</v>
      </c>
      <c r="CU459" s="230">
        <f>OTT!AX13</f>
        <v>0</v>
      </c>
      <c r="CV459" s="231">
        <f>OTT!AY13</f>
        <v>0</v>
      </c>
      <c r="CW459" s="521">
        <f>SUM(OTT!AU13:AY13)</f>
        <v>0</v>
      </c>
      <c r="CX459" s="521">
        <f>OTT!AK13</f>
        <v>0</v>
      </c>
      <c r="CY459" s="2"/>
    </row>
    <row r="460" spans="1:103" ht="14.25" hidden="1" customHeight="1" x14ac:dyDescent="0.2">
      <c r="A460" s="2"/>
      <c r="B460" s="105">
        <f t="shared" si="110"/>
        <v>45572</v>
      </c>
      <c r="C460" s="146">
        <f>IF(AND(E460&gt;(N$560-1),E460&lt;(R$560+1)),W$551,IF(ISERROR(HLOOKUP(E460,$N$553:$U$553,1,FALSE)),HLOOKUP(WEEKDAY(E460,2),IMPOSTAZIONI!$C$52:$P$57,6,FALSE),$W$550))</f>
        <v>0</v>
      </c>
      <c r="D460" s="71" t="str">
        <f t="shared" si="111"/>
        <v/>
      </c>
      <c r="E460" s="2258">
        <f t="shared" si="116"/>
        <v>45572</v>
      </c>
      <c r="F460" s="2259"/>
      <c r="G460" s="2228" t="str">
        <f>OTT!E14</f>
        <v xml:space="preserve">disattivato  </v>
      </c>
      <c r="H460" s="2229"/>
      <c r="I460" s="2230"/>
      <c r="J460" s="262" t="str">
        <f t="shared" si="101"/>
        <v/>
      </c>
      <c r="K460" s="263"/>
      <c r="L460" s="2222">
        <f t="shared" si="117"/>
        <v>41</v>
      </c>
      <c r="M460" s="2223"/>
      <c r="N460" s="261"/>
      <c r="O460" s="261"/>
      <c r="P460" s="261"/>
      <c r="Q460" s="2219">
        <f t="shared" si="112"/>
        <v>45572</v>
      </c>
      <c r="R460" s="2219"/>
      <c r="S460" s="261"/>
      <c r="T460" s="1173">
        <f t="shared" si="102"/>
        <v>1</v>
      </c>
      <c r="U460" s="261"/>
      <c r="V460" s="261"/>
      <c r="W460" s="261"/>
      <c r="X460" s="261"/>
      <c r="Y460" s="261"/>
      <c r="Z460" s="261"/>
      <c r="AA460" s="261"/>
      <c r="AB460" s="261"/>
      <c r="AC460" s="261"/>
      <c r="AD460" s="261"/>
      <c r="AE460" s="261"/>
      <c r="AF460" s="261"/>
      <c r="AG460" s="1173">
        <f t="shared" si="113"/>
        <v>0</v>
      </c>
      <c r="AH460" s="61" t="str">
        <f t="shared" si="114"/>
        <v/>
      </c>
      <c r="AI460" s="89" t="e">
        <f t="shared" si="115"/>
        <v>#N/A</v>
      </c>
      <c r="AJ460" s="2"/>
      <c r="AK460" s="61">
        <f>IF(G460=G$547,0,IF(OR(G460&lt;&gt;0,CH460&lt;&gt;0,C460="L"),COUNTIF(AK$180:AK459,"&gt;0")+1,0))</f>
        <v>0</v>
      </c>
      <c r="AL460" s="61" t="str">
        <f t="shared" si="103"/>
        <v/>
      </c>
      <c r="AM460" s="61" t="e">
        <f t="shared" si="104"/>
        <v>#N/A</v>
      </c>
      <c r="AN460" s="89" t="e">
        <f t="shared" si="105"/>
        <v>#N/A</v>
      </c>
      <c r="AO460" s="230">
        <f>SUM(OTT!X14:AD14)-BD460+AY460</f>
        <v>0</v>
      </c>
      <c r="AP460" s="228">
        <f>SUMIF(OTT!$G$121:$M$121,AP$178,OTT!$P14:$V14)+SUMIF($AZ$178:$BC$178,AP$178,$AZ460:$BC460)</f>
        <v>0</v>
      </c>
      <c r="AQ460" s="229">
        <f>SUMIF(OTT!$G$121:$M$121,AQ$178,OTT!$P14:$V14)+SUMIF($AZ$178:$BC$178,AQ$178,$AZ460:$BC460)</f>
        <v>0</v>
      </c>
      <c r="AR460" s="230">
        <f>SUMIF(OTT!$G$121:$M$121,AR$178,OTT!$P14:$V14)+SUMIF($AZ$178:$BC$178,AR$178,$AZ460:$BC460)</f>
        <v>0</v>
      </c>
      <c r="AS460" s="230">
        <f>SUMIF(OTT!$G$121:$M$121,AS$178,OTT!$P14:$V14)+SUMIF($AZ$178:$BC$178,AS$178,$AZ460:$BC460)</f>
        <v>0</v>
      </c>
      <c r="AT460" s="230">
        <f>SUMIF(OTT!$G$121:$M$121,AT$178,OTT!$P14:$V14)+SUMIF($AZ$178:$BC$178,AT$178,$AZ460:$BC460)</f>
        <v>0</v>
      </c>
      <c r="AU460" s="230">
        <f>SUMIF(OTT!$G$121:$M$121,AU$178,OTT!$P14:$V14)+SUMIF($AZ$178:$BC$178,AU$178,$AZ460:$BC460)</f>
        <v>0</v>
      </c>
      <c r="AV460" s="230">
        <f>SUMIF(OTT!$G$121:$M$121,AV$178,OTT!$P14:$V14)+SUMIF($AZ$178:$BC$178,AV$178,$AZ460:$BC460)</f>
        <v>0</v>
      </c>
      <c r="AW460" s="230">
        <f>SUMIF(OTT!$G$121:$M$121,AW$178,OTT!$P14:$V14)+SUMIF($AZ$178:$BC$178,AW$178,$AZ460:$BC460)</f>
        <v>0</v>
      </c>
      <c r="AX460" s="231">
        <f>SUMIF(OTT!$G$121:$M$121,AX$178,OTT!$P14:$V14)+SUMIF($AZ$178:$BC$178,AX$178,$AZ460:$BC460)</f>
        <v>0</v>
      </c>
      <c r="AY460" s="232">
        <f>OTT!AF14</f>
        <v>0</v>
      </c>
      <c r="AZ460" s="228">
        <f>OTT!AG14</f>
        <v>0</v>
      </c>
      <c r="BA460" s="229">
        <f>OTT!AH14</f>
        <v>0</v>
      </c>
      <c r="BB460" s="230">
        <f>OTT!AI14</f>
        <v>0</v>
      </c>
      <c r="BC460" s="231">
        <f>OTT!AJ14</f>
        <v>0</v>
      </c>
      <c r="BD460" s="228">
        <f>SUMIF(OTT!$G$120:$M$120,"&gt;0",OTT!$X14:$AD14)</f>
        <v>0</v>
      </c>
      <c r="BE460" s="696"/>
      <c r="BF460" s="228">
        <f>SUMIF(OTT!$BA$6:$BG$6,BF$177,OTT!$BA14:$BG14)</f>
        <v>0</v>
      </c>
      <c r="BG460" s="229">
        <f>SUMIF(OTT!$BA$6:$BG$6,BG$177,OTT!$BA14:$BG14)</f>
        <v>0</v>
      </c>
      <c r="BH460" s="229">
        <f>SUMIF(OTT!$BA$6:$BG$6,BH$177,OTT!$BA14:$BG14)</f>
        <v>0</v>
      </c>
      <c r="BI460" s="229">
        <f>SUMIF(OTT!$BA$6:$BG$6,BI$177,OTT!$BA14:$BG14)</f>
        <v>0</v>
      </c>
      <c r="BJ460" s="229">
        <f>SUMIF(OTT!$BA$6:$BG$6,BJ$177,OTT!$BA14:$BG14)</f>
        <v>0</v>
      </c>
      <c r="BK460" s="229">
        <f>SUMIF(OTT!$BA$6:$BG$6,BK$177,OTT!$BA14:$BG14)</f>
        <v>0</v>
      </c>
      <c r="BL460" s="229">
        <f>SUMIF(OTT!$BA$6:$BG$6,BL$177,OTT!$BA14:$BG14)</f>
        <v>0</v>
      </c>
      <c r="BM460" s="229">
        <f>SUMIF(OTT!$BA$6:$BG$6,BM$177,OTT!$BA14:$BG14)</f>
        <v>0</v>
      </c>
      <c r="BN460" s="229">
        <f>SUMIF(OTT!$BA$6:$BG$6,BN$177,OTT!$BA14:$BG14)</f>
        <v>0</v>
      </c>
      <c r="BO460" s="231">
        <f>SUMIF(OTT!$BA$6:$BG$6,BO$177,OTT!$BA14:$BG14)</f>
        <v>0</v>
      </c>
      <c r="BP460" s="231">
        <f>SUMIF(OTT!$BA$6:$BG$6,BP$177,OTT!$BA14:$BG14)</f>
        <v>0</v>
      </c>
      <c r="BQ460" s="252"/>
      <c r="BR460" s="228">
        <f>SUMIF(OTT!$BA$5:$BG$5,BR$177,OTT!$BA14:$BG14)</f>
        <v>0</v>
      </c>
      <c r="BS460" s="229">
        <f>SUMIF(OTT!$BA$5:$BG$5,BS$177,OTT!$BA14:$BG14)</f>
        <v>0</v>
      </c>
      <c r="BT460" s="229">
        <f>SUMIF(OTT!$BA$5:$BG$5,BT$177,OTT!$BA14:$BG14)</f>
        <v>0</v>
      </c>
      <c r="BU460" s="229">
        <f>SUMIF(OTT!$BA$5:$BG$5,BU$177,OTT!$BA14:$BG14)</f>
        <v>0</v>
      </c>
      <c r="BV460" s="229">
        <f>SUMIF(OTT!$BA$5:$BG$5,BV$177,OTT!$BA14:$BG14)</f>
        <v>0</v>
      </c>
      <c r="BW460" s="229">
        <f>SUMIF(OTT!$BA$5:$BG$5,BW$177,OTT!$BA14:$BG14)</f>
        <v>0</v>
      </c>
      <c r="BX460" s="230">
        <f>SUMIF(OTT!$BA$5:$BG$5,BX$177,OTT!$BA14:$BG14)</f>
        <v>0</v>
      </c>
      <c r="BY460" s="998">
        <f>SUMIF(OTT!$BA$5:$BG$5,BY$177,OTT!$BA14:$BG14)</f>
        <v>0</v>
      </c>
      <c r="CB460" s="252"/>
      <c r="CC460" s="61" t="e">
        <f t="shared" si="106"/>
        <v>#N/A</v>
      </c>
      <c r="CD460" s="61">
        <f t="shared" si="107"/>
        <v>0</v>
      </c>
      <c r="CE460" s="105" t="str">
        <f t="shared" si="100"/>
        <v/>
      </c>
      <c r="CF460" s="61" t="e">
        <f t="shared" si="108"/>
        <v>#N/A</v>
      </c>
      <c r="CG460" s="61" t="e">
        <f t="shared" si="109"/>
        <v>#N/A</v>
      </c>
      <c r="CH460" s="521">
        <f>OTT!AL14-CW460+CR460</f>
        <v>0</v>
      </c>
      <c r="CI460" s="228">
        <f>SUMIF(OTT!$G$121:$M$121,CI$178,OTT!$AM14:$AS14)+SUMIF($CS$178:$CV$178,CI$178,$CS460:$CV460)</f>
        <v>0</v>
      </c>
      <c r="CJ460" s="229">
        <f>SUMIF(OTT!$G$121:$M$121,CJ$178,OTT!$AM14:$AS14)+SUMIF($CS$178:$CV$178,CJ$178,$CS460:$CV460)</f>
        <v>0</v>
      </c>
      <c r="CK460" s="230">
        <f>SUMIF(OTT!$G$121:$M$121,CK$178,OTT!$AM14:$AS14)+SUMIF($CS$178:$CV$178,CK$178,$CS460:$CV460)</f>
        <v>0</v>
      </c>
      <c r="CL460" s="230">
        <f>SUMIF(OTT!$G$121:$M$121,CL$178,OTT!$AM14:$AS14)+SUMIF($CS$178:$CV$178,CL$178,$CS460:$CV460)</f>
        <v>0</v>
      </c>
      <c r="CM460" s="230">
        <f>SUMIF(OTT!$G$121:$M$121,CM$178,OTT!$AM14:$AS14)+SUMIF($CS$178:$CV$178,CM$178,$CS460:$CV460)</f>
        <v>0</v>
      </c>
      <c r="CN460" s="230">
        <f>SUMIF(OTT!$G$121:$M$121,CN$178,OTT!$AM14:$AS14)+SUMIF($CS$178:$CV$178,CN$178,$CS460:$CV460)</f>
        <v>0</v>
      </c>
      <c r="CO460" s="230">
        <f>SUMIF(OTT!$G$121:$M$121,CO$178,OTT!$AM14:$AS14)+SUMIF($CS$178:$CV$178,CO$178,$CS460:$CV460)</f>
        <v>0</v>
      </c>
      <c r="CP460" s="230">
        <f>SUMIF(OTT!$G$121:$M$121,CP$178,OTT!$AM14:$AS14)+SUMIF($CS$178:$CV$178,CP$178,$CS460:$CV460)</f>
        <v>0</v>
      </c>
      <c r="CQ460" s="231">
        <f>SUMIF(OTT!$G$121:$M$121,CQ$178,OTT!$AM14:$AS14)+SUMIF($CS$178:$CV$178,CQ$178,$CS460:$CV460)</f>
        <v>0</v>
      </c>
      <c r="CR460" s="521">
        <f>OTT!AU14</f>
        <v>0</v>
      </c>
      <c r="CS460" s="228">
        <f>OTT!AV14</f>
        <v>0</v>
      </c>
      <c r="CT460" s="229">
        <f>OTT!AW14</f>
        <v>0</v>
      </c>
      <c r="CU460" s="230">
        <f>OTT!AX14</f>
        <v>0</v>
      </c>
      <c r="CV460" s="231">
        <f>OTT!AY14</f>
        <v>0</v>
      </c>
      <c r="CW460" s="521">
        <f>SUM(OTT!AU14:AY14)</f>
        <v>0</v>
      </c>
      <c r="CX460" s="521">
        <f>OTT!AK14</f>
        <v>0</v>
      </c>
      <c r="CY460" s="2"/>
    </row>
    <row r="461" spans="1:103" ht="14.25" hidden="1" customHeight="1" x14ac:dyDescent="0.2">
      <c r="A461" s="2"/>
      <c r="B461" s="105">
        <f t="shared" si="110"/>
        <v>45573</v>
      </c>
      <c r="C461" s="146">
        <f>IF(AND(E461&gt;(N$560-1),E461&lt;(R$560+1)),W$551,IF(ISERROR(HLOOKUP(E461,$N$553:$U$553,1,FALSE)),HLOOKUP(WEEKDAY(E461,2),IMPOSTAZIONI!$C$52:$P$57,6,FALSE),$W$550))</f>
        <v>0</v>
      </c>
      <c r="D461" s="71" t="str">
        <f t="shared" si="111"/>
        <v/>
      </c>
      <c r="E461" s="2258">
        <f t="shared" si="116"/>
        <v>45573</v>
      </c>
      <c r="F461" s="2259"/>
      <c r="G461" s="2228" t="str">
        <f>OTT!E15</f>
        <v xml:space="preserve">disattivato  </v>
      </c>
      <c r="H461" s="2229"/>
      <c r="I461" s="2230"/>
      <c r="J461" s="262" t="str">
        <f t="shared" si="101"/>
        <v/>
      </c>
      <c r="K461" s="263"/>
      <c r="L461" s="2217">
        <f t="shared" si="117"/>
        <v>41</v>
      </c>
      <c r="M461" s="2218"/>
      <c r="N461" s="261"/>
      <c r="O461" s="261"/>
      <c r="P461" s="261"/>
      <c r="Q461" s="2219">
        <f t="shared" si="112"/>
        <v>45573</v>
      </c>
      <c r="R461" s="2219"/>
      <c r="S461" s="261"/>
      <c r="T461" s="1173">
        <f t="shared" si="102"/>
        <v>1</v>
      </c>
      <c r="U461" s="261"/>
      <c r="V461" s="261"/>
      <c r="W461" s="261"/>
      <c r="X461" s="261"/>
      <c r="Y461" s="261"/>
      <c r="Z461" s="261"/>
      <c r="AA461" s="261"/>
      <c r="AB461" s="261"/>
      <c r="AC461" s="261"/>
      <c r="AD461" s="261"/>
      <c r="AE461" s="261"/>
      <c r="AF461" s="261"/>
      <c r="AG461" s="1173">
        <f t="shared" si="113"/>
        <v>0</v>
      </c>
      <c r="AH461" s="61" t="str">
        <f t="shared" si="114"/>
        <v/>
      </c>
      <c r="AI461" s="89" t="e">
        <f t="shared" si="115"/>
        <v>#N/A</v>
      </c>
      <c r="AJ461" s="2"/>
      <c r="AK461" s="61">
        <f>IF(G461=G$547,0,IF(OR(G461&lt;&gt;0,CH461&lt;&gt;0,C461="L"),COUNTIF(AK$180:AK460,"&gt;0")+1,0))</f>
        <v>0</v>
      </c>
      <c r="AL461" s="61" t="str">
        <f t="shared" si="103"/>
        <v/>
      </c>
      <c r="AM461" s="61" t="e">
        <f t="shared" si="104"/>
        <v>#N/A</v>
      </c>
      <c r="AN461" s="89" t="e">
        <f t="shared" si="105"/>
        <v>#N/A</v>
      </c>
      <c r="AO461" s="230">
        <f>SUM(OTT!X15:AD15)-BD461+AY461</f>
        <v>0</v>
      </c>
      <c r="AP461" s="228">
        <f>SUMIF(OTT!$G$121:$M$121,AP$178,OTT!$P15:$V15)+SUMIF($AZ$178:$BC$178,AP$178,$AZ461:$BC461)</f>
        <v>0</v>
      </c>
      <c r="AQ461" s="229">
        <f>SUMIF(OTT!$G$121:$M$121,AQ$178,OTT!$P15:$V15)+SUMIF($AZ$178:$BC$178,AQ$178,$AZ461:$BC461)</f>
        <v>0</v>
      </c>
      <c r="AR461" s="230">
        <f>SUMIF(OTT!$G$121:$M$121,AR$178,OTT!$P15:$V15)+SUMIF($AZ$178:$BC$178,AR$178,$AZ461:$BC461)</f>
        <v>0</v>
      </c>
      <c r="AS461" s="230">
        <f>SUMIF(OTT!$G$121:$M$121,AS$178,OTT!$P15:$V15)+SUMIF($AZ$178:$BC$178,AS$178,$AZ461:$BC461)</f>
        <v>0</v>
      </c>
      <c r="AT461" s="230">
        <f>SUMIF(OTT!$G$121:$M$121,AT$178,OTT!$P15:$V15)+SUMIF($AZ$178:$BC$178,AT$178,$AZ461:$BC461)</f>
        <v>0</v>
      </c>
      <c r="AU461" s="230">
        <f>SUMIF(OTT!$G$121:$M$121,AU$178,OTT!$P15:$V15)+SUMIF($AZ$178:$BC$178,AU$178,$AZ461:$BC461)</f>
        <v>0</v>
      </c>
      <c r="AV461" s="230">
        <f>SUMIF(OTT!$G$121:$M$121,AV$178,OTT!$P15:$V15)+SUMIF($AZ$178:$BC$178,AV$178,$AZ461:$BC461)</f>
        <v>0</v>
      </c>
      <c r="AW461" s="230">
        <f>SUMIF(OTT!$G$121:$M$121,AW$178,OTT!$P15:$V15)+SUMIF($AZ$178:$BC$178,AW$178,$AZ461:$BC461)</f>
        <v>0</v>
      </c>
      <c r="AX461" s="231">
        <f>SUMIF(OTT!$G$121:$M$121,AX$178,OTT!$P15:$V15)+SUMIF($AZ$178:$BC$178,AX$178,$AZ461:$BC461)</f>
        <v>0</v>
      </c>
      <c r="AY461" s="232">
        <f>OTT!AF15</f>
        <v>0</v>
      </c>
      <c r="AZ461" s="228">
        <f>OTT!AG15</f>
        <v>0</v>
      </c>
      <c r="BA461" s="229">
        <f>OTT!AH15</f>
        <v>0</v>
      </c>
      <c r="BB461" s="230">
        <f>OTT!AI15</f>
        <v>0</v>
      </c>
      <c r="BC461" s="231">
        <f>OTT!AJ15</f>
        <v>0</v>
      </c>
      <c r="BD461" s="228">
        <f>SUMIF(OTT!$G$120:$M$120,"&gt;0",OTT!$X15:$AD15)</f>
        <v>0</v>
      </c>
      <c r="BE461" s="696"/>
      <c r="BF461" s="228">
        <f>SUMIF(OTT!$BA$6:$BG$6,BF$177,OTT!$BA15:$BG15)</f>
        <v>0</v>
      </c>
      <c r="BG461" s="229">
        <f>SUMIF(OTT!$BA$6:$BG$6,BG$177,OTT!$BA15:$BG15)</f>
        <v>0</v>
      </c>
      <c r="BH461" s="229">
        <f>SUMIF(OTT!$BA$6:$BG$6,BH$177,OTT!$BA15:$BG15)</f>
        <v>0</v>
      </c>
      <c r="BI461" s="229">
        <f>SUMIF(OTT!$BA$6:$BG$6,BI$177,OTT!$BA15:$BG15)</f>
        <v>0</v>
      </c>
      <c r="BJ461" s="229">
        <f>SUMIF(OTT!$BA$6:$BG$6,BJ$177,OTT!$BA15:$BG15)</f>
        <v>0</v>
      </c>
      <c r="BK461" s="229">
        <f>SUMIF(OTT!$BA$6:$BG$6,BK$177,OTT!$BA15:$BG15)</f>
        <v>0</v>
      </c>
      <c r="BL461" s="229">
        <f>SUMIF(OTT!$BA$6:$BG$6,BL$177,OTT!$BA15:$BG15)</f>
        <v>0</v>
      </c>
      <c r="BM461" s="229">
        <f>SUMIF(OTT!$BA$6:$BG$6,BM$177,OTT!$BA15:$BG15)</f>
        <v>0</v>
      </c>
      <c r="BN461" s="229">
        <f>SUMIF(OTT!$BA$6:$BG$6,BN$177,OTT!$BA15:$BG15)</f>
        <v>0</v>
      </c>
      <c r="BO461" s="231">
        <f>SUMIF(OTT!$BA$6:$BG$6,BO$177,OTT!$BA15:$BG15)</f>
        <v>0</v>
      </c>
      <c r="BP461" s="231">
        <f>SUMIF(OTT!$BA$6:$BG$6,BP$177,OTT!$BA15:$BG15)</f>
        <v>0</v>
      </c>
      <c r="BQ461" s="252"/>
      <c r="BR461" s="228">
        <f>SUMIF(OTT!$BA$5:$BG$5,BR$177,OTT!$BA15:$BG15)</f>
        <v>0</v>
      </c>
      <c r="BS461" s="229">
        <f>SUMIF(OTT!$BA$5:$BG$5,BS$177,OTT!$BA15:$BG15)</f>
        <v>0</v>
      </c>
      <c r="BT461" s="229">
        <f>SUMIF(OTT!$BA$5:$BG$5,BT$177,OTT!$BA15:$BG15)</f>
        <v>0</v>
      </c>
      <c r="BU461" s="229">
        <f>SUMIF(OTT!$BA$5:$BG$5,BU$177,OTT!$BA15:$BG15)</f>
        <v>0</v>
      </c>
      <c r="BV461" s="229">
        <f>SUMIF(OTT!$BA$5:$BG$5,BV$177,OTT!$BA15:$BG15)</f>
        <v>0</v>
      </c>
      <c r="BW461" s="229">
        <f>SUMIF(OTT!$BA$5:$BG$5,BW$177,OTT!$BA15:$BG15)</f>
        <v>0</v>
      </c>
      <c r="BX461" s="230">
        <f>SUMIF(OTT!$BA$5:$BG$5,BX$177,OTT!$BA15:$BG15)</f>
        <v>0</v>
      </c>
      <c r="BY461" s="998">
        <f>SUMIF(OTT!$BA$5:$BG$5,BY$177,OTT!$BA15:$BG15)</f>
        <v>0</v>
      </c>
      <c r="CB461" s="252"/>
      <c r="CC461" s="61" t="e">
        <f t="shared" si="106"/>
        <v>#N/A</v>
      </c>
      <c r="CD461" s="61">
        <f t="shared" si="107"/>
        <v>0</v>
      </c>
      <c r="CE461" s="105" t="str">
        <f t="shared" si="100"/>
        <v/>
      </c>
      <c r="CF461" s="61" t="e">
        <f t="shared" si="108"/>
        <v>#N/A</v>
      </c>
      <c r="CG461" s="61" t="e">
        <f t="shared" si="109"/>
        <v>#N/A</v>
      </c>
      <c r="CH461" s="521">
        <f>OTT!AL15-CW461+CR461</f>
        <v>0</v>
      </c>
      <c r="CI461" s="228">
        <f>SUMIF(OTT!$G$121:$M$121,CI$178,OTT!$AM15:$AS15)+SUMIF($CS$178:$CV$178,CI$178,$CS461:$CV461)</f>
        <v>0</v>
      </c>
      <c r="CJ461" s="229">
        <f>SUMIF(OTT!$G$121:$M$121,CJ$178,OTT!$AM15:$AS15)+SUMIF($CS$178:$CV$178,CJ$178,$CS461:$CV461)</f>
        <v>0</v>
      </c>
      <c r="CK461" s="230">
        <f>SUMIF(OTT!$G$121:$M$121,CK$178,OTT!$AM15:$AS15)+SUMIF($CS$178:$CV$178,CK$178,$CS461:$CV461)</f>
        <v>0</v>
      </c>
      <c r="CL461" s="230">
        <f>SUMIF(OTT!$G$121:$M$121,CL$178,OTT!$AM15:$AS15)+SUMIF($CS$178:$CV$178,CL$178,$CS461:$CV461)</f>
        <v>0</v>
      </c>
      <c r="CM461" s="230">
        <f>SUMIF(OTT!$G$121:$M$121,CM$178,OTT!$AM15:$AS15)+SUMIF($CS$178:$CV$178,CM$178,$CS461:$CV461)</f>
        <v>0</v>
      </c>
      <c r="CN461" s="230">
        <f>SUMIF(OTT!$G$121:$M$121,CN$178,OTT!$AM15:$AS15)+SUMIF($CS$178:$CV$178,CN$178,$CS461:$CV461)</f>
        <v>0</v>
      </c>
      <c r="CO461" s="230">
        <f>SUMIF(OTT!$G$121:$M$121,CO$178,OTT!$AM15:$AS15)+SUMIF($CS$178:$CV$178,CO$178,$CS461:$CV461)</f>
        <v>0</v>
      </c>
      <c r="CP461" s="230">
        <f>SUMIF(OTT!$G$121:$M$121,CP$178,OTT!$AM15:$AS15)+SUMIF($CS$178:$CV$178,CP$178,$CS461:$CV461)</f>
        <v>0</v>
      </c>
      <c r="CQ461" s="231">
        <f>SUMIF(OTT!$G$121:$M$121,CQ$178,OTT!$AM15:$AS15)+SUMIF($CS$178:$CV$178,CQ$178,$CS461:$CV461)</f>
        <v>0</v>
      </c>
      <c r="CR461" s="521">
        <f>OTT!AU15</f>
        <v>0</v>
      </c>
      <c r="CS461" s="228">
        <f>OTT!AV15</f>
        <v>0</v>
      </c>
      <c r="CT461" s="229">
        <f>OTT!AW15</f>
        <v>0</v>
      </c>
      <c r="CU461" s="230">
        <f>OTT!AX15</f>
        <v>0</v>
      </c>
      <c r="CV461" s="231">
        <f>OTT!AY15</f>
        <v>0</v>
      </c>
      <c r="CW461" s="521">
        <f>SUM(OTT!AU15:AY15)</f>
        <v>0</v>
      </c>
      <c r="CX461" s="521">
        <f>OTT!AK15</f>
        <v>0</v>
      </c>
      <c r="CY461" s="2"/>
    </row>
    <row r="462" spans="1:103" ht="14.25" hidden="1" customHeight="1" x14ac:dyDescent="0.2">
      <c r="A462" s="2"/>
      <c r="B462" s="105">
        <f t="shared" si="110"/>
        <v>45574</v>
      </c>
      <c r="C462" s="146">
        <f>IF(AND(E462&gt;(N$560-1),E462&lt;(R$560+1)),W$551,IF(ISERROR(HLOOKUP(E462,$N$553:$U$553,1,FALSE)),HLOOKUP(WEEKDAY(E462,2),IMPOSTAZIONI!$C$52:$P$57,6,FALSE),$W$550))</f>
        <v>0</v>
      </c>
      <c r="D462" s="71" t="str">
        <f t="shared" si="111"/>
        <v/>
      </c>
      <c r="E462" s="2258">
        <f t="shared" si="116"/>
        <v>45574</v>
      </c>
      <c r="F462" s="2259"/>
      <c r="G462" s="2228" t="str">
        <f>OTT!E16</f>
        <v xml:space="preserve">disattivato  </v>
      </c>
      <c r="H462" s="2229"/>
      <c r="I462" s="2230"/>
      <c r="J462" s="262" t="str">
        <f t="shared" si="101"/>
        <v/>
      </c>
      <c r="K462" s="263"/>
      <c r="L462" s="2217">
        <f t="shared" si="117"/>
        <v>41</v>
      </c>
      <c r="M462" s="2218"/>
      <c r="N462" s="261"/>
      <c r="O462" s="261"/>
      <c r="P462" s="261"/>
      <c r="Q462" s="2219">
        <f t="shared" si="112"/>
        <v>45574</v>
      </c>
      <c r="R462" s="2219"/>
      <c r="S462" s="261"/>
      <c r="T462" s="1173">
        <f t="shared" si="102"/>
        <v>1</v>
      </c>
      <c r="U462" s="261"/>
      <c r="V462" s="261"/>
      <c r="W462" s="261"/>
      <c r="X462" s="261"/>
      <c r="Y462" s="261"/>
      <c r="Z462" s="261"/>
      <c r="AA462" s="261"/>
      <c r="AB462" s="261"/>
      <c r="AC462" s="261"/>
      <c r="AD462" s="261"/>
      <c r="AE462" s="261"/>
      <c r="AF462" s="261"/>
      <c r="AG462" s="1173">
        <f t="shared" si="113"/>
        <v>0</v>
      </c>
      <c r="AH462" s="61" t="str">
        <f t="shared" si="114"/>
        <v/>
      </c>
      <c r="AI462" s="89" t="e">
        <f t="shared" si="115"/>
        <v>#N/A</v>
      </c>
      <c r="AJ462" s="2"/>
      <c r="AK462" s="61">
        <f>IF(G462=G$547,0,IF(OR(G462&lt;&gt;0,CH462&lt;&gt;0,C462="L"),COUNTIF(AK$180:AK461,"&gt;0")+1,0))</f>
        <v>0</v>
      </c>
      <c r="AL462" s="61" t="str">
        <f t="shared" si="103"/>
        <v/>
      </c>
      <c r="AM462" s="61" t="e">
        <f t="shared" si="104"/>
        <v>#N/A</v>
      </c>
      <c r="AN462" s="89" t="e">
        <f t="shared" si="105"/>
        <v>#N/A</v>
      </c>
      <c r="AO462" s="230">
        <f>SUM(OTT!X16:AD16)-BD462+AY462</f>
        <v>0</v>
      </c>
      <c r="AP462" s="228">
        <f>SUMIF(OTT!$G$121:$M$121,AP$178,OTT!$P16:$V16)+SUMIF($AZ$178:$BC$178,AP$178,$AZ462:$BC462)</f>
        <v>0</v>
      </c>
      <c r="AQ462" s="229">
        <f>SUMIF(OTT!$G$121:$M$121,AQ$178,OTT!$P16:$V16)+SUMIF($AZ$178:$BC$178,AQ$178,$AZ462:$BC462)</f>
        <v>0</v>
      </c>
      <c r="AR462" s="230">
        <f>SUMIF(OTT!$G$121:$M$121,AR$178,OTT!$P16:$V16)+SUMIF($AZ$178:$BC$178,AR$178,$AZ462:$BC462)</f>
        <v>0</v>
      </c>
      <c r="AS462" s="230">
        <f>SUMIF(OTT!$G$121:$M$121,AS$178,OTT!$P16:$V16)+SUMIF($AZ$178:$BC$178,AS$178,$AZ462:$BC462)</f>
        <v>0</v>
      </c>
      <c r="AT462" s="230">
        <f>SUMIF(OTT!$G$121:$M$121,AT$178,OTT!$P16:$V16)+SUMIF($AZ$178:$BC$178,AT$178,$AZ462:$BC462)</f>
        <v>0</v>
      </c>
      <c r="AU462" s="230">
        <f>SUMIF(OTT!$G$121:$M$121,AU$178,OTT!$P16:$V16)+SUMIF($AZ$178:$BC$178,AU$178,$AZ462:$BC462)</f>
        <v>0</v>
      </c>
      <c r="AV462" s="230">
        <f>SUMIF(OTT!$G$121:$M$121,AV$178,OTT!$P16:$V16)+SUMIF($AZ$178:$BC$178,AV$178,$AZ462:$BC462)</f>
        <v>0</v>
      </c>
      <c r="AW462" s="230">
        <f>SUMIF(OTT!$G$121:$M$121,AW$178,OTT!$P16:$V16)+SUMIF($AZ$178:$BC$178,AW$178,$AZ462:$BC462)</f>
        <v>0</v>
      </c>
      <c r="AX462" s="231">
        <f>SUMIF(OTT!$G$121:$M$121,AX$178,OTT!$P16:$V16)+SUMIF($AZ$178:$BC$178,AX$178,$AZ462:$BC462)</f>
        <v>0</v>
      </c>
      <c r="AY462" s="232">
        <f>OTT!AF16</f>
        <v>0</v>
      </c>
      <c r="AZ462" s="228">
        <f>OTT!AG16</f>
        <v>0</v>
      </c>
      <c r="BA462" s="229">
        <f>OTT!AH16</f>
        <v>0</v>
      </c>
      <c r="BB462" s="230">
        <f>OTT!AI16</f>
        <v>0</v>
      </c>
      <c r="BC462" s="231">
        <f>OTT!AJ16</f>
        <v>0</v>
      </c>
      <c r="BD462" s="228">
        <f>SUMIF(OTT!$G$120:$M$120,"&gt;0",OTT!$X16:$AD16)</f>
        <v>0</v>
      </c>
      <c r="BE462" s="696"/>
      <c r="BF462" s="228">
        <f>SUMIF(OTT!$BA$6:$BG$6,BF$177,OTT!$BA16:$BG16)</f>
        <v>0</v>
      </c>
      <c r="BG462" s="229">
        <f>SUMIF(OTT!$BA$6:$BG$6,BG$177,OTT!$BA16:$BG16)</f>
        <v>0</v>
      </c>
      <c r="BH462" s="229">
        <f>SUMIF(OTT!$BA$6:$BG$6,BH$177,OTT!$BA16:$BG16)</f>
        <v>0</v>
      </c>
      <c r="BI462" s="229">
        <f>SUMIF(OTT!$BA$6:$BG$6,BI$177,OTT!$BA16:$BG16)</f>
        <v>0</v>
      </c>
      <c r="BJ462" s="229">
        <f>SUMIF(OTT!$BA$6:$BG$6,BJ$177,OTT!$BA16:$BG16)</f>
        <v>0</v>
      </c>
      <c r="BK462" s="229">
        <f>SUMIF(OTT!$BA$6:$BG$6,BK$177,OTT!$BA16:$BG16)</f>
        <v>0</v>
      </c>
      <c r="BL462" s="229">
        <f>SUMIF(OTT!$BA$6:$BG$6,BL$177,OTT!$BA16:$BG16)</f>
        <v>0</v>
      </c>
      <c r="BM462" s="229">
        <f>SUMIF(OTT!$BA$6:$BG$6,BM$177,OTT!$BA16:$BG16)</f>
        <v>0</v>
      </c>
      <c r="BN462" s="229">
        <f>SUMIF(OTT!$BA$6:$BG$6,BN$177,OTT!$BA16:$BG16)</f>
        <v>0</v>
      </c>
      <c r="BO462" s="231">
        <f>SUMIF(OTT!$BA$6:$BG$6,BO$177,OTT!$BA16:$BG16)</f>
        <v>0</v>
      </c>
      <c r="BP462" s="231">
        <f>SUMIF(OTT!$BA$6:$BG$6,BP$177,OTT!$BA16:$BG16)</f>
        <v>0</v>
      </c>
      <c r="BQ462" s="252"/>
      <c r="BR462" s="228">
        <f>SUMIF(OTT!$BA$5:$BG$5,BR$177,OTT!$BA16:$BG16)</f>
        <v>0</v>
      </c>
      <c r="BS462" s="229">
        <f>SUMIF(OTT!$BA$5:$BG$5,BS$177,OTT!$BA16:$BG16)</f>
        <v>0</v>
      </c>
      <c r="BT462" s="229">
        <f>SUMIF(OTT!$BA$5:$BG$5,BT$177,OTT!$BA16:$BG16)</f>
        <v>0</v>
      </c>
      <c r="BU462" s="229">
        <f>SUMIF(OTT!$BA$5:$BG$5,BU$177,OTT!$BA16:$BG16)</f>
        <v>0</v>
      </c>
      <c r="BV462" s="229">
        <f>SUMIF(OTT!$BA$5:$BG$5,BV$177,OTT!$BA16:$BG16)</f>
        <v>0</v>
      </c>
      <c r="BW462" s="229">
        <f>SUMIF(OTT!$BA$5:$BG$5,BW$177,OTT!$BA16:$BG16)</f>
        <v>0</v>
      </c>
      <c r="BX462" s="230">
        <f>SUMIF(OTT!$BA$5:$BG$5,BX$177,OTT!$BA16:$BG16)</f>
        <v>0</v>
      </c>
      <c r="BY462" s="998">
        <f>SUMIF(OTT!$BA$5:$BG$5,BY$177,OTT!$BA16:$BG16)</f>
        <v>0</v>
      </c>
      <c r="CB462" s="252"/>
      <c r="CC462" s="61" t="e">
        <f t="shared" si="106"/>
        <v>#N/A</v>
      </c>
      <c r="CD462" s="61">
        <f t="shared" si="107"/>
        <v>0</v>
      </c>
      <c r="CE462" s="105" t="str">
        <f t="shared" si="100"/>
        <v/>
      </c>
      <c r="CF462" s="61" t="e">
        <f t="shared" si="108"/>
        <v>#N/A</v>
      </c>
      <c r="CG462" s="61" t="e">
        <f t="shared" si="109"/>
        <v>#N/A</v>
      </c>
      <c r="CH462" s="521">
        <f>OTT!AL16-CW462+CR462</f>
        <v>0</v>
      </c>
      <c r="CI462" s="228">
        <f>SUMIF(OTT!$G$121:$M$121,CI$178,OTT!$AM16:$AS16)+SUMIF($CS$178:$CV$178,CI$178,$CS462:$CV462)</f>
        <v>0</v>
      </c>
      <c r="CJ462" s="229">
        <f>SUMIF(OTT!$G$121:$M$121,CJ$178,OTT!$AM16:$AS16)+SUMIF($CS$178:$CV$178,CJ$178,$CS462:$CV462)</f>
        <v>0</v>
      </c>
      <c r="CK462" s="230">
        <f>SUMIF(OTT!$G$121:$M$121,CK$178,OTT!$AM16:$AS16)+SUMIF($CS$178:$CV$178,CK$178,$CS462:$CV462)</f>
        <v>0</v>
      </c>
      <c r="CL462" s="230">
        <f>SUMIF(OTT!$G$121:$M$121,CL$178,OTT!$AM16:$AS16)+SUMIF($CS$178:$CV$178,CL$178,$CS462:$CV462)</f>
        <v>0</v>
      </c>
      <c r="CM462" s="230">
        <f>SUMIF(OTT!$G$121:$M$121,CM$178,OTT!$AM16:$AS16)+SUMIF($CS$178:$CV$178,CM$178,$CS462:$CV462)</f>
        <v>0</v>
      </c>
      <c r="CN462" s="230">
        <f>SUMIF(OTT!$G$121:$M$121,CN$178,OTT!$AM16:$AS16)+SUMIF($CS$178:$CV$178,CN$178,$CS462:$CV462)</f>
        <v>0</v>
      </c>
      <c r="CO462" s="230">
        <f>SUMIF(OTT!$G$121:$M$121,CO$178,OTT!$AM16:$AS16)+SUMIF($CS$178:$CV$178,CO$178,$CS462:$CV462)</f>
        <v>0</v>
      </c>
      <c r="CP462" s="230">
        <f>SUMIF(OTT!$G$121:$M$121,CP$178,OTT!$AM16:$AS16)+SUMIF($CS$178:$CV$178,CP$178,$CS462:$CV462)</f>
        <v>0</v>
      </c>
      <c r="CQ462" s="231">
        <f>SUMIF(OTT!$G$121:$M$121,CQ$178,OTT!$AM16:$AS16)+SUMIF($CS$178:$CV$178,CQ$178,$CS462:$CV462)</f>
        <v>0</v>
      </c>
      <c r="CR462" s="521">
        <f>OTT!AU16</f>
        <v>0</v>
      </c>
      <c r="CS462" s="228">
        <f>OTT!AV16</f>
        <v>0</v>
      </c>
      <c r="CT462" s="229">
        <f>OTT!AW16</f>
        <v>0</v>
      </c>
      <c r="CU462" s="230">
        <f>OTT!AX16</f>
        <v>0</v>
      </c>
      <c r="CV462" s="231">
        <f>OTT!AY16</f>
        <v>0</v>
      </c>
      <c r="CW462" s="521">
        <f>SUM(OTT!AU16:AY16)</f>
        <v>0</v>
      </c>
      <c r="CX462" s="521">
        <f>OTT!AK16</f>
        <v>0</v>
      </c>
      <c r="CY462" s="2"/>
    </row>
    <row r="463" spans="1:103" ht="14.25" hidden="1" customHeight="1" x14ac:dyDescent="0.2">
      <c r="A463" s="2"/>
      <c r="B463" s="105">
        <f t="shared" si="110"/>
        <v>45575</v>
      </c>
      <c r="C463" s="146">
        <f>IF(AND(E463&gt;(N$560-1),E463&lt;(R$560+1)),W$551,IF(ISERROR(HLOOKUP(E463,$N$553:$U$553,1,FALSE)),HLOOKUP(WEEKDAY(E463,2),IMPOSTAZIONI!$C$52:$P$57,6,FALSE),$W$550))</f>
        <v>0</v>
      </c>
      <c r="D463" s="71" t="str">
        <f t="shared" si="111"/>
        <v/>
      </c>
      <c r="E463" s="2258">
        <f t="shared" si="116"/>
        <v>45575</v>
      </c>
      <c r="F463" s="2259"/>
      <c r="G463" s="2228" t="str">
        <f>OTT!E17</f>
        <v xml:space="preserve">disattivato  </v>
      </c>
      <c r="H463" s="2229"/>
      <c r="I463" s="2230"/>
      <c r="J463" s="262" t="str">
        <f t="shared" si="101"/>
        <v/>
      </c>
      <c r="K463" s="263"/>
      <c r="L463" s="2217">
        <f t="shared" si="117"/>
        <v>41</v>
      </c>
      <c r="M463" s="2218"/>
      <c r="N463" s="261"/>
      <c r="O463" s="261"/>
      <c r="P463" s="261"/>
      <c r="Q463" s="2219">
        <f t="shared" si="112"/>
        <v>45575</v>
      </c>
      <c r="R463" s="2219"/>
      <c r="S463" s="261"/>
      <c r="T463" s="1173">
        <f t="shared" si="102"/>
        <v>1</v>
      </c>
      <c r="U463" s="261"/>
      <c r="V463" s="261"/>
      <c r="W463" s="261"/>
      <c r="X463" s="261"/>
      <c r="Y463" s="261"/>
      <c r="Z463" s="261"/>
      <c r="AA463" s="261"/>
      <c r="AB463" s="261"/>
      <c r="AC463" s="261"/>
      <c r="AD463" s="261"/>
      <c r="AE463" s="261"/>
      <c r="AF463" s="261"/>
      <c r="AG463" s="1173">
        <f t="shared" si="113"/>
        <v>0</v>
      </c>
      <c r="AH463" s="61" t="str">
        <f t="shared" si="114"/>
        <v/>
      </c>
      <c r="AI463" s="89" t="e">
        <f t="shared" si="115"/>
        <v>#N/A</v>
      </c>
      <c r="AJ463" s="2"/>
      <c r="AK463" s="61">
        <f>IF(G463=G$547,0,IF(OR(G463&lt;&gt;0,CH463&lt;&gt;0,C463="L"),COUNTIF(AK$180:AK462,"&gt;0")+1,0))</f>
        <v>0</v>
      </c>
      <c r="AL463" s="61" t="str">
        <f t="shared" si="103"/>
        <v/>
      </c>
      <c r="AM463" s="61" t="e">
        <f t="shared" si="104"/>
        <v>#N/A</v>
      </c>
      <c r="AN463" s="89" t="e">
        <f t="shared" si="105"/>
        <v>#N/A</v>
      </c>
      <c r="AO463" s="230">
        <f>SUM(OTT!X17:AD17)-BD463+AY463</f>
        <v>0</v>
      </c>
      <c r="AP463" s="228">
        <f>SUMIF(OTT!$G$121:$M$121,AP$178,OTT!$P17:$V17)+SUMIF($AZ$178:$BC$178,AP$178,$AZ463:$BC463)</f>
        <v>0</v>
      </c>
      <c r="AQ463" s="229">
        <f>SUMIF(OTT!$G$121:$M$121,AQ$178,OTT!$P17:$V17)+SUMIF($AZ$178:$BC$178,AQ$178,$AZ463:$BC463)</f>
        <v>0</v>
      </c>
      <c r="AR463" s="230">
        <f>SUMIF(OTT!$G$121:$M$121,AR$178,OTT!$P17:$V17)+SUMIF($AZ$178:$BC$178,AR$178,$AZ463:$BC463)</f>
        <v>0</v>
      </c>
      <c r="AS463" s="230">
        <f>SUMIF(OTT!$G$121:$M$121,AS$178,OTT!$P17:$V17)+SUMIF($AZ$178:$BC$178,AS$178,$AZ463:$BC463)</f>
        <v>0</v>
      </c>
      <c r="AT463" s="230">
        <f>SUMIF(OTT!$G$121:$M$121,AT$178,OTT!$P17:$V17)+SUMIF($AZ$178:$BC$178,AT$178,$AZ463:$BC463)</f>
        <v>0</v>
      </c>
      <c r="AU463" s="230">
        <f>SUMIF(OTT!$G$121:$M$121,AU$178,OTT!$P17:$V17)+SUMIF($AZ$178:$BC$178,AU$178,$AZ463:$BC463)</f>
        <v>0</v>
      </c>
      <c r="AV463" s="230">
        <f>SUMIF(OTT!$G$121:$M$121,AV$178,OTT!$P17:$V17)+SUMIF($AZ$178:$BC$178,AV$178,$AZ463:$BC463)</f>
        <v>0</v>
      </c>
      <c r="AW463" s="230">
        <f>SUMIF(OTT!$G$121:$M$121,AW$178,OTT!$P17:$V17)+SUMIF($AZ$178:$BC$178,AW$178,$AZ463:$BC463)</f>
        <v>0</v>
      </c>
      <c r="AX463" s="231">
        <f>SUMIF(OTT!$G$121:$M$121,AX$178,OTT!$P17:$V17)+SUMIF($AZ$178:$BC$178,AX$178,$AZ463:$BC463)</f>
        <v>0</v>
      </c>
      <c r="AY463" s="232">
        <f>OTT!AF17</f>
        <v>0</v>
      </c>
      <c r="AZ463" s="228">
        <f>OTT!AG17</f>
        <v>0</v>
      </c>
      <c r="BA463" s="229">
        <f>OTT!AH17</f>
        <v>0</v>
      </c>
      <c r="BB463" s="230">
        <f>OTT!AI17</f>
        <v>0</v>
      </c>
      <c r="BC463" s="231">
        <f>OTT!AJ17</f>
        <v>0</v>
      </c>
      <c r="BD463" s="228">
        <f>SUMIF(OTT!$G$120:$M$120,"&gt;0",OTT!$X17:$AD17)</f>
        <v>0</v>
      </c>
      <c r="BE463" s="696"/>
      <c r="BF463" s="228">
        <f>SUMIF(OTT!$BA$6:$BG$6,BF$177,OTT!$BA17:$BG17)</f>
        <v>0</v>
      </c>
      <c r="BG463" s="229">
        <f>SUMIF(OTT!$BA$6:$BG$6,BG$177,OTT!$BA17:$BG17)</f>
        <v>0</v>
      </c>
      <c r="BH463" s="229">
        <f>SUMIF(OTT!$BA$6:$BG$6,BH$177,OTT!$BA17:$BG17)</f>
        <v>0</v>
      </c>
      <c r="BI463" s="229">
        <f>SUMIF(OTT!$BA$6:$BG$6,BI$177,OTT!$BA17:$BG17)</f>
        <v>0</v>
      </c>
      <c r="BJ463" s="229">
        <f>SUMIF(OTT!$BA$6:$BG$6,BJ$177,OTT!$BA17:$BG17)</f>
        <v>0</v>
      </c>
      <c r="BK463" s="229">
        <f>SUMIF(OTT!$BA$6:$BG$6,BK$177,OTT!$BA17:$BG17)</f>
        <v>0</v>
      </c>
      <c r="BL463" s="229">
        <f>SUMIF(OTT!$BA$6:$BG$6,BL$177,OTT!$BA17:$BG17)</f>
        <v>0</v>
      </c>
      <c r="BM463" s="229">
        <f>SUMIF(OTT!$BA$6:$BG$6,BM$177,OTT!$BA17:$BG17)</f>
        <v>0</v>
      </c>
      <c r="BN463" s="229">
        <f>SUMIF(OTT!$BA$6:$BG$6,BN$177,OTT!$BA17:$BG17)</f>
        <v>0</v>
      </c>
      <c r="BO463" s="231">
        <f>SUMIF(OTT!$BA$6:$BG$6,BO$177,OTT!$BA17:$BG17)</f>
        <v>0</v>
      </c>
      <c r="BP463" s="231">
        <f>SUMIF(OTT!$BA$6:$BG$6,BP$177,OTT!$BA17:$BG17)</f>
        <v>0</v>
      </c>
      <c r="BQ463" s="252"/>
      <c r="BR463" s="228">
        <f>SUMIF(OTT!$BA$5:$BG$5,BR$177,OTT!$BA17:$BG17)</f>
        <v>0</v>
      </c>
      <c r="BS463" s="229">
        <f>SUMIF(OTT!$BA$5:$BG$5,BS$177,OTT!$BA17:$BG17)</f>
        <v>0</v>
      </c>
      <c r="BT463" s="229">
        <f>SUMIF(OTT!$BA$5:$BG$5,BT$177,OTT!$BA17:$BG17)</f>
        <v>0</v>
      </c>
      <c r="BU463" s="229">
        <f>SUMIF(OTT!$BA$5:$BG$5,BU$177,OTT!$BA17:$BG17)</f>
        <v>0</v>
      </c>
      <c r="BV463" s="229">
        <f>SUMIF(OTT!$BA$5:$BG$5,BV$177,OTT!$BA17:$BG17)</f>
        <v>0</v>
      </c>
      <c r="BW463" s="229">
        <f>SUMIF(OTT!$BA$5:$BG$5,BW$177,OTT!$BA17:$BG17)</f>
        <v>0</v>
      </c>
      <c r="BX463" s="230">
        <f>SUMIF(OTT!$BA$5:$BG$5,BX$177,OTT!$BA17:$BG17)</f>
        <v>0</v>
      </c>
      <c r="BY463" s="998">
        <f>SUMIF(OTT!$BA$5:$BG$5,BY$177,OTT!$BA17:$BG17)</f>
        <v>0</v>
      </c>
      <c r="CB463" s="252"/>
      <c r="CC463" s="61" t="e">
        <f t="shared" si="106"/>
        <v>#N/A</v>
      </c>
      <c r="CD463" s="61">
        <f t="shared" si="107"/>
        <v>0</v>
      </c>
      <c r="CE463" s="105" t="str">
        <f t="shared" si="100"/>
        <v/>
      </c>
      <c r="CF463" s="61" t="e">
        <f t="shared" si="108"/>
        <v>#N/A</v>
      </c>
      <c r="CG463" s="61" t="e">
        <f t="shared" si="109"/>
        <v>#N/A</v>
      </c>
      <c r="CH463" s="521">
        <f>OTT!AL17-CW463+CR463</f>
        <v>0</v>
      </c>
      <c r="CI463" s="228">
        <f>SUMIF(OTT!$G$121:$M$121,CI$178,OTT!$AM17:$AS17)+SUMIF($CS$178:$CV$178,CI$178,$CS463:$CV463)</f>
        <v>0</v>
      </c>
      <c r="CJ463" s="229">
        <f>SUMIF(OTT!$G$121:$M$121,CJ$178,OTT!$AM17:$AS17)+SUMIF($CS$178:$CV$178,CJ$178,$CS463:$CV463)</f>
        <v>0</v>
      </c>
      <c r="CK463" s="230">
        <f>SUMIF(OTT!$G$121:$M$121,CK$178,OTT!$AM17:$AS17)+SUMIF($CS$178:$CV$178,CK$178,$CS463:$CV463)</f>
        <v>0</v>
      </c>
      <c r="CL463" s="230">
        <f>SUMIF(OTT!$G$121:$M$121,CL$178,OTT!$AM17:$AS17)+SUMIF($CS$178:$CV$178,CL$178,$CS463:$CV463)</f>
        <v>0</v>
      </c>
      <c r="CM463" s="230">
        <f>SUMIF(OTT!$G$121:$M$121,CM$178,OTT!$AM17:$AS17)+SUMIF($CS$178:$CV$178,CM$178,$CS463:$CV463)</f>
        <v>0</v>
      </c>
      <c r="CN463" s="230">
        <f>SUMIF(OTT!$G$121:$M$121,CN$178,OTT!$AM17:$AS17)+SUMIF($CS$178:$CV$178,CN$178,$CS463:$CV463)</f>
        <v>0</v>
      </c>
      <c r="CO463" s="230">
        <f>SUMIF(OTT!$G$121:$M$121,CO$178,OTT!$AM17:$AS17)+SUMIF($CS$178:$CV$178,CO$178,$CS463:$CV463)</f>
        <v>0</v>
      </c>
      <c r="CP463" s="230">
        <f>SUMIF(OTT!$G$121:$M$121,CP$178,OTT!$AM17:$AS17)+SUMIF($CS$178:$CV$178,CP$178,$CS463:$CV463)</f>
        <v>0</v>
      </c>
      <c r="CQ463" s="231">
        <f>SUMIF(OTT!$G$121:$M$121,CQ$178,OTT!$AM17:$AS17)+SUMIF($CS$178:$CV$178,CQ$178,$CS463:$CV463)</f>
        <v>0</v>
      </c>
      <c r="CR463" s="521">
        <f>OTT!AU17</f>
        <v>0</v>
      </c>
      <c r="CS463" s="228">
        <f>OTT!AV17</f>
        <v>0</v>
      </c>
      <c r="CT463" s="229">
        <f>OTT!AW17</f>
        <v>0</v>
      </c>
      <c r="CU463" s="230">
        <f>OTT!AX17</f>
        <v>0</v>
      </c>
      <c r="CV463" s="231">
        <f>OTT!AY17</f>
        <v>0</v>
      </c>
      <c r="CW463" s="521">
        <f>SUM(OTT!AU17:AY17)</f>
        <v>0</v>
      </c>
      <c r="CX463" s="521">
        <f>OTT!AK17</f>
        <v>0</v>
      </c>
      <c r="CY463" s="2"/>
    </row>
    <row r="464" spans="1:103" ht="14.25" hidden="1" customHeight="1" x14ac:dyDescent="0.2">
      <c r="A464" s="2"/>
      <c r="B464" s="105">
        <f t="shared" si="110"/>
        <v>45576</v>
      </c>
      <c r="C464" s="146">
        <f>IF(AND(E464&gt;(N$560-1),E464&lt;(R$560+1)),W$551,IF(ISERROR(HLOOKUP(E464,$N$553:$U$553,1,FALSE)),HLOOKUP(WEEKDAY(E464,2),IMPOSTAZIONI!$C$52:$P$57,6,FALSE),$W$550))</f>
        <v>0</v>
      </c>
      <c r="D464" s="71" t="str">
        <f t="shared" si="111"/>
        <v/>
      </c>
      <c r="E464" s="2258">
        <f t="shared" si="116"/>
        <v>45576</v>
      </c>
      <c r="F464" s="2259"/>
      <c r="G464" s="2228" t="str">
        <f>OTT!E18</f>
        <v xml:space="preserve">disattivato  </v>
      </c>
      <c r="H464" s="2229"/>
      <c r="I464" s="2230"/>
      <c r="J464" s="262" t="str">
        <f t="shared" si="101"/>
        <v/>
      </c>
      <c r="K464" s="263"/>
      <c r="L464" s="2217">
        <f t="shared" si="117"/>
        <v>41</v>
      </c>
      <c r="M464" s="2218"/>
      <c r="N464" s="261"/>
      <c r="O464" s="261"/>
      <c r="P464" s="261"/>
      <c r="Q464" s="2219">
        <f t="shared" si="112"/>
        <v>45576</v>
      </c>
      <c r="R464" s="2219"/>
      <c r="S464" s="261"/>
      <c r="T464" s="1173">
        <f t="shared" si="102"/>
        <v>1</v>
      </c>
      <c r="U464" s="261"/>
      <c r="V464" s="261"/>
      <c r="W464" s="261"/>
      <c r="X464" s="261"/>
      <c r="Y464" s="261"/>
      <c r="Z464" s="261"/>
      <c r="AA464" s="261"/>
      <c r="AB464" s="261"/>
      <c r="AC464" s="261"/>
      <c r="AD464" s="261"/>
      <c r="AE464" s="261"/>
      <c r="AF464" s="261"/>
      <c r="AG464" s="1173">
        <f t="shared" si="113"/>
        <v>0</v>
      </c>
      <c r="AH464" s="61" t="str">
        <f t="shared" si="114"/>
        <v/>
      </c>
      <c r="AI464" s="89" t="e">
        <f t="shared" si="115"/>
        <v>#N/A</v>
      </c>
      <c r="AJ464" s="2"/>
      <c r="AK464" s="61">
        <f>IF(G464=G$547,0,IF(OR(G464&lt;&gt;0,CH464&lt;&gt;0,C464="L"),COUNTIF(AK$180:AK463,"&gt;0")+1,0))</f>
        <v>0</v>
      </c>
      <c r="AL464" s="61" t="str">
        <f t="shared" si="103"/>
        <v/>
      </c>
      <c r="AM464" s="61" t="e">
        <f t="shared" si="104"/>
        <v>#N/A</v>
      </c>
      <c r="AN464" s="89" t="e">
        <f t="shared" si="105"/>
        <v>#N/A</v>
      </c>
      <c r="AO464" s="230">
        <f>SUM(OTT!X18:AD18)-BD464+AY464</f>
        <v>0</v>
      </c>
      <c r="AP464" s="228">
        <f>SUMIF(OTT!$G$121:$M$121,AP$178,OTT!$P18:$V18)+SUMIF($AZ$178:$BC$178,AP$178,$AZ464:$BC464)</f>
        <v>0</v>
      </c>
      <c r="AQ464" s="229">
        <f>SUMIF(OTT!$G$121:$M$121,AQ$178,OTT!$P18:$V18)+SUMIF($AZ$178:$BC$178,AQ$178,$AZ464:$BC464)</f>
        <v>0</v>
      </c>
      <c r="AR464" s="230">
        <f>SUMIF(OTT!$G$121:$M$121,AR$178,OTT!$P18:$V18)+SUMIF($AZ$178:$BC$178,AR$178,$AZ464:$BC464)</f>
        <v>0</v>
      </c>
      <c r="AS464" s="230">
        <f>SUMIF(OTT!$G$121:$M$121,AS$178,OTT!$P18:$V18)+SUMIF($AZ$178:$BC$178,AS$178,$AZ464:$BC464)</f>
        <v>0</v>
      </c>
      <c r="AT464" s="230">
        <f>SUMIF(OTT!$G$121:$M$121,AT$178,OTT!$P18:$V18)+SUMIF($AZ$178:$BC$178,AT$178,$AZ464:$BC464)</f>
        <v>0</v>
      </c>
      <c r="AU464" s="230">
        <f>SUMIF(OTT!$G$121:$M$121,AU$178,OTT!$P18:$V18)+SUMIF($AZ$178:$BC$178,AU$178,$AZ464:$BC464)</f>
        <v>0</v>
      </c>
      <c r="AV464" s="230">
        <f>SUMIF(OTT!$G$121:$M$121,AV$178,OTT!$P18:$V18)+SUMIF($AZ$178:$BC$178,AV$178,$AZ464:$BC464)</f>
        <v>0</v>
      </c>
      <c r="AW464" s="230">
        <f>SUMIF(OTT!$G$121:$M$121,AW$178,OTT!$P18:$V18)+SUMIF($AZ$178:$BC$178,AW$178,$AZ464:$BC464)</f>
        <v>0</v>
      </c>
      <c r="AX464" s="231">
        <f>SUMIF(OTT!$G$121:$M$121,AX$178,OTT!$P18:$V18)+SUMIF($AZ$178:$BC$178,AX$178,$AZ464:$BC464)</f>
        <v>0</v>
      </c>
      <c r="AY464" s="232">
        <f>OTT!AF18</f>
        <v>0</v>
      </c>
      <c r="AZ464" s="228">
        <f>OTT!AG18</f>
        <v>0</v>
      </c>
      <c r="BA464" s="229">
        <f>OTT!AH18</f>
        <v>0</v>
      </c>
      <c r="BB464" s="230">
        <f>OTT!AI18</f>
        <v>0</v>
      </c>
      <c r="BC464" s="231">
        <f>OTT!AJ18</f>
        <v>0</v>
      </c>
      <c r="BD464" s="228">
        <f>SUMIF(OTT!$G$120:$M$120,"&gt;0",OTT!$X18:$AD18)</f>
        <v>0</v>
      </c>
      <c r="BE464" s="696"/>
      <c r="BF464" s="228">
        <f>SUMIF(OTT!$BA$6:$BG$6,BF$177,OTT!$BA18:$BG18)</f>
        <v>0</v>
      </c>
      <c r="BG464" s="229">
        <f>SUMIF(OTT!$BA$6:$BG$6,BG$177,OTT!$BA18:$BG18)</f>
        <v>0</v>
      </c>
      <c r="BH464" s="229">
        <f>SUMIF(OTT!$BA$6:$BG$6,BH$177,OTT!$BA18:$BG18)</f>
        <v>0</v>
      </c>
      <c r="BI464" s="229">
        <f>SUMIF(OTT!$BA$6:$BG$6,BI$177,OTT!$BA18:$BG18)</f>
        <v>0</v>
      </c>
      <c r="BJ464" s="229">
        <f>SUMIF(OTT!$BA$6:$BG$6,BJ$177,OTT!$BA18:$BG18)</f>
        <v>0</v>
      </c>
      <c r="BK464" s="229">
        <f>SUMIF(OTT!$BA$6:$BG$6,BK$177,OTT!$BA18:$BG18)</f>
        <v>0</v>
      </c>
      <c r="BL464" s="229">
        <f>SUMIF(OTT!$BA$6:$BG$6,BL$177,OTT!$BA18:$BG18)</f>
        <v>0</v>
      </c>
      <c r="BM464" s="229">
        <f>SUMIF(OTT!$BA$6:$BG$6,BM$177,OTT!$BA18:$BG18)</f>
        <v>0</v>
      </c>
      <c r="BN464" s="229">
        <f>SUMIF(OTT!$BA$6:$BG$6,BN$177,OTT!$BA18:$BG18)</f>
        <v>0</v>
      </c>
      <c r="BO464" s="231">
        <f>SUMIF(OTT!$BA$6:$BG$6,BO$177,OTT!$BA18:$BG18)</f>
        <v>0</v>
      </c>
      <c r="BP464" s="231">
        <f>SUMIF(OTT!$BA$6:$BG$6,BP$177,OTT!$BA18:$BG18)</f>
        <v>0</v>
      </c>
      <c r="BQ464" s="252"/>
      <c r="BR464" s="228">
        <f>SUMIF(OTT!$BA$5:$BG$5,BR$177,OTT!$BA18:$BG18)</f>
        <v>0</v>
      </c>
      <c r="BS464" s="229">
        <f>SUMIF(OTT!$BA$5:$BG$5,BS$177,OTT!$BA18:$BG18)</f>
        <v>0</v>
      </c>
      <c r="BT464" s="229">
        <f>SUMIF(OTT!$BA$5:$BG$5,BT$177,OTT!$BA18:$BG18)</f>
        <v>0</v>
      </c>
      <c r="BU464" s="229">
        <f>SUMIF(OTT!$BA$5:$BG$5,BU$177,OTT!$BA18:$BG18)</f>
        <v>0</v>
      </c>
      <c r="BV464" s="229">
        <f>SUMIF(OTT!$BA$5:$BG$5,BV$177,OTT!$BA18:$BG18)</f>
        <v>0</v>
      </c>
      <c r="BW464" s="229">
        <f>SUMIF(OTT!$BA$5:$BG$5,BW$177,OTT!$BA18:$BG18)</f>
        <v>0</v>
      </c>
      <c r="BX464" s="230">
        <f>SUMIF(OTT!$BA$5:$BG$5,BX$177,OTT!$BA18:$BG18)</f>
        <v>0</v>
      </c>
      <c r="BY464" s="998">
        <f>SUMIF(OTT!$BA$5:$BG$5,BY$177,OTT!$BA18:$BG18)</f>
        <v>0</v>
      </c>
      <c r="CB464" s="252"/>
      <c r="CC464" s="61" t="e">
        <f t="shared" si="106"/>
        <v>#N/A</v>
      </c>
      <c r="CD464" s="61">
        <f t="shared" si="107"/>
        <v>0</v>
      </c>
      <c r="CE464" s="105" t="str">
        <f t="shared" si="100"/>
        <v/>
      </c>
      <c r="CF464" s="61" t="e">
        <f t="shared" si="108"/>
        <v>#N/A</v>
      </c>
      <c r="CG464" s="61" t="e">
        <f t="shared" si="109"/>
        <v>#N/A</v>
      </c>
      <c r="CH464" s="521">
        <f>OTT!AL18-CW464+CR464</f>
        <v>0</v>
      </c>
      <c r="CI464" s="228">
        <f>SUMIF(OTT!$G$121:$M$121,CI$178,OTT!$AM18:$AS18)+SUMIF($CS$178:$CV$178,CI$178,$CS464:$CV464)</f>
        <v>0</v>
      </c>
      <c r="CJ464" s="229">
        <f>SUMIF(OTT!$G$121:$M$121,CJ$178,OTT!$AM18:$AS18)+SUMIF($CS$178:$CV$178,CJ$178,$CS464:$CV464)</f>
        <v>0</v>
      </c>
      <c r="CK464" s="230">
        <f>SUMIF(OTT!$G$121:$M$121,CK$178,OTT!$AM18:$AS18)+SUMIF($CS$178:$CV$178,CK$178,$CS464:$CV464)</f>
        <v>0</v>
      </c>
      <c r="CL464" s="230">
        <f>SUMIF(OTT!$G$121:$M$121,CL$178,OTT!$AM18:$AS18)+SUMIF($CS$178:$CV$178,CL$178,$CS464:$CV464)</f>
        <v>0</v>
      </c>
      <c r="CM464" s="230">
        <f>SUMIF(OTT!$G$121:$M$121,CM$178,OTT!$AM18:$AS18)+SUMIF($CS$178:$CV$178,CM$178,$CS464:$CV464)</f>
        <v>0</v>
      </c>
      <c r="CN464" s="230">
        <f>SUMIF(OTT!$G$121:$M$121,CN$178,OTT!$AM18:$AS18)+SUMIF($CS$178:$CV$178,CN$178,$CS464:$CV464)</f>
        <v>0</v>
      </c>
      <c r="CO464" s="230">
        <f>SUMIF(OTT!$G$121:$M$121,CO$178,OTT!$AM18:$AS18)+SUMIF($CS$178:$CV$178,CO$178,$CS464:$CV464)</f>
        <v>0</v>
      </c>
      <c r="CP464" s="230">
        <f>SUMIF(OTT!$G$121:$M$121,CP$178,OTT!$AM18:$AS18)+SUMIF($CS$178:$CV$178,CP$178,$CS464:$CV464)</f>
        <v>0</v>
      </c>
      <c r="CQ464" s="231">
        <f>SUMIF(OTT!$G$121:$M$121,CQ$178,OTT!$AM18:$AS18)+SUMIF($CS$178:$CV$178,CQ$178,$CS464:$CV464)</f>
        <v>0</v>
      </c>
      <c r="CR464" s="521">
        <f>OTT!AU18</f>
        <v>0</v>
      </c>
      <c r="CS464" s="228">
        <f>OTT!AV18</f>
        <v>0</v>
      </c>
      <c r="CT464" s="229">
        <f>OTT!AW18</f>
        <v>0</v>
      </c>
      <c r="CU464" s="230">
        <f>OTT!AX18</f>
        <v>0</v>
      </c>
      <c r="CV464" s="231">
        <f>OTT!AY18</f>
        <v>0</v>
      </c>
      <c r="CW464" s="521">
        <f>SUM(OTT!AU18:AY18)</f>
        <v>0</v>
      </c>
      <c r="CX464" s="521">
        <f>OTT!AK18</f>
        <v>0</v>
      </c>
      <c r="CY464" s="2"/>
    </row>
    <row r="465" spans="1:103" ht="14.25" hidden="1" customHeight="1" x14ac:dyDescent="0.2">
      <c r="A465" s="2"/>
      <c r="B465" s="105">
        <f t="shared" si="110"/>
        <v>45577</v>
      </c>
      <c r="C465" s="146">
        <f>IF(AND(E465&gt;(N$560-1),E465&lt;(R$560+1)),W$551,IF(ISERROR(HLOOKUP(E465,$N$553:$U$553,1,FALSE)),HLOOKUP(WEEKDAY(E465,2),IMPOSTAZIONI!$C$52:$P$57,6,FALSE),$W$550))</f>
        <v>0</v>
      </c>
      <c r="D465" s="71" t="str">
        <f t="shared" si="111"/>
        <v/>
      </c>
      <c r="E465" s="2258">
        <f t="shared" si="116"/>
        <v>45577</v>
      </c>
      <c r="F465" s="2259"/>
      <c r="G465" s="2228" t="str">
        <f>OTT!E19</f>
        <v xml:space="preserve">disattivato  </v>
      </c>
      <c r="H465" s="2229"/>
      <c r="I465" s="2230"/>
      <c r="J465" s="262" t="str">
        <f t="shared" si="101"/>
        <v/>
      </c>
      <c r="K465" s="263"/>
      <c r="L465" s="2217">
        <f t="shared" si="117"/>
        <v>41</v>
      </c>
      <c r="M465" s="2218"/>
      <c r="N465" s="261"/>
      <c r="O465" s="261"/>
      <c r="P465" s="261"/>
      <c r="Q465" s="2219">
        <f t="shared" si="112"/>
        <v>45577</v>
      </c>
      <c r="R465" s="2219"/>
      <c r="S465" s="261"/>
      <c r="T465" s="1173">
        <f t="shared" si="102"/>
        <v>1</v>
      </c>
      <c r="U465" s="261"/>
      <c r="V465" s="261"/>
      <c r="W465" s="261"/>
      <c r="X465" s="261"/>
      <c r="Y465" s="261"/>
      <c r="Z465" s="261"/>
      <c r="AA465" s="261"/>
      <c r="AB465" s="261"/>
      <c r="AC465" s="261"/>
      <c r="AD465" s="261"/>
      <c r="AE465" s="261"/>
      <c r="AF465" s="261"/>
      <c r="AG465" s="1173">
        <f t="shared" si="113"/>
        <v>0</v>
      </c>
      <c r="AH465" s="61" t="str">
        <f t="shared" si="114"/>
        <v/>
      </c>
      <c r="AI465" s="89" t="e">
        <f t="shared" si="115"/>
        <v>#N/A</v>
      </c>
      <c r="AJ465" s="2"/>
      <c r="AK465" s="61">
        <f>IF(G465=G$547,0,IF(OR(G465&lt;&gt;0,CH465&lt;&gt;0,C465="L"),COUNTIF(AK$180:AK464,"&gt;0")+1,0))</f>
        <v>0</v>
      </c>
      <c r="AL465" s="61" t="str">
        <f t="shared" si="103"/>
        <v/>
      </c>
      <c r="AM465" s="61" t="e">
        <f t="shared" si="104"/>
        <v>#N/A</v>
      </c>
      <c r="AN465" s="89" t="e">
        <f t="shared" si="105"/>
        <v>#N/A</v>
      </c>
      <c r="AO465" s="230">
        <f>SUM(OTT!X19:AD19)-BD465+AY465</f>
        <v>0</v>
      </c>
      <c r="AP465" s="228">
        <f>SUMIF(OTT!$G$121:$M$121,AP$178,OTT!$P19:$V19)+SUMIF($AZ$178:$BC$178,AP$178,$AZ465:$BC465)</f>
        <v>0</v>
      </c>
      <c r="AQ465" s="229">
        <f>SUMIF(OTT!$G$121:$M$121,AQ$178,OTT!$P19:$V19)+SUMIF($AZ$178:$BC$178,AQ$178,$AZ465:$BC465)</f>
        <v>0</v>
      </c>
      <c r="AR465" s="230">
        <f>SUMIF(OTT!$G$121:$M$121,AR$178,OTT!$P19:$V19)+SUMIF($AZ$178:$BC$178,AR$178,$AZ465:$BC465)</f>
        <v>0</v>
      </c>
      <c r="AS465" s="230">
        <f>SUMIF(OTT!$G$121:$M$121,AS$178,OTT!$P19:$V19)+SUMIF($AZ$178:$BC$178,AS$178,$AZ465:$BC465)</f>
        <v>0</v>
      </c>
      <c r="AT465" s="230">
        <f>SUMIF(OTT!$G$121:$M$121,AT$178,OTT!$P19:$V19)+SUMIF($AZ$178:$BC$178,AT$178,$AZ465:$BC465)</f>
        <v>0</v>
      </c>
      <c r="AU465" s="230">
        <f>SUMIF(OTT!$G$121:$M$121,AU$178,OTT!$P19:$V19)+SUMIF($AZ$178:$BC$178,AU$178,$AZ465:$BC465)</f>
        <v>0</v>
      </c>
      <c r="AV465" s="230">
        <f>SUMIF(OTT!$G$121:$M$121,AV$178,OTT!$P19:$V19)+SUMIF($AZ$178:$BC$178,AV$178,$AZ465:$BC465)</f>
        <v>0</v>
      </c>
      <c r="AW465" s="230">
        <f>SUMIF(OTT!$G$121:$M$121,AW$178,OTT!$P19:$V19)+SUMIF($AZ$178:$BC$178,AW$178,$AZ465:$BC465)</f>
        <v>0</v>
      </c>
      <c r="AX465" s="231">
        <f>SUMIF(OTT!$G$121:$M$121,AX$178,OTT!$P19:$V19)+SUMIF($AZ$178:$BC$178,AX$178,$AZ465:$BC465)</f>
        <v>0</v>
      </c>
      <c r="AY465" s="232">
        <f>OTT!AF19</f>
        <v>0</v>
      </c>
      <c r="AZ465" s="228">
        <f>OTT!AG19</f>
        <v>0</v>
      </c>
      <c r="BA465" s="229">
        <f>OTT!AH19</f>
        <v>0</v>
      </c>
      <c r="BB465" s="230">
        <f>OTT!AI19</f>
        <v>0</v>
      </c>
      <c r="BC465" s="231">
        <f>OTT!AJ19</f>
        <v>0</v>
      </c>
      <c r="BD465" s="228">
        <f>SUMIF(OTT!$G$120:$M$120,"&gt;0",OTT!$X19:$AD19)</f>
        <v>0</v>
      </c>
      <c r="BE465" s="696"/>
      <c r="BF465" s="228">
        <f>SUMIF(OTT!$BA$6:$BG$6,BF$177,OTT!$BA19:$BG19)</f>
        <v>0</v>
      </c>
      <c r="BG465" s="229">
        <f>SUMIF(OTT!$BA$6:$BG$6,BG$177,OTT!$BA19:$BG19)</f>
        <v>0</v>
      </c>
      <c r="BH465" s="229">
        <f>SUMIF(OTT!$BA$6:$BG$6,BH$177,OTT!$BA19:$BG19)</f>
        <v>0</v>
      </c>
      <c r="BI465" s="229">
        <f>SUMIF(OTT!$BA$6:$BG$6,BI$177,OTT!$BA19:$BG19)</f>
        <v>0</v>
      </c>
      <c r="BJ465" s="229">
        <f>SUMIF(OTT!$BA$6:$BG$6,BJ$177,OTT!$BA19:$BG19)</f>
        <v>0</v>
      </c>
      <c r="BK465" s="229">
        <f>SUMIF(OTT!$BA$6:$BG$6,BK$177,OTT!$BA19:$BG19)</f>
        <v>0</v>
      </c>
      <c r="BL465" s="229">
        <f>SUMIF(OTT!$BA$6:$BG$6,BL$177,OTT!$BA19:$BG19)</f>
        <v>0</v>
      </c>
      <c r="BM465" s="229">
        <f>SUMIF(OTT!$BA$6:$BG$6,BM$177,OTT!$BA19:$BG19)</f>
        <v>0</v>
      </c>
      <c r="BN465" s="229">
        <f>SUMIF(OTT!$BA$6:$BG$6,BN$177,OTT!$BA19:$BG19)</f>
        <v>0</v>
      </c>
      <c r="BO465" s="231">
        <f>SUMIF(OTT!$BA$6:$BG$6,BO$177,OTT!$BA19:$BG19)</f>
        <v>0</v>
      </c>
      <c r="BP465" s="231">
        <f>SUMIF(OTT!$BA$6:$BG$6,BP$177,OTT!$BA19:$BG19)</f>
        <v>0</v>
      </c>
      <c r="BQ465" s="252"/>
      <c r="BR465" s="228">
        <f>SUMIF(OTT!$BA$5:$BG$5,BR$177,OTT!$BA19:$BG19)</f>
        <v>0</v>
      </c>
      <c r="BS465" s="229">
        <f>SUMIF(OTT!$BA$5:$BG$5,BS$177,OTT!$BA19:$BG19)</f>
        <v>0</v>
      </c>
      <c r="BT465" s="229">
        <f>SUMIF(OTT!$BA$5:$BG$5,BT$177,OTT!$BA19:$BG19)</f>
        <v>0</v>
      </c>
      <c r="BU465" s="229">
        <f>SUMIF(OTT!$BA$5:$BG$5,BU$177,OTT!$BA19:$BG19)</f>
        <v>0</v>
      </c>
      <c r="BV465" s="229">
        <f>SUMIF(OTT!$BA$5:$BG$5,BV$177,OTT!$BA19:$BG19)</f>
        <v>0</v>
      </c>
      <c r="BW465" s="229">
        <f>SUMIF(OTT!$BA$5:$BG$5,BW$177,OTT!$BA19:$BG19)</f>
        <v>0</v>
      </c>
      <c r="BX465" s="230">
        <f>SUMIF(OTT!$BA$5:$BG$5,BX$177,OTT!$BA19:$BG19)</f>
        <v>0</v>
      </c>
      <c r="BY465" s="998">
        <f>SUMIF(OTT!$BA$5:$BG$5,BY$177,OTT!$BA19:$BG19)</f>
        <v>0</v>
      </c>
      <c r="CB465" s="252"/>
      <c r="CC465" s="61" t="e">
        <f t="shared" si="106"/>
        <v>#N/A</v>
      </c>
      <c r="CD465" s="61">
        <f t="shared" si="107"/>
        <v>0</v>
      </c>
      <c r="CE465" s="105" t="str">
        <f t="shared" si="100"/>
        <v/>
      </c>
      <c r="CF465" s="61" t="e">
        <f t="shared" si="108"/>
        <v>#N/A</v>
      </c>
      <c r="CG465" s="61" t="e">
        <f t="shared" si="109"/>
        <v>#N/A</v>
      </c>
      <c r="CH465" s="521">
        <f>OTT!AL19-CW465+CR465</f>
        <v>0</v>
      </c>
      <c r="CI465" s="228">
        <f>SUMIF(OTT!$G$121:$M$121,CI$178,OTT!$AM19:$AS19)+SUMIF($CS$178:$CV$178,CI$178,$CS465:$CV465)</f>
        <v>0</v>
      </c>
      <c r="CJ465" s="229">
        <f>SUMIF(OTT!$G$121:$M$121,CJ$178,OTT!$AM19:$AS19)+SUMIF($CS$178:$CV$178,CJ$178,$CS465:$CV465)</f>
        <v>0</v>
      </c>
      <c r="CK465" s="230">
        <f>SUMIF(OTT!$G$121:$M$121,CK$178,OTT!$AM19:$AS19)+SUMIF($CS$178:$CV$178,CK$178,$CS465:$CV465)</f>
        <v>0</v>
      </c>
      <c r="CL465" s="230">
        <f>SUMIF(OTT!$G$121:$M$121,CL$178,OTT!$AM19:$AS19)+SUMIF($CS$178:$CV$178,CL$178,$CS465:$CV465)</f>
        <v>0</v>
      </c>
      <c r="CM465" s="230">
        <f>SUMIF(OTT!$G$121:$M$121,CM$178,OTT!$AM19:$AS19)+SUMIF($CS$178:$CV$178,CM$178,$CS465:$CV465)</f>
        <v>0</v>
      </c>
      <c r="CN465" s="230">
        <f>SUMIF(OTT!$G$121:$M$121,CN$178,OTT!$AM19:$AS19)+SUMIF($CS$178:$CV$178,CN$178,$CS465:$CV465)</f>
        <v>0</v>
      </c>
      <c r="CO465" s="230">
        <f>SUMIF(OTT!$G$121:$M$121,CO$178,OTT!$AM19:$AS19)+SUMIF($CS$178:$CV$178,CO$178,$CS465:$CV465)</f>
        <v>0</v>
      </c>
      <c r="CP465" s="230">
        <f>SUMIF(OTT!$G$121:$M$121,CP$178,OTT!$AM19:$AS19)+SUMIF($CS$178:$CV$178,CP$178,$CS465:$CV465)</f>
        <v>0</v>
      </c>
      <c r="CQ465" s="231">
        <f>SUMIF(OTT!$G$121:$M$121,CQ$178,OTT!$AM19:$AS19)+SUMIF($CS$178:$CV$178,CQ$178,$CS465:$CV465)</f>
        <v>0</v>
      </c>
      <c r="CR465" s="521">
        <f>OTT!AU19</f>
        <v>0</v>
      </c>
      <c r="CS465" s="228">
        <f>OTT!AV19</f>
        <v>0</v>
      </c>
      <c r="CT465" s="229">
        <f>OTT!AW19</f>
        <v>0</v>
      </c>
      <c r="CU465" s="230">
        <f>OTT!AX19</f>
        <v>0</v>
      </c>
      <c r="CV465" s="231">
        <f>OTT!AY19</f>
        <v>0</v>
      </c>
      <c r="CW465" s="521">
        <f>SUM(OTT!AU19:AY19)</f>
        <v>0</v>
      </c>
      <c r="CX465" s="521">
        <f>OTT!AK19</f>
        <v>0</v>
      </c>
      <c r="CY465" s="2"/>
    </row>
    <row r="466" spans="1:103" ht="14.25" hidden="1" customHeight="1" x14ac:dyDescent="0.2">
      <c r="A466" s="2"/>
      <c r="B466" s="105">
        <f t="shared" si="110"/>
        <v>45578</v>
      </c>
      <c r="C466" s="146">
        <f>IF(AND(E466&gt;(N$560-1),E466&lt;(R$560+1)),W$551,IF(ISERROR(HLOOKUP(E466,$N$553:$U$553,1,FALSE)),HLOOKUP(WEEKDAY(E466,2),IMPOSTAZIONI!$C$52:$P$57,6,FALSE),$W$550))</f>
        <v>0</v>
      </c>
      <c r="D466" s="71" t="str">
        <f t="shared" si="111"/>
        <v/>
      </c>
      <c r="E466" s="2258">
        <f t="shared" si="116"/>
        <v>45578</v>
      </c>
      <c r="F466" s="2259"/>
      <c r="G466" s="2228" t="str">
        <f>OTT!E20</f>
        <v xml:space="preserve">disattivato  </v>
      </c>
      <c r="H466" s="2229"/>
      <c r="I466" s="2230"/>
      <c r="J466" s="262" t="str">
        <f t="shared" si="101"/>
        <v/>
      </c>
      <c r="K466" s="263"/>
      <c r="L466" s="2220">
        <f t="shared" si="117"/>
        <v>41</v>
      </c>
      <c r="M466" s="2221"/>
      <c r="N466" s="261"/>
      <c r="O466" s="261"/>
      <c r="P466" s="261"/>
      <c r="Q466" s="2219">
        <f t="shared" si="112"/>
        <v>45578</v>
      </c>
      <c r="R466" s="2219"/>
      <c r="S466" s="261"/>
      <c r="T466" s="1173">
        <f t="shared" si="102"/>
        <v>1</v>
      </c>
      <c r="U466" s="261"/>
      <c r="V466" s="261"/>
      <c r="W466" s="261"/>
      <c r="X466" s="261"/>
      <c r="Y466" s="261"/>
      <c r="Z466" s="261"/>
      <c r="AA466" s="261"/>
      <c r="AB466" s="261"/>
      <c r="AC466" s="261"/>
      <c r="AD466" s="261"/>
      <c r="AE466" s="261"/>
      <c r="AF466" s="261"/>
      <c r="AG466" s="1173">
        <f t="shared" si="113"/>
        <v>0</v>
      </c>
      <c r="AH466" s="61" t="str">
        <f t="shared" si="114"/>
        <v/>
      </c>
      <c r="AI466" s="89" t="e">
        <f t="shared" si="115"/>
        <v>#N/A</v>
      </c>
      <c r="AJ466" s="2"/>
      <c r="AK466" s="61">
        <f>IF(G466=G$547,0,IF(OR(G466&lt;&gt;0,CH466&lt;&gt;0,C466="L"),COUNTIF(AK$180:AK465,"&gt;0")+1,0))</f>
        <v>0</v>
      </c>
      <c r="AL466" s="61" t="str">
        <f t="shared" si="103"/>
        <v/>
      </c>
      <c r="AM466" s="61" t="e">
        <f t="shared" si="104"/>
        <v>#N/A</v>
      </c>
      <c r="AN466" s="89" t="e">
        <f t="shared" si="105"/>
        <v>#N/A</v>
      </c>
      <c r="AO466" s="230">
        <f>SUM(OTT!X20:AD20)-BD466+AY466</f>
        <v>0</v>
      </c>
      <c r="AP466" s="228">
        <f>SUMIF(OTT!$G$121:$M$121,AP$178,OTT!$P20:$V20)+SUMIF($AZ$178:$BC$178,AP$178,$AZ466:$BC466)</f>
        <v>0</v>
      </c>
      <c r="AQ466" s="229">
        <f>SUMIF(OTT!$G$121:$M$121,AQ$178,OTT!$P20:$V20)+SUMIF($AZ$178:$BC$178,AQ$178,$AZ466:$BC466)</f>
        <v>0</v>
      </c>
      <c r="AR466" s="230">
        <f>SUMIF(OTT!$G$121:$M$121,AR$178,OTT!$P20:$V20)+SUMIF($AZ$178:$BC$178,AR$178,$AZ466:$BC466)</f>
        <v>0</v>
      </c>
      <c r="AS466" s="230">
        <f>SUMIF(OTT!$G$121:$M$121,AS$178,OTT!$P20:$V20)+SUMIF($AZ$178:$BC$178,AS$178,$AZ466:$BC466)</f>
        <v>0</v>
      </c>
      <c r="AT466" s="230">
        <f>SUMIF(OTT!$G$121:$M$121,AT$178,OTT!$P20:$V20)+SUMIF($AZ$178:$BC$178,AT$178,$AZ466:$BC466)</f>
        <v>0</v>
      </c>
      <c r="AU466" s="230">
        <f>SUMIF(OTT!$G$121:$M$121,AU$178,OTT!$P20:$V20)+SUMIF($AZ$178:$BC$178,AU$178,$AZ466:$BC466)</f>
        <v>0</v>
      </c>
      <c r="AV466" s="230">
        <f>SUMIF(OTT!$G$121:$M$121,AV$178,OTT!$P20:$V20)+SUMIF($AZ$178:$BC$178,AV$178,$AZ466:$BC466)</f>
        <v>0</v>
      </c>
      <c r="AW466" s="230">
        <f>SUMIF(OTT!$G$121:$M$121,AW$178,OTT!$P20:$V20)+SUMIF($AZ$178:$BC$178,AW$178,$AZ466:$BC466)</f>
        <v>0</v>
      </c>
      <c r="AX466" s="231">
        <f>SUMIF(OTT!$G$121:$M$121,AX$178,OTT!$P20:$V20)+SUMIF($AZ$178:$BC$178,AX$178,$AZ466:$BC466)</f>
        <v>0</v>
      </c>
      <c r="AY466" s="232">
        <f>OTT!AF20</f>
        <v>0</v>
      </c>
      <c r="AZ466" s="228">
        <f>OTT!AG20</f>
        <v>0</v>
      </c>
      <c r="BA466" s="229">
        <f>OTT!AH20</f>
        <v>0</v>
      </c>
      <c r="BB466" s="230">
        <f>OTT!AI20</f>
        <v>0</v>
      </c>
      <c r="BC466" s="231">
        <f>OTT!AJ20</f>
        <v>0</v>
      </c>
      <c r="BD466" s="228">
        <f>SUMIF(OTT!$G$120:$M$120,"&gt;0",OTT!$X20:$AD20)</f>
        <v>0</v>
      </c>
      <c r="BE466" s="696"/>
      <c r="BF466" s="228">
        <f>SUMIF(OTT!$BA$6:$BG$6,BF$177,OTT!$BA20:$BG20)</f>
        <v>0</v>
      </c>
      <c r="BG466" s="229">
        <f>SUMIF(OTT!$BA$6:$BG$6,BG$177,OTT!$BA20:$BG20)</f>
        <v>0</v>
      </c>
      <c r="BH466" s="229">
        <f>SUMIF(OTT!$BA$6:$BG$6,BH$177,OTT!$BA20:$BG20)</f>
        <v>0</v>
      </c>
      <c r="BI466" s="229">
        <f>SUMIF(OTT!$BA$6:$BG$6,BI$177,OTT!$BA20:$BG20)</f>
        <v>0</v>
      </c>
      <c r="BJ466" s="229">
        <f>SUMIF(OTT!$BA$6:$BG$6,BJ$177,OTT!$BA20:$BG20)</f>
        <v>0</v>
      </c>
      <c r="BK466" s="229">
        <f>SUMIF(OTT!$BA$6:$BG$6,BK$177,OTT!$BA20:$BG20)</f>
        <v>0</v>
      </c>
      <c r="BL466" s="229">
        <f>SUMIF(OTT!$BA$6:$BG$6,BL$177,OTT!$BA20:$BG20)</f>
        <v>0</v>
      </c>
      <c r="BM466" s="229">
        <f>SUMIF(OTT!$BA$6:$BG$6,BM$177,OTT!$BA20:$BG20)</f>
        <v>0</v>
      </c>
      <c r="BN466" s="229">
        <f>SUMIF(OTT!$BA$6:$BG$6,BN$177,OTT!$BA20:$BG20)</f>
        <v>0</v>
      </c>
      <c r="BO466" s="231">
        <f>SUMIF(OTT!$BA$6:$BG$6,BO$177,OTT!$BA20:$BG20)</f>
        <v>0</v>
      </c>
      <c r="BP466" s="231">
        <f>SUMIF(OTT!$BA$6:$BG$6,BP$177,OTT!$BA20:$BG20)</f>
        <v>0</v>
      </c>
      <c r="BQ466" s="252"/>
      <c r="BR466" s="228">
        <f>SUMIF(OTT!$BA$5:$BG$5,BR$177,OTT!$BA20:$BG20)</f>
        <v>0</v>
      </c>
      <c r="BS466" s="229">
        <f>SUMIF(OTT!$BA$5:$BG$5,BS$177,OTT!$BA20:$BG20)</f>
        <v>0</v>
      </c>
      <c r="BT466" s="229">
        <f>SUMIF(OTT!$BA$5:$BG$5,BT$177,OTT!$BA20:$BG20)</f>
        <v>0</v>
      </c>
      <c r="BU466" s="229">
        <f>SUMIF(OTT!$BA$5:$BG$5,BU$177,OTT!$BA20:$BG20)</f>
        <v>0</v>
      </c>
      <c r="BV466" s="229">
        <f>SUMIF(OTT!$BA$5:$BG$5,BV$177,OTT!$BA20:$BG20)</f>
        <v>0</v>
      </c>
      <c r="BW466" s="229">
        <f>SUMIF(OTT!$BA$5:$BG$5,BW$177,OTT!$BA20:$BG20)</f>
        <v>0</v>
      </c>
      <c r="BX466" s="230">
        <f>SUMIF(OTT!$BA$5:$BG$5,BX$177,OTT!$BA20:$BG20)</f>
        <v>0</v>
      </c>
      <c r="BY466" s="998">
        <f>SUMIF(OTT!$BA$5:$BG$5,BY$177,OTT!$BA20:$BG20)</f>
        <v>0</v>
      </c>
      <c r="CB466" s="252"/>
      <c r="CC466" s="61" t="e">
        <f t="shared" si="106"/>
        <v>#N/A</v>
      </c>
      <c r="CD466" s="61">
        <f t="shared" si="107"/>
        <v>0</v>
      </c>
      <c r="CE466" s="105" t="str">
        <f t="shared" si="100"/>
        <v/>
      </c>
      <c r="CF466" s="61" t="e">
        <f t="shared" si="108"/>
        <v>#N/A</v>
      </c>
      <c r="CG466" s="61" t="e">
        <f t="shared" si="109"/>
        <v>#N/A</v>
      </c>
      <c r="CH466" s="521">
        <f>OTT!AL20-CW466+CR466</f>
        <v>0</v>
      </c>
      <c r="CI466" s="228">
        <f>SUMIF(OTT!$G$121:$M$121,CI$178,OTT!$AM20:$AS20)+SUMIF($CS$178:$CV$178,CI$178,$CS466:$CV466)</f>
        <v>0</v>
      </c>
      <c r="CJ466" s="229">
        <f>SUMIF(OTT!$G$121:$M$121,CJ$178,OTT!$AM20:$AS20)+SUMIF($CS$178:$CV$178,CJ$178,$CS466:$CV466)</f>
        <v>0</v>
      </c>
      <c r="CK466" s="230">
        <f>SUMIF(OTT!$G$121:$M$121,CK$178,OTT!$AM20:$AS20)+SUMIF($CS$178:$CV$178,CK$178,$CS466:$CV466)</f>
        <v>0</v>
      </c>
      <c r="CL466" s="230">
        <f>SUMIF(OTT!$G$121:$M$121,CL$178,OTT!$AM20:$AS20)+SUMIF($CS$178:$CV$178,CL$178,$CS466:$CV466)</f>
        <v>0</v>
      </c>
      <c r="CM466" s="230">
        <f>SUMIF(OTT!$G$121:$M$121,CM$178,OTT!$AM20:$AS20)+SUMIF($CS$178:$CV$178,CM$178,$CS466:$CV466)</f>
        <v>0</v>
      </c>
      <c r="CN466" s="230">
        <f>SUMIF(OTT!$G$121:$M$121,CN$178,OTT!$AM20:$AS20)+SUMIF($CS$178:$CV$178,CN$178,$CS466:$CV466)</f>
        <v>0</v>
      </c>
      <c r="CO466" s="230">
        <f>SUMIF(OTT!$G$121:$M$121,CO$178,OTT!$AM20:$AS20)+SUMIF($CS$178:$CV$178,CO$178,$CS466:$CV466)</f>
        <v>0</v>
      </c>
      <c r="CP466" s="230">
        <f>SUMIF(OTT!$G$121:$M$121,CP$178,OTT!$AM20:$AS20)+SUMIF($CS$178:$CV$178,CP$178,$CS466:$CV466)</f>
        <v>0</v>
      </c>
      <c r="CQ466" s="231">
        <f>SUMIF(OTT!$G$121:$M$121,CQ$178,OTT!$AM20:$AS20)+SUMIF($CS$178:$CV$178,CQ$178,$CS466:$CV466)</f>
        <v>0</v>
      </c>
      <c r="CR466" s="521">
        <f>OTT!AU20</f>
        <v>0</v>
      </c>
      <c r="CS466" s="228">
        <f>OTT!AV20</f>
        <v>0</v>
      </c>
      <c r="CT466" s="229">
        <f>OTT!AW20</f>
        <v>0</v>
      </c>
      <c r="CU466" s="230">
        <f>OTT!AX20</f>
        <v>0</v>
      </c>
      <c r="CV466" s="231">
        <f>OTT!AY20</f>
        <v>0</v>
      </c>
      <c r="CW466" s="521">
        <f>SUM(OTT!AU20:AY20)</f>
        <v>0</v>
      </c>
      <c r="CX466" s="521">
        <f>OTT!AK20</f>
        <v>0</v>
      </c>
      <c r="CY466" s="2"/>
    </row>
    <row r="467" spans="1:103" ht="14.25" hidden="1" customHeight="1" x14ac:dyDescent="0.2">
      <c r="A467" s="2"/>
      <c r="B467" s="105">
        <f t="shared" si="110"/>
        <v>45579</v>
      </c>
      <c r="C467" s="146">
        <f>IF(AND(E467&gt;(N$560-1),E467&lt;(R$560+1)),W$551,IF(ISERROR(HLOOKUP(E467,$N$553:$U$553,1,FALSE)),HLOOKUP(WEEKDAY(E467,2),IMPOSTAZIONI!$C$52:$P$57,6,FALSE),$W$550))</f>
        <v>0</v>
      </c>
      <c r="D467" s="71" t="str">
        <f t="shared" si="111"/>
        <v/>
      </c>
      <c r="E467" s="2258">
        <f t="shared" si="116"/>
        <v>45579</v>
      </c>
      <c r="F467" s="2259"/>
      <c r="G467" s="2228" t="str">
        <f>OTT!E21</f>
        <v xml:space="preserve">disattivato  </v>
      </c>
      <c r="H467" s="2229"/>
      <c r="I467" s="2230"/>
      <c r="J467" s="262" t="str">
        <f t="shared" si="101"/>
        <v/>
      </c>
      <c r="K467" s="263"/>
      <c r="L467" s="2222">
        <f t="shared" si="117"/>
        <v>42</v>
      </c>
      <c r="M467" s="2223"/>
      <c r="N467" s="261"/>
      <c r="O467" s="261"/>
      <c r="P467" s="261"/>
      <c r="Q467" s="2219">
        <f t="shared" si="112"/>
        <v>45579</v>
      </c>
      <c r="R467" s="2219"/>
      <c r="S467" s="261"/>
      <c r="T467" s="1173">
        <f t="shared" si="102"/>
        <v>1</v>
      </c>
      <c r="U467" s="261"/>
      <c r="V467" s="261"/>
      <c r="W467" s="261"/>
      <c r="X467" s="261"/>
      <c r="Y467" s="261"/>
      <c r="Z467" s="261"/>
      <c r="AA467" s="261"/>
      <c r="AB467" s="261"/>
      <c r="AC467" s="261"/>
      <c r="AD467" s="261"/>
      <c r="AE467" s="261"/>
      <c r="AF467" s="261"/>
      <c r="AG467" s="1173">
        <f t="shared" si="113"/>
        <v>0</v>
      </c>
      <c r="AH467" s="61" t="str">
        <f t="shared" si="114"/>
        <v/>
      </c>
      <c r="AI467" s="89" t="e">
        <f t="shared" si="115"/>
        <v>#N/A</v>
      </c>
      <c r="AJ467" s="2"/>
      <c r="AK467" s="61">
        <f>IF(G467=G$547,0,IF(OR(G467&lt;&gt;0,CH467&lt;&gt;0,C467="L"),COUNTIF(AK$180:AK466,"&gt;0")+1,0))</f>
        <v>0</v>
      </c>
      <c r="AL467" s="61" t="str">
        <f t="shared" si="103"/>
        <v/>
      </c>
      <c r="AM467" s="61" t="e">
        <f t="shared" si="104"/>
        <v>#N/A</v>
      </c>
      <c r="AN467" s="89" t="e">
        <f t="shared" si="105"/>
        <v>#N/A</v>
      </c>
      <c r="AO467" s="230">
        <f>SUM(OTT!X21:AD21)-BD467+AY467</f>
        <v>0</v>
      </c>
      <c r="AP467" s="228">
        <f>SUMIF(OTT!$G$121:$M$121,AP$178,OTT!$P21:$V21)+SUMIF($AZ$178:$BC$178,AP$178,$AZ467:$BC467)</f>
        <v>0</v>
      </c>
      <c r="AQ467" s="229">
        <f>SUMIF(OTT!$G$121:$M$121,AQ$178,OTT!$P21:$V21)+SUMIF($AZ$178:$BC$178,AQ$178,$AZ467:$BC467)</f>
        <v>0</v>
      </c>
      <c r="AR467" s="230">
        <f>SUMIF(OTT!$G$121:$M$121,AR$178,OTT!$P21:$V21)+SUMIF($AZ$178:$BC$178,AR$178,$AZ467:$BC467)</f>
        <v>0</v>
      </c>
      <c r="AS467" s="230">
        <f>SUMIF(OTT!$G$121:$M$121,AS$178,OTT!$P21:$V21)+SUMIF($AZ$178:$BC$178,AS$178,$AZ467:$BC467)</f>
        <v>0</v>
      </c>
      <c r="AT467" s="230">
        <f>SUMIF(OTT!$G$121:$M$121,AT$178,OTT!$P21:$V21)+SUMIF($AZ$178:$BC$178,AT$178,$AZ467:$BC467)</f>
        <v>0</v>
      </c>
      <c r="AU467" s="230">
        <f>SUMIF(OTT!$G$121:$M$121,AU$178,OTT!$P21:$V21)+SUMIF($AZ$178:$BC$178,AU$178,$AZ467:$BC467)</f>
        <v>0</v>
      </c>
      <c r="AV467" s="230">
        <f>SUMIF(OTT!$G$121:$M$121,AV$178,OTT!$P21:$V21)+SUMIF($AZ$178:$BC$178,AV$178,$AZ467:$BC467)</f>
        <v>0</v>
      </c>
      <c r="AW467" s="230">
        <f>SUMIF(OTT!$G$121:$M$121,AW$178,OTT!$P21:$V21)+SUMIF($AZ$178:$BC$178,AW$178,$AZ467:$BC467)</f>
        <v>0</v>
      </c>
      <c r="AX467" s="231">
        <f>SUMIF(OTT!$G$121:$M$121,AX$178,OTT!$P21:$V21)+SUMIF($AZ$178:$BC$178,AX$178,$AZ467:$BC467)</f>
        <v>0</v>
      </c>
      <c r="AY467" s="232">
        <f>OTT!AF21</f>
        <v>0</v>
      </c>
      <c r="AZ467" s="228">
        <f>OTT!AG21</f>
        <v>0</v>
      </c>
      <c r="BA467" s="229">
        <f>OTT!AH21</f>
        <v>0</v>
      </c>
      <c r="BB467" s="230">
        <f>OTT!AI21</f>
        <v>0</v>
      </c>
      <c r="BC467" s="231">
        <f>OTT!AJ21</f>
        <v>0</v>
      </c>
      <c r="BD467" s="228">
        <f>SUMIF(OTT!$G$120:$M$120,"&gt;0",OTT!$X21:$AD21)</f>
        <v>0</v>
      </c>
      <c r="BE467" s="696"/>
      <c r="BF467" s="228">
        <f>SUMIF(OTT!$BA$6:$BG$6,BF$177,OTT!$BA21:$BG21)</f>
        <v>0</v>
      </c>
      <c r="BG467" s="229">
        <f>SUMIF(OTT!$BA$6:$BG$6,BG$177,OTT!$BA21:$BG21)</f>
        <v>0</v>
      </c>
      <c r="BH467" s="229">
        <f>SUMIF(OTT!$BA$6:$BG$6,BH$177,OTT!$BA21:$BG21)</f>
        <v>0</v>
      </c>
      <c r="BI467" s="229">
        <f>SUMIF(OTT!$BA$6:$BG$6,BI$177,OTT!$BA21:$BG21)</f>
        <v>0</v>
      </c>
      <c r="BJ467" s="229">
        <f>SUMIF(OTT!$BA$6:$BG$6,BJ$177,OTT!$BA21:$BG21)</f>
        <v>0</v>
      </c>
      <c r="BK467" s="229">
        <f>SUMIF(OTT!$BA$6:$BG$6,BK$177,OTT!$BA21:$BG21)</f>
        <v>0</v>
      </c>
      <c r="BL467" s="229">
        <f>SUMIF(OTT!$BA$6:$BG$6,BL$177,OTT!$BA21:$BG21)</f>
        <v>0</v>
      </c>
      <c r="BM467" s="229">
        <f>SUMIF(OTT!$BA$6:$BG$6,BM$177,OTT!$BA21:$BG21)</f>
        <v>0</v>
      </c>
      <c r="BN467" s="229">
        <f>SUMIF(OTT!$BA$6:$BG$6,BN$177,OTT!$BA21:$BG21)</f>
        <v>0</v>
      </c>
      <c r="BO467" s="231">
        <f>SUMIF(OTT!$BA$6:$BG$6,BO$177,OTT!$BA21:$BG21)</f>
        <v>0</v>
      </c>
      <c r="BP467" s="231">
        <f>SUMIF(OTT!$BA$6:$BG$6,BP$177,OTT!$BA21:$BG21)</f>
        <v>0</v>
      </c>
      <c r="BQ467" s="252"/>
      <c r="BR467" s="228">
        <f>SUMIF(OTT!$BA$5:$BG$5,BR$177,OTT!$BA21:$BG21)</f>
        <v>0</v>
      </c>
      <c r="BS467" s="229">
        <f>SUMIF(OTT!$BA$5:$BG$5,BS$177,OTT!$BA21:$BG21)</f>
        <v>0</v>
      </c>
      <c r="BT467" s="229">
        <f>SUMIF(OTT!$BA$5:$BG$5,BT$177,OTT!$BA21:$BG21)</f>
        <v>0</v>
      </c>
      <c r="BU467" s="229">
        <f>SUMIF(OTT!$BA$5:$BG$5,BU$177,OTT!$BA21:$BG21)</f>
        <v>0</v>
      </c>
      <c r="BV467" s="229">
        <f>SUMIF(OTT!$BA$5:$BG$5,BV$177,OTT!$BA21:$BG21)</f>
        <v>0</v>
      </c>
      <c r="BW467" s="229">
        <f>SUMIF(OTT!$BA$5:$BG$5,BW$177,OTT!$BA21:$BG21)</f>
        <v>0</v>
      </c>
      <c r="BX467" s="230">
        <f>SUMIF(OTT!$BA$5:$BG$5,BX$177,OTT!$BA21:$BG21)</f>
        <v>0</v>
      </c>
      <c r="BY467" s="998">
        <f>SUMIF(OTT!$BA$5:$BG$5,BY$177,OTT!$BA21:$BG21)</f>
        <v>0</v>
      </c>
      <c r="CB467" s="252"/>
      <c r="CC467" s="61" t="e">
        <f t="shared" si="106"/>
        <v>#N/A</v>
      </c>
      <c r="CD467" s="61">
        <f t="shared" si="107"/>
        <v>0</v>
      </c>
      <c r="CE467" s="105" t="str">
        <f t="shared" si="100"/>
        <v/>
      </c>
      <c r="CF467" s="61" t="e">
        <f t="shared" si="108"/>
        <v>#N/A</v>
      </c>
      <c r="CG467" s="61" t="e">
        <f t="shared" si="109"/>
        <v>#N/A</v>
      </c>
      <c r="CH467" s="521">
        <f>OTT!AL21-CW467+CR467</f>
        <v>0</v>
      </c>
      <c r="CI467" s="228">
        <f>SUMIF(OTT!$G$121:$M$121,CI$178,OTT!$AM21:$AS21)+SUMIF($CS$178:$CV$178,CI$178,$CS467:$CV467)</f>
        <v>0</v>
      </c>
      <c r="CJ467" s="229">
        <f>SUMIF(OTT!$G$121:$M$121,CJ$178,OTT!$AM21:$AS21)+SUMIF($CS$178:$CV$178,CJ$178,$CS467:$CV467)</f>
        <v>0</v>
      </c>
      <c r="CK467" s="230">
        <f>SUMIF(OTT!$G$121:$M$121,CK$178,OTT!$AM21:$AS21)+SUMIF($CS$178:$CV$178,CK$178,$CS467:$CV467)</f>
        <v>0</v>
      </c>
      <c r="CL467" s="230">
        <f>SUMIF(OTT!$G$121:$M$121,CL$178,OTT!$AM21:$AS21)+SUMIF($CS$178:$CV$178,CL$178,$CS467:$CV467)</f>
        <v>0</v>
      </c>
      <c r="CM467" s="230">
        <f>SUMIF(OTT!$G$121:$M$121,CM$178,OTT!$AM21:$AS21)+SUMIF($CS$178:$CV$178,CM$178,$CS467:$CV467)</f>
        <v>0</v>
      </c>
      <c r="CN467" s="230">
        <f>SUMIF(OTT!$G$121:$M$121,CN$178,OTT!$AM21:$AS21)+SUMIF($CS$178:$CV$178,CN$178,$CS467:$CV467)</f>
        <v>0</v>
      </c>
      <c r="CO467" s="230">
        <f>SUMIF(OTT!$G$121:$M$121,CO$178,OTT!$AM21:$AS21)+SUMIF($CS$178:$CV$178,CO$178,$CS467:$CV467)</f>
        <v>0</v>
      </c>
      <c r="CP467" s="230">
        <f>SUMIF(OTT!$G$121:$M$121,CP$178,OTT!$AM21:$AS21)+SUMIF($CS$178:$CV$178,CP$178,$CS467:$CV467)</f>
        <v>0</v>
      </c>
      <c r="CQ467" s="231">
        <f>SUMIF(OTT!$G$121:$M$121,CQ$178,OTT!$AM21:$AS21)+SUMIF($CS$178:$CV$178,CQ$178,$CS467:$CV467)</f>
        <v>0</v>
      </c>
      <c r="CR467" s="521">
        <f>OTT!AU21</f>
        <v>0</v>
      </c>
      <c r="CS467" s="228">
        <f>OTT!AV21</f>
        <v>0</v>
      </c>
      <c r="CT467" s="229">
        <f>OTT!AW21</f>
        <v>0</v>
      </c>
      <c r="CU467" s="230">
        <f>OTT!AX21</f>
        <v>0</v>
      </c>
      <c r="CV467" s="231">
        <f>OTT!AY21</f>
        <v>0</v>
      </c>
      <c r="CW467" s="521">
        <f>SUM(OTT!AU21:AY21)</f>
        <v>0</v>
      </c>
      <c r="CX467" s="521">
        <f>OTT!AK21</f>
        <v>0</v>
      </c>
      <c r="CY467" s="2"/>
    </row>
    <row r="468" spans="1:103" ht="14.25" hidden="1" customHeight="1" x14ac:dyDescent="0.2">
      <c r="A468" s="2"/>
      <c r="B468" s="105">
        <f t="shared" si="110"/>
        <v>45580</v>
      </c>
      <c r="C468" s="146">
        <f>IF(AND(E468&gt;(N$560-1),E468&lt;(R$560+1)),W$551,IF(ISERROR(HLOOKUP(E468,$N$553:$U$553,1,FALSE)),HLOOKUP(WEEKDAY(E468,2),IMPOSTAZIONI!$C$52:$P$57,6,FALSE),$W$550))</f>
        <v>0</v>
      </c>
      <c r="D468" s="71" t="str">
        <f t="shared" si="111"/>
        <v/>
      </c>
      <c r="E468" s="2258">
        <f t="shared" si="116"/>
        <v>45580</v>
      </c>
      <c r="F468" s="2259"/>
      <c r="G468" s="2228" t="str">
        <f>OTT!E22</f>
        <v xml:space="preserve">disattivato  </v>
      </c>
      <c r="H468" s="2229"/>
      <c r="I468" s="2230"/>
      <c r="J468" s="262" t="str">
        <f t="shared" si="101"/>
        <v/>
      </c>
      <c r="K468" s="263"/>
      <c r="L468" s="2217">
        <f t="shared" si="117"/>
        <v>42</v>
      </c>
      <c r="M468" s="2218"/>
      <c r="N468" s="261"/>
      <c r="O468" s="261"/>
      <c r="P468" s="261"/>
      <c r="Q468" s="2219">
        <f t="shared" si="112"/>
        <v>45580</v>
      </c>
      <c r="R468" s="2219"/>
      <c r="S468" s="261"/>
      <c r="T468" s="1173">
        <f t="shared" si="102"/>
        <v>1</v>
      </c>
      <c r="U468" s="261"/>
      <c r="V468" s="261"/>
      <c r="W468" s="261"/>
      <c r="X468" s="261"/>
      <c r="Y468" s="261"/>
      <c r="Z468" s="261"/>
      <c r="AA468" s="261"/>
      <c r="AB468" s="261"/>
      <c r="AC468" s="261"/>
      <c r="AD468" s="261"/>
      <c r="AE468" s="261"/>
      <c r="AF468" s="261"/>
      <c r="AG468" s="1173">
        <f t="shared" si="113"/>
        <v>0</v>
      </c>
      <c r="AH468" s="61" t="str">
        <f t="shared" si="114"/>
        <v/>
      </c>
      <c r="AI468" s="89" t="e">
        <f t="shared" si="115"/>
        <v>#N/A</v>
      </c>
      <c r="AJ468" s="2"/>
      <c r="AK468" s="61">
        <f>IF(G468=G$547,0,IF(OR(G468&lt;&gt;0,CH468&lt;&gt;0,C468="L"),COUNTIF(AK$180:AK467,"&gt;0")+1,0))</f>
        <v>0</v>
      </c>
      <c r="AL468" s="61" t="str">
        <f t="shared" si="103"/>
        <v/>
      </c>
      <c r="AM468" s="61" t="e">
        <f t="shared" si="104"/>
        <v>#N/A</v>
      </c>
      <c r="AN468" s="89" t="e">
        <f t="shared" si="105"/>
        <v>#N/A</v>
      </c>
      <c r="AO468" s="230">
        <f>SUM(OTT!X22:AD22)-BD468+AY468</f>
        <v>0</v>
      </c>
      <c r="AP468" s="228">
        <f>SUMIF(OTT!$G$121:$M$121,AP$178,OTT!$P22:$V22)+SUMIF($AZ$178:$BC$178,AP$178,$AZ468:$BC468)</f>
        <v>0</v>
      </c>
      <c r="AQ468" s="229">
        <f>SUMIF(OTT!$G$121:$M$121,AQ$178,OTT!$P22:$V22)+SUMIF($AZ$178:$BC$178,AQ$178,$AZ468:$BC468)</f>
        <v>0</v>
      </c>
      <c r="AR468" s="230">
        <f>SUMIF(OTT!$G$121:$M$121,AR$178,OTT!$P22:$V22)+SUMIF($AZ$178:$BC$178,AR$178,$AZ468:$BC468)</f>
        <v>0</v>
      </c>
      <c r="AS468" s="230">
        <f>SUMIF(OTT!$G$121:$M$121,AS$178,OTT!$P22:$V22)+SUMIF($AZ$178:$BC$178,AS$178,$AZ468:$BC468)</f>
        <v>0</v>
      </c>
      <c r="AT468" s="230">
        <f>SUMIF(OTT!$G$121:$M$121,AT$178,OTT!$P22:$V22)+SUMIF($AZ$178:$BC$178,AT$178,$AZ468:$BC468)</f>
        <v>0</v>
      </c>
      <c r="AU468" s="230">
        <f>SUMIF(OTT!$G$121:$M$121,AU$178,OTT!$P22:$V22)+SUMIF($AZ$178:$BC$178,AU$178,$AZ468:$BC468)</f>
        <v>0</v>
      </c>
      <c r="AV468" s="230">
        <f>SUMIF(OTT!$G$121:$M$121,AV$178,OTT!$P22:$V22)+SUMIF($AZ$178:$BC$178,AV$178,$AZ468:$BC468)</f>
        <v>0</v>
      </c>
      <c r="AW468" s="230">
        <f>SUMIF(OTT!$G$121:$M$121,AW$178,OTT!$P22:$V22)+SUMIF($AZ$178:$BC$178,AW$178,$AZ468:$BC468)</f>
        <v>0</v>
      </c>
      <c r="AX468" s="231">
        <f>SUMIF(OTT!$G$121:$M$121,AX$178,OTT!$P22:$V22)+SUMIF($AZ$178:$BC$178,AX$178,$AZ468:$BC468)</f>
        <v>0</v>
      </c>
      <c r="AY468" s="232">
        <f>OTT!AF22</f>
        <v>0</v>
      </c>
      <c r="AZ468" s="228">
        <f>OTT!AG22</f>
        <v>0</v>
      </c>
      <c r="BA468" s="229">
        <f>OTT!AH22</f>
        <v>0</v>
      </c>
      <c r="BB468" s="230">
        <f>OTT!AI22</f>
        <v>0</v>
      </c>
      <c r="BC468" s="231">
        <f>OTT!AJ22</f>
        <v>0</v>
      </c>
      <c r="BD468" s="228">
        <f>SUMIF(OTT!$G$120:$M$120,"&gt;0",OTT!$X22:$AD22)</f>
        <v>0</v>
      </c>
      <c r="BE468" s="696"/>
      <c r="BF468" s="228">
        <f>SUMIF(OTT!$BA$6:$BG$6,BF$177,OTT!$BA22:$BG22)</f>
        <v>0</v>
      </c>
      <c r="BG468" s="229">
        <f>SUMIF(OTT!$BA$6:$BG$6,BG$177,OTT!$BA22:$BG22)</f>
        <v>0</v>
      </c>
      <c r="BH468" s="229">
        <f>SUMIF(OTT!$BA$6:$BG$6,BH$177,OTT!$BA22:$BG22)</f>
        <v>0</v>
      </c>
      <c r="BI468" s="229">
        <f>SUMIF(OTT!$BA$6:$BG$6,BI$177,OTT!$BA22:$BG22)</f>
        <v>0</v>
      </c>
      <c r="BJ468" s="229">
        <f>SUMIF(OTT!$BA$6:$BG$6,BJ$177,OTT!$BA22:$BG22)</f>
        <v>0</v>
      </c>
      <c r="BK468" s="229">
        <f>SUMIF(OTT!$BA$6:$BG$6,BK$177,OTT!$BA22:$BG22)</f>
        <v>0</v>
      </c>
      <c r="BL468" s="229">
        <f>SUMIF(OTT!$BA$6:$BG$6,BL$177,OTT!$BA22:$BG22)</f>
        <v>0</v>
      </c>
      <c r="BM468" s="229">
        <f>SUMIF(OTT!$BA$6:$BG$6,BM$177,OTT!$BA22:$BG22)</f>
        <v>0</v>
      </c>
      <c r="BN468" s="229">
        <f>SUMIF(OTT!$BA$6:$BG$6,BN$177,OTT!$BA22:$BG22)</f>
        <v>0</v>
      </c>
      <c r="BO468" s="231">
        <f>SUMIF(OTT!$BA$6:$BG$6,BO$177,OTT!$BA22:$BG22)</f>
        <v>0</v>
      </c>
      <c r="BP468" s="231">
        <f>SUMIF(OTT!$BA$6:$BG$6,BP$177,OTT!$BA22:$BG22)</f>
        <v>0</v>
      </c>
      <c r="BQ468" s="252"/>
      <c r="BR468" s="228">
        <f>SUMIF(OTT!$BA$5:$BG$5,BR$177,OTT!$BA22:$BG22)</f>
        <v>0</v>
      </c>
      <c r="BS468" s="229">
        <f>SUMIF(OTT!$BA$5:$BG$5,BS$177,OTT!$BA22:$BG22)</f>
        <v>0</v>
      </c>
      <c r="BT468" s="229">
        <f>SUMIF(OTT!$BA$5:$BG$5,BT$177,OTT!$BA22:$BG22)</f>
        <v>0</v>
      </c>
      <c r="BU468" s="229">
        <f>SUMIF(OTT!$BA$5:$BG$5,BU$177,OTT!$BA22:$BG22)</f>
        <v>0</v>
      </c>
      <c r="BV468" s="229">
        <f>SUMIF(OTT!$BA$5:$BG$5,BV$177,OTT!$BA22:$BG22)</f>
        <v>0</v>
      </c>
      <c r="BW468" s="229">
        <f>SUMIF(OTT!$BA$5:$BG$5,BW$177,OTT!$BA22:$BG22)</f>
        <v>0</v>
      </c>
      <c r="BX468" s="230">
        <f>SUMIF(OTT!$BA$5:$BG$5,BX$177,OTT!$BA22:$BG22)</f>
        <v>0</v>
      </c>
      <c r="BY468" s="998">
        <f>SUMIF(OTT!$BA$5:$BG$5,BY$177,OTT!$BA22:$BG22)</f>
        <v>0</v>
      </c>
      <c r="CB468" s="252"/>
      <c r="CC468" s="61" t="e">
        <f t="shared" si="106"/>
        <v>#N/A</v>
      </c>
      <c r="CD468" s="61">
        <f t="shared" si="107"/>
        <v>0</v>
      </c>
      <c r="CE468" s="105" t="str">
        <f t="shared" si="100"/>
        <v/>
      </c>
      <c r="CF468" s="61" t="e">
        <f t="shared" si="108"/>
        <v>#N/A</v>
      </c>
      <c r="CG468" s="61" t="e">
        <f t="shared" si="109"/>
        <v>#N/A</v>
      </c>
      <c r="CH468" s="521">
        <f>OTT!AL22-CW468+CR468</f>
        <v>0</v>
      </c>
      <c r="CI468" s="228">
        <f>SUMIF(OTT!$G$121:$M$121,CI$178,OTT!$AM22:$AS22)+SUMIF($CS$178:$CV$178,CI$178,$CS468:$CV468)</f>
        <v>0</v>
      </c>
      <c r="CJ468" s="229">
        <f>SUMIF(OTT!$G$121:$M$121,CJ$178,OTT!$AM22:$AS22)+SUMIF($CS$178:$CV$178,CJ$178,$CS468:$CV468)</f>
        <v>0</v>
      </c>
      <c r="CK468" s="230">
        <f>SUMIF(OTT!$G$121:$M$121,CK$178,OTT!$AM22:$AS22)+SUMIF($CS$178:$CV$178,CK$178,$CS468:$CV468)</f>
        <v>0</v>
      </c>
      <c r="CL468" s="230">
        <f>SUMIF(OTT!$G$121:$M$121,CL$178,OTT!$AM22:$AS22)+SUMIF($CS$178:$CV$178,CL$178,$CS468:$CV468)</f>
        <v>0</v>
      </c>
      <c r="CM468" s="230">
        <f>SUMIF(OTT!$G$121:$M$121,CM$178,OTT!$AM22:$AS22)+SUMIF($CS$178:$CV$178,CM$178,$CS468:$CV468)</f>
        <v>0</v>
      </c>
      <c r="CN468" s="230">
        <f>SUMIF(OTT!$G$121:$M$121,CN$178,OTT!$AM22:$AS22)+SUMIF($CS$178:$CV$178,CN$178,$CS468:$CV468)</f>
        <v>0</v>
      </c>
      <c r="CO468" s="230">
        <f>SUMIF(OTT!$G$121:$M$121,CO$178,OTT!$AM22:$AS22)+SUMIF($CS$178:$CV$178,CO$178,$CS468:$CV468)</f>
        <v>0</v>
      </c>
      <c r="CP468" s="230">
        <f>SUMIF(OTT!$G$121:$M$121,CP$178,OTT!$AM22:$AS22)+SUMIF($CS$178:$CV$178,CP$178,$CS468:$CV468)</f>
        <v>0</v>
      </c>
      <c r="CQ468" s="231">
        <f>SUMIF(OTT!$G$121:$M$121,CQ$178,OTT!$AM22:$AS22)+SUMIF($CS$178:$CV$178,CQ$178,$CS468:$CV468)</f>
        <v>0</v>
      </c>
      <c r="CR468" s="521">
        <f>OTT!AU22</f>
        <v>0</v>
      </c>
      <c r="CS468" s="228">
        <f>OTT!AV22</f>
        <v>0</v>
      </c>
      <c r="CT468" s="229">
        <f>OTT!AW22</f>
        <v>0</v>
      </c>
      <c r="CU468" s="230">
        <f>OTT!AX22</f>
        <v>0</v>
      </c>
      <c r="CV468" s="231">
        <f>OTT!AY22</f>
        <v>0</v>
      </c>
      <c r="CW468" s="521">
        <f>SUM(OTT!AU22:AY22)</f>
        <v>0</v>
      </c>
      <c r="CX468" s="521">
        <f>OTT!AK22</f>
        <v>0</v>
      </c>
      <c r="CY468" s="2"/>
    </row>
    <row r="469" spans="1:103" ht="14.25" hidden="1" customHeight="1" x14ac:dyDescent="0.2">
      <c r="A469" s="2"/>
      <c r="B469" s="105">
        <f t="shared" si="110"/>
        <v>45581</v>
      </c>
      <c r="C469" s="146">
        <f>IF(AND(E469&gt;(N$560-1),E469&lt;(R$560+1)),W$551,IF(ISERROR(HLOOKUP(E469,$N$553:$U$553,1,FALSE)),HLOOKUP(WEEKDAY(E469,2),IMPOSTAZIONI!$C$52:$P$57,6,FALSE),$W$550))</f>
        <v>0</v>
      </c>
      <c r="D469" s="71" t="str">
        <f t="shared" si="111"/>
        <v/>
      </c>
      <c r="E469" s="2258">
        <f t="shared" si="116"/>
        <v>45581</v>
      </c>
      <c r="F469" s="2259"/>
      <c r="G469" s="2228" t="str">
        <f>OTT!E23</f>
        <v xml:space="preserve">disattivato  </v>
      </c>
      <c r="H469" s="2229"/>
      <c r="I469" s="2230"/>
      <c r="J469" s="262" t="str">
        <f t="shared" si="101"/>
        <v/>
      </c>
      <c r="K469" s="263"/>
      <c r="L469" s="2217">
        <f t="shared" si="117"/>
        <v>42</v>
      </c>
      <c r="M469" s="2218"/>
      <c r="N469" s="261"/>
      <c r="O469" s="261"/>
      <c r="P469" s="261"/>
      <c r="Q469" s="2219">
        <f t="shared" si="112"/>
        <v>45581</v>
      </c>
      <c r="R469" s="2219"/>
      <c r="S469" s="261"/>
      <c r="T469" s="1173">
        <f t="shared" si="102"/>
        <v>1</v>
      </c>
      <c r="U469" s="261"/>
      <c r="V469" s="261"/>
      <c r="W469" s="261"/>
      <c r="X469" s="261"/>
      <c r="Y469" s="261"/>
      <c r="Z469" s="261"/>
      <c r="AA469" s="261"/>
      <c r="AB469" s="261"/>
      <c r="AC469" s="261"/>
      <c r="AD469" s="261"/>
      <c r="AE469" s="261"/>
      <c r="AF469" s="261"/>
      <c r="AG469" s="1173">
        <f t="shared" si="113"/>
        <v>0</v>
      </c>
      <c r="AH469" s="61" t="str">
        <f t="shared" si="114"/>
        <v/>
      </c>
      <c r="AI469" s="89" t="e">
        <f t="shared" si="115"/>
        <v>#N/A</v>
      </c>
      <c r="AJ469" s="2"/>
      <c r="AK469" s="61">
        <f>IF(G469=G$547,0,IF(OR(G469&lt;&gt;0,CH469&lt;&gt;0,C469="L"),COUNTIF(AK$180:AK468,"&gt;0")+1,0))</f>
        <v>0</v>
      </c>
      <c r="AL469" s="61" t="str">
        <f t="shared" si="103"/>
        <v/>
      </c>
      <c r="AM469" s="61" t="e">
        <f t="shared" si="104"/>
        <v>#N/A</v>
      </c>
      <c r="AN469" s="89" t="e">
        <f t="shared" si="105"/>
        <v>#N/A</v>
      </c>
      <c r="AO469" s="230">
        <f>SUM(OTT!X23:AD23)-BD469+AY469</f>
        <v>0</v>
      </c>
      <c r="AP469" s="228">
        <f>SUMIF(OTT!$G$121:$M$121,AP$178,OTT!$P23:$V23)+SUMIF($AZ$178:$BC$178,AP$178,$AZ469:$BC469)</f>
        <v>0</v>
      </c>
      <c r="AQ469" s="229">
        <f>SUMIF(OTT!$G$121:$M$121,AQ$178,OTT!$P23:$V23)+SUMIF($AZ$178:$BC$178,AQ$178,$AZ469:$BC469)</f>
        <v>0</v>
      </c>
      <c r="AR469" s="230">
        <f>SUMIF(OTT!$G$121:$M$121,AR$178,OTT!$P23:$V23)+SUMIF($AZ$178:$BC$178,AR$178,$AZ469:$BC469)</f>
        <v>0</v>
      </c>
      <c r="AS469" s="230">
        <f>SUMIF(OTT!$G$121:$M$121,AS$178,OTT!$P23:$V23)+SUMIF($AZ$178:$BC$178,AS$178,$AZ469:$BC469)</f>
        <v>0</v>
      </c>
      <c r="AT469" s="230">
        <f>SUMIF(OTT!$G$121:$M$121,AT$178,OTT!$P23:$V23)+SUMIF($AZ$178:$BC$178,AT$178,$AZ469:$BC469)</f>
        <v>0</v>
      </c>
      <c r="AU469" s="230">
        <f>SUMIF(OTT!$G$121:$M$121,AU$178,OTT!$P23:$V23)+SUMIF($AZ$178:$BC$178,AU$178,$AZ469:$BC469)</f>
        <v>0</v>
      </c>
      <c r="AV469" s="230">
        <f>SUMIF(OTT!$G$121:$M$121,AV$178,OTT!$P23:$V23)+SUMIF($AZ$178:$BC$178,AV$178,$AZ469:$BC469)</f>
        <v>0</v>
      </c>
      <c r="AW469" s="230">
        <f>SUMIF(OTT!$G$121:$M$121,AW$178,OTT!$P23:$V23)+SUMIF($AZ$178:$BC$178,AW$178,$AZ469:$BC469)</f>
        <v>0</v>
      </c>
      <c r="AX469" s="231">
        <f>SUMIF(OTT!$G$121:$M$121,AX$178,OTT!$P23:$V23)+SUMIF($AZ$178:$BC$178,AX$178,$AZ469:$BC469)</f>
        <v>0</v>
      </c>
      <c r="AY469" s="232">
        <f>OTT!AF23</f>
        <v>0</v>
      </c>
      <c r="AZ469" s="228">
        <f>OTT!AG23</f>
        <v>0</v>
      </c>
      <c r="BA469" s="229">
        <f>OTT!AH23</f>
        <v>0</v>
      </c>
      <c r="BB469" s="230">
        <f>OTT!AI23</f>
        <v>0</v>
      </c>
      <c r="BC469" s="231">
        <f>OTT!AJ23</f>
        <v>0</v>
      </c>
      <c r="BD469" s="228">
        <f>SUMIF(OTT!$G$120:$M$120,"&gt;0",OTT!$X23:$AD23)</f>
        <v>0</v>
      </c>
      <c r="BE469" s="696"/>
      <c r="BF469" s="228">
        <f>SUMIF(OTT!$BA$6:$BG$6,BF$177,OTT!$BA23:$BG23)</f>
        <v>0</v>
      </c>
      <c r="BG469" s="229">
        <f>SUMIF(OTT!$BA$6:$BG$6,BG$177,OTT!$BA23:$BG23)</f>
        <v>0</v>
      </c>
      <c r="BH469" s="229">
        <f>SUMIF(OTT!$BA$6:$BG$6,BH$177,OTT!$BA23:$BG23)</f>
        <v>0</v>
      </c>
      <c r="BI469" s="229">
        <f>SUMIF(OTT!$BA$6:$BG$6,BI$177,OTT!$BA23:$BG23)</f>
        <v>0</v>
      </c>
      <c r="BJ469" s="229">
        <f>SUMIF(OTT!$BA$6:$BG$6,BJ$177,OTT!$BA23:$BG23)</f>
        <v>0</v>
      </c>
      <c r="BK469" s="229">
        <f>SUMIF(OTT!$BA$6:$BG$6,BK$177,OTT!$BA23:$BG23)</f>
        <v>0</v>
      </c>
      <c r="BL469" s="229">
        <f>SUMIF(OTT!$BA$6:$BG$6,BL$177,OTT!$BA23:$BG23)</f>
        <v>0</v>
      </c>
      <c r="BM469" s="229">
        <f>SUMIF(OTT!$BA$6:$BG$6,BM$177,OTT!$BA23:$BG23)</f>
        <v>0</v>
      </c>
      <c r="BN469" s="229">
        <f>SUMIF(OTT!$BA$6:$BG$6,BN$177,OTT!$BA23:$BG23)</f>
        <v>0</v>
      </c>
      <c r="BO469" s="231">
        <f>SUMIF(OTT!$BA$6:$BG$6,BO$177,OTT!$BA23:$BG23)</f>
        <v>0</v>
      </c>
      <c r="BP469" s="231">
        <f>SUMIF(OTT!$BA$6:$BG$6,BP$177,OTT!$BA23:$BG23)</f>
        <v>0</v>
      </c>
      <c r="BQ469" s="252"/>
      <c r="BR469" s="228">
        <f>SUMIF(OTT!$BA$5:$BG$5,BR$177,OTT!$BA23:$BG23)</f>
        <v>0</v>
      </c>
      <c r="BS469" s="229">
        <f>SUMIF(OTT!$BA$5:$BG$5,BS$177,OTT!$BA23:$BG23)</f>
        <v>0</v>
      </c>
      <c r="BT469" s="229">
        <f>SUMIF(OTT!$BA$5:$BG$5,BT$177,OTT!$BA23:$BG23)</f>
        <v>0</v>
      </c>
      <c r="BU469" s="229">
        <f>SUMIF(OTT!$BA$5:$BG$5,BU$177,OTT!$BA23:$BG23)</f>
        <v>0</v>
      </c>
      <c r="BV469" s="229">
        <f>SUMIF(OTT!$BA$5:$BG$5,BV$177,OTT!$BA23:$BG23)</f>
        <v>0</v>
      </c>
      <c r="BW469" s="229">
        <f>SUMIF(OTT!$BA$5:$BG$5,BW$177,OTT!$BA23:$BG23)</f>
        <v>0</v>
      </c>
      <c r="BX469" s="230">
        <f>SUMIF(OTT!$BA$5:$BG$5,BX$177,OTT!$BA23:$BG23)</f>
        <v>0</v>
      </c>
      <c r="BY469" s="998">
        <f>SUMIF(OTT!$BA$5:$BG$5,BY$177,OTT!$BA23:$BG23)</f>
        <v>0</v>
      </c>
      <c r="CB469" s="252"/>
      <c r="CC469" s="61" t="e">
        <f t="shared" si="106"/>
        <v>#N/A</v>
      </c>
      <c r="CD469" s="61">
        <f t="shared" si="107"/>
        <v>0</v>
      </c>
      <c r="CE469" s="105" t="str">
        <f t="shared" si="100"/>
        <v/>
      </c>
      <c r="CF469" s="61" t="e">
        <f t="shared" si="108"/>
        <v>#N/A</v>
      </c>
      <c r="CG469" s="61" t="e">
        <f t="shared" si="109"/>
        <v>#N/A</v>
      </c>
      <c r="CH469" s="521">
        <f>OTT!AL23-CW469+CR469</f>
        <v>0</v>
      </c>
      <c r="CI469" s="228">
        <f>SUMIF(OTT!$G$121:$M$121,CI$178,OTT!$AM23:$AS23)+SUMIF($CS$178:$CV$178,CI$178,$CS469:$CV469)</f>
        <v>0</v>
      </c>
      <c r="CJ469" s="229">
        <f>SUMIF(OTT!$G$121:$M$121,CJ$178,OTT!$AM23:$AS23)+SUMIF($CS$178:$CV$178,CJ$178,$CS469:$CV469)</f>
        <v>0</v>
      </c>
      <c r="CK469" s="230">
        <f>SUMIF(OTT!$G$121:$M$121,CK$178,OTT!$AM23:$AS23)+SUMIF($CS$178:$CV$178,CK$178,$CS469:$CV469)</f>
        <v>0</v>
      </c>
      <c r="CL469" s="230">
        <f>SUMIF(OTT!$G$121:$M$121,CL$178,OTT!$AM23:$AS23)+SUMIF($CS$178:$CV$178,CL$178,$CS469:$CV469)</f>
        <v>0</v>
      </c>
      <c r="CM469" s="230">
        <f>SUMIF(OTT!$G$121:$M$121,CM$178,OTT!$AM23:$AS23)+SUMIF($CS$178:$CV$178,CM$178,$CS469:$CV469)</f>
        <v>0</v>
      </c>
      <c r="CN469" s="230">
        <f>SUMIF(OTT!$G$121:$M$121,CN$178,OTT!$AM23:$AS23)+SUMIF($CS$178:$CV$178,CN$178,$CS469:$CV469)</f>
        <v>0</v>
      </c>
      <c r="CO469" s="230">
        <f>SUMIF(OTT!$G$121:$M$121,CO$178,OTT!$AM23:$AS23)+SUMIF($CS$178:$CV$178,CO$178,$CS469:$CV469)</f>
        <v>0</v>
      </c>
      <c r="CP469" s="230">
        <f>SUMIF(OTT!$G$121:$M$121,CP$178,OTT!$AM23:$AS23)+SUMIF($CS$178:$CV$178,CP$178,$CS469:$CV469)</f>
        <v>0</v>
      </c>
      <c r="CQ469" s="231">
        <f>SUMIF(OTT!$G$121:$M$121,CQ$178,OTT!$AM23:$AS23)+SUMIF($CS$178:$CV$178,CQ$178,$CS469:$CV469)</f>
        <v>0</v>
      </c>
      <c r="CR469" s="521">
        <f>OTT!AU23</f>
        <v>0</v>
      </c>
      <c r="CS469" s="228">
        <f>OTT!AV23</f>
        <v>0</v>
      </c>
      <c r="CT469" s="229">
        <f>OTT!AW23</f>
        <v>0</v>
      </c>
      <c r="CU469" s="230">
        <f>OTT!AX23</f>
        <v>0</v>
      </c>
      <c r="CV469" s="231">
        <f>OTT!AY23</f>
        <v>0</v>
      </c>
      <c r="CW469" s="521">
        <f>SUM(OTT!AU23:AY23)</f>
        <v>0</v>
      </c>
      <c r="CX469" s="521">
        <f>OTT!AK23</f>
        <v>0</v>
      </c>
      <c r="CY469" s="2"/>
    </row>
    <row r="470" spans="1:103" ht="14.25" hidden="1" customHeight="1" x14ac:dyDescent="0.2">
      <c r="A470" s="2"/>
      <c r="B470" s="105">
        <f t="shared" si="110"/>
        <v>45582</v>
      </c>
      <c r="C470" s="146">
        <f>IF(AND(E470&gt;(N$560-1),E470&lt;(R$560+1)),W$551,IF(ISERROR(HLOOKUP(E470,$N$553:$U$553,1,FALSE)),HLOOKUP(WEEKDAY(E470,2),IMPOSTAZIONI!$C$52:$P$57,6,FALSE),$W$550))</f>
        <v>0</v>
      </c>
      <c r="D470" s="71" t="str">
        <f t="shared" si="111"/>
        <v/>
      </c>
      <c r="E470" s="2258">
        <f t="shared" si="116"/>
        <v>45582</v>
      </c>
      <c r="F470" s="2259"/>
      <c r="G470" s="2228" t="str">
        <f>OTT!E24</f>
        <v xml:space="preserve">disattivato  </v>
      </c>
      <c r="H470" s="2229"/>
      <c r="I470" s="2230"/>
      <c r="J470" s="262" t="str">
        <f t="shared" si="101"/>
        <v/>
      </c>
      <c r="K470" s="263"/>
      <c r="L470" s="2217">
        <f t="shared" si="117"/>
        <v>42</v>
      </c>
      <c r="M470" s="2218"/>
      <c r="N470" s="261"/>
      <c r="O470" s="261"/>
      <c r="P470" s="261"/>
      <c r="Q470" s="2219">
        <f t="shared" si="112"/>
        <v>45582</v>
      </c>
      <c r="R470" s="2219"/>
      <c r="S470" s="261"/>
      <c r="T470" s="1173">
        <f t="shared" si="102"/>
        <v>1</v>
      </c>
      <c r="U470" s="261"/>
      <c r="V470" s="261"/>
      <c r="W470" s="261"/>
      <c r="X470" s="261"/>
      <c r="Y470" s="261"/>
      <c r="Z470" s="261"/>
      <c r="AA470" s="261"/>
      <c r="AB470" s="261"/>
      <c r="AC470" s="261"/>
      <c r="AD470" s="261"/>
      <c r="AE470" s="261"/>
      <c r="AF470" s="261"/>
      <c r="AG470" s="1173">
        <f t="shared" si="113"/>
        <v>0</v>
      </c>
      <c r="AH470" s="61" t="str">
        <f t="shared" si="114"/>
        <v/>
      </c>
      <c r="AI470" s="89" t="e">
        <f t="shared" si="115"/>
        <v>#N/A</v>
      </c>
      <c r="AJ470" s="2"/>
      <c r="AK470" s="61">
        <f>IF(G470=G$547,0,IF(OR(G470&lt;&gt;0,CH470&lt;&gt;0,C470="L"),COUNTIF(AK$180:AK469,"&gt;0")+1,0))</f>
        <v>0</v>
      </c>
      <c r="AL470" s="61" t="str">
        <f t="shared" si="103"/>
        <v/>
      </c>
      <c r="AM470" s="61" t="e">
        <f t="shared" si="104"/>
        <v>#N/A</v>
      </c>
      <c r="AN470" s="89" t="e">
        <f t="shared" si="105"/>
        <v>#N/A</v>
      </c>
      <c r="AO470" s="230">
        <f>SUM(OTT!X24:AD24)-BD470+AY470</f>
        <v>0</v>
      </c>
      <c r="AP470" s="228">
        <f>SUMIF(OTT!$G$121:$M$121,AP$178,OTT!$P24:$V24)+SUMIF($AZ$178:$BC$178,AP$178,$AZ470:$BC470)</f>
        <v>0</v>
      </c>
      <c r="AQ470" s="229">
        <f>SUMIF(OTT!$G$121:$M$121,AQ$178,OTT!$P24:$V24)+SUMIF($AZ$178:$BC$178,AQ$178,$AZ470:$BC470)</f>
        <v>0</v>
      </c>
      <c r="AR470" s="230">
        <f>SUMIF(OTT!$G$121:$M$121,AR$178,OTT!$P24:$V24)+SUMIF($AZ$178:$BC$178,AR$178,$AZ470:$BC470)</f>
        <v>0</v>
      </c>
      <c r="AS470" s="230">
        <f>SUMIF(OTT!$G$121:$M$121,AS$178,OTT!$P24:$V24)+SUMIF($AZ$178:$BC$178,AS$178,$AZ470:$BC470)</f>
        <v>0</v>
      </c>
      <c r="AT470" s="230">
        <f>SUMIF(OTT!$G$121:$M$121,AT$178,OTT!$P24:$V24)+SUMIF($AZ$178:$BC$178,AT$178,$AZ470:$BC470)</f>
        <v>0</v>
      </c>
      <c r="AU470" s="230">
        <f>SUMIF(OTT!$G$121:$M$121,AU$178,OTT!$P24:$V24)+SUMIF($AZ$178:$BC$178,AU$178,$AZ470:$BC470)</f>
        <v>0</v>
      </c>
      <c r="AV470" s="230">
        <f>SUMIF(OTT!$G$121:$M$121,AV$178,OTT!$P24:$V24)+SUMIF($AZ$178:$BC$178,AV$178,$AZ470:$BC470)</f>
        <v>0</v>
      </c>
      <c r="AW470" s="230">
        <f>SUMIF(OTT!$G$121:$M$121,AW$178,OTT!$P24:$V24)+SUMIF($AZ$178:$BC$178,AW$178,$AZ470:$BC470)</f>
        <v>0</v>
      </c>
      <c r="AX470" s="231">
        <f>SUMIF(OTT!$G$121:$M$121,AX$178,OTT!$P24:$V24)+SUMIF($AZ$178:$BC$178,AX$178,$AZ470:$BC470)</f>
        <v>0</v>
      </c>
      <c r="AY470" s="232">
        <f>OTT!AF24</f>
        <v>0</v>
      </c>
      <c r="AZ470" s="228">
        <f>OTT!AG24</f>
        <v>0</v>
      </c>
      <c r="BA470" s="229">
        <f>OTT!AH24</f>
        <v>0</v>
      </c>
      <c r="BB470" s="230">
        <f>OTT!AI24</f>
        <v>0</v>
      </c>
      <c r="BC470" s="231">
        <f>OTT!AJ24</f>
        <v>0</v>
      </c>
      <c r="BD470" s="228">
        <f>SUMIF(OTT!$G$120:$M$120,"&gt;0",OTT!$X24:$AD24)</f>
        <v>0</v>
      </c>
      <c r="BE470" s="696"/>
      <c r="BF470" s="228">
        <f>SUMIF(OTT!$BA$6:$BG$6,BF$177,OTT!$BA24:$BG24)</f>
        <v>0</v>
      </c>
      <c r="BG470" s="229">
        <f>SUMIF(OTT!$BA$6:$BG$6,BG$177,OTT!$BA24:$BG24)</f>
        <v>0</v>
      </c>
      <c r="BH470" s="229">
        <f>SUMIF(OTT!$BA$6:$BG$6,BH$177,OTT!$BA24:$BG24)</f>
        <v>0</v>
      </c>
      <c r="BI470" s="229">
        <f>SUMIF(OTT!$BA$6:$BG$6,BI$177,OTT!$BA24:$BG24)</f>
        <v>0</v>
      </c>
      <c r="BJ470" s="229">
        <f>SUMIF(OTT!$BA$6:$BG$6,BJ$177,OTT!$BA24:$BG24)</f>
        <v>0</v>
      </c>
      <c r="BK470" s="229">
        <f>SUMIF(OTT!$BA$6:$BG$6,BK$177,OTT!$BA24:$BG24)</f>
        <v>0</v>
      </c>
      <c r="BL470" s="229">
        <f>SUMIF(OTT!$BA$6:$BG$6,BL$177,OTT!$BA24:$BG24)</f>
        <v>0</v>
      </c>
      <c r="BM470" s="229">
        <f>SUMIF(OTT!$BA$6:$BG$6,BM$177,OTT!$BA24:$BG24)</f>
        <v>0</v>
      </c>
      <c r="BN470" s="229">
        <f>SUMIF(OTT!$BA$6:$BG$6,BN$177,OTT!$BA24:$BG24)</f>
        <v>0</v>
      </c>
      <c r="BO470" s="231">
        <f>SUMIF(OTT!$BA$6:$BG$6,BO$177,OTT!$BA24:$BG24)</f>
        <v>0</v>
      </c>
      <c r="BP470" s="231">
        <f>SUMIF(OTT!$BA$6:$BG$6,BP$177,OTT!$BA24:$BG24)</f>
        <v>0</v>
      </c>
      <c r="BQ470" s="252"/>
      <c r="BR470" s="228">
        <f>SUMIF(OTT!$BA$5:$BG$5,BR$177,OTT!$BA24:$BG24)</f>
        <v>0</v>
      </c>
      <c r="BS470" s="229">
        <f>SUMIF(OTT!$BA$5:$BG$5,BS$177,OTT!$BA24:$BG24)</f>
        <v>0</v>
      </c>
      <c r="BT470" s="229">
        <f>SUMIF(OTT!$BA$5:$BG$5,BT$177,OTT!$BA24:$BG24)</f>
        <v>0</v>
      </c>
      <c r="BU470" s="229">
        <f>SUMIF(OTT!$BA$5:$BG$5,BU$177,OTT!$BA24:$BG24)</f>
        <v>0</v>
      </c>
      <c r="BV470" s="229">
        <f>SUMIF(OTT!$BA$5:$BG$5,BV$177,OTT!$BA24:$BG24)</f>
        <v>0</v>
      </c>
      <c r="BW470" s="229">
        <f>SUMIF(OTT!$BA$5:$BG$5,BW$177,OTT!$BA24:$BG24)</f>
        <v>0</v>
      </c>
      <c r="BX470" s="230">
        <f>SUMIF(OTT!$BA$5:$BG$5,BX$177,OTT!$BA24:$BG24)</f>
        <v>0</v>
      </c>
      <c r="BY470" s="998">
        <f>SUMIF(OTT!$BA$5:$BG$5,BY$177,OTT!$BA24:$BG24)</f>
        <v>0</v>
      </c>
      <c r="CB470" s="252"/>
      <c r="CC470" s="61" t="e">
        <f t="shared" si="106"/>
        <v>#N/A</v>
      </c>
      <c r="CD470" s="61">
        <f t="shared" si="107"/>
        <v>0</v>
      </c>
      <c r="CE470" s="105" t="str">
        <f t="shared" si="100"/>
        <v/>
      </c>
      <c r="CF470" s="61" t="e">
        <f t="shared" si="108"/>
        <v>#N/A</v>
      </c>
      <c r="CG470" s="61" t="e">
        <f t="shared" si="109"/>
        <v>#N/A</v>
      </c>
      <c r="CH470" s="521">
        <f>OTT!AL24-CW470+CR470</f>
        <v>0</v>
      </c>
      <c r="CI470" s="228">
        <f>SUMIF(OTT!$G$121:$M$121,CI$178,OTT!$AM24:$AS24)+SUMIF($CS$178:$CV$178,CI$178,$CS470:$CV470)</f>
        <v>0</v>
      </c>
      <c r="CJ470" s="229">
        <f>SUMIF(OTT!$G$121:$M$121,CJ$178,OTT!$AM24:$AS24)+SUMIF($CS$178:$CV$178,CJ$178,$CS470:$CV470)</f>
        <v>0</v>
      </c>
      <c r="CK470" s="230">
        <f>SUMIF(OTT!$G$121:$M$121,CK$178,OTT!$AM24:$AS24)+SUMIF($CS$178:$CV$178,CK$178,$CS470:$CV470)</f>
        <v>0</v>
      </c>
      <c r="CL470" s="230">
        <f>SUMIF(OTT!$G$121:$M$121,CL$178,OTT!$AM24:$AS24)+SUMIF($CS$178:$CV$178,CL$178,$CS470:$CV470)</f>
        <v>0</v>
      </c>
      <c r="CM470" s="230">
        <f>SUMIF(OTT!$G$121:$M$121,CM$178,OTT!$AM24:$AS24)+SUMIF($CS$178:$CV$178,CM$178,$CS470:$CV470)</f>
        <v>0</v>
      </c>
      <c r="CN470" s="230">
        <f>SUMIF(OTT!$G$121:$M$121,CN$178,OTT!$AM24:$AS24)+SUMIF($CS$178:$CV$178,CN$178,$CS470:$CV470)</f>
        <v>0</v>
      </c>
      <c r="CO470" s="230">
        <f>SUMIF(OTT!$G$121:$M$121,CO$178,OTT!$AM24:$AS24)+SUMIF($CS$178:$CV$178,CO$178,$CS470:$CV470)</f>
        <v>0</v>
      </c>
      <c r="CP470" s="230">
        <f>SUMIF(OTT!$G$121:$M$121,CP$178,OTT!$AM24:$AS24)+SUMIF($CS$178:$CV$178,CP$178,$CS470:$CV470)</f>
        <v>0</v>
      </c>
      <c r="CQ470" s="231">
        <f>SUMIF(OTT!$G$121:$M$121,CQ$178,OTT!$AM24:$AS24)+SUMIF($CS$178:$CV$178,CQ$178,$CS470:$CV470)</f>
        <v>0</v>
      </c>
      <c r="CR470" s="521">
        <f>OTT!AU24</f>
        <v>0</v>
      </c>
      <c r="CS470" s="228">
        <f>OTT!AV24</f>
        <v>0</v>
      </c>
      <c r="CT470" s="229">
        <f>OTT!AW24</f>
        <v>0</v>
      </c>
      <c r="CU470" s="230">
        <f>OTT!AX24</f>
        <v>0</v>
      </c>
      <c r="CV470" s="231">
        <f>OTT!AY24</f>
        <v>0</v>
      </c>
      <c r="CW470" s="521">
        <f>SUM(OTT!AU24:AY24)</f>
        <v>0</v>
      </c>
      <c r="CX470" s="521">
        <f>OTT!AK24</f>
        <v>0</v>
      </c>
      <c r="CY470" s="2"/>
    </row>
    <row r="471" spans="1:103" ht="14.25" hidden="1" customHeight="1" x14ac:dyDescent="0.2">
      <c r="A471" s="2"/>
      <c r="B471" s="105">
        <f t="shared" si="110"/>
        <v>45583</v>
      </c>
      <c r="C471" s="146">
        <f>IF(AND(E471&gt;(N$560-1),E471&lt;(R$560+1)),W$551,IF(ISERROR(HLOOKUP(E471,$N$553:$U$553,1,FALSE)),HLOOKUP(WEEKDAY(E471,2),IMPOSTAZIONI!$C$52:$P$57,6,FALSE),$W$550))</f>
        <v>0</v>
      </c>
      <c r="D471" s="71" t="str">
        <f t="shared" si="111"/>
        <v/>
      </c>
      <c r="E471" s="2258">
        <f t="shared" si="116"/>
        <v>45583</v>
      </c>
      <c r="F471" s="2259"/>
      <c r="G471" s="2228" t="str">
        <f>OTT!E25</f>
        <v xml:space="preserve">disattivato  </v>
      </c>
      <c r="H471" s="2229"/>
      <c r="I471" s="2230"/>
      <c r="J471" s="262" t="str">
        <f t="shared" si="101"/>
        <v/>
      </c>
      <c r="K471" s="263"/>
      <c r="L471" s="2217">
        <f t="shared" si="117"/>
        <v>42</v>
      </c>
      <c r="M471" s="2218"/>
      <c r="N471" s="261"/>
      <c r="O471" s="261"/>
      <c r="P471" s="261"/>
      <c r="Q471" s="2219">
        <f t="shared" si="112"/>
        <v>45583</v>
      </c>
      <c r="R471" s="2219"/>
      <c r="S471" s="261"/>
      <c r="T471" s="1173">
        <f t="shared" si="102"/>
        <v>1</v>
      </c>
      <c r="U471" s="261"/>
      <c r="V471" s="261"/>
      <c r="W471" s="261"/>
      <c r="X471" s="261"/>
      <c r="Y471" s="261"/>
      <c r="Z471" s="261"/>
      <c r="AA471" s="261"/>
      <c r="AB471" s="261"/>
      <c r="AC471" s="261"/>
      <c r="AD471" s="261"/>
      <c r="AE471" s="261"/>
      <c r="AF471" s="261"/>
      <c r="AG471" s="1173">
        <f t="shared" si="113"/>
        <v>0</v>
      </c>
      <c r="AH471" s="61" t="str">
        <f t="shared" si="114"/>
        <v/>
      </c>
      <c r="AI471" s="89" t="e">
        <f t="shared" si="115"/>
        <v>#N/A</v>
      </c>
      <c r="AJ471" s="2"/>
      <c r="AK471" s="61">
        <f>IF(G471=G$547,0,IF(OR(G471&lt;&gt;0,CH471&lt;&gt;0,C471="L"),COUNTIF(AK$180:AK470,"&gt;0")+1,0))</f>
        <v>0</v>
      </c>
      <c r="AL471" s="61" t="str">
        <f t="shared" si="103"/>
        <v/>
      </c>
      <c r="AM471" s="61" t="e">
        <f t="shared" si="104"/>
        <v>#N/A</v>
      </c>
      <c r="AN471" s="89" t="e">
        <f t="shared" si="105"/>
        <v>#N/A</v>
      </c>
      <c r="AO471" s="230">
        <f>SUM(OTT!X25:AD25)-BD471+AY471</f>
        <v>0</v>
      </c>
      <c r="AP471" s="228">
        <f>SUMIF(OTT!$G$121:$M$121,AP$178,OTT!$P25:$V25)+SUMIF($AZ$178:$BC$178,AP$178,$AZ471:$BC471)</f>
        <v>0</v>
      </c>
      <c r="AQ471" s="229">
        <f>SUMIF(OTT!$G$121:$M$121,AQ$178,OTT!$P25:$V25)+SUMIF($AZ$178:$BC$178,AQ$178,$AZ471:$BC471)</f>
        <v>0</v>
      </c>
      <c r="AR471" s="230">
        <f>SUMIF(OTT!$G$121:$M$121,AR$178,OTT!$P25:$V25)+SUMIF($AZ$178:$BC$178,AR$178,$AZ471:$BC471)</f>
        <v>0</v>
      </c>
      <c r="AS471" s="230">
        <f>SUMIF(OTT!$G$121:$M$121,AS$178,OTT!$P25:$V25)+SUMIF($AZ$178:$BC$178,AS$178,$AZ471:$BC471)</f>
        <v>0</v>
      </c>
      <c r="AT471" s="230">
        <f>SUMIF(OTT!$G$121:$M$121,AT$178,OTT!$P25:$V25)+SUMIF($AZ$178:$BC$178,AT$178,$AZ471:$BC471)</f>
        <v>0</v>
      </c>
      <c r="AU471" s="230">
        <f>SUMIF(OTT!$G$121:$M$121,AU$178,OTT!$P25:$V25)+SUMIF($AZ$178:$BC$178,AU$178,$AZ471:$BC471)</f>
        <v>0</v>
      </c>
      <c r="AV471" s="230">
        <f>SUMIF(OTT!$G$121:$M$121,AV$178,OTT!$P25:$V25)+SUMIF($AZ$178:$BC$178,AV$178,$AZ471:$BC471)</f>
        <v>0</v>
      </c>
      <c r="AW471" s="230">
        <f>SUMIF(OTT!$G$121:$M$121,AW$178,OTT!$P25:$V25)+SUMIF($AZ$178:$BC$178,AW$178,$AZ471:$BC471)</f>
        <v>0</v>
      </c>
      <c r="AX471" s="231">
        <f>SUMIF(OTT!$G$121:$M$121,AX$178,OTT!$P25:$V25)+SUMIF($AZ$178:$BC$178,AX$178,$AZ471:$BC471)</f>
        <v>0</v>
      </c>
      <c r="AY471" s="232">
        <f>OTT!AF25</f>
        <v>0</v>
      </c>
      <c r="AZ471" s="228">
        <f>OTT!AG25</f>
        <v>0</v>
      </c>
      <c r="BA471" s="229">
        <f>OTT!AH25</f>
        <v>0</v>
      </c>
      <c r="BB471" s="230">
        <f>OTT!AI25</f>
        <v>0</v>
      </c>
      <c r="BC471" s="231">
        <f>OTT!AJ25</f>
        <v>0</v>
      </c>
      <c r="BD471" s="228">
        <f>SUMIF(OTT!$G$120:$M$120,"&gt;0",OTT!$X25:$AD25)</f>
        <v>0</v>
      </c>
      <c r="BE471" s="696"/>
      <c r="BF471" s="228">
        <f>SUMIF(OTT!$BA$6:$BG$6,BF$177,OTT!$BA25:$BG25)</f>
        <v>0</v>
      </c>
      <c r="BG471" s="229">
        <f>SUMIF(OTT!$BA$6:$BG$6,BG$177,OTT!$BA25:$BG25)</f>
        <v>0</v>
      </c>
      <c r="BH471" s="229">
        <f>SUMIF(OTT!$BA$6:$BG$6,BH$177,OTT!$BA25:$BG25)</f>
        <v>0</v>
      </c>
      <c r="BI471" s="229">
        <f>SUMIF(OTT!$BA$6:$BG$6,BI$177,OTT!$BA25:$BG25)</f>
        <v>0</v>
      </c>
      <c r="BJ471" s="229">
        <f>SUMIF(OTT!$BA$6:$BG$6,BJ$177,OTT!$BA25:$BG25)</f>
        <v>0</v>
      </c>
      <c r="BK471" s="229">
        <f>SUMIF(OTT!$BA$6:$BG$6,BK$177,OTT!$BA25:$BG25)</f>
        <v>0</v>
      </c>
      <c r="BL471" s="229">
        <f>SUMIF(OTT!$BA$6:$BG$6,BL$177,OTT!$BA25:$BG25)</f>
        <v>0</v>
      </c>
      <c r="BM471" s="229">
        <f>SUMIF(OTT!$BA$6:$BG$6,BM$177,OTT!$BA25:$BG25)</f>
        <v>0</v>
      </c>
      <c r="BN471" s="229">
        <f>SUMIF(OTT!$BA$6:$BG$6,BN$177,OTT!$BA25:$BG25)</f>
        <v>0</v>
      </c>
      <c r="BO471" s="231">
        <f>SUMIF(OTT!$BA$6:$BG$6,BO$177,OTT!$BA25:$BG25)</f>
        <v>0</v>
      </c>
      <c r="BP471" s="231">
        <f>SUMIF(OTT!$BA$6:$BG$6,BP$177,OTT!$BA25:$BG25)</f>
        <v>0</v>
      </c>
      <c r="BQ471" s="252"/>
      <c r="BR471" s="228">
        <f>SUMIF(OTT!$BA$5:$BG$5,BR$177,OTT!$BA25:$BG25)</f>
        <v>0</v>
      </c>
      <c r="BS471" s="229">
        <f>SUMIF(OTT!$BA$5:$BG$5,BS$177,OTT!$BA25:$BG25)</f>
        <v>0</v>
      </c>
      <c r="BT471" s="229">
        <f>SUMIF(OTT!$BA$5:$BG$5,BT$177,OTT!$BA25:$BG25)</f>
        <v>0</v>
      </c>
      <c r="BU471" s="229">
        <f>SUMIF(OTT!$BA$5:$BG$5,BU$177,OTT!$BA25:$BG25)</f>
        <v>0</v>
      </c>
      <c r="BV471" s="229">
        <f>SUMIF(OTT!$BA$5:$BG$5,BV$177,OTT!$BA25:$BG25)</f>
        <v>0</v>
      </c>
      <c r="BW471" s="229">
        <f>SUMIF(OTT!$BA$5:$BG$5,BW$177,OTT!$BA25:$BG25)</f>
        <v>0</v>
      </c>
      <c r="BX471" s="230">
        <f>SUMIF(OTT!$BA$5:$BG$5,BX$177,OTT!$BA25:$BG25)</f>
        <v>0</v>
      </c>
      <c r="BY471" s="998">
        <f>SUMIF(OTT!$BA$5:$BG$5,BY$177,OTT!$BA25:$BG25)</f>
        <v>0</v>
      </c>
      <c r="CB471" s="252"/>
      <c r="CC471" s="61" t="e">
        <f t="shared" si="106"/>
        <v>#N/A</v>
      </c>
      <c r="CD471" s="61">
        <f t="shared" si="107"/>
        <v>0</v>
      </c>
      <c r="CE471" s="105" t="str">
        <f t="shared" si="100"/>
        <v/>
      </c>
      <c r="CF471" s="61" t="e">
        <f t="shared" si="108"/>
        <v>#N/A</v>
      </c>
      <c r="CG471" s="61" t="e">
        <f t="shared" si="109"/>
        <v>#N/A</v>
      </c>
      <c r="CH471" s="521">
        <f>OTT!AL25-CW471+CR471</f>
        <v>0</v>
      </c>
      <c r="CI471" s="228">
        <f>SUMIF(OTT!$G$121:$M$121,CI$178,OTT!$AM25:$AS25)+SUMIF($CS$178:$CV$178,CI$178,$CS471:$CV471)</f>
        <v>0</v>
      </c>
      <c r="CJ471" s="229">
        <f>SUMIF(OTT!$G$121:$M$121,CJ$178,OTT!$AM25:$AS25)+SUMIF($CS$178:$CV$178,CJ$178,$CS471:$CV471)</f>
        <v>0</v>
      </c>
      <c r="CK471" s="230">
        <f>SUMIF(OTT!$G$121:$M$121,CK$178,OTT!$AM25:$AS25)+SUMIF($CS$178:$CV$178,CK$178,$CS471:$CV471)</f>
        <v>0</v>
      </c>
      <c r="CL471" s="230">
        <f>SUMIF(OTT!$G$121:$M$121,CL$178,OTT!$AM25:$AS25)+SUMIF($CS$178:$CV$178,CL$178,$CS471:$CV471)</f>
        <v>0</v>
      </c>
      <c r="CM471" s="230">
        <f>SUMIF(OTT!$G$121:$M$121,CM$178,OTT!$AM25:$AS25)+SUMIF($CS$178:$CV$178,CM$178,$CS471:$CV471)</f>
        <v>0</v>
      </c>
      <c r="CN471" s="230">
        <f>SUMIF(OTT!$G$121:$M$121,CN$178,OTT!$AM25:$AS25)+SUMIF($CS$178:$CV$178,CN$178,$CS471:$CV471)</f>
        <v>0</v>
      </c>
      <c r="CO471" s="230">
        <f>SUMIF(OTT!$G$121:$M$121,CO$178,OTT!$AM25:$AS25)+SUMIF($CS$178:$CV$178,CO$178,$CS471:$CV471)</f>
        <v>0</v>
      </c>
      <c r="CP471" s="230">
        <f>SUMIF(OTT!$G$121:$M$121,CP$178,OTT!$AM25:$AS25)+SUMIF($CS$178:$CV$178,CP$178,$CS471:$CV471)</f>
        <v>0</v>
      </c>
      <c r="CQ471" s="231">
        <f>SUMIF(OTT!$G$121:$M$121,CQ$178,OTT!$AM25:$AS25)+SUMIF($CS$178:$CV$178,CQ$178,$CS471:$CV471)</f>
        <v>0</v>
      </c>
      <c r="CR471" s="521">
        <f>OTT!AU25</f>
        <v>0</v>
      </c>
      <c r="CS471" s="228">
        <f>OTT!AV25</f>
        <v>0</v>
      </c>
      <c r="CT471" s="229">
        <f>OTT!AW25</f>
        <v>0</v>
      </c>
      <c r="CU471" s="230">
        <f>OTT!AX25</f>
        <v>0</v>
      </c>
      <c r="CV471" s="231">
        <f>OTT!AY25</f>
        <v>0</v>
      </c>
      <c r="CW471" s="521">
        <f>SUM(OTT!AU25:AY25)</f>
        <v>0</v>
      </c>
      <c r="CX471" s="521">
        <f>OTT!AK25</f>
        <v>0</v>
      </c>
      <c r="CY471" s="2"/>
    </row>
    <row r="472" spans="1:103" ht="14.25" hidden="1" customHeight="1" x14ac:dyDescent="0.2">
      <c r="A472" s="2"/>
      <c r="B472" s="105">
        <f t="shared" si="110"/>
        <v>45584</v>
      </c>
      <c r="C472" s="146">
        <f>IF(AND(E472&gt;(N$560-1),E472&lt;(R$560+1)),W$551,IF(ISERROR(HLOOKUP(E472,$N$553:$U$553,1,FALSE)),HLOOKUP(WEEKDAY(E472,2),IMPOSTAZIONI!$C$52:$P$57,6,FALSE),$W$550))</f>
        <v>0</v>
      </c>
      <c r="D472" s="71" t="str">
        <f t="shared" si="111"/>
        <v/>
      </c>
      <c r="E472" s="2258">
        <f t="shared" si="116"/>
        <v>45584</v>
      </c>
      <c r="F472" s="2259"/>
      <c r="G472" s="2228" t="str">
        <f>OTT!E26</f>
        <v xml:space="preserve">disattivato  </v>
      </c>
      <c r="H472" s="2229"/>
      <c r="I472" s="2230"/>
      <c r="J472" s="262" t="str">
        <f t="shared" si="101"/>
        <v/>
      </c>
      <c r="K472" s="263"/>
      <c r="L472" s="2217">
        <f t="shared" si="117"/>
        <v>42</v>
      </c>
      <c r="M472" s="2218"/>
      <c r="N472" s="261"/>
      <c r="O472" s="261"/>
      <c r="P472" s="261"/>
      <c r="Q472" s="2219">
        <f t="shared" si="112"/>
        <v>45584</v>
      </c>
      <c r="R472" s="2219"/>
      <c r="S472" s="261"/>
      <c r="T472" s="1173">
        <f t="shared" si="102"/>
        <v>1</v>
      </c>
      <c r="U472" s="261"/>
      <c r="V472" s="261"/>
      <c r="W472" s="261"/>
      <c r="X472" s="261"/>
      <c r="Y472" s="261"/>
      <c r="Z472" s="261"/>
      <c r="AA472" s="261"/>
      <c r="AB472" s="261"/>
      <c r="AC472" s="261"/>
      <c r="AD472" s="261"/>
      <c r="AE472" s="261"/>
      <c r="AF472" s="261"/>
      <c r="AG472" s="1173">
        <f t="shared" si="113"/>
        <v>0</v>
      </c>
      <c r="AH472" s="61" t="str">
        <f t="shared" si="114"/>
        <v/>
      </c>
      <c r="AI472" s="89" t="e">
        <f t="shared" si="115"/>
        <v>#N/A</v>
      </c>
      <c r="AJ472" s="2"/>
      <c r="AK472" s="61">
        <f>IF(G472=G$547,0,IF(OR(G472&lt;&gt;0,CH472&lt;&gt;0,C472="L"),COUNTIF(AK$180:AK471,"&gt;0")+1,0))</f>
        <v>0</v>
      </c>
      <c r="AL472" s="61" t="str">
        <f t="shared" si="103"/>
        <v/>
      </c>
      <c r="AM472" s="61" t="e">
        <f t="shared" si="104"/>
        <v>#N/A</v>
      </c>
      <c r="AN472" s="89" t="e">
        <f t="shared" si="105"/>
        <v>#N/A</v>
      </c>
      <c r="AO472" s="230">
        <f>SUM(OTT!X26:AD26)-BD472+AY472</f>
        <v>0</v>
      </c>
      <c r="AP472" s="228">
        <f>SUMIF(OTT!$G$121:$M$121,AP$178,OTT!$P26:$V26)+SUMIF($AZ$178:$BC$178,AP$178,$AZ472:$BC472)</f>
        <v>0</v>
      </c>
      <c r="AQ472" s="229">
        <f>SUMIF(OTT!$G$121:$M$121,AQ$178,OTT!$P26:$V26)+SUMIF($AZ$178:$BC$178,AQ$178,$AZ472:$BC472)</f>
        <v>0</v>
      </c>
      <c r="AR472" s="230">
        <f>SUMIF(OTT!$G$121:$M$121,AR$178,OTT!$P26:$V26)+SUMIF($AZ$178:$BC$178,AR$178,$AZ472:$BC472)</f>
        <v>0</v>
      </c>
      <c r="AS472" s="230">
        <f>SUMIF(OTT!$G$121:$M$121,AS$178,OTT!$P26:$V26)+SUMIF($AZ$178:$BC$178,AS$178,$AZ472:$BC472)</f>
        <v>0</v>
      </c>
      <c r="AT472" s="230">
        <f>SUMIF(OTT!$G$121:$M$121,AT$178,OTT!$P26:$V26)+SUMIF($AZ$178:$BC$178,AT$178,$AZ472:$BC472)</f>
        <v>0</v>
      </c>
      <c r="AU472" s="230">
        <f>SUMIF(OTT!$G$121:$M$121,AU$178,OTT!$P26:$V26)+SUMIF($AZ$178:$BC$178,AU$178,$AZ472:$BC472)</f>
        <v>0</v>
      </c>
      <c r="AV472" s="230">
        <f>SUMIF(OTT!$G$121:$M$121,AV$178,OTT!$P26:$V26)+SUMIF($AZ$178:$BC$178,AV$178,$AZ472:$BC472)</f>
        <v>0</v>
      </c>
      <c r="AW472" s="230">
        <f>SUMIF(OTT!$G$121:$M$121,AW$178,OTT!$P26:$V26)+SUMIF($AZ$178:$BC$178,AW$178,$AZ472:$BC472)</f>
        <v>0</v>
      </c>
      <c r="AX472" s="231">
        <f>SUMIF(OTT!$G$121:$M$121,AX$178,OTT!$P26:$V26)+SUMIF($AZ$178:$BC$178,AX$178,$AZ472:$BC472)</f>
        <v>0</v>
      </c>
      <c r="AY472" s="232">
        <f>OTT!AF26</f>
        <v>0</v>
      </c>
      <c r="AZ472" s="228">
        <f>OTT!AG26</f>
        <v>0</v>
      </c>
      <c r="BA472" s="229">
        <f>OTT!AH26</f>
        <v>0</v>
      </c>
      <c r="BB472" s="230">
        <f>OTT!AI26</f>
        <v>0</v>
      </c>
      <c r="BC472" s="231">
        <f>OTT!AJ26</f>
        <v>0</v>
      </c>
      <c r="BD472" s="228">
        <f>SUMIF(OTT!$G$120:$M$120,"&gt;0",OTT!$X26:$AD26)</f>
        <v>0</v>
      </c>
      <c r="BE472" s="696"/>
      <c r="BF472" s="228">
        <f>SUMIF(OTT!$BA$6:$BG$6,BF$177,OTT!$BA26:$BG26)</f>
        <v>0</v>
      </c>
      <c r="BG472" s="229">
        <f>SUMIF(OTT!$BA$6:$BG$6,BG$177,OTT!$BA26:$BG26)</f>
        <v>0</v>
      </c>
      <c r="BH472" s="229">
        <f>SUMIF(OTT!$BA$6:$BG$6,BH$177,OTT!$BA26:$BG26)</f>
        <v>0</v>
      </c>
      <c r="BI472" s="229">
        <f>SUMIF(OTT!$BA$6:$BG$6,BI$177,OTT!$BA26:$BG26)</f>
        <v>0</v>
      </c>
      <c r="BJ472" s="229">
        <f>SUMIF(OTT!$BA$6:$BG$6,BJ$177,OTT!$BA26:$BG26)</f>
        <v>0</v>
      </c>
      <c r="BK472" s="229">
        <f>SUMIF(OTT!$BA$6:$BG$6,BK$177,OTT!$BA26:$BG26)</f>
        <v>0</v>
      </c>
      <c r="BL472" s="229">
        <f>SUMIF(OTT!$BA$6:$BG$6,BL$177,OTT!$BA26:$BG26)</f>
        <v>0</v>
      </c>
      <c r="BM472" s="229">
        <f>SUMIF(OTT!$BA$6:$BG$6,BM$177,OTT!$BA26:$BG26)</f>
        <v>0</v>
      </c>
      <c r="BN472" s="229">
        <f>SUMIF(OTT!$BA$6:$BG$6,BN$177,OTT!$BA26:$BG26)</f>
        <v>0</v>
      </c>
      <c r="BO472" s="231">
        <f>SUMIF(OTT!$BA$6:$BG$6,BO$177,OTT!$BA26:$BG26)</f>
        <v>0</v>
      </c>
      <c r="BP472" s="231">
        <f>SUMIF(OTT!$BA$6:$BG$6,BP$177,OTT!$BA26:$BG26)</f>
        <v>0</v>
      </c>
      <c r="BQ472" s="252"/>
      <c r="BR472" s="228">
        <f>SUMIF(OTT!$BA$5:$BG$5,BR$177,OTT!$BA26:$BG26)</f>
        <v>0</v>
      </c>
      <c r="BS472" s="229">
        <f>SUMIF(OTT!$BA$5:$BG$5,BS$177,OTT!$BA26:$BG26)</f>
        <v>0</v>
      </c>
      <c r="BT472" s="229">
        <f>SUMIF(OTT!$BA$5:$BG$5,BT$177,OTT!$BA26:$BG26)</f>
        <v>0</v>
      </c>
      <c r="BU472" s="229">
        <f>SUMIF(OTT!$BA$5:$BG$5,BU$177,OTT!$BA26:$BG26)</f>
        <v>0</v>
      </c>
      <c r="BV472" s="229">
        <f>SUMIF(OTT!$BA$5:$BG$5,BV$177,OTT!$BA26:$BG26)</f>
        <v>0</v>
      </c>
      <c r="BW472" s="229">
        <f>SUMIF(OTT!$BA$5:$BG$5,BW$177,OTT!$BA26:$BG26)</f>
        <v>0</v>
      </c>
      <c r="BX472" s="230">
        <f>SUMIF(OTT!$BA$5:$BG$5,BX$177,OTT!$BA26:$BG26)</f>
        <v>0</v>
      </c>
      <c r="BY472" s="998">
        <f>SUMIF(OTT!$BA$5:$BG$5,BY$177,OTT!$BA26:$BG26)</f>
        <v>0</v>
      </c>
      <c r="CB472" s="252"/>
      <c r="CC472" s="61" t="e">
        <f t="shared" si="106"/>
        <v>#N/A</v>
      </c>
      <c r="CD472" s="61">
        <f t="shared" si="107"/>
        <v>0</v>
      </c>
      <c r="CE472" s="105" t="str">
        <f t="shared" si="100"/>
        <v/>
      </c>
      <c r="CF472" s="61" t="e">
        <f t="shared" si="108"/>
        <v>#N/A</v>
      </c>
      <c r="CG472" s="61" t="e">
        <f t="shared" si="109"/>
        <v>#N/A</v>
      </c>
      <c r="CH472" s="521">
        <f>OTT!AL26-CW472+CR472</f>
        <v>0</v>
      </c>
      <c r="CI472" s="228">
        <f>SUMIF(OTT!$G$121:$M$121,CI$178,OTT!$AM26:$AS26)+SUMIF($CS$178:$CV$178,CI$178,$CS472:$CV472)</f>
        <v>0</v>
      </c>
      <c r="CJ472" s="229">
        <f>SUMIF(OTT!$G$121:$M$121,CJ$178,OTT!$AM26:$AS26)+SUMIF($CS$178:$CV$178,CJ$178,$CS472:$CV472)</f>
        <v>0</v>
      </c>
      <c r="CK472" s="230">
        <f>SUMIF(OTT!$G$121:$M$121,CK$178,OTT!$AM26:$AS26)+SUMIF($CS$178:$CV$178,CK$178,$CS472:$CV472)</f>
        <v>0</v>
      </c>
      <c r="CL472" s="230">
        <f>SUMIF(OTT!$G$121:$M$121,CL$178,OTT!$AM26:$AS26)+SUMIF($CS$178:$CV$178,CL$178,$CS472:$CV472)</f>
        <v>0</v>
      </c>
      <c r="CM472" s="230">
        <f>SUMIF(OTT!$G$121:$M$121,CM$178,OTT!$AM26:$AS26)+SUMIF($CS$178:$CV$178,CM$178,$CS472:$CV472)</f>
        <v>0</v>
      </c>
      <c r="CN472" s="230">
        <f>SUMIF(OTT!$G$121:$M$121,CN$178,OTT!$AM26:$AS26)+SUMIF($CS$178:$CV$178,CN$178,$CS472:$CV472)</f>
        <v>0</v>
      </c>
      <c r="CO472" s="230">
        <f>SUMIF(OTT!$G$121:$M$121,CO$178,OTT!$AM26:$AS26)+SUMIF($CS$178:$CV$178,CO$178,$CS472:$CV472)</f>
        <v>0</v>
      </c>
      <c r="CP472" s="230">
        <f>SUMIF(OTT!$G$121:$M$121,CP$178,OTT!$AM26:$AS26)+SUMIF($CS$178:$CV$178,CP$178,$CS472:$CV472)</f>
        <v>0</v>
      </c>
      <c r="CQ472" s="231">
        <f>SUMIF(OTT!$G$121:$M$121,CQ$178,OTT!$AM26:$AS26)+SUMIF($CS$178:$CV$178,CQ$178,$CS472:$CV472)</f>
        <v>0</v>
      </c>
      <c r="CR472" s="521">
        <f>OTT!AU26</f>
        <v>0</v>
      </c>
      <c r="CS472" s="228">
        <f>OTT!AV26</f>
        <v>0</v>
      </c>
      <c r="CT472" s="229">
        <f>OTT!AW26</f>
        <v>0</v>
      </c>
      <c r="CU472" s="230">
        <f>OTT!AX26</f>
        <v>0</v>
      </c>
      <c r="CV472" s="231">
        <f>OTT!AY26</f>
        <v>0</v>
      </c>
      <c r="CW472" s="521">
        <f>SUM(OTT!AU26:AY26)</f>
        <v>0</v>
      </c>
      <c r="CX472" s="521">
        <f>OTT!AK26</f>
        <v>0</v>
      </c>
      <c r="CY472" s="2"/>
    </row>
    <row r="473" spans="1:103" ht="14.25" hidden="1" customHeight="1" x14ac:dyDescent="0.2">
      <c r="A473" s="2"/>
      <c r="B473" s="105">
        <f t="shared" si="110"/>
        <v>45585</v>
      </c>
      <c r="C473" s="146">
        <f>IF(AND(E473&gt;(N$560-1),E473&lt;(R$560+1)),W$551,IF(ISERROR(HLOOKUP(E473,$N$553:$U$553,1,FALSE)),HLOOKUP(WEEKDAY(E473,2),IMPOSTAZIONI!$C$52:$P$57,6,FALSE),$W$550))</f>
        <v>0</v>
      </c>
      <c r="D473" s="71" t="str">
        <f t="shared" si="111"/>
        <v/>
      </c>
      <c r="E473" s="2258">
        <f t="shared" si="116"/>
        <v>45585</v>
      </c>
      <c r="F473" s="2259"/>
      <c r="G473" s="2228" t="str">
        <f>OTT!E27</f>
        <v xml:space="preserve">disattivato  </v>
      </c>
      <c r="H473" s="2229"/>
      <c r="I473" s="2230"/>
      <c r="J473" s="262" t="str">
        <f t="shared" si="101"/>
        <v/>
      </c>
      <c r="K473" s="263"/>
      <c r="L473" s="2220">
        <f t="shared" si="117"/>
        <v>42</v>
      </c>
      <c r="M473" s="2221"/>
      <c r="N473" s="261"/>
      <c r="O473" s="261"/>
      <c r="P473" s="261"/>
      <c r="Q473" s="2219">
        <f t="shared" si="112"/>
        <v>45585</v>
      </c>
      <c r="R473" s="2219"/>
      <c r="S473" s="261"/>
      <c r="T473" s="1173">
        <f t="shared" si="102"/>
        <v>1</v>
      </c>
      <c r="U473" s="261"/>
      <c r="V473" s="261"/>
      <c r="W473" s="261"/>
      <c r="X473" s="261"/>
      <c r="Y473" s="261"/>
      <c r="Z473" s="261"/>
      <c r="AA473" s="261"/>
      <c r="AB473" s="261"/>
      <c r="AC473" s="261"/>
      <c r="AD473" s="261"/>
      <c r="AE473" s="261"/>
      <c r="AF473" s="261"/>
      <c r="AG473" s="1173">
        <f t="shared" si="113"/>
        <v>0</v>
      </c>
      <c r="AH473" s="61" t="str">
        <f t="shared" si="114"/>
        <v/>
      </c>
      <c r="AI473" s="89" t="e">
        <f t="shared" si="115"/>
        <v>#N/A</v>
      </c>
      <c r="AJ473" s="2"/>
      <c r="AK473" s="61">
        <f>IF(G473=G$547,0,IF(OR(G473&lt;&gt;0,CH473&lt;&gt;0,C473="L"),COUNTIF(AK$180:AK472,"&gt;0")+1,0))</f>
        <v>0</v>
      </c>
      <c r="AL473" s="61" t="str">
        <f t="shared" si="103"/>
        <v/>
      </c>
      <c r="AM473" s="61" t="e">
        <f t="shared" si="104"/>
        <v>#N/A</v>
      </c>
      <c r="AN473" s="89" t="e">
        <f t="shared" si="105"/>
        <v>#N/A</v>
      </c>
      <c r="AO473" s="230">
        <f>SUM(OTT!X27:AD27)-BD473+AY473</f>
        <v>0</v>
      </c>
      <c r="AP473" s="228">
        <f>SUMIF(OTT!$G$121:$M$121,AP$178,OTT!$P27:$V27)+SUMIF($AZ$178:$BC$178,AP$178,$AZ473:$BC473)</f>
        <v>0</v>
      </c>
      <c r="AQ473" s="229">
        <f>SUMIF(OTT!$G$121:$M$121,AQ$178,OTT!$P27:$V27)+SUMIF($AZ$178:$BC$178,AQ$178,$AZ473:$BC473)</f>
        <v>0</v>
      </c>
      <c r="AR473" s="230">
        <f>SUMIF(OTT!$G$121:$M$121,AR$178,OTT!$P27:$V27)+SUMIF($AZ$178:$BC$178,AR$178,$AZ473:$BC473)</f>
        <v>0</v>
      </c>
      <c r="AS473" s="230">
        <f>SUMIF(OTT!$G$121:$M$121,AS$178,OTT!$P27:$V27)+SUMIF($AZ$178:$BC$178,AS$178,$AZ473:$BC473)</f>
        <v>0</v>
      </c>
      <c r="AT473" s="230">
        <f>SUMIF(OTT!$G$121:$M$121,AT$178,OTT!$P27:$V27)+SUMIF($AZ$178:$BC$178,AT$178,$AZ473:$BC473)</f>
        <v>0</v>
      </c>
      <c r="AU473" s="230">
        <f>SUMIF(OTT!$G$121:$M$121,AU$178,OTT!$P27:$V27)+SUMIF($AZ$178:$BC$178,AU$178,$AZ473:$BC473)</f>
        <v>0</v>
      </c>
      <c r="AV473" s="230">
        <f>SUMIF(OTT!$G$121:$M$121,AV$178,OTT!$P27:$V27)+SUMIF($AZ$178:$BC$178,AV$178,$AZ473:$BC473)</f>
        <v>0</v>
      </c>
      <c r="AW473" s="230">
        <f>SUMIF(OTT!$G$121:$M$121,AW$178,OTT!$P27:$V27)+SUMIF($AZ$178:$BC$178,AW$178,$AZ473:$BC473)</f>
        <v>0</v>
      </c>
      <c r="AX473" s="231">
        <f>SUMIF(OTT!$G$121:$M$121,AX$178,OTT!$P27:$V27)+SUMIF($AZ$178:$BC$178,AX$178,$AZ473:$BC473)</f>
        <v>0</v>
      </c>
      <c r="AY473" s="232">
        <f>OTT!AF27</f>
        <v>0</v>
      </c>
      <c r="AZ473" s="228">
        <f>OTT!AG27</f>
        <v>0</v>
      </c>
      <c r="BA473" s="229">
        <f>OTT!AH27</f>
        <v>0</v>
      </c>
      <c r="BB473" s="230">
        <f>OTT!AI27</f>
        <v>0</v>
      </c>
      <c r="BC473" s="231">
        <f>OTT!AJ27</f>
        <v>0</v>
      </c>
      <c r="BD473" s="228">
        <f>SUMIF(OTT!$G$120:$M$120,"&gt;0",OTT!$X27:$AD27)</f>
        <v>0</v>
      </c>
      <c r="BE473" s="696"/>
      <c r="BF473" s="228">
        <f>SUMIF(OTT!$BA$6:$BG$6,BF$177,OTT!$BA27:$BG27)</f>
        <v>0</v>
      </c>
      <c r="BG473" s="229">
        <f>SUMIF(OTT!$BA$6:$BG$6,BG$177,OTT!$BA27:$BG27)</f>
        <v>0</v>
      </c>
      <c r="BH473" s="229">
        <f>SUMIF(OTT!$BA$6:$BG$6,BH$177,OTT!$BA27:$BG27)</f>
        <v>0</v>
      </c>
      <c r="BI473" s="229">
        <f>SUMIF(OTT!$BA$6:$BG$6,BI$177,OTT!$BA27:$BG27)</f>
        <v>0</v>
      </c>
      <c r="BJ473" s="229">
        <f>SUMIF(OTT!$BA$6:$BG$6,BJ$177,OTT!$BA27:$BG27)</f>
        <v>0</v>
      </c>
      <c r="BK473" s="229">
        <f>SUMIF(OTT!$BA$6:$BG$6,BK$177,OTT!$BA27:$BG27)</f>
        <v>0</v>
      </c>
      <c r="BL473" s="229">
        <f>SUMIF(OTT!$BA$6:$BG$6,BL$177,OTT!$BA27:$BG27)</f>
        <v>0</v>
      </c>
      <c r="BM473" s="229">
        <f>SUMIF(OTT!$BA$6:$BG$6,BM$177,OTT!$BA27:$BG27)</f>
        <v>0</v>
      </c>
      <c r="BN473" s="229">
        <f>SUMIF(OTT!$BA$6:$BG$6,BN$177,OTT!$BA27:$BG27)</f>
        <v>0</v>
      </c>
      <c r="BO473" s="231">
        <f>SUMIF(OTT!$BA$6:$BG$6,BO$177,OTT!$BA27:$BG27)</f>
        <v>0</v>
      </c>
      <c r="BP473" s="231">
        <f>SUMIF(OTT!$BA$6:$BG$6,BP$177,OTT!$BA27:$BG27)</f>
        <v>0</v>
      </c>
      <c r="BQ473" s="252"/>
      <c r="BR473" s="228">
        <f>SUMIF(OTT!$BA$5:$BG$5,BR$177,OTT!$BA27:$BG27)</f>
        <v>0</v>
      </c>
      <c r="BS473" s="229">
        <f>SUMIF(OTT!$BA$5:$BG$5,BS$177,OTT!$BA27:$BG27)</f>
        <v>0</v>
      </c>
      <c r="BT473" s="229">
        <f>SUMIF(OTT!$BA$5:$BG$5,BT$177,OTT!$BA27:$BG27)</f>
        <v>0</v>
      </c>
      <c r="BU473" s="229">
        <f>SUMIF(OTT!$BA$5:$BG$5,BU$177,OTT!$BA27:$BG27)</f>
        <v>0</v>
      </c>
      <c r="BV473" s="229">
        <f>SUMIF(OTT!$BA$5:$BG$5,BV$177,OTT!$BA27:$BG27)</f>
        <v>0</v>
      </c>
      <c r="BW473" s="229">
        <f>SUMIF(OTT!$BA$5:$BG$5,BW$177,OTT!$BA27:$BG27)</f>
        <v>0</v>
      </c>
      <c r="BX473" s="230">
        <f>SUMIF(OTT!$BA$5:$BG$5,BX$177,OTT!$BA27:$BG27)</f>
        <v>0</v>
      </c>
      <c r="BY473" s="998">
        <f>SUMIF(OTT!$BA$5:$BG$5,BY$177,OTT!$BA27:$BG27)</f>
        <v>0</v>
      </c>
      <c r="CB473" s="252"/>
      <c r="CC473" s="61" t="e">
        <f t="shared" si="106"/>
        <v>#N/A</v>
      </c>
      <c r="CD473" s="61">
        <f t="shared" si="107"/>
        <v>0</v>
      </c>
      <c r="CE473" s="105" t="str">
        <f t="shared" si="100"/>
        <v/>
      </c>
      <c r="CF473" s="61" t="e">
        <f t="shared" si="108"/>
        <v>#N/A</v>
      </c>
      <c r="CG473" s="61" t="e">
        <f t="shared" si="109"/>
        <v>#N/A</v>
      </c>
      <c r="CH473" s="521">
        <f>OTT!AL27-CW473+CR473</f>
        <v>0</v>
      </c>
      <c r="CI473" s="228">
        <f>SUMIF(OTT!$G$121:$M$121,CI$178,OTT!$AM27:$AS27)+SUMIF($CS$178:$CV$178,CI$178,$CS473:$CV473)</f>
        <v>0</v>
      </c>
      <c r="CJ473" s="229">
        <f>SUMIF(OTT!$G$121:$M$121,CJ$178,OTT!$AM27:$AS27)+SUMIF($CS$178:$CV$178,CJ$178,$CS473:$CV473)</f>
        <v>0</v>
      </c>
      <c r="CK473" s="230">
        <f>SUMIF(OTT!$G$121:$M$121,CK$178,OTT!$AM27:$AS27)+SUMIF($CS$178:$CV$178,CK$178,$CS473:$CV473)</f>
        <v>0</v>
      </c>
      <c r="CL473" s="230">
        <f>SUMIF(OTT!$G$121:$M$121,CL$178,OTT!$AM27:$AS27)+SUMIF($CS$178:$CV$178,CL$178,$CS473:$CV473)</f>
        <v>0</v>
      </c>
      <c r="CM473" s="230">
        <f>SUMIF(OTT!$G$121:$M$121,CM$178,OTT!$AM27:$AS27)+SUMIF($CS$178:$CV$178,CM$178,$CS473:$CV473)</f>
        <v>0</v>
      </c>
      <c r="CN473" s="230">
        <f>SUMIF(OTT!$G$121:$M$121,CN$178,OTT!$AM27:$AS27)+SUMIF($CS$178:$CV$178,CN$178,$CS473:$CV473)</f>
        <v>0</v>
      </c>
      <c r="CO473" s="230">
        <f>SUMIF(OTT!$G$121:$M$121,CO$178,OTT!$AM27:$AS27)+SUMIF($CS$178:$CV$178,CO$178,$CS473:$CV473)</f>
        <v>0</v>
      </c>
      <c r="CP473" s="230">
        <f>SUMIF(OTT!$G$121:$M$121,CP$178,OTT!$AM27:$AS27)+SUMIF($CS$178:$CV$178,CP$178,$CS473:$CV473)</f>
        <v>0</v>
      </c>
      <c r="CQ473" s="231">
        <f>SUMIF(OTT!$G$121:$M$121,CQ$178,OTT!$AM27:$AS27)+SUMIF($CS$178:$CV$178,CQ$178,$CS473:$CV473)</f>
        <v>0</v>
      </c>
      <c r="CR473" s="521">
        <f>OTT!AU27</f>
        <v>0</v>
      </c>
      <c r="CS473" s="228">
        <f>OTT!AV27</f>
        <v>0</v>
      </c>
      <c r="CT473" s="229">
        <f>OTT!AW27</f>
        <v>0</v>
      </c>
      <c r="CU473" s="230">
        <f>OTT!AX27</f>
        <v>0</v>
      </c>
      <c r="CV473" s="231">
        <f>OTT!AY27</f>
        <v>0</v>
      </c>
      <c r="CW473" s="521">
        <f>SUM(OTT!AU27:AY27)</f>
        <v>0</v>
      </c>
      <c r="CX473" s="521">
        <f>OTT!AK27</f>
        <v>0</v>
      </c>
      <c r="CY473" s="2"/>
    </row>
    <row r="474" spans="1:103" ht="14.25" hidden="1" customHeight="1" x14ac:dyDescent="0.2">
      <c r="A474" s="2"/>
      <c r="B474" s="105">
        <f t="shared" si="110"/>
        <v>45586</v>
      </c>
      <c r="C474" s="146">
        <f>IF(AND(E474&gt;(N$560-1),E474&lt;(R$560+1)),W$551,IF(ISERROR(HLOOKUP(E474,$N$553:$U$553,1,FALSE)),HLOOKUP(WEEKDAY(E474,2),IMPOSTAZIONI!$C$52:$P$57,6,FALSE),$W$550))</f>
        <v>0</v>
      </c>
      <c r="D474" s="71" t="str">
        <f t="shared" si="111"/>
        <v/>
      </c>
      <c r="E474" s="2258">
        <f t="shared" si="116"/>
        <v>45586</v>
      </c>
      <c r="F474" s="2259"/>
      <c r="G474" s="2228" t="str">
        <f>OTT!E28</f>
        <v xml:space="preserve">disattivato  </v>
      </c>
      <c r="H474" s="2229"/>
      <c r="I474" s="2230"/>
      <c r="J474" s="262" t="str">
        <f t="shared" si="101"/>
        <v/>
      </c>
      <c r="K474" s="263"/>
      <c r="L474" s="2222">
        <f t="shared" si="117"/>
        <v>43</v>
      </c>
      <c r="M474" s="2223"/>
      <c r="N474" s="261"/>
      <c r="O474" s="261"/>
      <c r="P474" s="261"/>
      <c r="Q474" s="2219">
        <f t="shared" si="112"/>
        <v>45586</v>
      </c>
      <c r="R474" s="2219"/>
      <c r="S474" s="261"/>
      <c r="T474" s="1173">
        <f t="shared" si="102"/>
        <v>1</v>
      </c>
      <c r="U474" s="261"/>
      <c r="V474" s="261"/>
      <c r="W474" s="261"/>
      <c r="X474" s="261"/>
      <c r="Y474" s="261"/>
      <c r="Z474" s="261"/>
      <c r="AA474" s="261"/>
      <c r="AB474" s="261"/>
      <c r="AC474" s="261"/>
      <c r="AD474" s="261"/>
      <c r="AE474" s="261"/>
      <c r="AF474" s="261"/>
      <c r="AG474" s="1173">
        <f t="shared" si="113"/>
        <v>0</v>
      </c>
      <c r="AH474" s="61" t="str">
        <f t="shared" si="114"/>
        <v/>
      </c>
      <c r="AI474" s="89" t="e">
        <f t="shared" si="115"/>
        <v>#N/A</v>
      </c>
      <c r="AJ474" s="2"/>
      <c r="AK474" s="61">
        <f>IF(G474=G$547,0,IF(OR(G474&lt;&gt;0,CH474&lt;&gt;0,C474="L"),COUNTIF(AK$180:AK473,"&gt;0")+1,0))</f>
        <v>0</v>
      </c>
      <c r="AL474" s="61" t="str">
        <f t="shared" si="103"/>
        <v/>
      </c>
      <c r="AM474" s="61" t="e">
        <f t="shared" si="104"/>
        <v>#N/A</v>
      </c>
      <c r="AN474" s="89" t="e">
        <f t="shared" si="105"/>
        <v>#N/A</v>
      </c>
      <c r="AO474" s="230">
        <f>SUM(OTT!X28:AD28)-BD474+AY474</f>
        <v>0</v>
      </c>
      <c r="AP474" s="228">
        <f>SUMIF(OTT!$G$121:$M$121,AP$178,OTT!$P28:$V28)+SUMIF($AZ$178:$BC$178,AP$178,$AZ474:$BC474)</f>
        <v>0</v>
      </c>
      <c r="AQ474" s="229">
        <f>SUMIF(OTT!$G$121:$M$121,AQ$178,OTT!$P28:$V28)+SUMIF($AZ$178:$BC$178,AQ$178,$AZ474:$BC474)</f>
        <v>0</v>
      </c>
      <c r="AR474" s="230">
        <f>SUMIF(OTT!$G$121:$M$121,AR$178,OTT!$P28:$V28)+SUMIF($AZ$178:$BC$178,AR$178,$AZ474:$BC474)</f>
        <v>0</v>
      </c>
      <c r="AS474" s="230">
        <f>SUMIF(OTT!$G$121:$M$121,AS$178,OTT!$P28:$V28)+SUMIF($AZ$178:$BC$178,AS$178,$AZ474:$BC474)</f>
        <v>0</v>
      </c>
      <c r="AT474" s="230">
        <f>SUMIF(OTT!$G$121:$M$121,AT$178,OTT!$P28:$V28)+SUMIF($AZ$178:$BC$178,AT$178,$AZ474:$BC474)</f>
        <v>0</v>
      </c>
      <c r="AU474" s="230">
        <f>SUMIF(OTT!$G$121:$M$121,AU$178,OTT!$P28:$V28)+SUMIF($AZ$178:$BC$178,AU$178,$AZ474:$BC474)</f>
        <v>0</v>
      </c>
      <c r="AV474" s="230">
        <f>SUMIF(OTT!$G$121:$M$121,AV$178,OTT!$P28:$V28)+SUMIF($AZ$178:$BC$178,AV$178,$AZ474:$BC474)</f>
        <v>0</v>
      </c>
      <c r="AW474" s="230">
        <f>SUMIF(OTT!$G$121:$M$121,AW$178,OTT!$P28:$V28)+SUMIF($AZ$178:$BC$178,AW$178,$AZ474:$BC474)</f>
        <v>0</v>
      </c>
      <c r="AX474" s="231">
        <f>SUMIF(OTT!$G$121:$M$121,AX$178,OTT!$P28:$V28)+SUMIF($AZ$178:$BC$178,AX$178,$AZ474:$BC474)</f>
        <v>0</v>
      </c>
      <c r="AY474" s="232">
        <f>OTT!AF28</f>
        <v>0</v>
      </c>
      <c r="AZ474" s="228">
        <f>OTT!AG28</f>
        <v>0</v>
      </c>
      <c r="BA474" s="229">
        <f>OTT!AH28</f>
        <v>0</v>
      </c>
      <c r="BB474" s="230">
        <f>OTT!AI28</f>
        <v>0</v>
      </c>
      <c r="BC474" s="231">
        <f>OTT!AJ28</f>
        <v>0</v>
      </c>
      <c r="BD474" s="228">
        <f>SUMIF(OTT!$G$120:$M$120,"&gt;0",OTT!$X28:$AD28)</f>
        <v>0</v>
      </c>
      <c r="BE474" s="696"/>
      <c r="BF474" s="228">
        <f>SUMIF(OTT!$BA$6:$BG$6,BF$177,OTT!$BA28:$BG28)</f>
        <v>0</v>
      </c>
      <c r="BG474" s="229">
        <f>SUMIF(OTT!$BA$6:$BG$6,BG$177,OTT!$BA28:$BG28)</f>
        <v>0</v>
      </c>
      <c r="BH474" s="229">
        <f>SUMIF(OTT!$BA$6:$BG$6,BH$177,OTT!$BA28:$BG28)</f>
        <v>0</v>
      </c>
      <c r="BI474" s="229">
        <f>SUMIF(OTT!$BA$6:$BG$6,BI$177,OTT!$BA28:$BG28)</f>
        <v>0</v>
      </c>
      <c r="BJ474" s="229">
        <f>SUMIF(OTT!$BA$6:$BG$6,BJ$177,OTT!$BA28:$BG28)</f>
        <v>0</v>
      </c>
      <c r="BK474" s="229">
        <f>SUMIF(OTT!$BA$6:$BG$6,BK$177,OTT!$BA28:$BG28)</f>
        <v>0</v>
      </c>
      <c r="BL474" s="229">
        <f>SUMIF(OTT!$BA$6:$BG$6,BL$177,OTT!$BA28:$BG28)</f>
        <v>0</v>
      </c>
      <c r="BM474" s="229">
        <f>SUMIF(OTT!$BA$6:$BG$6,BM$177,OTT!$BA28:$BG28)</f>
        <v>0</v>
      </c>
      <c r="BN474" s="229">
        <f>SUMIF(OTT!$BA$6:$BG$6,BN$177,OTT!$BA28:$BG28)</f>
        <v>0</v>
      </c>
      <c r="BO474" s="231">
        <f>SUMIF(OTT!$BA$6:$BG$6,BO$177,OTT!$BA28:$BG28)</f>
        <v>0</v>
      </c>
      <c r="BP474" s="231">
        <f>SUMIF(OTT!$BA$6:$BG$6,BP$177,OTT!$BA28:$BG28)</f>
        <v>0</v>
      </c>
      <c r="BQ474" s="252"/>
      <c r="BR474" s="228">
        <f>SUMIF(OTT!$BA$5:$BG$5,BR$177,OTT!$BA28:$BG28)</f>
        <v>0</v>
      </c>
      <c r="BS474" s="229">
        <f>SUMIF(OTT!$BA$5:$BG$5,BS$177,OTT!$BA28:$BG28)</f>
        <v>0</v>
      </c>
      <c r="BT474" s="229">
        <f>SUMIF(OTT!$BA$5:$BG$5,BT$177,OTT!$BA28:$BG28)</f>
        <v>0</v>
      </c>
      <c r="BU474" s="229">
        <f>SUMIF(OTT!$BA$5:$BG$5,BU$177,OTT!$BA28:$BG28)</f>
        <v>0</v>
      </c>
      <c r="BV474" s="229">
        <f>SUMIF(OTT!$BA$5:$BG$5,BV$177,OTT!$BA28:$BG28)</f>
        <v>0</v>
      </c>
      <c r="BW474" s="229">
        <f>SUMIF(OTT!$BA$5:$BG$5,BW$177,OTT!$BA28:$BG28)</f>
        <v>0</v>
      </c>
      <c r="BX474" s="230">
        <f>SUMIF(OTT!$BA$5:$BG$5,BX$177,OTT!$BA28:$BG28)</f>
        <v>0</v>
      </c>
      <c r="BY474" s="998">
        <f>SUMIF(OTT!$BA$5:$BG$5,BY$177,OTT!$BA28:$BG28)</f>
        <v>0</v>
      </c>
      <c r="CB474" s="252"/>
      <c r="CC474" s="61" t="e">
        <f t="shared" si="106"/>
        <v>#N/A</v>
      </c>
      <c r="CD474" s="61">
        <f t="shared" si="107"/>
        <v>0</v>
      </c>
      <c r="CE474" s="105" t="str">
        <f t="shared" si="100"/>
        <v/>
      </c>
      <c r="CF474" s="61" t="e">
        <f t="shared" si="108"/>
        <v>#N/A</v>
      </c>
      <c r="CG474" s="61" t="e">
        <f t="shared" si="109"/>
        <v>#N/A</v>
      </c>
      <c r="CH474" s="521">
        <f>OTT!AL28-CW474+CR474</f>
        <v>0</v>
      </c>
      <c r="CI474" s="228">
        <f>SUMIF(OTT!$G$121:$M$121,CI$178,OTT!$AM28:$AS28)+SUMIF($CS$178:$CV$178,CI$178,$CS474:$CV474)</f>
        <v>0</v>
      </c>
      <c r="CJ474" s="229">
        <f>SUMIF(OTT!$G$121:$M$121,CJ$178,OTT!$AM28:$AS28)+SUMIF($CS$178:$CV$178,CJ$178,$CS474:$CV474)</f>
        <v>0</v>
      </c>
      <c r="CK474" s="230">
        <f>SUMIF(OTT!$G$121:$M$121,CK$178,OTT!$AM28:$AS28)+SUMIF($CS$178:$CV$178,CK$178,$CS474:$CV474)</f>
        <v>0</v>
      </c>
      <c r="CL474" s="230">
        <f>SUMIF(OTT!$G$121:$M$121,CL$178,OTT!$AM28:$AS28)+SUMIF($CS$178:$CV$178,CL$178,$CS474:$CV474)</f>
        <v>0</v>
      </c>
      <c r="CM474" s="230">
        <f>SUMIF(OTT!$G$121:$M$121,CM$178,OTT!$AM28:$AS28)+SUMIF($CS$178:$CV$178,CM$178,$CS474:$CV474)</f>
        <v>0</v>
      </c>
      <c r="CN474" s="230">
        <f>SUMIF(OTT!$G$121:$M$121,CN$178,OTT!$AM28:$AS28)+SUMIF($CS$178:$CV$178,CN$178,$CS474:$CV474)</f>
        <v>0</v>
      </c>
      <c r="CO474" s="230">
        <f>SUMIF(OTT!$G$121:$M$121,CO$178,OTT!$AM28:$AS28)+SUMIF($CS$178:$CV$178,CO$178,$CS474:$CV474)</f>
        <v>0</v>
      </c>
      <c r="CP474" s="230">
        <f>SUMIF(OTT!$G$121:$M$121,CP$178,OTT!$AM28:$AS28)+SUMIF($CS$178:$CV$178,CP$178,$CS474:$CV474)</f>
        <v>0</v>
      </c>
      <c r="CQ474" s="231">
        <f>SUMIF(OTT!$G$121:$M$121,CQ$178,OTT!$AM28:$AS28)+SUMIF($CS$178:$CV$178,CQ$178,$CS474:$CV474)</f>
        <v>0</v>
      </c>
      <c r="CR474" s="521">
        <f>OTT!AU28</f>
        <v>0</v>
      </c>
      <c r="CS474" s="228">
        <f>OTT!AV28</f>
        <v>0</v>
      </c>
      <c r="CT474" s="229">
        <f>OTT!AW28</f>
        <v>0</v>
      </c>
      <c r="CU474" s="230">
        <f>OTT!AX28</f>
        <v>0</v>
      </c>
      <c r="CV474" s="231">
        <f>OTT!AY28</f>
        <v>0</v>
      </c>
      <c r="CW474" s="521">
        <f>SUM(OTT!AU28:AY28)</f>
        <v>0</v>
      </c>
      <c r="CX474" s="521">
        <f>OTT!AK28</f>
        <v>0</v>
      </c>
      <c r="CY474" s="2"/>
    </row>
    <row r="475" spans="1:103" ht="14.25" hidden="1" customHeight="1" x14ac:dyDescent="0.2">
      <c r="A475" s="2"/>
      <c r="B475" s="105">
        <f t="shared" si="110"/>
        <v>45587</v>
      </c>
      <c r="C475" s="146">
        <f>IF(AND(E475&gt;(N$560-1),E475&lt;(R$560+1)),W$551,IF(ISERROR(HLOOKUP(E475,$N$553:$U$553,1,FALSE)),HLOOKUP(WEEKDAY(E475,2),IMPOSTAZIONI!$C$52:$P$57,6,FALSE),$W$550))</f>
        <v>0</v>
      </c>
      <c r="D475" s="71" t="str">
        <f t="shared" si="111"/>
        <v/>
      </c>
      <c r="E475" s="2258">
        <f t="shared" si="116"/>
        <v>45587</v>
      </c>
      <c r="F475" s="2259"/>
      <c r="G475" s="2228" t="str">
        <f>OTT!E29</f>
        <v xml:space="preserve">disattivato  </v>
      </c>
      <c r="H475" s="2229"/>
      <c r="I475" s="2230"/>
      <c r="J475" s="262" t="str">
        <f t="shared" si="101"/>
        <v/>
      </c>
      <c r="K475" s="263"/>
      <c r="L475" s="2217">
        <f t="shared" si="117"/>
        <v>43</v>
      </c>
      <c r="M475" s="2218"/>
      <c r="N475" s="261"/>
      <c r="O475" s="261"/>
      <c r="P475" s="261"/>
      <c r="Q475" s="2219">
        <f t="shared" si="112"/>
        <v>45587</v>
      </c>
      <c r="R475" s="2219"/>
      <c r="S475" s="261"/>
      <c r="T475" s="1173">
        <f t="shared" si="102"/>
        <v>1</v>
      </c>
      <c r="U475" s="261"/>
      <c r="V475" s="261"/>
      <c r="W475" s="261"/>
      <c r="X475" s="261"/>
      <c r="Y475" s="261"/>
      <c r="Z475" s="261"/>
      <c r="AA475" s="261"/>
      <c r="AB475" s="261"/>
      <c r="AC475" s="261"/>
      <c r="AD475" s="261"/>
      <c r="AE475" s="261"/>
      <c r="AF475" s="261"/>
      <c r="AG475" s="1173">
        <f t="shared" si="113"/>
        <v>0</v>
      </c>
      <c r="AH475" s="61" t="str">
        <f t="shared" si="114"/>
        <v/>
      </c>
      <c r="AI475" s="89" t="e">
        <f t="shared" si="115"/>
        <v>#N/A</v>
      </c>
      <c r="AJ475" s="2"/>
      <c r="AK475" s="61">
        <f>IF(G475=G$547,0,IF(OR(G475&lt;&gt;0,CH475&lt;&gt;0,C475="L"),COUNTIF(AK$180:AK474,"&gt;0")+1,0))</f>
        <v>0</v>
      </c>
      <c r="AL475" s="61" t="str">
        <f t="shared" si="103"/>
        <v/>
      </c>
      <c r="AM475" s="61" t="e">
        <f t="shared" si="104"/>
        <v>#N/A</v>
      </c>
      <c r="AN475" s="89" t="e">
        <f t="shared" si="105"/>
        <v>#N/A</v>
      </c>
      <c r="AO475" s="230">
        <f>SUM(OTT!X29:AD29)-BD475+AY475</f>
        <v>0</v>
      </c>
      <c r="AP475" s="228">
        <f>SUMIF(OTT!$G$121:$M$121,AP$178,OTT!$P29:$V29)+SUMIF($AZ$178:$BC$178,AP$178,$AZ475:$BC475)</f>
        <v>0</v>
      </c>
      <c r="AQ475" s="229">
        <f>SUMIF(OTT!$G$121:$M$121,AQ$178,OTT!$P29:$V29)+SUMIF($AZ$178:$BC$178,AQ$178,$AZ475:$BC475)</f>
        <v>0</v>
      </c>
      <c r="AR475" s="230">
        <f>SUMIF(OTT!$G$121:$M$121,AR$178,OTT!$P29:$V29)+SUMIF($AZ$178:$BC$178,AR$178,$AZ475:$BC475)</f>
        <v>0</v>
      </c>
      <c r="AS475" s="230">
        <f>SUMIF(OTT!$G$121:$M$121,AS$178,OTT!$P29:$V29)+SUMIF($AZ$178:$BC$178,AS$178,$AZ475:$BC475)</f>
        <v>0</v>
      </c>
      <c r="AT475" s="230">
        <f>SUMIF(OTT!$G$121:$M$121,AT$178,OTT!$P29:$V29)+SUMIF($AZ$178:$BC$178,AT$178,$AZ475:$BC475)</f>
        <v>0</v>
      </c>
      <c r="AU475" s="230">
        <f>SUMIF(OTT!$G$121:$M$121,AU$178,OTT!$P29:$V29)+SUMIF($AZ$178:$BC$178,AU$178,$AZ475:$BC475)</f>
        <v>0</v>
      </c>
      <c r="AV475" s="230">
        <f>SUMIF(OTT!$G$121:$M$121,AV$178,OTT!$P29:$V29)+SUMIF($AZ$178:$BC$178,AV$178,$AZ475:$BC475)</f>
        <v>0</v>
      </c>
      <c r="AW475" s="230">
        <f>SUMIF(OTT!$G$121:$M$121,AW$178,OTT!$P29:$V29)+SUMIF($AZ$178:$BC$178,AW$178,$AZ475:$BC475)</f>
        <v>0</v>
      </c>
      <c r="AX475" s="231">
        <f>SUMIF(OTT!$G$121:$M$121,AX$178,OTT!$P29:$V29)+SUMIF($AZ$178:$BC$178,AX$178,$AZ475:$BC475)</f>
        <v>0</v>
      </c>
      <c r="AY475" s="232">
        <f>OTT!AF29</f>
        <v>0</v>
      </c>
      <c r="AZ475" s="228">
        <f>OTT!AG29</f>
        <v>0</v>
      </c>
      <c r="BA475" s="229">
        <f>OTT!AH29</f>
        <v>0</v>
      </c>
      <c r="BB475" s="230">
        <f>OTT!AI29</f>
        <v>0</v>
      </c>
      <c r="BC475" s="231">
        <f>OTT!AJ29</f>
        <v>0</v>
      </c>
      <c r="BD475" s="228">
        <f>SUMIF(OTT!$G$120:$M$120,"&gt;0",OTT!$X29:$AD29)</f>
        <v>0</v>
      </c>
      <c r="BE475" s="696"/>
      <c r="BF475" s="228">
        <f>SUMIF(OTT!$BA$6:$BG$6,BF$177,OTT!$BA29:$BG29)</f>
        <v>0</v>
      </c>
      <c r="BG475" s="229">
        <f>SUMIF(OTT!$BA$6:$BG$6,BG$177,OTT!$BA29:$BG29)</f>
        <v>0</v>
      </c>
      <c r="BH475" s="229">
        <f>SUMIF(OTT!$BA$6:$BG$6,BH$177,OTT!$BA29:$BG29)</f>
        <v>0</v>
      </c>
      <c r="BI475" s="229">
        <f>SUMIF(OTT!$BA$6:$BG$6,BI$177,OTT!$BA29:$BG29)</f>
        <v>0</v>
      </c>
      <c r="BJ475" s="229">
        <f>SUMIF(OTT!$BA$6:$BG$6,BJ$177,OTT!$BA29:$BG29)</f>
        <v>0</v>
      </c>
      <c r="BK475" s="229">
        <f>SUMIF(OTT!$BA$6:$BG$6,BK$177,OTT!$BA29:$BG29)</f>
        <v>0</v>
      </c>
      <c r="BL475" s="229">
        <f>SUMIF(OTT!$BA$6:$BG$6,BL$177,OTT!$BA29:$BG29)</f>
        <v>0</v>
      </c>
      <c r="BM475" s="229">
        <f>SUMIF(OTT!$BA$6:$BG$6,BM$177,OTT!$BA29:$BG29)</f>
        <v>0</v>
      </c>
      <c r="BN475" s="229">
        <f>SUMIF(OTT!$BA$6:$BG$6,BN$177,OTT!$BA29:$BG29)</f>
        <v>0</v>
      </c>
      <c r="BO475" s="231">
        <f>SUMIF(OTT!$BA$6:$BG$6,BO$177,OTT!$BA29:$BG29)</f>
        <v>0</v>
      </c>
      <c r="BP475" s="231">
        <f>SUMIF(OTT!$BA$6:$BG$6,BP$177,OTT!$BA29:$BG29)</f>
        <v>0</v>
      </c>
      <c r="BQ475" s="252"/>
      <c r="BR475" s="228">
        <f>SUMIF(OTT!$BA$5:$BG$5,BR$177,OTT!$BA29:$BG29)</f>
        <v>0</v>
      </c>
      <c r="BS475" s="229">
        <f>SUMIF(OTT!$BA$5:$BG$5,BS$177,OTT!$BA29:$BG29)</f>
        <v>0</v>
      </c>
      <c r="BT475" s="229">
        <f>SUMIF(OTT!$BA$5:$BG$5,BT$177,OTT!$BA29:$BG29)</f>
        <v>0</v>
      </c>
      <c r="BU475" s="229">
        <f>SUMIF(OTT!$BA$5:$BG$5,BU$177,OTT!$BA29:$BG29)</f>
        <v>0</v>
      </c>
      <c r="BV475" s="229">
        <f>SUMIF(OTT!$BA$5:$BG$5,BV$177,OTT!$BA29:$BG29)</f>
        <v>0</v>
      </c>
      <c r="BW475" s="229">
        <f>SUMIF(OTT!$BA$5:$BG$5,BW$177,OTT!$BA29:$BG29)</f>
        <v>0</v>
      </c>
      <c r="BX475" s="230">
        <f>SUMIF(OTT!$BA$5:$BG$5,BX$177,OTT!$BA29:$BG29)</f>
        <v>0</v>
      </c>
      <c r="BY475" s="998">
        <f>SUMIF(OTT!$BA$5:$BG$5,BY$177,OTT!$BA29:$BG29)</f>
        <v>0</v>
      </c>
      <c r="CB475" s="252"/>
      <c r="CC475" s="61" t="e">
        <f t="shared" si="106"/>
        <v>#N/A</v>
      </c>
      <c r="CD475" s="61">
        <f t="shared" si="107"/>
        <v>0</v>
      </c>
      <c r="CE475" s="105" t="str">
        <f t="shared" si="100"/>
        <v/>
      </c>
      <c r="CF475" s="61" t="e">
        <f t="shared" si="108"/>
        <v>#N/A</v>
      </c>
      <c r="CG475" s="61" t="e">
        <f t="shared" si="109"/>
        <v>#N/A</v>
      </c>
      <c r="CH475" s="521">
        <f>OTT!AL29-CW475+CR475</f>
        <v>0</v>
      </c>
      <c r="CI475" s="228">
        <f>SUMIF(OTT!$G$121:$M$121,CI$178,OTT!$AM29:$AS29)+SUMIF($CS$178:$CV$178,CI$178,$CS475:$CV475)</f>
        <v>0</v>
      </c>
      <c r="CJ475" s="229">
        <f>SUMIF(OTT!$G$121:$M$121,CJ$178,OTT!$AM29:$AS29)+SUMIF($CS$178:$CV$178,CJ$178,$CS475:$CV475)</f>
        <v>0</v>
      </c>
      <c r="CK475" s="230">
        <f>SUMIF(OTT!$G$121:$M$121,CK$178,OTT!$AM29:$AS29)+SUMIF($CS$178:$CV$178,CK$178,$CS475:$CV475)</f>
        <v>0</v>
      </c>
      <c r="CL475" s="230">
        <f>SUMIF(OTT!$G$121:$M$121,CL$178,OTT!$AM29:$AS29)+SUMIF($CS$178:$CV$178,CL$178,$CS475:$CV475)</f>
        <v>0</v>
      </c>
      <c r="CM475" s="230">
        <f>SUMIF(OTT!$G$121:$M$121,CM$178,OTT!$AM29:$AS29)+SUMIF($CS$178:$CV$178,CM$178,$CS475:$CV475)</f>
        <v>0</v>
      </c>
      <c r="CN475" s="230">
        <f>SUMIF(OTT!$G$121:$M$121,CN$178,OTT!$AM29:$AS29)+SUMIF($CS$178:$CV$178,CN$178,$CS475:$CV475)</f>
        <v>0</v>
      </c>
      <c r="CO475" s="230">
        <f>SUMIF(OTT!$G$121:$M$121,CO$178,OTT!$AM29:$AS29)+SUMIF($CS$178:$CV$178,CO$178,$CS475:$CV475)</f>
        <v>0</v>
      </c>
      <c r="CP475" s="230">
        <f>SUMIF(OTT!$G$121:$M$121,CP$178,OTT!$AM29:$AS29)+SUMIF($CS$178:$CV$178,CP$178,$CS475:$CV475)</f>
        <v>0</v>
      </c>
      <c r="CQ475" s="231">
        <f>SUMIF(OTT!$G$121:$M$121,CQ$178,OTT!$AM29:$AS29)+SUMIF($CS$178:$CV$178,CQ$178,$CS475:$CV475)</f>
        <v>0</v>
      </c>
      <c r="CR475" s="521">
        <f>OTT!AU29</f>
        <v>0</v>
      </c>
      <c r="CS475" s="228">
        <f>OTT!AV29</f>
        <v>0</v>
      </c>
      <c r="CT475" s="229">
        <f>OTT!AW29</f>
        <v>0</v>
      </c>
      <c r="CU475" s="230">
        <f>OTT!AX29</f>
        <v>0</v>
      </c>
      <c r="CV475" s="231">
        <f>OTT!AY29</f>
        <v>0</v>
      </c>
      <c r="CW475" s="521">
        <f>SUM(OTT!AU29:AY29)</f>
        <v>0</v>
      </c>
      <c r="CX475" s="521">
        <f>OTT!AK29</f>
        <v>0</v>
      </c>
      <c r="CY475" s="2"/>
    </row>
    <row r="476" spans="1:103" ht="14.25" hidden="1" customHeight="1" x14ac:dyDescent="0.2">
      <c r="A476" s="2"/>
      <c r="B476" s="105">
        <f t="shared" si="110"/>
        <v>45588</v>
      </c>
      <c r="C476" s="146">
        <f>IF(AND(E476&gt;(N$560-1),E476&lt;(R$560+1)),W$551,IF(ISERROR(HLOOKUP(E476,$N$553:$U$553,1,FALSE)),HLOOKUP(WEEKDAY(E476,2),IMPOSTAZIONI!$C$52:$P$57,6,FALSE),$W$550))</f>
        <v>0</v>
      </c>
      <c r="D476" s="71" t="str">
        <f t="shared" si="111"/>
        <v/>
      </c>
      <c r="E476" s="2258">
        <f t="shared" si="116"/>
        <v>45588</v>
      </c>
      <c r="F476" s="2259"/>
      <c r="G476" s="2228" t="str">
        <f>OTT!E30</f>
        <v xml:space="preserve">disattivato  </v>
      </c>
      <c r="H476" s="2229"/>
      <c r="I476" s="2230"/>
      <c r="J476" s="262" t="str">
        <f t="shared" si="101"/>
        <v/>
      </c>
      <c r="K476" s="263"/>
      <c r="L476" s="2217">
        <f t="shared" si="117"/>
        <v>43</v>
      </c>
      <c r="M476" s="2218"/>
      <c r="N476" s="261"/>
      <c r="O476" s="261"/>
      <c r="P476" s="261"/>
      <c r="Q476" s="2219">
        <f t="shared" si="112"/>
        <v>45588</v>
      </c>
      <c r="R476" s="2219"/>
      <c r="S476" s="261"/>
      <c r="T476" s="1173">
        <f t="shared" si="102"/>
        <v>1</v>
      </c>
      <c r="U476" s="261"/>
      <c r="V476" s="261"/>
      <c r="W476" s="261"/>
      <c r="X476" s="261"/>
      <c r="Y476" s="261"/>
      <c r="Z476" s="261"/>
      <c r="AA476" s="261"/>
      <c r="AB476" s="261"/>
      <c r="AC476" s="261"/>
      <c r="AD476" s="261"/>
      <c r="AE476" s="261"/>
      <c r="AF476" s="261"/>
      <c r="AG476" s="1173">
        <f t="shared" si="113"/>
        <v>0</v>
      </c>
      <c r="AH476" s="61" t="str">
        <f t="shared" si="114"/>
        <v/>
      </c>
      <c r="AI476" s="89" t="e">
        <f t="shared" si="115"/>
        <v>#N/A</v>
      </c>
      <c r="AJ476" s="2"/>
      <c r="AK476" s="61">
        <f>IF(G476=G$547,0,IF(OR(G476&lt;&gt;0,CH476&lt;&gt;0,C476="L"),COUNTIF(AK$180:AK475,"&gt;0")+1,0))</f>
        <v>0</v>
      </c>
      <c r="AL476" s="61" t="str">
        <f t="shared" si="103"/>
        <v/>
      </c>
      <c r="AM476" s="61" t="e">
        <f t="shared" si="104"/>
        <v>#N/A</v>
      </c>
      <c r="AN476" s="89" t="e">
        <f t="shared" si="105"/>
        <v>#N/A</v>
      </c>
      <c r="AO476" s="230">
        <f>SUM(OTT!X30:AD30)-BD476+AY476</f>
        <v>0</v>
      </c>
      <c r="AP476" s="228">
        <f>SUMIF(OTT!$G$121:$M$121,AP$178,OTT!$P30:$V30)+SUMIF($AZ$178:$BC$178,AP$178,$AZ476:$BC476)</f>
        <v>0</v>
      </c>
      <c r="AQ476" s="229">
        <f>SUMIF(OTT!$G$121:$M$121,AQ$178,OTT!$P30:$V30)+SUMIF($AZ$178:$BC$178,AQ$178,$AZ476:$BC476)</f>
        <v>0</v>
      </c>
      <c r="AR476" s="230">
        <f>SUMIF(OTT!$G$121:$M$121,AR$178,OTT!$P30:$V30)+SUMIF($AZ$178:$BC$178,AR$178,$AZ476:$BC476)</f>
        <v>0</v>
      </c>
      <c r="AS476" s="230">
        <f>SUMIF(OTT!$G$121:$M$121,AS$178,OTT!$P30:$V30)+SUMIF($AZ$178:$BC$178,AS$178,$AZ476:$BC476)</f>
        <v>0</v>
      </c>
      <c r="AT476" s="230">
        <f>SUMIF(OTT!$G$121:$M$121,AT$178,OTT!$P30:$V30)+SUMIF($AZ$178:$BC$178,AT$178,$AZ476:$BC476)</f>
        <v>0</v>
      </c>
      <c r="AU476" s="230">
        <f>SUMIF(OTT!$G$121:$M$121,AU$178,OTT!$P30:$V30)+SUMIF($AZ$178:$BC$178,AU$178,$AZ476:$BC476)</f>
        <v>0</v>
      </c>
      <c r="AV476" s="230">
        <f>SUMIF(OTT!$G$121:$M$121,AV$178,OTT!$P30:$V30)+SUMIF($AZ$178:$BC$178,AV$178,$AZ476:$BC476)</f>
        <v>0</v>
      </c>
      <c r="AW476" s="230">
        <f>SUMIF(OTT!$G$121:$M$121,AW$178,OTT!$P30:$V30)+SUMIF($AZ$178:$BC$178,AW$178,$AZ476:$BC476)</f>
        <v>0</v>
      </c>
      <c r="AX476" s="231">
        <f>SUMIF(OTT!$G$121:$M$121,AX$178,OTT!$P30:$V30)+SUMIF($AZ$178:$BC$178,AX$178,$AZ476:$BC476)</f>
        <v>0</v>
      </c>
      <c r="AY476" s="232">
        <f>OTT!AF30</f>
        <v>0</v>
      </c>
      <c r="AZ476" s="228">
        <f>OTT!AG30</f>
        <v>0</v>
      </c>
      <c r="BA476" s="229">
        <f>OTT!AH30</f>
        <v>0</v>
      </c>
      <c r="BB476" s="230">
        <f>OTT!AI30</f>
        <v>0</v>
      </c>
      <c r="BC476" s="231">
        <f>OTT!AJ30</f>
        <v>0</v>
      </c>
      <c r="BD476" s="228">
        <f>SUMIF(OTT!$G$120:$M$120,"&gt;0",OTT!$X30:$AD30)</f>
        <v>0</v>
      </c>
      <c r="BE476" s="696"/>
      <c r="BF476" s="228">
        <f>SUMIF(OTT!$BA$6:$BG$6,BF$177,OTT!$BA30:$BG30)</f>
        <v>0</v>
      </c>
      <c r="BG476" s="229">
        <f>SUMIF(OTT!$BA$6:$BG$6,BG$177,OTT!$BA30:$BG30)</f>
        <v>0</v>
      </c>
      <c r="BH476" s="229">
        <f>SUMIF(OTT!$BA$6:$BG$6,BH$177,OTT!$BA30:$BG30)</f>
        <v>0</v>
      </c>
      <c r="BI476" s="229">
        <f>SUMIF(OTT!$BA$6:$BG$6,BI$177,OTT!$BA30:$BG30)</f>
        <v>0</v>
      </c>
      <c r="BJ476" s="229">
        <f>SUMIF(OTT!$BA$6:$BG$6,BJ$177,OTT!$BA30:$BG30)</f>
        <v>0</v>
      </c>
      <c r="BK476" s="229">
        <f>SUMIF(OTT!$BA$6:$BG$6,BK$177,OTT!$BA30:$BG30)</f>
        <v>0</v>
      </c>
      <c r="BL476" s="229">
        <f>SUMIF(OTT!$BA$6:$BG$6,BL$177,OTT!$BA30:$BG30)</f>
        <v>0</v>
      </c>
      <c r="BM476" s="229">
        <f>SUMIF(OTT!$BA$6:$BG$6,BM$177,OTT!$BA30:$BG30)</f>
        <v>0</v>
      </c>
      <c r="BN476" s="229">
        <f>SUMIF(OTT!$BA$6:$BG$6,BN$177,OTT!$BA30:$BG30)</f>
        <v>0</v>
      </c>
      <c r="BO476" s="231">
        <f>SUMIF(OTT!$BA$6:$BG$6,BO$177,OTT!$BA30:$BG30)</f>
        <v>0</v>
      </c>
      <c r="BP476" s="231">
        <f>SUMIF(OTT!$BA$6:$BG$6,BP$177,OTT!$BA30:$BG30)</f>
        <v>0</v>
      </c>
      <c r="BQ476" s="252"/>
      <c r="BR476" s="228">
        <f>SUMIF(OTT!$BA$5:$BG$5,BR$177,OTT!$BA30:$BG30)</f>
        <v>0</v>
      </c>
      <c r="BS476" s="229">
        <f>SUMIF(OTT!$BA$5:$BG$5,BS$177,OTT!$BA30:$BG30)</f>
        <v>0</v>
      </c>
      <c r="BT476" s="229">
        <f>SUMIF(OTT!$BA$5:$BG$5,BT$177,OTT!$BA30:$BG30)</f>
        <v>0</v>
      </c>
      <c r="BU476" s="229">
        <f>SUMIF(OTT!$BA$5:$BG$5,BU$177,OTT!$BA30:$BG30)</f>
        <v>0</v>
      </c>
      <c r="BV476" s="229">
        <f>SUMIF(OTT!$BA$5:$BG$5,BV$177,OTT!$BA30:$BG30)</f>
        <v>0</v>
      </c>
      <c r="BW476" s="229">
        <f>SUMIF(OTT!$BA$5:$BG$5,BW$177,OTT!$BA30:$BG30)</f>
        <v>0</v>
      </c>
      <c r="BX476" s="230">
        <f>SUMIF(OTT!$BA$5:$BG$5,BX$177,OTT!$BA30:$BG30)</f>
        <v>0</v>
      </c>
      <c r="BY476" s="998">
        <f>SUMIF(OTT!$BA$5:$BG$5,BY$177,OTT!$BA30:$BG30)</f>
        <v>0</v>
      </c>
      <c r="CB476" s="252"/>
      <c r="CC476" s="61" t="e">
        <f t="shared" si="106"/>
        <v>#N/A</v>
      </c>
      <c r="CD476" s="61">
        <f t="shared" si="107"/>
        <v>0</v>
      </c>
      <c r="CE476" s="105" t="str">
        <f t="shared" si="100"/>
        <v/>
      </c>
      <c r="CF476" s="61" t="e">
        <f t="shared" si="108"/>
        <v>#N/A</v>
      </c>
      <c r="CG476" s="61" t="e">
        <f t="shared" si="109"/>
        <v>#N/A</v>
      </c>
      <c r="CH476" s="521">
        <f>OTT!AL30-CW476+CR476</f>
        <v>0</v>
      </c>
      <c r="CI476" s="228">
        <f>SUMIF(OTT!$G$121:$M$121,CI$178,OTT!$AM30:$AS30)+SUMIF($CS$178:$CV$178,CI$178,$CS476:$CV476)</f>
        <v>0</v>
      </c>
      <c r="CJ476" s="229">
        <f>SUMIF(OTT!$G$121:$M$121,CJ$178,OTT!$AM30:$AS30)+SUMIF($CS$178:$CV$178,CJ$178,$CS476:$CV476)</f>
        <v>0</v>
      </c>
      <c r="CK476" s="230">
        <f>SUMIF(OTT!$G$121:$M$121,CK$178,OTT!$AM30:$AS30)+SUMIF($CS$178:$CV$178,CK$178,$CS476:$CV476)</f>
        <v>0</v>
      </c>
      <c r="CL476" s="230">
        <f>SUMIF(OTT!$G$121:$M$121,CL$178,OTT!$AM30:$AS30)+SUMIF($CS$178:$CV$178,CL$178,$CS476:$CV476)</f>
        <v>0</v>
      </c>
      <c r="CM476" s="230">
        <f>SUMIF(OTT!$G$121:$M$121,CM$178,OTT!$AM30:$AS30)+SUMIF($CS$178:$CV$178,CM$178,$CS476:$CV476)</f>
        <v>0</v>
      </c>
      <c r="CN476" s="230">
        <f>SUMIF(OTT!$G$121:$M$121,CN$178,OTT!$AM30:$AS30)+SUMIF($CS$178:$CV$178,CN$178,$CS476:$CV476)</f>
        <v>0</v>
      </c>
      <c r="CO476" s="230">
        <f>SUMIF(OTT!$G$121:$M$121,CO$178,OTT!$AM30:$AS30)+SUMIF($CS$178:$CV$178,CO$178,$CS476:$CV476)</f>
        <v>0</v>
      </c>
      <c r="CP476" s="230">
        <f>SUMIF(OTT!$G$121:$M$121,CP$178,OTT!$AM30:$AS30)+SUMIF($CS$178:$CV$178,CP$178,$CS476:$CV476)</f>
        <v>0</v>
      </c>
      <c r="CQ476" s="231">
        <f>SUMIF(OTT!$G$121:$M$121,CQ$178,OTT!$AM30:$AS30)+SUMIF($CS$178:$CV$178,CQ$178,$CS476:$CV476)</f>
        <v>0</v>
      </c>
      <c r="CR476" s="521">
        <f>OTT!AU30</f>
        <v>0</v>
      </c>
      <c r="CS476" s="228">
        <f>OTT!AV30</f>
        <v>0</v>
      </c>
      <c r="CT476" s="229">
        <f>OTT!AW30</f>
        <v>0</v>
      </c>
      <c r="CU476" s="230">
        <f>OTT!AX30</f>
        <v>0</v>
      </c>
      <c r="CV476" s="231">
        <f>OTT!AY30</f>
        <v>0</v>
      </c>
      <c r="CW476" s="521">
        <f>SUM(OTT!AU30:AY30)</f>
        <v>0</v>
      </c>
      <c r="CX476" s="521">
        <f>OTT!AK30</f>
        <v>0</v>
      </c>
      <c r="CY476" s="2"/>
    </row>
    <row r="477" spans="1:103" ht="14.25" hidden="1" customHeight="1" x14ac:dyDescent="0.2">
      <c r="A477" s="2"/>
      <c r="B477" s="105">
        <f t="shared" si="110"/>
        <v>45589</v>
      </c>
      <c r="C477" s="146">
        <f>IF(AND(E477&gt;(N$560-1),E477&lt;(R$560+1)),W$551,IF(ISERROR(HLOOKUP(E477,$N$553:$U$553,1,FALSE)),HLOOKUP(WEEKDAY(E477,2),IMPOSTAZIONI!$C$52:$P$57,6,FALSE),$W$550))</f>
        <v>0</v>
      </c>
      <c r="D477" s="71" t="str">
        <f t="shared" si="111"/>
        <v/>
      </c>
      <c r="E477" s="2258">
        <f t="shared" si="116"/>
        <v>45589</v>
      </c>
      <c r="F477" s="2259"/>
      <c r="G477" s="2228" t="str">
        <f>OTT!E31</f>
        <v xml:space="preserve">disattivato  </v>
      </c>
      <c r="H477" s="2229"/>
      <c r="I477" s="2230"/>
      <c r="J477" s="262" t="str">
        <f t="shared" si="101"/>
        <v/>
      </c>
      <c r="K477" s="263"/>
      <c r="L477" s="2217">
        <f t="shared" si="117"/>
        <v>43</v>
      </c>
      <c r="M477" s="2218"/>
      <c r="N477" s="261"/>
      <c r="O477" s="261"/>
      <c r="P477" s="261"/>
      <c r="Q477" s="2219">
        <f t="shared" si="112"/>
        <v>45589</v>
      </c>
      <c r="R477" s="2219"/>
      <c r="S477" s="261"/>
      <c r="T477" s="1173">
        <f t="shared" si="102"/>
        <v>1</v>
      </c>
      <c r="U477" s="261"/>
      <c r="V477" s="261"/>
      <c r="W477" s="261"/>
      <c r="X477" s="261"/>
      <c r="Y477" s="261"/>
      <c r="Z477" s="261"/>
      <c r="AA477" s="261"/>
      <c r="AB477" s="261"/>
      <c r="AC477" s="261"/>
      <c r="AD477" s="261"/>
      <c r="AE477" s="261"/>
      <c r="AF477" s="261"/>
      <c r="AG477" s="1173">
        <f t="shared" si="113"/>
        <v>0</v>
      </c>
      <c r="AH477" s="61" t="str">
        <f t="shared" si="114"/>
        <v/>
      </c>
      <c r="AI477" s="89" t="e">
        <f t="shared" si="115"/>
        <v>#N/A</v>
      </c>
      <c r="AJ477" s="2"/>
      <c r="AK477" s="61">
        <f>IF(G477=G$547,0,IF(OR(G477&lt;&gt;0,CH477&lt;&gt;0,C477="L"),COUNTIF(AK$180:AK476,"&gt;0")+1,0))</f>
        <v>0</v>
      </c>
      <c r="AL477" s="61" t="str">
        <f t="shared" si="103"/>
        <v/>
      </c>
      <c r="AM477" s="61" t="e">
        <f t="shared" si="104"/>
        <v>#N/A</v>
      </c>
      <c r="AN477" s="89" t="e">
        <f t="shared" si="105"/>
        <v>#N/A</v>
      </c>
      <c r="AO477" s="230">
        <f>SUM(OTT!X31:AD31)-BD477+AY477</f>
        <v>0</v>
      </c>
      <c r="AP477" s="228">
        <f>SUMIF(OTT!$G$121:$M$121,AP$178,OTT!$P31:$V31)+SUMIF($AZ$178:$BC$178,AP$178,$AZ477:$BC477)</f>
        <v>0</v>
      </c>
      <c r="AQ477" s="229">
        <f>SUMIF(OTT!$G$121:$M$121,AQ$178,OTT!$P31:$V31)+SUMIF($AZ$178:$BC$178,AQ$178,$AZ477:$BC477)</f>
        <v>0</v>
      </c>
      <c r="AR477" s="230">
        <f>SUMIF(OTT!$G$121:$M$121,AR$178,OTT!$P31:$V31)+SUMIF($AZ$178:$BC$178,AR$178,$AZ477:$BC477)</f>
        <v>0</v>
      </c>
      <c r="AS477" s="230">
        <f>SUMIF(OTT!$G$121:$M$121,AS$178,OTT!$P31:$V31)+SUMIF($AZ$178:$BC$178,AS$178,$AZ477:$BC477)</f>
        <v>0</v>
      </c>
      <c r="AT477" s="230">
        <f>SUMIF(OTT!$G$121:$M$121,AT$178,OTT!$P31:$V31)+SUMIF($AZ$178:$BC$178,AT$178,$AZ477:$BC477)</f>
        <v>0</v>
      </c>
      <c r="AU477" s="230">
        <f>SUMIF(OTT!$G$121:$M$121,AU$178,OTT!$P31:$V31)+SUMIF($AZ$178:$BC$178,AU$178,$AZ477:$BC477)</f>
        <v>0</v>
      </c>
      <c r="AV477" s="230">
        <f>SUMIF(OTT!$G$121:$M$121,AV$178,OTT!$P31:$V31)+SUMIF($AZ$178:$BC$178,AV$178,$AZ477:$BC477)</f>
        <v>0</v>
      </c>
      <c r="AW477" s="230">
        <f>SUMIF(OTT!$G$121:$M$121,AW$178,OTT!$P31:$V31)+SUMIF($AZ$178:$BC$178,AW$178,$AZ477:$BC477)</f>
        <v>0</v>
      </c>
      <c r="AX477" s="231">
        <f>SUMIF(OTT!$G$121:$M$121,AX$178,OTT!$P31:$V31)+SUMIF($AZ$178:$BC$178,AX$178,$AZ477:$BC477)</f>
        <v>0</v>
      </c>
      <c r="AY477" s="232">
        <f>OTT!AF31</f>
        <v>0</v>
      </c>
      <c r="AZ477" s="228">
        <f>OTT!AG31</f>
        <v>0</v>
      </c>
      <c r="BA477" s="229">
        <f>OTT!AH31</f>
        <v>0</v>
      </c>
      <c r="BB477" s="230">
        <f>OTT!AI31</f>
        <v>0</v>
      </c>
      <c r="BC477" s="231">
        <f>OTT!AJ31</f>
        <v>0</v>
      </c>
      <c r="BD477" s="228">
        <f>SUMIF(OTT!$G$120:$M$120,"&gt;0",OTT!$X31:$AD31)</f>
        <v>0</v>
      </c>
      <c r="BE477" s="696"/>
      <c r="BF477" s="228">
        <f>SUMIF(OTT!$BA$6:$BG$6,BF$177,OTT!$BA31:$BG31)</f>
        <v>0</v>
      </c>
      <c r="BG477" s="229">
        <f>SUMIF(OTT!$BA$6:$BG$6,BG$177,OTT!$BA31:$BG31)</f>
        <v>0</v>
      </c>
      <c r="BH477" s="229">
        <f>SUMIF(OTT!$BA$6:$BG$6,BH$177,OTT!$BA31:$BG31)</f>
        <v>0</v>
      </c>
      <c r="BI477" s="229">
        <f>SUMIF(OTT!$BA$6:$BG$6,BI$177,OTT!$BA31:$BG31)</f>
        <v>0</v>
      </c>
      <c r="BJ477" s="229">
        <f>SUMIF(OTT!$BA$6:$BG$6,BJ$177,OTT!$BA31:$BG31)</f>
        <v>0</v>
      </c>
      <c r="BK477" s="229">
        <f>SUMIF(OTT!$BA$6:$BG$6,BK$177,OTT!$BA31:$BG31)</f>
        <v>0</v>
      </c>
      <c r="BL477" s="229">
        <f>SUMIF(OTT!$BA$6:$BG$6,BL$177,OTT!$BA31:$BG31)</f>
        <v>0</v>
      </c>
      <c r="BM477" s="229">
        <f>SUMIF(OTT!$BA$6:$BG$6,BM$177,OTT!$BA31:$BG31)</f>
        <v>0</v>
      </c>
      <c r="BN477" s="229">
        <f>SUMIF(OTT!$BA$6:$BG$6,BN$177,OTT!$BA31:$BG31)</f>
        <v>0</v>
      </c>
      <c r="BO477" s="231">
        <f>SUMIF(OTT!$BA$6:$BG$6,BO$177,OTT!$BA31:$BG31)</f>
        <v>0</v>
      </c>
      <c r="BP477" s="231">
        <f>SUMIF(OTT!$BA$6:$BG$6,BP$177,OTT!$BA31:$BG31)</f>
        <v>0</v>
      </c>
      <c r="BQ477" s="252"/>
      <c r="BR477" s="228">
        <f>SUMIF(OTT!$BA$5:$BG$5,BR$177,OTT!$BA31:$BG31)</f>
        <v>0</v>
      </c>
      <c r="BS477" s="229">
        <f>SUMIF(OTT!$BA$5:$BG$5,BS$177,OTT!$BA31:$BG31)</f>
        <v>0</v>
      </c>
      <c r="BT477" s="229">
        <f>SUMIF(OTT!$BA$5:$BG$5,BT$177,OTT!$BA31:$BG31)</f>
        <v>0</v>
      </c>
      <c r="BU477" s="229">
        <f>SUMIF(OTT!$BA$5:$BG$5,BU$177,OTT!$BA31:$BG31)</f>
        <v>0</v>
      </c>
      <c r="BV477" s="229">
        <f>SUMIF(OTT!$BA$5:$BG$5,BV$177,OTT!$BA31:$BG31)</f>
        <v>0</v>
      </c>
      <c r="BW477" s="229">
        <f>SUMIF(OTT!$BA$5:$BG$5,BW$177,OTT!$BA31:$BG31)</f>
        <v>0</v>
      </c>
      <c r="BX477" s="230">
        <f>SUMIF(OTT!$BA$5:$BG$5,BX$177,OTT!$BA31:$BG31)</f>
        <v>0</v>
      </c>
      <c r="BY477" s="998">
        <f>SUMIF(OTT!$BA$5:$BG$5,BY$177,OTT!$BA31:$BG31)</f>
        <v>0</v>
      </c>
      <c r="CB477" s="252"/>
      <c r="CC477" s="61" t="e">
        <f t="shared" si="106"/>
        <v>#N/A</v>
      </c>
      <c r="CD477" s="61">
        <f t="shared" si="107"/>
        <v>0</v>
      </c>
      <c r="CE477" s="105" t="str">
        <f t="shared" si="100"/>
        <v/>
      </c>
      <c r="CF477" s="61" t="e">
        <f t="shared" si="108"/>
        <v>#N/A</v>
      </c>
      <c r="CG477" s="61" t="e">
        <f t="shared" si="109"/>
        <v>#N/A</v>
      </c>
      <c r="CH477" s="521">
        <f>OTT!AL31-CW477+CR477</f>
        <v>0</v>
      </c>
      <c r="CI477" s="228">
        <f>SUMIF(OTT!$G$121:$M$121,CI$178,OTT!$AM31:$AS31)+SUMIF($CS$178:$CV$178,CI$178,$CS477:$CV477)</f>
        <v>0</v>
      </c>
      <c r="CJ477" s="229">
        <f>SUMIF(OTT!$G$121:$M$121,CJ$178,OTT!$AM31:$AS31)+SUMIF($CS$178:$CV$178,CJ$178,$CS477:$CV477)</f>
        <v>0</v>
      </c>
      <c r="CK477" s="230">
        <f>SUMIF(OTT!$G$121:$M$121,CK$178,OTT!$AM31:$AS31)+SUMIF($CS$178:$CV$178,CK$178,$CS477:$CV477)</f>
        <v>0</v>
      </c>
      <c r="CL477" s="230">
        <f>SUMIF(OTT!$G$121:$M$121,CL$178,OTT!$AM31:$AS31)+SUMIF($CS$178:$CV$178,CL$178,$CS477:$CV477)</f>
        <v>0</v>
      </c>
      <c r="CM477" s="230">
        <f>SUMIF(OTT!$G$121:$M$121,CM$178,OTT!$AM31:$AS31)+SUMIF($CS$178:$CV$178,CM$178,$CS477:$CV477)</f>
        <v>0</v>
      </c>
      <c r="CN477" s="230">
        <f>SUMIF(OTT!$G$121:$M$121,CN$178,OTT!$AM31:$AS31)+SUMIF($CS$178:$CV$178,CN$178,$CS477:$CV477)</f>
        <v>0</v>
      </c>
      <c r="CO477" s="230">
        <f>SUMIF(OTT!$G$121:$M$121,CO$178,OTT!$AM31:$AS31)+SUMIF($CS$178:$CV$178,CO$178,$CS477:$CV477)</f>
        <v>0</v>
      </c>
      <c r="CP477" s="230">
        <f>SUMIF(OTT!$G$121:$M$121,CP$178,OTT!$AM31:$AS31)+SUMIF($CS$178:$CV$178,CP$178,$CS477:$CV477)</f>
        <v>0</v>
      </c>
      <c r="CQ477" s="231">
        <f>SUMIF(OTT!$G$121:$M$121,CQ$178,OTT!$AM31:$AS31)+SUMIF($CS$178:$CV$178,CQ$178,$CS477:$CV477)</f>
        <v>0</v>
      </c>
      <c r="CR477" s="521">
        <f>OTT!AU31</f>
        <v>0</v>
      </c>
      <c r="CS477" s="228">
        <f>OTT!AV31</f>
        <v>0</v>
      </c>
      <c r="CT477" s="229">
        <f>OTT!AW31</f>
        <v>0</v>
      </c>
      <c r="CU477" s="230">
        <f>OTT!AX31</f>
        <v>0</v>
      </c>
      <c r="CV477" s="231">
        <f>OTT!AY31</f>
        <v>0</v>
      </c>
      <c r="CW477" s="521">
        <f>SUM(OTT!AU31:AY31)</f>
        <v>0</v>
      </c>
      <c r="CX477" s="521">
        <f>OTT!AK31</f>
        <v>0</v>
      </c>
      <c r="CY477" s="2"/>
    </row>
    <row r="478" spans="1:103" ht="14.25" hidden="1" customHeight="1" x14ac:dyDescent="0.2">
      <c r="A478" s="2"/>
      <c r="B478" s="105">
        <f t="shared" si="110"/>
        <v>45590</v>
      </c>
      <c r="C478" s="146">
        <f>IF(AND(E478&gt;(N$560-1),E478&lt;(R$560+1)),W$551,IF(ISERROR(HLOOKUP(E478,$N$553:$U$553,1,FALSE)),HLOOKUP(WEEKDAY(E478,2),IMPOSTAZIONI!$C$52:$P$57,6,FALSE),$W$550))</f>
        <v>0</v>
      </c>
      <c r="D478" s="71" t="str">
        <f t="shared" si="111"/>
        <v/>
      </c>
      <c r="E478" s="2258">
        <f t="shared" si="116"/>
        <v>45590</v>
      </c>
      <c r="F478" s="2259"/>
      <c r="G478" s="2228" t="str">
        <f>OTT!E32</f>
        <v xml:space="preserve">disattivato  </v>
      </c>
      <c r="H478" s="2229"/>
      <c r="I478" s="2230"/>
      <c r="J478" s="262" t="str">
        <f t="shared" si="101"/>
        <v/>
      </c>
      <c r="K478" s="263"/>
      <c r="L478" s="2217">
        <f t="shared" si="117"/>
        <v>43</v>
      </c>
      <c r="M478" s="2218"/>
      <c r="N478" s="261"/>
      <c r="O478" s="261"/>
      <c r="P478" s="261"/>
      <c r="Q478" s="2219">
        <f t="shared" si="112"/>
        <v>45590</v>
      </c>
      <c r="R478" s="2219"/>
      <c r="S478" s="261"/>
      <c r="T478" s="1173">
        <f t="shared" si="102"/>
        <v>1</v>
      </c>
      <c r="U478" s="261"/>
      <c r="V478" s="261"/>
      <c r="W478" s="261"/>
      <c r="X478" s="261"/>
      <c r="Y478" s="261"/>
      <c r="Z478" s="261"/>
      <c r="AA478" s="261"/>
      <c r="AB478" s="261"/>
      <c r="AC478" s="261"/>
      <c r="AD478" s="261"/>
      <c r="AE478" s="261"/>
      <c r="AF478" s="261"/>
      <c r="AG478" s="1173">
        <f t="shared" si="113"/>
        <v>0</v>
      </c>
      <c r="AH478" s="61" t="str">
        <f t="shared" si="114"/>
        <v/>
      </c>
      <c r="AI478" s="89" t="e">
        <f t="shared" si="115"/>
        <v>#N/A</v>
      </c>
      <c r="AJ478" s="2"/>
      <c r="AK478" s="61">
        <f>IF(G478=G$547,0,IF(OR(G478&lt;&gt;0,CH478&lt;&gt;0,C478="L"),COUNTIF(AK$180:AK477,"&gt;0")+1,0))</f>
        <v>0</v>
      </c>
      <c r="AL478" s="61" t="str">
        <f t="shared" si="103"/>
        <v/>
      </c>
      <c r="AM478" s="61" t="e">
        <f t="shared" si="104"/>
        <v>#N/A</v>
      </c>
      <c r="AN478" s="89" t="e">
        <f t="shared" si="105"/>
        <v>#N/A</v>
      </c>
      <c r="AO478" s="230">
        <f>SUM(OTT!X32:AD32)-BD478+AY478</f>
        <v>0</v>
      </c>
      <c r="AP478" s="228">
        <f>SUMIF(OTT!$G$121:$M$121,AP$178,OTT!$P32:$V32)+SUMIF($AZ$178:$BC$178,AP$178,$AZ478:$BC478)</f>
        <v>0</v>
      </c>
      <c r="AQ478" s="229">
        <f>SUMIF(OTT!$G$121:$M$121,AQ$178,OTT!$P32:$V32)+SUMIF($AZ$178:$BC$178,AQ$178,$AZ478:$BC478)</f>
        <v>0</v>
      </c>
      <c r="AR478" s="230">
        <f>SUMIF(OTT!$G$121:$M$121,AR$178,OTT!$P32:$V32)+SUMIF($AZ$178:$BC$178,AR$178,$AZ478:$BC478)</f>
        <v>0</v>
      </c>
      <c r="AS478" s="230">
        <f>SUMIF(OTT!$G$121:$M$121,AS$178,OTT!$P32:$V32)+SUMIF($AZ$178:$BC$178,AS$178,$AZ478:$BC478)</f>
        <v>0</v>
      </c>
      <c r="AT478" s="230">
        <f>SUMIF(OTT!$G$121:$M$121,AT$178,OTT!$P32:$V32)+SUMIF($AZ$178:$BC$178,AT$178,$AZ478:$BC478)</f>
        <v>0</v>
      </c>
      <c r="AU478" s="230">
        <f>SUMIF(OTT!$G$121:$M$121,AU$178,OTT!$P32:$V32)+SUMIF($AZ$178:$BC$178,AU$178,$AZ478:$BC478)</f>
        <v>0</v>
      </c>
      <c r="AV478" s="230">
        <f>SUMIF(OTT!$G$121:$M$121,AV$178,OTT!$P32:$V32)+SUMIF($AZ$178:$BC$178,AV$178,$AZ478:$BC478)</f>
        <v>0</v>
      </c>
      <c r="AW478" s="230">
        <f>SUMIF(OTT!$G$121:$M$121,AW$178,OTT!$P32:$V32)+SUMIF($AZ$178:$BC$178,AW$178,$AZ478:$BC478)</f>
        <v>0</v>
      </c>
      <c r="AX478" s="231">
        <f>SUMIF(OTT!$G$121:$M$121,AX$178,OTT!$P32:$V32)+SUMIF($AZ$178:$BC$178,AX$178,$AZ478:$BC478)</f>
        <v>0</v>
      </c>
      <c r="AY478" s="232">
        <f>OTT!AF32</f>
        <v>0</v>
      </c>
      <c r="AZ478" s="228">
        <f>OTT!AG32</f>
        <v>0</v>
      </c>
      <c r="BA478" s="229">
        <f>OTT!AH32</f>
        <v>0</v>
      </c>
      <c r="BB478" s="230">
        <f>OTT!AI32</f>
        <v>0</v>
      </c>
      <c r="BC478" s="231">
        <f>OTT!AJ32</f>
        <v>0</v>
      </c>
      <c r="BD478" s="228">
        <f>SUMIF(OTT!$G$120:$M$120,"&gt;0",OTT!$X32:$AD32)</f>
        <v>0</v>
      </c>
      <c r="BE478" s="696"/>
      <c r="BF478" s="228">
        <f>SUMIF(OTT!$BA$6:$BG$6,BF$177,OTT!$BA32:$BG32)</f>
        <v>0</v>
      </c>
      <c r="BG478" s="229">
        <f>SUMIF(OTT!$BA$6:$BG$6,BG$177,OTT!$BA32:$BG32)</f>
        <v>0</v>
      </c>
      <c r="BH478" s="229">
        <f>SUMIF(OTT!$BA$6:$BG$6,BH$177,OTT!$BA32:$BG32)</f>
        <v>0</v>
      </c>
      <c r="BI478" s="229">
        <f>SUMIF(OTT!$BA$6:$BG$6,BI$177,OTT!$BA32:$BG32)</f>
        <v>0</v>
      </c>
      <c r="BJ478" s="229">
        <f>SUMIF(OTT!$BA$6:$BG$6,BJ$177,OTT!$BA32:$BG32)</f>
        <v>0</v>
      </c>
      <c r="BK478" s="229">
        <f>SUMIF(OTT!$BA$6:$BG$6,BK$177,OTT!$BA32:$BG32)</f>
        <v>0</v>
      </c>
      <c r="BL478" s="229">
        <f>SUMIF(OTT!$BA$6:$BG$6,BL$177,OTT!$BA32:$BG32)</f>
        <v>0</v>
      </c>
      <c r="BM478" s="229">
        <f>SUMIF(OTT!$BA$6:$BG$6,BM$177,OTT!$BA32:$BG32)</f>
        <v>0</v>
      </c>
      <c r="BN478" s="229">
        <f>SUMIF(OTT!$BA$6:$BG$6,BN$177,OTT!$BA32:$BG32)</f>
        <v>0</v>
      </c>
      <c r="BO478" s="231">
        <f>SUMIF(OTT!$BA$6:$BG$6,BO$177,OTT!$BA32:$BG32)</f>
        <v>0</v>
      </c>
      <c r="BP478" s="231">
        <f>SUMIF(OTT!$BA$6:$BG$6,BP$177,OTT!$BA32:$BG32)</f>
        <v>0</v>
      </c>
      <c r="BQ478" s="252"/>
      <c r="BR478" s="228">
        <f>SUMIF(OTT!$BA$5:$BG$5,BR$177,OTT!$BA32:$BG32)</f>
        <v>0</v>
      </c>
      <c r="BS478" s="229">
        <f>SUMIF(OTT!$BA$5:$BG$5,BS$177,OTT!$BA32:$BG32)</f>
        <v>0</v>
      </c>
      <c r="BT478" s="229">
        <f>SUMIF(OTT!$BA$5:$BG$5,BT$177,OTT!$BA32:$BG32)</f>
        <v>0</v>
      </c>
      <c r="BU478" s="229">
        <f>SUMIF(OTT!$BA$5:$BG$5,BU$177,OTT!$BA32:$BG32)</f>
        <v>0</v>
      </c>
      <c r="BV478" s="229">
        <f>SUMIF(OTT!$BA$5:$BG$5,BV$177,OTT!$BA32:$BG32)</f>
        <v>0</v>
      </c>
      <c r="BW478" s="229">
        <f>SUMIF(OTT!$BA$5:$BG$5,BW$177,OTT!$BA32:$BG32)</f>
        <v>0</v>
      </c>
      <c r="BX478" s="230">
        <f>SUMIF(OTT!$BA$5:$BG$5,BX$177,OTT!$BA32:$BG32)</f>
        <v>0</v>
      </c>
      <c r="BY478" s="998">
        <f>SUMIF(OTT!$BA$5:$BG$5,BY$177,OTT!$BA32:$BG32)</f>
        <v>0</v>
      </c>
      <c r="CB478" s="252"/>
      <c r="CC478" s="61" t="e">
        <f t="shared" si="106"/>
        <v>#N/A</v>
      </c>
      <c r="CD478" s="61">
        <f t="shared" si="107"/>
        <v>0</v>
      </c>
      <c r="CE478" s="105" t="str">
        <f t="shared" si="100"/>
        <v/>
      </c>
      <c r="CF478" s="61" t="e">
        <f t="shared" si="108"/>
        <v>#N/A</v>
      </c>
      <c r="CG478" s="61" t="e">
        <f t="shared" si="109"/>
        <v>#N/A</v>
      </c>
      <c r="CH478" s="521">
        <f>OTT!AL32-CW478+CR478</f>
        <v>0</v>
      </c>
      <c r="CI478" s="228">
        <f>SUMIF(OTT!$G$121:$M$121,CI$178,OTT!$AM32:$AS32)+SUMIF($CS$178:$CV$178,CI$178,$CS478:$CV478)</f>
        <v>0</v>
      </c>
      <c r="CJ478" s="229">
        <f>SUMIF(OTT!$G$121:$M$121,CJ$178,OTT!$AM32:$AS32)+SUMIF($CS$178:$CV$178,CJ$178,$CS478:$CV478)</f>
        <v>0</v>
      </c>
      <c r="CK478" s="230">
        <f>SUMIF(OTT!$G$121:$M$121,CK$178,OTT!$AM32:$AS32)+SUMIF($CS$178:$CV$178,CK$178,$CS478:$CV478)</f>
        <v>0</v>
      </c>
      <c r="CL478" s="230">
        <f>SUMIF(OTT!$G$121:$M$121,CL$178,OTT!$AM32:$AS32)+SUMIF($CS$178:$CV$178,CL$178,$CS478:$CV478)</f>
        <v>0</v>
      </c>
      <c r="CM478" s="230">
        <f>SUMIF(OTT!$G$121:$M$121,CM$178,OTT!$AM32:$AS32)+SUMIF($CS$178:$CV$178,CM$178,$CS478:$CV478)</f>
        <v>0</v>
      </c>
      <c r="CN478" s="230">
        <f>SUMIF(OTT!$G$121:$M$121,CN$178,OTT!$AM32:$AS32)+SUMIF($CS$178:$CV$178,CN$178,$CS478:$CV478)</f>
        <v>0</v>
      </c>
      <c r="CO478" s="230">
        <f>SUMIF(OTT!$G$121:$M$121,CO$178,OTT!$AM32:$AS32)+SUMIF($CS$178:$CV$178,CO$178,$CS478:$CV478)</f>
        <v>0</v>
      </c>
      <c r="CP478" s="230">
        <f>SUMIF(OTT!$G$121:$M$121,CP$178,OTT!$AM32:$AS32)+SUMIF($CS$178:$CV$178,CP$178,$CS478:$CV478)</f>
        <v>0</v>
      </c>
      <c r="CQ478" s="231">
        <f>SUMIF(OTT!$G$121:$M$121,CQ$178,OTT!$AM32:$AS32)+SUMIF($CS$178:$CV$178,CQ$178,$CS478:$CV478)</f>
        <v>0</v>
      </c>
      <c r="CR478" s="521">
        <f>OTT!AU32</f>
        <v>0</v>
      </c>
      <c r="CS478" s="228">
        <f>OTT!AV32</f>
        <v>0</v>
      </c>
      <c r="CT478" s="229">
        <f>OTT!AW32</f>
        <v>0</v>
      </c>
      <c r="CU478" s="230">
        <f>OTT!AX32</f>
        <v>0</v>
      </c>
      <c r="CV478" s="231">
        <f>OTT!AY32</f>
        <v>0</v>
      </c>
      <c r="CW478" s="521">
        <f>SUM(OTT!AU32:AY32)</f>
        <v>0</v>
      </c>
      <c r="CX478" s="521">
        <f>OTT!AK32</f>
        <v>0</v>
      </c>
      <c r="CY478" s="2"/>
    </row>
    <row r="479" spans="1:103" ht="14.25" hidden="1" customHeight="1" x14ac:dyDescent="0.2">
      <c r="A479" s="2"/>
      <c r="B479" s="105">
        <f t="shared" si="110"/>
        <v>45591</v>
      </c>
      <c r="C479" s="146">
        <f>IF(AND(E479&gt;(N$560-1),E479&lt;(R$560+1)),W$551,IF(ISERROR(HLOOKUP(E479,$N$553:$U$553,1,FALSE)),HLOOKUP(WEEKDAY(E479,2),IMPOSTAZIONI!$C$52:$P$57,6,FALSE),$W$550))</f>
        <v>0</v>
      </c>
      <c r="D479" s="71" t="str">
        <f t="shared" si="111"/>
        <v/>
      </c>
      <c r="E479" s="2258">
        <f t="shared" si="116"/>
        <v>45591</v>
      </c>
      <c r="F479" s="2259"/>
      <c r="G479" s="2228" t="str">
        <f>OTT!E33</f>
        <v xml:space="preserve">disattivato  </v>
      </c>
      <c r="H479" s="2229"/>
      <c r="I479" s="2230"/>
      <c r="J479" s="262" t="str">
        <f t="shared" si="101"/>
        <v/>
      </c>
      <c r="K479" s="263"/>
      <c r="L479" s="2217">
        <f t="shared" si="117"/>
        <v>43</v>
      </c>
      <c r="M479" s="2218"/>
      <c r="N479" s="261"/>
      <c r="O479" s="261"/>
      <c r="P479" s="261"/>
      <c r="Q479" s="2219">
        <f t="shared" si="112"/>
        <v>45591</v>
      </c>
      <c r="R479" s="2219"/>
      <c r="S479" s="261"/>
      <c r="T479" s="1173">
        <f t="shared" si="102"/>
        <v>1</v>
      </c>
      <c r="U479" s="261"/>
      <c r="V479" s="261"/>
      <c r="W479" s="261"/>
      <c r="X479" s="261"/>
      <c r="Y479" s="261"/>
      <c r="Z479" s="261"/>
      <c r="AA479" s="261"/>
      <c r="AB479" s="261"/>
      <c r="AC479" s="261"/>
      <c r="AD479" s="261"/>
      <c r="AE479" s="261"/>
      <c r="AF479" s="261"/>
      <c r="AG479" s="1173">
        <f t="shared" si="113"/>
        <v>0</v>
      </c>
      <c r="AH479" s="61" t="str">
        <f t="shared" si="114"/>
        <v/>
      </c>
      <c r="AI479" s="89" t="e">
        <f t="shared" si="115"/>
        <v>#N/A</v>
      </c>
      <c r="AJ479" s="2"/>
      <c r="AK479" s="61">
        <f>IF(G479=G$547,0,IF(OR(G479&lt;&gt;0,CH479&lt;&gt;0,C479="L"),COUNTIF(AK$180:AK478,"&gt;0")+1,0))</f>
        <v>0</v>
      </c>
      <c r="AL479" s="61" t="str">
        <f t="shared" si="103"/>
        <v/>
      </c>
      <c r="AM479" s="61" t="e">
        <f t="shared" si="104"/>
        <v>#N/A</v>
      </c>
      <c r="AN479" s="89" t="e">
        <f t="shared" si="105"/>
        <v>#N/A</v>
      </c>
      <c r="AO479" s="230">
        <f>SUM(OTT!X33:AD33)-BD479+AY479</f>
        <v>0</v>
      </c>
      <c r="AP479" s="228">
        <f>SUMIF(OTT!$G$121:$M$121,AP$178,OTT!$P33:$V33)+SUMIF($AZ$178:$BC$178,AP$178,$AZ479:$BC479)</f>
        <v>0</v>
      </c>
      <c r="AQ479" s="229">
        <f>SUMIF(OTT!$G$121:$M$121,AQ$178,OTT!$P33:$V33)+SUMIF($AZ$178:$BC$178,AQ$178,$AZ479:$BC479)</f>
        <v>0</v>
      </c>
      <c r="AR479" s="230">
        <f>SUMIF(OTT!$G$121:$M$121,AR$178,OTT!$P33:$V33)+SUMIF($AZ$178:$BC$178,AR$178,$AZ479:$BC479)</f>
        <v>0</v>
      </c>
      <c r="AS479" s="230">
        <f>SUMIF(OTT!$G$121:$M$121,AS$178,OTT!$P33:$V33)+SUMIF($AZ$178:$BC$178,AS$178,$AZ479:$BC479)</f>
        <v>0</v>
      </c>
      <c r="AT479" s="230">
        <f>SUMIF(OTT!$G$121:$M$121,AT$178,OTT!$P33:$V33)+SUMIF($AZ$178:$BC$178,AT$178,$AZ479:$BC479)</f>
        <v>0</v>
      </c>
      <c r="AU479" s="230">
        <f>SUMIF(OTT!$G$121:$M$121,AU$178,OTT!$P33:$V33)+SUMIF($AZ$178:$BC$178,AU$178,$AZ479:$BC479)</f>
        <v>0</v>
      </c>
      <c r="AV479" s="230">
        <f>SUMIF(OTT!$G$121:$M$121,AV$178,OTT!$P33:$V33)+SUMIF($AZ$178:$BC$178,AV$178,$AZ479:$BC479)</f>
        <v>0</v>
      </c>
      <c r="AW479" s="230">
        <f>SUMIF(OTT!$G$121:$M$121,AW$178,OTT!$P33:$V33)+SUMIF($AZ$178:$BC$178,AW$178,$AZ479:$BC479)</f>
        <v>0</v>
      </c>
      <c r="AX479" s="231">
        <f>SUMIF(OTT!$G$121:$M$121,AX$178,OTT!$P33:$V33)+SUMIF($AZ$178:$BC$178,AX$178,$AZ479:$BC479)</f>
        <v>0</v>
      </c>
      <c r="AY479" s="232">
        <f>OTT!AF33</f>
        <v>0</v>
      </c>
      <c r="AZ479" s="228">
        <f>OTT!AG33</f>
        <v>0</v>
      </c>
      <c r="BA479" s="229">
        <f>OTT!AH33</f>
        <v>0</v>
      </c>
      <c r="BB479" s="230">
        <f>OTT!AI33</f>
        <v>0</v>
      </c>
      <c r="BC479" s="231">
        <f>OTT!AJ33</f>
        <v>0</v>
      </c>
      <c r="BD479" s="228">
        <f>SUMIF(OTT!$G$120:$M$120,"&gt;0",OTT!$X33:$AD33)</f>
        <v>0</v>
      </c>
      <c r="BE479" s="696"/>
      <c r="BF479" s="228">
        <f>SUMIF(OTT!$BA$6:$BG$6,BF$177,OTT!$BA33:$BG33)</f>
        <v>0</v>
      </c>
      <c r="BG479" s="229">
        <f>SUMIF(OTT!$BA$6:$BG$6,BG$177,OTT!$BA33:$BG33)</f>
        <v>0</v>
      </c>
      <c r="BH479" s="229">
        <f>SUMIF(OTT!$BA$6:$BG$6,BH$177,OTT!$BA33:$BG33)</f>
        <v>0</v>
      </c>
      <c r="BI479" s="229">
        <f>SUMIF(OTT!$BA$6:$BG$6,BI$177,OTT!$BA33:$BG33)</f>
        <v>0</v>
      </c>
      <c r="BJ479" s="229">
        <f>SUMIF(OTT!$BA$6:$BG$6,BJ$177,OTT!$BA33:$BG33)</f>
        <v>0</v>
      </c>
      <c r="BK479" s="229">
        <f>SUMIF(OTT!$BA$6:$BG$6,BK$177,OTT!$BA33:$BG33)</f>
        <v>0</v>
      </c>
      <c r="BL479" s="229">
        <f>SUMIF(OTT!$BA$6:$BG$6,BL$177,OTT!$BA33:$BG33)</f>
        <v>0</v>
      </c>
      <c r="BM479" s="229">
        <f>SUMIF(OTT!$BA$6:$BG$6,BM$177,OTT!$BA33:$BG33)</f>
        <v>0</v>
      </c>
      <c r="BN479" s="229">
        <f>SUMIF(OTT!$BA$6:$BG$6,BN$177,OTT!$BA33:$BG33)</f>
        <v>0</v>
      </c>
      <c r="BO479" s="231">
        <f>SUMIF(OTT!$BA$6:$BG$6,BO$177,OTT!$BA33:$BG33)</f>
        <v>0</v>
      </c>
      <c r="BP479" s="231">
        <f>SUMIF(OTT!$BA$6:$BG$6,BP$177,OTT!$BA33:$BG33)</f>
        <v>0</v>
      </c>
      <c r="BQ479" s="252"/>
      <c r="BR479" s="228">
        <f>SUMIF(OTT!$BA$5:$BG$5,BR$177,OTT!$BA33:$BG33)</f>
        <v>0</v>
      </c>
      <c r="BS479" s="229">
        <f>SUMIF(OTT!$BA$5:$BG$5,BS$177,OTT!$BA33:$BG33)</f>
        <v>0</v>
      </c>
      <c r="BT479" s="229">
        <f>SUMIF(OTT!$BA$5:$BG$5,BT$177,OTT!$BA33:$BG33)</f>
        <v>0</v>
      </c>
      <c r="BU479" s="229">
        <f>SUMIF(OTT!$BA$5:$BG$5,BU$177,OTT!$BA33:$BG33)</f>
        <v>0</v>
      </c>
      <c r="BV479" s="229">
        <f>SUMIF(OTT!$BA$5:$BG$5,BV$177,OTT!$BA33:$BG33)</f>
        <v>0</v>
      </c>
      <c r="BW479" s="229">
        <f>SUMIF(OTT!$BA$5:$BG$5,BW$177,OTT!$BA33:$BG33)</f>
        <v>0</v>
      </c>
      <c r="BX479" s="230">
        <f>SUMIF(OTT!$BA$5:$BG$5,BX$177,OTT!$BA33:$BG33)</f>
        <v>0</v>
      </c>
      <c r="BY479" s="998">
        <f>SUMIF(OTT!$BA$5:$BG$5,BY$177,OTT!$BA33:$BG33)</f>
        <v>0</v>
      </c>
      <c r="CB479" s="252"/>
      <c r="CC479" s="61" t="e">
        <f t="shared" si="106"/>
        <v>#N/A</v>
      </c>
      <c r="CD479" s="61">
        <f t="shared" si="107"/>
        <v>0</v>
      </c>
      <c r="CE479" s="105" t="str">
        <f t="shared" si="100"/>
        <v/>
      </c>
      <c r="CF479" s="61" t="e">
        <f t="shared" si="108"/>
        <v>#N/A</v>
      </c>
      <c r="CG479" s="61" t="e">
        <f t="shared" si="109"/>
        <v>#N/A</v>
      </c>
      <c r="CH479" s="521">
        <f>OTT!AL33-CW479+CR479</f>
        <v>0</v>
      </c>
      <c r="CI479" s="228">
        <f>SUMIF(OTT!$G$121:$M$121,CI$178,OTT!$AM33:$AS33)+SUMIF($CS$178:$CV$178,CI$178,$CS479:$CV479)</f>
        <v>0</v>
      </c>
      <c r="CJ479" s="229">
        <f>SUMIF(OTT!$G$121:$M$121,CJ$178,OTT!$AM33:$AS33)+SUMIF($CS$178:$CV$178,CJ$178,$CS479:$CV479)</f>
        <v>0</v>
      </c>
      <c r="CK479" s="230">
        <f>SUMIF(OTT!$G$121:$M$121,CK$178,OTT!$AM33:$AS33)+SUMIF($CS$178:$CV$178,CK$178,$CS479:$CV479)</f>
        <v>0</v>
      </c>
      <c r="CL479" s="230">
        <f>SUMIF(OTT!$G$121:$M$121,CL$178,OTT!$AM33:$AS33)+SUMIF($CS$178:$CV$178,CL$178,$CS479:$CV479)</f>
        <v>0</v>
      </c>
      <c r="CM479" s="230">
        <f>SUMIF(OTT!$G$121:$M$121,CM$178,OTT!$AM33:$AS33)+SUMIF($CS$178:$CV$178,CM$178,$CS479:$CV479)</f>
        <v>0</v>
      </c>
      <c r="CN479" s="230">
        <f>SUMIF(OTT!$G$121:$M$121,CN$178,OTT!$AM33:$AS33)+SUMIF($CS$178:$CV$178,CN$178,$CS479:$CV479)</f>
        <v>0</v>
      </c>
      <c r="CO479" s="230">
        <f>SUMIF(OTT!$G$121:$M$121,CO$178,OTT!$AM33:$AS33)+SUMIF($CS$178:$CV$178,CO$178,$CS479:$CV479)</f>
        <v>0</v>
      </c>
      <c r="CP479" s="230">
        <f>SUMIF(OTT!$G$121:$M$121,CP$178,OTT!$AM33:$AS33)+SUMIF($CS$178:$CV$178,CP$178,$CS479:$CV479)</f>
        <v>0</v>
      </c>
      <c r="CQ479" s="231">
        <f>SUMIF(OTT!$G$121:$M$121,CQ$178,OTT!$AM33:$AS33)+SUMIF($CS$178:$CV$178,CQ$178,$CS479:$CV479)</f>
        <v>0</v>
      </c>
      <c r="CR479" s="521">
        <f>OTT!AU33</f>
        <v>0</v>
      </c>
      <c r="CS479" s="228">
        <f>OTT!AV33</f>
        <v>0</v>
      </c>
      <c r="CT479" s="229">
        <f>OTT!AW33</f>
        <v>0</v>
      </c>
      <c r="CU479" s="230">
        <f>OTT!AX33</f>
        <v>0</v>
      </c>
      <c r="CV479" s="231">
        <f>OTT!AY33</f>
        <v>0</v>
      </c>
      <c r="CW479" s="521">
        <f>SUM(OTT!AU33:AY33)</f>
        <v>0</v>
      </c>
      <c r="CX479" s="521">
        <f>OTT!AK33</f>
        <v>0</v>
      </c>
      <c r="CY479" s="2"/>
    </row>
    <row r="480" spans="1:103" ht="14.25" hidden="1" customHeight="1" x14ac:dyDescent="0.2">
      <c r="A480" s="2"/>
      <c r="B480" s="105">
        <f t="shared" si="110"/>
        <v>45592</v>
      </c>
      <c r="C480" s="146">
        <f>IF(AND(E480&gt;(N$560-1),E480&lt;(R$560+1)),W$551,IF(ISERROR(HLOOKUP(E480,$N$553:$U$553,1,FALSE)),HLOOKUP(WEEKDAY(E480,2),IMPOSTAZIONI!$C$52:$P$57,6,FALSE),$W$550))</f>
        <v>0</v>
      </c>
      <c r="D480" s="71" t="str">
        <f t="shared" si="111"/>
        <v/>
      </c>
      <c r="E480" s="2258">
        <f t="shared" si="116"/>
        <v>45592</v>
      </c>
      <c r="F480" s="2259"/>
      <c r="G480" s="2228" t="str">
        <f>OTT!E34</f>
        <v xml:space="preserve">disattivato  </v>
      </c>
      <c r="H480" s="2229"/>
      <c r="I480" s="2230"/>
      <c r="J480" s="262" t="str">
        <f t="shared" si="101"/>
        <v/>
      </c>
      <c r="K480" s="263"/>
      <c r="L480" s="2220">
        <f t="shared" si="117"/>
        <v>43</v>
      </c>
      <c r="M480" s="2221"/>
      <c r="N480" s="261"/>
      <c r="O480" s="261"/>
      <c r="P480" s="261"/>
      <c r="Q480" s="2219">
        <f t="shared" si="112"/>
        <v>45592</v>
      </c>
      <c r="R480" s="2219"/>
      <c r="S480" s="261"/>
      <c r="T480" s="1173">
        <f t="shared" si="102"/>
        <v>1</v>
      </c>
      <c r="U480" s="261"/>
      <c r="V480" s="261"/>
      <c r="W480" s="261"/>
      <c r="X480" s="261"/>
      <c r="Y480" s="261"/>
      <c r="Z480" s="261"/>
      <c r="AA480" s="261"/>
      <c r="AB480" s="261"/>
      <c r="AC480" s="261"/>
      <c r="AD480" s="261"/>
      <c r="AE480" s="261"/>
      <c r="AF480" s="261"/>
      <c r="AG480" s="1173">
        <f t="shared" si="113"/>
        <v>0</v>
      </c>
      <c r="AH480" s="61" t="str">
        <f t="shared" si="114"/>
        <v/>
      </c>
      <c r="AI480" s="89" t="e">
        <f t="shared" si="115"/>
        <v>#N/A</v>
      </c>
      <c r="AJ480" s="2"/>
      <c r="AK480" s="61">
        <f>IF(G480=G$547,0,IF(OR(G480&lt;&gt;0,CH480&lt;&gt;0,C480="L"),COUNTIF(AK$180:AK479,"&gt;0")+1,0))</f>
        <v>0</v>
      </c>
      <c r="AL480" s="61" t="str">
        <f t="shared" si="103"/>
        <v/>
      </c>
      <c r="AM480" s="61" t="e">
        <f t="shared" si="104"/>
        <v>#N/A</v>
      </c>
      <c r="AN480" s="89" t="e">
        <f t="shared" si="105"/>
        <v>#N/A</v>
      </c>
      <c r="AO480" s="230">
        <f>SUM(OTT!X34:AD34)-BD480+AY480</f>
        <v>0</v>
      </c>
      <c r="AP480" s="228">
        <f>SUMIF(OTT!$G$121:$M$121,AP$178,OTT!$P34:$V34)+SUMIF($AZ$178:$BC$178,AP$178,$AZ480:$BC480)</f>
        <v>0</v>
      </c>
      <c r="AQ480" s="229">
        <f>SUMIF(OTT!$G$121:$M$121,AQ$178,OTT!$P34:$V34)+SUMIF($AZ$178:$BC$178,AQ$178,$AZ480:$BC480)</f>
        <v>0</v>
      </c>
      <c r="AR480" s="230">
        <f>SUMIF(OTT!$G$121:$M$121,AR$178,OTT!$P34:$V34)+SUMIF($AZ$178:$BC$178,AR$178,$AZ480:$BC480)</f>
        <v>0</v>
      </c>
      <c r="AS480" s="230">
        <f>SUMIF(OTT!$G$121:$M$121,AS$178,OTT!$P34:$V34)+SUMIF($AZ$178:$BC$178,AS$178,$AZ480:$BC480)</f>
        <v>0</v>
      </c>
      <c r="AT480" s="230">
        <f>SUMIF(OTT!$G$121:$M$121,AT$178,OTT!$P34:$V34)+SUMIF($AZ$178:$BC$178,AT$178,$AZ480:$BC480)</f>
        <v>0</v>
      </c>
      <c r="AU480" s="230">
        <f>SUMIF(OTT!$G$121:$M$121,AU$178,OTT!$P34:$V34)+SUMIF($AZ$178:$BC$178,AU$178,$AZ480:$BC480)</f>
        <v>0</v>
      </c>
      <c r="AV480" s="230">
        <f>SUMIF(OTT!$G$121:$M$121,AV$178,OTT!$P34:$V34)+SUMIF($AZ$178:$BC$178,AV$178,$AZ480:$BC480)</f>
        <v>0</v>
      </c>
      <c r="AW480" s="230">
        <f>SUMIF(OTT!$G$121:$M$121,AW$178,OTT!$P34:$V34)+SUMIF($AZ$178:$BC$178,AW$178,$AZ480:$BC480)</f>
        <v>0</v>
      </c>
      <c r="AX480" s="231">
        <f>SUMIF(OTT!$G$121:$M$121,AX$178,OTT!$P34:$V34)+SUMIF($AZ$178:$BC$178,AX$178,$AZ480:$BC480)</f>
        <v>0</v>
      </c>
      <c r="AY480" s="232">
        <f>OTT!AF34</f>
        <v>0</v>
      </c>
      <c r="AZ480" s="228">
        <f>OTT!AG34</f>
        <v>0</v>
      </c>
      <c r="BA480" s="229">
        <f>OTT!AH34</f>
        <v>0</v>
      </c>
      <c r="BB480" s="230">
        <f>OTT!AI34</f>
        <v>0</v>
      </c>
      <c r="BC480" s="231">
        <f>OTT!AJ34</f>
        <v>0</v>
      </c>
      <c r="BD480" s="228">
        <f>SUMIF(OTT!$G$120:$M$120,"&gt;0",OTT!$X34:$AD34)</f>
        <v>0</v>
      </c>
      <c r="BE480" s="696"/>
      <c r="BF480" s="228">
        <f>SUMIF(OTT!$BA$6:$BG$6,BF$177,OTT!$BA34:$BG34)</f>
        <v>0</v>
      </c>
      <c r="BG480" s="229">
        <f>SUMIF(OTT!$BA$6:$BG$6,BG$177,OTT!$BA34:$BG34)</f>
        <v>0</v>
      </c>
      <c r="BH480" s="229">
        <f>SUMIF(OTT!$BA$6:$BG$6,BH$177,OTT!$BA34:$BG34)</f>
        <v>0</v>
      </c>
      <c r="BI480" s="229">
        <f>SUMIF(OTT!$BA$6:$BG$6,BI$177,OTT!$BA34:$BG34)</f>
        <v>0</v>
      </c>
      <c r="BJ480" s="229">
        <f>SUMIF(OTT!$BA$6:$BG$6,BJ$177,OTT!$BA34:$BG34)</f>
        <v>0</v>
      </c>
      <c r="BK480" s="229">
        <f>SUMIF(OTT!$BA$6:$BG$6,BK$177,OTT!$BA34:$BG34)</f>
        <v>0</v>
      </c>
      <c r="BL480" s="229">
        <f>SUMIF(OTT!$BA$6:$BG$6,BL$177,OTT!$BA34:$BG34)</f>
        <v>0</v>
      </c>
      <c r="BM480" s="229">
        <f>SUMIF(OTT!$BA$6:$BG$6,BM$177,OTT!$BA34:$BG34)</f>
        <v>0</v>
      </c>
      <c r="BN480" s="229">
        <f>SUMIF(OTT!$BA$6:$BG$6,BN$177,OTT!$BA34:$BG34)</f>
        <v>0</v>
      </c>
      <c r="BO480" s="231">
        <f>SUMIF(OTT!$BA$6:$BG$6,BO$177,OTT!$BA34:$BG34)</f>
        <v>0</v>
      </c>
      <c r="BP480" s="231">
        <f>SUMIF(OTT!$BA$6:$BG$6,BP$177,OTT!$BA34:$BG34)</f>
        <v>0</v>
      </c>
      <c r="BQ480" s="252"/>
      <c r="BR480" s="228">
        <f>SUMIF(OTT!$BA$5:$BG$5,BR$177,OTT!$BA34:$BG34)</f>
        <v>0</v>
      </c>
      <c r="BS480" s="229">
        <f>SUMIF(OTT!$BA$5:$BG$5,BS$177,OTT!$BA34:$BG34)</f>
        <v>0</v>
      </c>
      <c r="BT480" s="229">
        <f>SUMIF(OTT!$BA$5:$BG$5,BT$177,OTT!$BA34:$BG34)</f>
        <v>0</v>
      </c>
      <c r="BU480" s="229">
        <f>SUMIF(OTT!$BA$5:$BG$5,BU$177,OTT!$BA34:$BG34)</f>
        <v>0</v>
      </c>
      <c r="BV480" s="229">
        <f>SUMIF(OTT!$BA$5:$BG$5,BV$177,OTT!$BA34:$BG34)</f>
        <v>0</v>
      </c>
      <c r="BW480" s="229">
        <f>SUMIF(OTT!$BA$5:$BG$5,BW$177,OTT!$BA34:$BG34)</f>
        <v>0</v>
      </c>
      <c r="BX480" s="230">
        <f>SUMIF(OTT!$BA$5:$BG$5,BX$177,OTT!$BA34:$BG34)</f>
        <v>0</v>
      </c>
      <c r="BY480" s="998">
        <f>SUMIF(OTT!$BA$5:$BG$5,BY$177,OTT!$BA34:$BG34)</f>
        <v>0</v>
      </c>
      <c r="CB480" s="252"/>
      <c r="CC480" s="61" t="e">
        <f t="shared" si="106"/>
        <v>#N/A</v>
      </c>
      <c r="CD480" s="61">
        <f t="shared" si="107"/>
        <v>0</v>
      </c>
      <c r="CE480" s="105" t="str">
        <f t="shared" si="100"/>
        <v/>
      </c>
      <c r="CF480" s="61" t="e">
        <f t="shared" si="108"/>
        <v>#N/A</v>
      </c>
      <c r="CG480" s="61" t="e">
        <f t="shared" si="109"/>
        <v>#N/A</v>
      </c>
      <c r="CH480" s="521">
        <f>OTT!AL34-CW480+CR480</f>
        <v>0</v>
      </c>
      <c r="CI480" s="228">
        <f>SUMIF(OTT!$G$121:$M$121,CI$178,OTT!$AM34:$AS34)+SUMIF($CS$178:$CV$178,CI$178,$CS480:$CV480)</f>
        <v>0</v>
      </c>
      <c r="CJ480" s="229">
        <f>SUMIF(OTT!$G$121:$M$121,CJ$178,OTT!$AM34:$AS34)+SUMIF($CS$178:$CV$178,CJ$178,$CS480:$CV480)</f>
        <v>0</v>
      </c>
      <c r="CK480" s="230">
        <f>SUMIF(OTT!$G$121:$M$121,CK$178,OTT!$AM34:$AS34)+SUMIF($CS$178:$CV$178,CK$178,$CS480:$CV480)</f>
        <v>0</v>
      </c>
      <c r="CL480" s="230">
        <f>SUMIF(OTT!$G$121:$M$121,CL$178,OTT!$AM34:$AS34)+SUMIF($CS$178:$CV$178,CL$178,$CS480:$CV480)</f>
        <v>0</v>
      </c>
      <c r="CM480" s="230">
        <f>SUMIF(OTT!$G$121:$M$121,CM$178,OTT!$AM34:$AS34)+SUMIF($CS$178:$CV$178,CM$178,$CS480:$CV480)</f>
        <v>0</v>
      </c>
      <c r="CN480" s="230">
        <f>SUMIF(OTT!$G$121:$M$121,CN$178,OTT!$AM34:$AS34)+SUMIF($CS$178:$CV$178,CN$178,$CS480:$CV480)</f>
        <v>0</v>
      </c>
      <c r="CO480" s="230">
        <f>SUMIF(OTT!$G$121:$M$121,CO$178,OTT!$AM34:$AS34)+SUMIF($CS$178:$CV$178,CO$178,$CS480:$CV480)</f>
        <v>0</v>
      </c>
      <c r="CP480" s="230">
        <f>SUMIF(OTT!$G$121:$M$121,CP$178,OTT!$AM34:$AS34)+SUMIF($CS$178:$CV$178,CP$178,$CS480:$CV480)</f>
        <v>0</v>
      </c>
      <c r="CQ480" s="231">
        <f>SUMIF(OTT!$G$121:$M$121,CQ$178,OTT!$AM34:$AS34)+SUMIF($CS$178:$CV$178,CQ$178,$CS480:$CV480)</f>
        <v>0</v>
      </c>
      <c r="CR480" s="521">
        <f>OTT!AU34</f>
        <v>0</v>
      </c>
      <c r="CS480" s="228">
        <f>OTT!AV34</f>
        <v>0</v>
      </c>
      <c r="CT480" s="229">
        <f>OTT!AW34</f>
        <v>0</v>
      </c>
      <c r="CU480" s="230">
        <f>OTT!AX34</f>
        <v>0</v>
      </c>
      <c r="CV480" s="231">
        <f>OTT!AY34</f>
        <v>0</v>
      </c>
      <c r="CW480" s="521">
        <f>SUM(OTT!AU34:AY34)</f>
        <v>0</v>
      </c>
      <c r="CX480" s="521">
        <f>OTT!AK34</f>
        <v>0</v>
      </c>
      <c r="CY480" s="2"/>
    </row>
    <row r="481" spans="1:103" ht="14.25" hidden="1" customHeight="1" x14ac:dyDescent="0.2">
      <c r="A481" s="2"/>
      <c r="B481" s="105">
        <f t="shared" si="110"/>
        <v>45593</v>
      </c>
      <c r="C481" s="146">
        <f>IF(AND(E481&gt;(N$560-1),E481&lt;(R$560+1)),W$551,IF(ISERROR(HLOOKUP(E481,$N$553:$U$553,1,FALSE)),HLOOKUP(WEEKDAY(E481,2),IMPOSTAZIONI!$C$52:$P$57,6,FALSE),$W$550))</f>
        <v>0</v>
      </c>
      <c r="D481" s="71" t="str">
        <f t="shared" si="111"/>
        <v/>
      </c>
      <c r="E481" s="2258">
        <f t="shared" si="116"/>
        <v>45593</v>
      </c>
      <c r="F481" s="2259"/>
      <c r="G481" s="2228" t="str">
        <f>OTT!E35</f>
        <v xml:space="preserve">disattivato  </v>
      </c>
      <c r="H481" s="2229"/>
      <c r="I481" s="2230"/>
      <c r="J481" s="262" t="str">
        <f t="shared" si="101"/>
        <v/>
      </c>
      <c r="K481" s="263"/>
      <c r="L481" s="2222">
        <f t="shared" si="117"/>
        <v>44</v>
      </c>
      <c r="M481" s="2223"/>
      <c r="N481" s="261"/>
      <c r="O481" s="261"/>
      <c r="P481" s="261"/>
      <c r="Q481" s="2219">
        <f t="shared" si="112"/>
        <v>45593</v>
      </c>
      <c r="R481" s="2219"/>
      <c r="S481" s="261"/>
      <c r="T481" s="1173">
        <f t="shared" si="102"/>
        <v>1</v>
      </c>
      <c r="U481" s="261"/>
      <c r="V481" s="261"/>
      <c r="W481" s="261"/>
      <c r="X481" s="261"/>
      <c r="Y481" s="261"/>
      <c r="Z481" s="261"/>
      <c r="AA481" s="261"/>
      <c r="AB481" s="261"/>
      <c r="AC481" s="261"/>
      <c r="AD481" s="261"/>
      <c r="AE481" s="261"/>
      <c r="AF481" s="261"/>
      <c r="AG481" s="1173">
        <f t="shared" si="113"/>
        <v>0</v>
      </c>
      <c r="AH481" s="61" t="str">
        <f t="shared" si="114"/>
        <v/>
      </c>
      <c r="AI481" s="89" t="e">
        <f t="shared" si="115"/>
        <v>#N/A</v>
      </c>
      <c r="AJ481" s="2"/>
      <c r="AK481" s="61">
        <f>IF(G481=G$547,0,IF(OR(G481&lt;&gt;0,CH481&lt;&gt;0,C481="L"),COUNTIF(AK$180:AK480,"&gt;0")+1,0))</f>
        <v>0</v>
      </c>
      <c r="AL481" s="61" t="str">
        <f t="shared" si="103"/>
        <v/>
      </c>
      <c r="AM481" s="61" t="e">
        <f t="shared" si="104"/>
        <v>#N/A</v>
      </c>
      <c r="AN481" s="89" t="e">
        <f t="shared" si="105"/>
        <v>#N/A</v>
      </c>
      <c r="AO481" s="230">
        <f>SUM(OTT!X35:AD35)-BD481+AY481</f>
        <v>0</v>
      </c>
      <c r="AP481" s="228">
        <f>SUMIF(OTT!$G$121:$M$121,AP$178,OTT!$P35:$V35)+SUMIF($AZ$178:$BC$178,AP$178,$AZ481:$BC481)</f>
        <v>0</v>
      </c>
      <c r="AQ481" s="229">
        <f>SUMIF(OTT!$G$121:$M$121,AQ$178,OTT!$P35:$V35)+SUMIF($AZ$178:$BC$178,AQ$178,$AZ481:$BC481)</f>
        <v>0</v>
      </c>
      <c r="AR481" s="230">
        <f>SUMIF(OTT!$G$121:$M$121,AR$178,OTT!$P35:$V35)+SUMIF($AZ$178:$BC$178,AR$178,$AZ481:$BC481)</f>
        <v>0</v>
      </c>
      <c r="AS481" s="230">
        <f>SUMIF(OTT!$G$121:$M$121,AS$178,OTT!$P35:$V35)+SUMIF($AZ$178:$BC$178,AS$178,$AZ481:$BC481)</f>
        <v>0</v>
      </c>
      <c r="AT481" s="230">
        <f>SUMIF(OTT!$G$121:$M$121,AT$178,OTT!$P35:$V35)+SUMIF($AZ$178:$BC$178,AT$178,$AZ481:$BC481)</f>
        <v>0</v>
      </c>
      <c r="AU481" s="230">
        <f>SUMIF(OTT!$G$121:$M$121,AU$178,OTT!$P35:$V35)+SUMIF($AZ$178:$BC$178,AU$178,$AZ481:$BC481)</f>
        <v>0</v>
      </c>
      <c r="AV481" s="230">
        <f>SUMIF(OTT!$G$121:$M$121,AV$178,OTT!$P35:$V35)+SUMIF($AZ$178:$BC$178,AV$178,$AZ481:$BC481)</f>
        <v>0</v>
      </c>
      <c r="AW481" s="230">
        <f>SUMIF(OTT!$G$121:$M$121,AW$178,OTT!$P35:$V35)+SUMIF($AZ$178:$BC$178,AW$178,$AZ481:$BC481)</f>
        <v>0</v>
      </c>
      <c r="AX481" s="231">
        <f>SUMIF(OTT!$G$121:$M$121,AX$178,OTT!$P35:$V35)+SUMIF($AZ$178:$BC$178,AX$178,$AZ481:$BC481)</f>
        <v>0</v>
      </c>
      <c r="AY481" s="232">
        <f>OTT!AF35</f>
        <v>0</v>
      </c>
      <c r="AZ481" s="228">
        <f>OTT!AG35</f>
        <v>0</v>
      </c>
      <c r="BA481" s="229">
        <f>OTT!AH35</f>
        <v>0</v>
      </c>
      <c r="BB481" s="230">
        <f>OTT!AI35</f>
        <v>0</v>
      </c>
      <c r="BC481" s="231">
        <f>OTT!AJ35</f>
        <v>0</v>
      </c>
      <c r="BD481" s="228">
        <f>SUMIF(OTT!$G$120:$M$120,"&gt;0",OTT!$X35:$AD35)</f>
        <v>0</v>
      </c>
      <c r="BE481" s="696"/>
      <c r="BF481" s="228">
        <f>SUMIF(OTT!$BA$6:$BG$6,BF$177,OTT!$BA35:$BG35)</f>
        <v>0</v>
      </c>
      <c r="BG481" s="229">
        <f>SUMIF(OTT!$BA$6:$BG$6,BG$177,OTT!$BA35:$BG35)</f>
        <v>0</v>
      </c>
      <c r="BH481" s="229">
        <f>SUMIF(OTT!$BA$6:$BG$6,BH$177,OTT!$BA35:$BG35)</f>
        <v>0</v>
      </c>
      <c r="BI481" s="229">
        <f>SUMIF(OTT!$BA$6:$BG$6,BI$177,OTT!$BA35:$BG35)</f>
        <v>0</v>
      </c>
      <c r="BJ481" s="229">
        <f>SUMIF(OTT!$BA$6:$BG$6,BJ$177,OTT!$BA35:$BG35)</f>
        <v>0</v>
      </c>
      <c r="BK481" s="229">
        <f>SUMIF(OTT!$BA$6:$BG$6,BK$177,OTT!$BA35:$BG35)</f>
        <v>0</v>
      </c>
      <c r="BL481" s="229">
        <f>SUMIF(OTT!$BA$6:$BG$6,BL$177,OTT!$BA35:$BG35)</f>
        <v>0</v>
      </c>
      <c r="BM481" s="229">
        <f>SUMIF(OTT!$BA$6:$BG$6,BM$177,OTT!$BA35:$BG35)</f>
        <v>0</v>
      </c>
      <c r="BN481" s="229">
        <f>SUMIF(OTT!$BA$6:$BG$6,BN$177,OTT!$BA35:$BG35)</f>
        <v>0</v>
      </c>
      <c r="BO481" s="231">
        <f>SUMIF(OTT!$BA$6:$BG$6,BO$177,OTT!$BA35:$BG35)</f>
        <v>0</v>
      </c>
      <c r="BP481" s="231">
        <f>SUMIF(OTT!$BA$6:$BG$6,BP$177,OTT!$BA35:$BG35)</f>
        <v>0</v>
      </c>
      <c r="BQ481" s="252"/>
      <c r="BR481" s="228">
        <f>SUMIF(OTT!$BA$5:$BG$5,BR$177,OTT!$BA35:$BG35)</f>
        <v>0</v>
      </c>
      <c r="BS481" s="229">
        <f>SUMIF(OTT!$BA$5:$BG$5,BS$177,OTT!$BA35:$BG35)</f>
        <v>0</v>
      </c>
      <c r="BT481" s="229">
        <f>SUMIF(OTT!$BA$5:$BG$5,BT$177,OTT!$BA35:$BG35)</f>
        <v>0</v>
      </c>
      <c r="BU481" s="229">
        <f>SUMIF(OTT!$BA$5:$BG$5,BU$177,OTT!$BA35:$BG35)</f>
        <v>0</v>
      </c>
      <c r="BV481" s="229">
        <f>SUMIF(OTT!$BA$5:$BG$5,BV$177,OTT!$BA35:$BG35)</f>
        <v>0</v>
      </c>
      <c r="BW481" s="229">
        <f>SUMIF(OTT!$BA$5:$BG$5,BW$177,OTT!$BA35:$BG35)</f>
        <v>0</v>
      </c>
      <c r="BX481" s="230">
        <f>SUMIF(OTT!$BA$5:$BG$5,BX$177,OTT!$BA35:$BG35)</f>
        <v>0</v>
      </c>
      <c r="BY481" s="998">
        <f>SUMIF(OTT!$BA$5:$BG$5,BY$177,OTT!$BA35:$BG35)</f>
        <v>0</v>
      </c>
      <c r="CB481" s="252"/>
      <c r="CC481" s="61" t="e">
        <f t="shared" si="106"/>
        <v>#N/A</v>
      </c>
      <c r="CD481" s="61">
        <f t="shared" si="107"/>
        <v>0</v>
      </c>
      <c r="CE481" s="105" t="str">
        <f t="shared" si="100"/>
        <v/>
      </c>
      <c r="CF481" s="61" t="e">
        <f t="shared" si="108"/>
        <v>#N/A</v>
      </c>
      <c r="CG481" s="61" t="e">
        <f t="shared" si="109"/>
        <v>#N/A</v>
      </c>
      <c r="CH481" s="521">
        <f>OTT!AL35-CW481+CR481</f>
        <v>0</v>
      </c>
      <c r="CI481" s="228">
        <f>SUMIF(OTT!$G$121:$M$121,CI$178,OTT!$AM35:$AS35)+SUMIF($CS$178:$CV$178,CI$178,$CS481:$CV481)</f>
        <v>0</v>
      </c>
      <c r="CJ481" s="229">
        <f>SUMIF(OTT!$G$121:$M$121,CJ$178,OTT!$AM35:$AS35)+SUMIF($CS$178:$CV$178,CJ$178,$CS481:$CV481)</f>
        <v>0</v>
      </c>
      <c r="CK481" s="230">
        <f>SUMIF(OTT!$G$121:$M$121,CK$178,OTT!$AM35:$AS35)+SUMIF($CS$178:$CV$178,CK$178,$CS481:$CV481)</f>
        <v>0</v>
      </c>
      <c r="CL481" s="230">
        <f>SUMIF(OTT!$G$121:$M$121,CL$178,OTT!$AM35:$AS35)+SUMIF($CS$178:$CV$178,CL$178,$CS481:$CV481)</f>
        <v>0</v>
      </c>
      <c r="CM481" s="230">
        <f>SUMIF(OTT!$G$121:$M$121,CM$178,OTT!$AM35:$AS35)+SUMIF($CS$178:$CV$178,CM$178,$CS481:$CV481)</f>
        <v>0</v>
      </c>
      <c r="CN481" s="230">
        <f>SUMIF(OTT!$G$121:$M$121,CN$178,OTT!$AM35:$AS35)+SUMIF($CS$178:$CV$178,CN$178,$CS481:$CV481)</f>
        <v>0</v>
      </c>
      <c r="CO481" s="230">
        <f>SUMIF(OTT!$G$121:$M$121,CO$178,OTT!$AM35:$AS35)+SUMIF($CS$178:$CV$178,CO$178,$CS481:$CV481)</f>
        <v>0</v>
      </c>
      <c r="CP481" s="230">
        <f>SUMIF(OTT!$G$121:$M$121,CP$178,OTT!$AM35:$AS35)+SUMIF($CS$178:$CV$178,CP$178,$CS481:$CV481)</f>
        <v>0</v>
      </c>
      <c r="CQ481" s="231">
        <f>SUMIF(OTT!$G$121:$M$121,CQ$178,OTT!$AM35:$AS35)+SUMIF($CS$178:$CV$178,CQ$178,$CS481:$CV481)</f>
        <v>0</v>
      </c>
      <c r="CR481" s="521">
        <f>OTT!AU35</f>
        <v>0</v>
      </c>
      <c r="CS481" s="228">
        <f>OTT!AV35</f>
        <v>0</v>
      </c>
      <c r="CT481" s="229">
        <f>OTT!AW35</f>
        <v>0</v>
      </c>
      <c r="CU481" s="230">
        <f>OTT!AX35</f>
        <v>0</v>
      </c>
      <c r="CV481" s="231">
        <f>OTT!AY35</f>
        <v>0</v>
      </c>
      <c r="CW481" s="521">
        <f>SUM(OTT!AU35:AY35)</f>
        <v>0</v>
      </c>
      <c r="CX481" s="521">
        <f>OTT!AK35</f>
        <v>0</v>
      </c>
      <c r="CY481" s="2"/>
    </row>
    <row r="482" spans="1:103" ht="14.25" hidden="1" customHeight="1" x14ac:dyDescent="0.2">
      <c r="A482" s="2"/>
      <c r="B482" s="105">
        <f t="shared" si="110"/>
        <v>45594</v>
      </c>
      <c r="C482" s="146">
        <f>IF(AND(E482&gt;(N$560-1),E482&lt;(R$560+1)),W$551,IF(ISERROR(HLOOKUP(E482,$N$553:$U$553,1,FALSE)),HLOOKUP(WEEKDAY(E482,2),IMPOSTAZIONI!$C$52:$P$57,6,FALSE),$W$550))</f>
        <v>0</v>
      </c>
      <c r="D482" s="71" t="str">
        <f t="shared" si="111"/>
        <v/>
      </c>
      <c r="E482" s="2258">
        <f t="shared" si="116"/>
        <v>45594</v>
      </c>
      <c r="F482" s="2259"/>
      <c r="G482" s="2228" t="str">
        <f>OTT!E36</f>
        <v xml:space="preserve">disattivato  </v>
      </c>
      <c r="H482" s="2229"/>
      <c r="I482" s="2230"/>
      <c r="J482" s="262" t="str">
        <f t="shared" si="101"/>
        <v/>
      </c>
      <c r="K482" s="263"/>
      <c r="L482" s="2217">
        <f t="shared" si="117"/>
        <v>44</v>
      </c>
      <c r="M482" s="2218"/>
      <c r="N482" s="261"/>
      <c r="O482" s="261"/>
      <c r="P482" s="261"/>
      <c r="Q482" s="2219">
        <f t="shared" si="112"/>
        <v>45594</v>
      </c>
      <c r="R482" s="2219"/>
      <c r="S482" s="261"/>
      <c r="T482" s="1173">
        <f t="shared" si="102"/>
        <v>1</v>
      </c>
      <c r="U482" s="261"/>
      <c r="V482" s="261"/>
      <c r="W482" s="261"/>
      <c r="X482" s="261"/>
      <c r="Y482" s="261"/>
      <c r="Z482" s="261"/>
      <c r="AA482" s="261"/>
      <c r="AB482" s="261"/>
      <c r="AC482" s="261"/>
      <c r="AD482" s="261"/>
      <c r="AE482" s="261"/>
      <c r="AF482" s="261"/>
      <c r="AG482" s="1173">
        <f t="shared" si="113"/>
        <v>0</v>
      </c>
      <c r="AH482" s="61" t="str">
        <f t="shared" si="114"/>
        <v/>
      </c>
      <c r="AI482" s="89" t="e">
        <f t="shared" si="115"/>
        <v>#N/A</v>
      </c>
      <c r="AJ482" s="2"/>
      <c r="AK482" s="61">
        <f>IF(G482=G$547,0,IF(OR(G482&lt;&gt;0,CH482&lt;&gt;0,C482="L"),COUNTIF(AK$180:AK481,"&gt;0")+1,0))</f>
        <v>0</v>
      </c>
      <c r="AL482" s="61" t="str">
        <f t="shared" si="103"/>
        <v/>
      </c>
      <c r="AM482" s="61" t="e">
        <f t="shared" si="104"/>
        <v>#N/A</v>
      </c>
      <c r="AN482" s="89" t="e">
        <f t="shared" si="105"/>
        <v>#N/A</v>
      </c>
      <c r="AO482" s="230">
        <f>SUM(OTT!X36:AD36)-BD482+AY482</f>
        <v>0</v>
      </c>
      <c r="AP482" s="228">
        <f>SUMIF(OTT!$G$121:$M$121,AP$178,OTT!$P36:$V36)+SUMIF($AZ$178:$BC$178,AP$178,$AZ482:$BC482)</f>
        <v>0</v>
      </c>
      <c r="AQ482" s="229">
        <f>SUMIF(OTT!$G$121:$M$121,AQ$178,OTT!$P36:$V36)+SUMIF($AZ$178:$BC$178,AQ$178,$AZ482:$BC482)</f>
        <v>0</v>
      </c>
      <c r="AR482" s="230">
        <f>SUMIF(OTT!$G$121:$M$121,AR$178,OTT!$P36:$V36)+SUMIF($AZ$178:$BC$178,AR$178,$AZ482:$BC482)</f>
        <v>0</v>
      </c>
      <c r="AS482" s="230">
        <f>SUMIF(OTT!$G$121:$M$121,AS$178,OTT!$P36:$V36)+SUMIF($AZ$178:$BC$178,AS$178,$AZ482:$BC482)</f>
        <v>0</v>
      </c>
      <c r="AT482" s="230">
        <f>SUMIF(OTT!$G$121:$M$121,AT$178,OTT!$P36:$V36)+SUMIF($AZ$178:$BC$178,AT$178,$AZ482:$BC482)</f>
        <v>0</v>
      </c>
      <c r="AU482" s="230">
        <f>SUMIF(OTT!$G$121:$M$121,AU$178,OTT!$P36:$V36)+SUMIF($AZ$178:$BC$178,AU$178,$AZ482:$BC482)</f>
        <v>0</v>
      </c>
      <c r="AV482" s="230">
        <f>SUMIF(OTT!$G$121:$M$121,AV$178,OTT!$P36:$V36)+SUMIF($AZ$178:$BC$178,AV$178,$AZ482:$BC482)</f>
        <v>0</v>
      </c>
      <c r="AW482" s="230">
        <f>SUMIF(OTT!$G$121:$M$121,AW$178,OTT!$P36:$V36)+SUMIF($AZ$178:$BC$178,AW$178,$AZ482:$BC482)</f>
        <v>0</v>
      </c>
      <c r="AX482" s="231">
        <f>SUMIF(OTT!$G$121:$M$121,AX$178,OTT!$P36:$V36)+SUMIF($AZ$178:$BC$178,AX$178,$AZ482:$BC482)</f>
        <v>0</v>
      </c>
      <c r="AY482" s="232">
        <f>OTT!AF36</f>
        <v>0</v>
      </c>
      <c r="AZ482" s="228">
        <f>OTT!AG36</f>
        <v>0</v>
      </c>
      <c r="BA482" s="229">
        <f>OTT!AH36</f>
        <v>0</v>
      </c>
      <c r="BB482" s="230">
        <f>OTT!AI36</f>
        <v>0</v>
      </c>
      <c r="BC482" s="231">
        <f>OTT!AJ36</f>
        <v>0</v>
      </c>
      <c r="BD482" s="228">
        <f>SUMIF(OTT!$G$120:$M$120,"&gt;0",OTT!$X36:$AD36)</f>
        <v>0</v>
      </c>
      <c r="BE482" s="696"/>
      <c r="BF482" s="228">
        <f>SUMIF(OTT!$BA$6:$BG$6,BF$177,OTT!$BA36:$BG36)</f>
        <v>0</v>
      </c>
      <c r="BG482" s="229">
        <f>SUMIF(OTT!$BA$6:$BG$6,BG$177,OTT!$BA36:$BG36)</f>
        <v>0</v>
      </c>
      <c r="BH482" s="229">
        <f>SUMIF(OTT!$BA$6:$BG$6,BH$177,OTT!$BA36:$BG36)</f>
        <v>0</v>
      </c>
      <c r="BI482" s="229">
        <f>SUMIF(OTT!$BA$6:$BG$6,BI$177,OTT!$BA36:$BG36)</f>
        <v>0</v>
      </c>
      <c r="BJ482" s="229">
        <f>SUMIF(OTT!$BA$6:$BG$6,BJ$177,OTT!$BA36:$BG36)</f>
        <v>0</v>
      </c>
      <c r="BK482" s="229">
        <f>SUMIF(OTT!$BA$6:$BG$6,BK$177,OTT!$BA36:$BG36)</f>
        <v>0</v>
      </c>
      <c r="BL482" s="229">
        <f>SUMIF(OTT!$BA$6:$BG$6,BL$177,OTT!$BA36:$BG36)</f>
        <v>0</v>
      </c>
      <c r="BM482" s="229">
        <f>SUMIF(OTT!$BA$6:$BG$6,BM$177,OTT!$BA36:$BG36)</f>
        <v>0</v>
      </c>
      <c r="BN482" s="229">
        <f>SUMIF(OTT!$BA$6:$BG$6,BN$177,OTT!$BA36:$BG36)</f>
        <v>0</v>
      </c>
      <c r="BO482" s="231">
        <f>SUMIF(OTT!$BA$6:$BG$6,BO$177,OTT!$BA36:$BG36)</f>
        <v>0</v>
      </c>
      <c r="BP482" s="231">
        <f>SUMIF(OTT!$BA$6:$BG$6,BP$177,OTT!$BA36:$BG36)</f>
        <v>0</v>
      </c>
      <c r="BQ482" s="252"/>
      <c r="BR482" s="228">
        <f>SUMIF(OTT!$BA$5:$BG$5,BR$177,OTT!$BA36:$BG36)</f>
        <v>0</v>
      </c>
      <c r="BS482" s="229">
        <f>SUMIF(OTT!$BA$5:$BG$5,BS$177,OTT!$BA36:$BG36)</f>
        <v>0</v>
      </c>
      <c r="BT482" s="229">
        <f>SUMIF(OTT!$BA$5:$BG$5,BT$177,OTT!$BA36:$BG36)</f>
        <v>0</v>
      </c>
      <c r="BU482" s="229">
        <f>SUMIF(OTT!$BA$5:$BG$5,BU$177,OTT!$BA36:$BG36)</f>
        <v>0</v>
      </c>
      <c r="BV482" s="229">
        <f>SUMIF(OTT!$BA$5:$BG$5,BV$177,OTT!$BA36:$BG36)</f>
        <v>0</v>
      </c>
      <c r="BW482" s="229">
        <f>SUMIF(OTT!$BA$5:$BG$5,BW$177,OTT!$BA36:$BG36)</f>
        <v>0</v>
      </c>
      <c r="BX482" s="230">
        <f>SUMIF(OTT!$BA$5:$BG$5,BX$177,OTT!$BA36:$BG36)</f>
        <v>0</v>
      </c>
      <c r="BY482" s="998">
        <f>SUMIF(OTT!$BA$5:$BG$5,BY$177,OTT!$BA36:$BG36)</f>
        <v>0</v>
      </c>
      <c r="CB482" s="252"/>
      <c r="CC482" s="61" t="e">
        <f t="shared" si="106"/>
        <v>#N/A</v>
      </c>
      <c r="CD482" s="61">
        <f t="shared" si="107"/>
        <v>0</v>
      </c>
      <c r="CE482" s="105" t="str">
        <f t="shared" si="100"/>
        <v/>
      </c>
      <c r="CF482" s="61" t="e">
        <f t="shared" si="108"/>
        <v>#N/A</v>
      </c>
      <c r="CG482" s="61" t="e">
        <f t="shared" si="109"/>
        <v>#N/A</v>
      </c>
      <c r="CH482" s="521">
        <f>OTT!AL36-CW482+CR482</f>
        <v>0</v>
      </c>
      <c r="CI482" s="228">
        <f>SUMIF(OTT!$G$121:$M$121,CI$178,OTT!$AM36:$AS36)+SUMIF($CS$178:$CV$178,CI$178,$CS482:$CV482)</f>
        <v>0</v>
      </c>
      <c r="CJ482" s="229">
        <f>SUMIF(OTT!$G$121:$M$121,CJ$178,OTT!$AM36:$AS36)+SUMIF($CS$178:$CV$178,CJ$178,$CS482:$CV482)</f>
        <v>0</v>
      </c>
      <c r="CK482" s="230">
        <f>SUMIF(OTT!$G$121:$M$121,CK$178,OTT!$AM36:$AS36)+SUMIF($CS$178:$CV$178,CK$178,$CS482:$CV482)</f>
        <v>0</v>
      </c>
      <c r="CL482" s="230">
        <f>SUMIF(OTT!$G$121:$M$121,CL$178,OTT!$AM36:$AS36)+SUMIF($CS$178:$CV$178,CL$178,$CS482:$CV482)</f>
        <v>0</v>
      </c>
      <c r="CM482" s="230">
        <f>SUMIF(OTT!$G$121:$M$121,CM$178,OTT!$AM36:$AS36)+SUMIF($CS$178:$CV$178,CM$178,$CS482:$CV482)</f>
        <v>0</v>
      </c>
      <c r="CN482" s="230">
        <f>SUMIF(OTT!$G$121:$M$121,CN$178,OTT!$AM36:$AS36)+SUMIF($CS$178:$CV$178,CN$178,$CS482:$CV482)</f>
        <v>0</v>
      </c>
      <c r="CO482" s="230">
        <f>SUMIF(OTT!$G$121:$M$121,CO$178,OTT!$AM36:$AS36)+SUMIF($CS$178:$CV$178,CO$178,$CS482:$CV482)</f>
        <v>0</v>
      </c>
      <c r="CP482" s="230">
        <f>SUMIF(OTT!$G$121:$M$121,CP$178,OTT!$AM36:$AS36)+SUMIF($CS$178:$CV$178,CP$178,$CS482:$CV482)</f>
        <v>0</v>
      </c>
      <c r="CQ482" s="231">
        <f>SUMIF(OTT!$G$121:$M$121,CQ$178,OTT!$AM36:$AS36)+SUMIF($CS$178:$CV$178,CQ$178,$CS482:$CV482)</f>
        <v>0</v>
      </c>
      <c r="CR482" s="521">
        <f>OTT!AU36</f>
        <v>0</v>
      </c>
      <c r="CS482" s="228">
        <f>OTT!AV36</f>
        <v>0</v>
      </c>
      <c r="CT482" s="229">
        <f>OTT!AW36</f>
        <v>0</v>
      </c>
      <c r="CU482" s="230">
        <f>OTT!AX36</f>
        <v>0</v>
      </c>
      <c r="CV482" s="231">
        <f>OTT!AY36</f>
        <v>0</v>
      </c>
      <c r="CW482" s="521">
        <f>SUM(OTT!AU36:AY36)</f>
        <v>0</v>
      </c>
      <c r="CX482" s="521">
        <f>OTT!AK36</f>
        <v>0</v>
      </c>
      <c r="CY482" s="2"/>
    </row>
    <row r="483" spans="1:103" ht="14.25" hidden="1" customHeight="1" x14ac:dyDescent="0.2">
      <c r="A483" s="2"/>
      <c r="B483" s="105">
        <f t="shared" si="110"/>
        <v>45595</v>
      </c>
      <c r="C483" s="146">
        <f>IF(AND(E483&gt;(N$560-1),E483&lt;(R$560+1)),W$551,IF(ISERROR(HLOOKUP(E483,$N$553:$U$553,1,FALSE)),HLOOKUP(WEEKDAY(E483,2),IMPOSTAZIONI!$C$52:$P$57,6,FALSE),$W$550))</f>
        <v>0</v>
      </c>
      <c r="D483" s="71" t="str">
        <f t="shared" si="111"/>
        <v/>
      </c>
      <c r="E483" s="2258">
        <f t="shared" si="116"/>
        <v>45595</v>
      </c>
      <c r="F483" s="2259"/>
      <c r="G483" s="2228" t="str">
        <f>OTT!E37</f>
        <v xml:space="preserve">disattivato  </v>
      </c>
      <c r="H483" s="2229"/>
      <c r="I483" s="2230"/>
      <c r="J483" s="262" t="str">
        <f t="shared" si="101"/>
        <v/>
      </c>
      <c r="K483" s="263"/>
      <c r="L483" s="2217">
        <f t="shared" si="117"/>
        <v>44</v>
      </c>
      <c r="M483" s="2218"/>
      <c r="N483" s="261"/>
      <c r="O483" s="261"/>
      <c r="P483" s="261"/>
      <c r="Q483" s="2219">
        <f t="shared" si="112"/>
        <v>45595</v>
      </c>
      <c r="R483" s="2219"/>
      <c r="S483" s="261"/>
      <c r="T483" s="1173">
        <f t="shared" si="102"/>
        <v>1</v>
      </c>
      <c r="U483" s="261"/>
      <c r="V483" s="261"/>
      <c r="W483" s="261"/>
      <c r="X483" s="261"/>
      <c r="Y483" s="261"/>
      <c r="Z483" s="261"/>
      <c r="AA483" s="261"/>
      <c r="AB483" s="261"/>
      <c r="AC483" s="261"/>
      <c r="AD483" s="261"/>
      <c r="AE483" s="261"/>
      <c r="AF483" s="261"/>
      <c r="AG483" s="1173">
        <f t="shared" si="113"/>
        <v>0</v>
      </c>
      <c r="AH483" s="61" t="str">
        <f t="shared" si="114"/>
        <v/>
      </c>
      <c r="AI483" s="89" t="e">
        <f t="shared" si="115"/>
        <v>#N/A</v>
      </c>
      <c r="AJ483" s="2"/>
      <c r="AK483" s="61">
        <f>IF(G483=G$547,0,IF(OR(G483&lt;&gt;0,CH483&lt;&gt;0,C483="L"),COUNTIF(AK$180:AK482,"&gt;0")+1,0))</f>
        <v>0</v>
      </c>
      <c r="AL483" s="61" t="str">
        <f t="shared" si="103"/>
        <v/>
      </c>
      <c r="AM483" s="61" t="e">
        <f t="shared" si="104"/>
        <v>#N/A</v>
      </c>
      <c r="AN483" s="89" t="e">
        <f t="shared" si="105"/>
        <v>#N/A</v>
      </c>
      <c r="AO483" s="230">
        <f>SUM(OTT!X37:AD37)-BD483+AY483</f>
        <v>0</v>
      </c>
      <c r="AP483" s="228">
        <f>SUMIF(OTT!$G$121:$M$121,AP$178,OTT!$P37:$V37)+SUMIF($AZ$178:$BC$178,AP$178,$AZ483:$BC483)</f>
        <v>0</v>
      </c>
      <c r="AQ483" s="229">
        <f>SUMIF(OTT!$G$121:$M$121,AQ$178,OTT!$P37:$V37)+SUMIF($AZ$178:$BC$178,AQ$178,$AZ483:$BC483)</f>
        <v>0</v>
      </c>
      <c r="AR483" s="230">
        <f>SUMIF(OTT!$G$121:$M$121,AR$178,OTT!$P37:$V37)+SUMIF($AZ$178:$BC$178,AR$178,$AZ483:$BC483)</f>
        <v>0</v>
      </c>
      <c r="AS483" s="230">
        <f>SUMIF(OTT!$G$121:$M$121,AS$178,OTT!$P37:$V37)+SUMIF($AZ$178:$BC$178,AS$178,$AZ483:$BC483)</f>
        <v>0</v>
      </c>
      <c r="AT483" s="230">
        <f>SUMIF(OTT!$G$121:$M$121,AT$178,OTT!$P37:$V37)+SUMIF($AZ$178:$BC$178,AT$178,$AZ483:$BC483)</f>
        <v>0</v>
      </c>
      <c r="AU483" s="230">
        <f>SUMIF(OTT!$G$121:$M$121,AU$178,OTT!$P37:$V37)+SUMIF($AZ$178:$BC$178,AU$178,$AZ483:$BC483)</f>
        <v>0</v>
      </c>
      <c r="AV483" s="230">
        <f>SUMIF(OTT!$G$121:$M$121,AV$178,OTT!$P37:$V37)+SUMIF($AZ$178:$BC$178,AV$178,$AZ483:$BC483)</f>
        <v>0</v>
      </c>
      <c r="AW483" s="230">
        <f>SUMIF(OTT!$G$121:$M$121,AW$178,OTT!$P37:$V37)+SUMIF($AZ$178:$BC$178,AW$178,$AZ483:$BC483)</f>
        <v>0</v>
      </c>
      <c r="AX483" s="231">
        <f>SUMIF(OTT!$G$121:$M$121,AX$178,OTT!$P37:$V37)+SUMIF($AZ$178:$BC$178,AX$178,$AZ483:$BC483)</f>
        <v>0</v>
      </c>
      <c r="AY483" s="232">
        <f>OTT!AF37</f>
        <v>0</v>
      </c>
      <c r="AZ483" s="228">
        <f>OTT!AG37</f>
        <v>0</v>
      </c>
      <c r="BA483" s="229">
        <f>OTT!AH37</f>
        <v>0</v>
      </c>
      <c r="BB483" s="230">
        <f>OTT!AI37</f>
        <v>0</v>
      </c>
      <c r="BC483" s="231">
        <f>OTT!AJ37</f>
        <v>0</v>
      </c>
      <c r="BD483" s="228">
        <f>SUMIF(OTT!$G$120:$M$120,"&gt;0",OTT!$X37:$AD37)</f>
        <v>0</v>
      </c>
      <c r="BE483" s="696"/>
      <c r="BF483" s="228">
        <f>SUMIF(OTT!$BA$6:$BG$6,BF$177,OTT!$BA37:$BG37)</f>
        <v>0</v>
      </c>
      <c r="BG483" s="229">
        <f>SUMIF(OTT!$BA$6:$BG$6,BG$177,OTT!$BA37:$BG37)</f>
        <v>0</v>
      </c>
      <c r="BH483" s="229">
        <f>SUMIF(OTT!$BA$6:$BG$6,BH$177,OTT!$BA37:$BG37)</f>
        <v>0</v>
      </c>
      <c r="BI483" s="229">
        <f>SUMIF(OTT!$BA$6:$BG$6,BI$177,OTT!$BA37:$BG37)</f>
        <v>0</v>
      </c>
      <c r="BJ483" s="229">
        <f>SUMIF(OTT!$BA$6:$BG$6,BJ$177,OTT!$BA37:$BG37)</f>
        <v>0</v>
      </c>
      <c r="BK483" s="229">
        <f>SUMIF(OTT!$BA$6:$BG$6,BK$177,OTT!$BA37:$BG37)</f>
        <v>0</v>
      </c>
      <c r="BL483" s="229">
        <f>SUMIF(OTT!$BA$6:$BG$6,BL$177,OTT!$BA37:$BG37)</f>
        <v>0</v>
      </c>
      <c r="BM483" s="229">
        <f>SUMIF(OTT!$BA$6:$BG$6,BM$177,OTT!$BA37:$BG37)</f>
        <v>0</v>
      </c>
      <c r="BN483" s="229">
        <f>SUMIF(OTT!$BA$6:$BG$6,BN$177,OTT!$BA37:$BG37)</f>
        <v>0</v>
      </c>
      <c r="BO483" s="231">
        <f>SUMIF(OTT!$BA$6:$BG$6,BO$177,OTT!$BA37:$BG37)</f>
        <v>0</v>
      </c>
      <c r="BP483" s="231">
        <f>SUMIF(OTT!$BA$6:$BG$6,BP$177,OTT!$BA37:$BG37)</f>
        <v>0</v>
      </c>
      <c r="BQ483" s="252"/>
      <c r="BR483" s="228">
        <f>SUMIF(OTT!$BA$5:$BG$5,BR$177,OTT!$BA37:$BG37)</f>
        <v>0</v>
      </c>
      <c r="BS483" s="229">
        <f>SUMIF(OTT!$BA$5:$BG$5,BS$177,OTT!$BA37:$BG37)</f>
        <v>0</v>
      </c>
      <c r="BT483" s="229">
        <f>SUMIF(OTT!$BA$5:$BG$5,BT$177,OTT!$BA37:$BG37)</f>
        <v>0</v>
      </c>
      <c r="BU483" s="229">
        <f>SUMIF(OTT!$BA$5:$BG$5,BU$177,OTT!$BA37:$BG37)</f>
        <v>0</v>
      </c>
      <c r="BV483" s="229">
        <f>SUMIF(OTT!$BA$5:$BG$5,BV$177,OTT!$BA37:$BG37)</f>
        <v>0</v>
      </c>
      <c r="BW483" s="229">
        <f>SUMIF(OTT!$BA$5:$BG$5,BW$177,OTT!$BA37:$BG37)</f>
        <v>0</v>
      </c>
      <c r="BX483" s="230">
        <f>SUMIF(OTT!$BA$5:$BG$5,BX$177,OTT!$BA37:$BG37)</f>
        <v>0</v>
      </c>
      <c r="BY483" s="998">
        <f>SUMIF(OTT!$BA$5:$BG$5,BY$177,OTT!$BA37:$BG37)</f>
        <v>0</v>
      </c>
      <c r="CB483" s="252"/>
      <c r="CC483" s="61" t="e">
        <f t="shared" si="106"/>
        <v>#N/A</v>
      </c>
      <c r="CD483" s="61">
        <f t="shared" si="107"/>
        <v>0</v>
      </c>
      <c r="CE483" s="105" t="str">
        <f t="shared" si="100"/>
        <v/>
      </c>
      <c r="CF483" s="61" t="e">
        <f t="shared" si="108"/>
        <v>#N/A</v>
      </c>
      <c r="CG483" s="61" t="e">
        <f t="shared" si="109"/>
        <v>#N/A</v>
      </c>
      <c r="CH483" s="521">
        <f>OTT!AL37-CW483+CR483</f>
        <v>0</v>
      </c>
      <c r="CI483" s="228">
        <f>SUMIF(OTT!$G$121:$M$121,CI$178,OTT!$AM37:$AS37)+SUMIF($CS$178:$CV$178,CI$178,$CS483:$CV483)</f>
        <v>0</v>
      </c>
      <c r="CJ483" s="229">
        <f>SUMIF(OTT!$G$121:$M$121,CJ$178,OTT!$AM37:$AS37)+SUMIF($CS$178:$CV$178,CJ$178,$CS483:$CV483)</f>
        <v>0</v>
      </c>
      <c r="CK483" s="230">
        <f>SUMIF(OTT!$G$121:$M$121,CK$178,OTT!$AM37:$AS37)+SUMIF($CS$178:$CV$178,CK$178,$CS483:$CV483)</f>
        <v>0</v>
      </c>
      <c r="CL483" s="230">
        <f>SUMIF(OTT!$G$121:$M$121,CL$178,OTT!$AM37:$AS37)+SUMIF($CS$178:$CV$178,CL$178,$CS483:$CV483)</f>
        <v>0</v>
      </c>
      <c r="CM483" s="230">
        <f>SUMIF(OTT!$G$121:$M$121,CM$178,OTT!$AM37:$AS37)+SUMIF($CS$178:$CV$178,CM$178,$CS483:$CV483)</f>
        <v>0</v>
      </c>
      <c r="CN483" s="230">
        <f>SUMIF(OTT!$G$121:$M$121,CN$178,OTT!$AM37:$AS37)+SUMIF($CS$178:$CV$178,CN$178,$CS483:$CV483)</f>
        <v>0</v>
      </c>
      <c r="CO483" s="230">
        <f>SUMIF(OTT!$G$121:$M$121,CO$178,OTT!$AM37:$AS37)+SUMIF($CS$178:$CV$178,CO$178,$CS483:$CV483)</f>
        <v>0</v>
      </c>
      <c r="CP483" s="230">
        <f>SUMIF(OTT!$G$121:$M$121,CP$178,OTT!$AM37:$AS37)+SUMIF($CS$178:$CV$178,CP$178,$CS483:$CV483)</f>
        <v>0</v>
      </c>
      <c r="CQ483" s="231">
        <f>SUMIF(OTT!$G$121:$M$121,CQ$178,OTT!$AM37:$AS37)+SUMIF($CS$178:$CV$178,CQ$178,$CS483:$CV483)</f>
        <v>0</v>
      </c>
      <c r="CR483" s="521">
        <f>OTT!AU37</f>
        <v>0</v>
      </c>
      <c r="CS483" s="228">
        <f>OTT!AV37</f>
        <v>0</v>
      </c>
      <c r="CT483" s="229">
        <f>OTT!AW37</f>
        <v>0</v>
      </c>
      <c r="CU483" s="230">
        <f>OTT!AX37</f>
        <v>0</v>
      </c>
      <c r="CV483" s="231">
        <f>OTT!AY37</f>
        <v>0</v>
      </c>
      <c r="CW483" s="521">
        <f>SUM(OTT!AU37:AY37)</f>
        <v>0</v>
      </c>
      <c r="CX483" s="521">
        <f>OTT!AK37</f>
        <v>0</v>
      </c>
      <c r="CY483" s="2"/>
    </row>
    <row r="484" spans="1:103" ht="14.25" hidden="1" customHeight="1" x14ac:dyDescent="0.2">
      <c r="A484" s="2"/>
      <c r="B484" s="105">
        <f t="shared" si="110"/>
        <v>45596</v>
      </c>
      <c r="C484" s="146">
        <f>IF(AND(E484&gt;(N$560-1),E484&lt;(R$560+1)),W$551,IF(ISERROR(HLOOKUP(E484,$N$553:$U$553,1,FALSE)),HLOOKUP(WEEKDAY(E484,2),IMPOSTAZIONI!$C$52:$P$57,6,FALSE),$W$550))</f>
        <v>0</v>
      </c>
      <c r="D484" s="71" t="str">
        <f t="shared" si="111"/>
        <v/>
      </c>
      <c r="E484" s="2262">
        <f t="shared" si="116"/>
        <v>45596</v>
      </c>
      <c r="F484" s="2263"/>
      <c r="G484" s="2266" t="str">
        <f>OTT!E38</f>
        <v xml:space="preserve">disattivato  </v>
      </c>
      <c r="H484" s="2267"/>
      <c r="I484" s="2268"/>
      <c r="J484" s="262" t="str">
        <f t="shared" si="101"/>
        <v/>
      </c>
      <c r="K484" s="263"/>
      <c r="L484" s="2217">
        <f t="shared" si="117"/>
        <v>44</v>
      </c>
      <c r="M484" s="2218"/>
      <c r="N484" s="261"/>
      <c r="O484" s="261"/>
      <c r="P484" s="261"/>
      <c r="Q484" s="2219">
        <f t="shared" si="112"/>
        <v>45596</v>
      </c>
      <c r="R484" s="2219"/>
      <c r="S484" s="261"/>
      <c r="T484" s="1173">
        <f t="shared" si="102"/>
        <v>1</v>
      </c>
      <c r="U484" s="261"/>
      <c r="V484" s="261"/>
      <c r="W484" s="261"/>
      <c r="X484" s="261"/>
      <c r="Y484" s="261"/>
      <c r="Z484" s="261"/>
      <c r="AA484" s="261"/>
      <c r="AB484" s="261"/>
      <c r="AC484" s="261"/>
      <c r="AD484" s="261"/>
      <c r="AE484" s="261"/>
      <c r="AF484" s="261"/>
      <c r="AG484" s="1173">
        <f t="shared" si="113"/>
        <v>0</v>
      </c>
      <c r="AH484" s="61" t="str">
        <f t="shared" si="114"/>
        <v/>
      </c>
      <c r="AI484" s="89" t="e">
        <f t="shared" si="115"/>
        <v>#N/A</v>
      </c>
      <c r="AJ484" s="2"/>
      <c r="AK484" s="61">
        <f>IF(G484=G$547,0,IF(OR(G484&lt;&gt;0,CH484&lt;&gt;0,C484="L"),COUNTIF(AK$180:AK483,"&gt;0")+1,0))</f>
        <v>0</v>
      </c>
      <c r="AL484" s="61" t="str">
        <f t="shared" si="103"/>
        <v/>
      </c>
      <c r="AM484" s="61" t="e">
        <f t="shared" si="104"/>
        <v>#N/A</v>
      </c>
      <c r="AN484" s="89" t="e">
        <f t="shared" si="105"/>
        <v>#N/A</v>
      </c>
      <c r="AO484" s="235">
        <f>SUM(OTT!X38:AD38)-BD484+AY484</f>
        <v>0</v>
      </c>
      <c r="AP484" s="233">
        <f>SUMIF(OTT!$G$121:$M$121,AP$178,OTT!$P38:$V38)+SUMIF($AZ$178:$BC$178,AP$178,$AZ484:$BC484)</f>
        <v>0</v>
      </c>
      <c r="AQ484" s="234">
        <f>SUMIF(OTT!$G$121:$M$121,AQ$178,OTT!$P38:$V38)+SUMIF($AZ$178:$BC$178,AQ$178,$AZ484:$BC484)</f>
        <v>0</v>
      </c>
      <c r="AR484" s="235">
        <f>SUMIF(OTT!$G$121:$M$121,AR$178,OTT!$P38:$V38)+SUMIF($AZ$178:$BC$178,AR$178,$AZ484:$BC484)</f>
        <v>0</v>
      </c>
      <c r="AS484" s="235">
        <f>SUMIF(OTT!$G$121:$M$121,AS$178,OTT!$P38:$V38)+SUMIF($AZ$178:$BC$178,AS$178,$AZ484:$BC484)</f>
        <v>0</v>
      </c>
      <c r="AT484" s="235">
        <f>SUMIF(OTT!$G$121:$M$121,AT$178,OTT!$P38:$V38)+SUMIF($AZ$178:$BC$178,AT$178,$AZ484:$BC484)</f>
        <v>0</v>
      </c>
      <c r="AU484" s="235">
        <f>SUMIF(OTT!$G$121:$M$121,AU$178,OTT!$P38:$V38)+SUMIF($AZ$178:$BC$178,AU$178,$AZ484:$BC484)</f>
        <v>0</v>
      </c>
      <c r="AV484" s="235">
        <f>SUMIF(OTT!$G$121:$M$121,AV$178,OTT!$P38:$V38)+SUMIF($AZ$178:$BC$178,AV$178,$AZ484:$BC484)</f>
        <v>0</v>
      </c>
      <c r="AW484" s="235">
        <f>SUMIF(OTT!$G$121:$M$121,AW$178,OTT!$P38:$V38)+SUMIF($AZ$178:$BC$178,AW$178,$AZ484:$BC484)</f>
        <v>0</v>
      </c>
      <c r="AX484" s="236">
        <f>SUMIF(OTT!$G$121:$M$121,AX$178,OTT!$P38:$V38)+SUMIF($AZ$178:$BC$178,AX$178,$AZ484:$BC484)</f>
        <v>0</v>
      </c>
      <c r="AY484" s="237">
        <f>OTT!AF38</f>
        <v>0</v>
      </c>
      <c r="AZ484" s="233">
        <f>OTT!AG38</f>
        <v>0</v>
      </c>
      <c r="BA484" s="234">
        <f>OTT!AH38</f>
        <v>0</v>
      </c>
      <c r="BB484" s="235">
        <f>OTT!AI38</f>
        <v>0</v>
      </c>
      <c r="BC484" s="236">
        <f>OTT!AJ38</f>
        <v>0</v>
      </c>
      <c r="BD484" s="233">
        <f>SUMIF(OTT!$G$120:$M$120,"&gt;0",OTT!$X38:$AD38)</f>
        <v>0</v>
      </c>
      <c r="BE484" s="696"/>
      <c r="BF484" s="233">
        <f>SUMIF(OTT!$BA$6:$BG$6,BF$177,OTT!$BA38:$BG38)</f>
        <v>0</v>
      </c>
      <c r="BG484" s="234">
        <f>SUMIF(OTT!$BA$6:$BG$6,BG$177,OTT!$BA38:$BG38)</f>
        <v>0</v>
      </c>
      <c r="BH484" s="234">
        <f>SUMIF(OTT!$BA$6:$BG$6,BH$177,OTT!$BA38:$BG38)</f>
        <v>0</v>
      </c>
      <c r="BI484" s="234">
        <f>SUMIF(OTT!$BA$6:$BG$6,BI$177,OTT!$BA38:$BG38)</f>
        <v>0</v>
      </c>
      <c r="BJ484" s="234">
        <f>SUMIF(OTT!$BA$6:$BG$6,BJ$177,OTT!$BA38:$BG38)</f>
        <v>0</v>
      </c>
      <c r="BK484" s="234">
        <f>SUMIF(OTT!$BA$6:$BG$6,BK$177,OTT!$BA38:$BG38)</f>
        <v>0</v>
      </c>
      <c r="BL484" s="234">
        <f>SUMIF(OTT!$BA$6:$BG$6,BL$177,OTT!$BA38:$BG38)</f>
        <v>0</v>
      </c>
      <c r="BM484" s="234">
        <f>SUMIF(OTT!$BA$6:$BG$6,BM$177,OTT!$BA38:$BG38)</f>
        <v>0</v>
      </c>
      <c r="BN484" s="234">
        <f>SUMIF(OTT!$BA$6:$BG$6,BN$177,OTT!$BA38:$BG38)</f>
        <v>0</v>
      </c>
      <c r="BO484" s="236">
        <f>SUMIF(OTT!$BA$6:$BG$6,BO$177,OTT!$BA38:$BG38)</f>
        <v>0</v>
      </c>
      <c r="BP484" s="236">
        <f>SUMIF(OTT!$BA$6:$BG$6,BP$177,OTT!$BA38:$BG38)</f>
        <v>0</v>
      </c>
      <c r="BQ484" s="252"/>
      <c r="BR484" s="233">
        <f>SUMIF(OTT!$BA$5:$BG$5,BR$177,OTT!$BA38:$BG38)</f>
        <v>0</v>
      </c>
      <c r="BS484" s="234">
        <f>SUMIF(OTT!$BA$5:$BG$5,BS$177,OTT!$BA38:$BG38)</f>
        <v>0</v>
      </c>
      <c r="BT484" s="234">
        <f>SUMIF(OTT!$BA$5:$BG$5,BT$177,OTT!$BA38:$BG38)</f>
        <v>0</v>
      </c>
      <c r="BU484" s="234">
        <f>SUMIF(OTT!$BA$5:$BG$5,BU$177,OTT!$BA38:$BG38)</f>
        <v>0</v>
      </c>
      <c r="BV484" s="234">
        <f>SUMIF(OTT!$BA$5:$BG$5,BV$177,OTT!$BA38:$BG38)</f>
        <v>0</v>
      </c>
      <c r="BW484" s="234">
        <f>SUMIF(OTT!$BA$5:$BG$5,BW$177,OTT!$BA38:$BG38)</f>
        <v>0</v>
      </c>
      <c r="BX484" s="235">
        <f>SUMIF(OTT!$BA$5:$BG$5,BX$177,OTT!$BA38:$BG38)</f>
        <v>0</v>
      </c>
      <c r="BY484" s="999">
        <f>SUMIF(OTT!$BA$5:$BG$5,BY$177,OTT!$BA38:$BG38)</f>
        <v>0</v>
      </c>
      <c r="CB484" s="252"/>
      <c r="CC484" s="61" t="e">
        <f t="shared" si="106"/>
        <v>#N/A</v>
      </c>
      <c r="CD484" s="61">
        <f t="shared" si="107"/>
        <v>0</v>
      </c>
      <c r="CE484" s="105" t="str">
        <f t="shared" si="100"/>
        <v/>
      </c>
      <c r="CF484" s="61" t="e">
        <f t="shared" si="108"/>
        <v>#N/A</v>
      </c>
      <c r="CG484" s="61" t="e">
        <f t="shared" si="109"/>
        <v>#N/A</v>
      </c>
      <c r="CH484" s="522">
        <f>OTT!AL38-CW484+CR484</f>
        <v>0</v>
      </c>
      <c r="CI484" s="233">
        <f>SUMIF(OTT!$G$121:$M$121,CI$178,OTT!$AM38:$AS38)+SUMIF($CS$178:$CV$178,CI$178,$CS484:$CV484)</f>
        <v>0</v>
      </c>
      <c r="CJ484" s="234">
        <f>SUMIF(OTT!$G$121:$M$121,CJ$178,OTT!$AM38:$AS38)+SUMIF($CS$178:$CV$178,CJ$178,$CS484:$CV484)</f>
        <v>0</v>
      </c>
      <c r="CK484" s="235">
        <f>SUMIF(OTT!$G$121:$M$121,CK$178,OTT!$AM38:$AS38)+SUMIF($CS$178:$CV$178,CK$178,$CS484:$CV484)</f>
        <v>0</v>
      </c>
      <c r="CL484" s="235">
        <f>SUMIF(OTT!$G$121:$M$121,CL$178,OTT!$AM38:$AS38)+SUMIF($CS$178:$CV$178,CL$178,$CS484:$CV484)</f>
        <v>0</v>
      </c>
      <c r="CM484" s="235">
        <f>SUMIF(OTT!$G$121:$M$121,CM$178,OTT!$AM38:$AS38)+SUMIF($CS$178:$CV$178,CM$178,$CS484:$CV484)</f>
        <v>0</v>
      </c>
      <c r="CN484" s="235">
        <f>SUMIF(OTT!$G$121:$M$121,CN$178,OTT!$AM38:$AS38)+SUMIF($CS$178:$CV$178,CN$178,$CS484:$CV484)</f>
        <v>0</v>
      </c>
      <c r="CO484" s="235">
        <f>SUMIF(OTT!$G$121:$M$121,CO$178,OTT!$AM38:$AS38)+SUMIF($CS$178:$CV$178,CO$178,$CS484:$CV484)</f>
        <v>0</v>
      </c>
      <c r="CP484" s="235">
        <f>SUMIF(OTT!$G$121:$M$121,CP$178,OTT!$AM38:$AS38)+SUMIF($CS$178:$CV$178,CP$178,$CS484:$CV484)</f>
        <v>0</v>
      </c>
      <c r="CQ484" s="236">
        <f>SUMIF(OTT!$G$121:$M$121,CQ$178,OTT!$AM38:$AS38)+SUMIF($CS$178:$CV$178,CQ$178,$CS484:$CV484)</f>
        <v>0</v>
      </c>
      <c r="CR484" s="522">
        <f>OTT!AU38</f>
        <v>0</v>
      </c>
      <c r="CS484" s="233">
        <f>OTT!AV38</f>
        <v>0</v>
      </c>
      <c r="CT484" s="234">
        <f>OTT!AW38</f>
        <v>0</v>
      </c>
      <c r="CU484" s="235">
        <f>OTT!AX38</f>
        <v>0</v>
      </c>
      <c r="CV484" s="236">
        <f>OTT!AY38</f>
        <v>0</v>
      </c>
      <c r="CW484" s="522">
        <f>SUM(OTT!AU38:AY38)</f>
        <v>0</v>
      </c>
      <c r="CX484" s="522">
        <f>OTT!AK38</f>
        <v>0</v>
      </c>
      <c r="CY484" s="2"/>
    </row>
    <row r="485" spans="1:103" ht="14.25" hidden="1" customHeight="1" x14ac:dyDescent="0.2">
      <c r="A485" s="2"/>
      <c r="B485" s="105">
        <f t="shared" si="110"/>
        <v>45597</v>
      </c>
      <c r="C485" s="146">
        <f>IF(AND(E485&gt;(N$561-1),E485&lt;(R$561+1)),W$551,IF(ISERROR(HLOOKUP(E485,$N$554:$U$554,1,FALSE)),HLOOKUP(WEEKDAY(E485,2),IMPOSTAZIONI!$C$52:$P$57,6,FALSE),$W$550))</f>
        <v>0</v>
      </c>
      <c r="D485" s="71" t="str">
        <f t="shared" si="111"/>
        <v/>
      </c>
      <c r="E485" s="2260">
        <f t="shared" si="116"/>
        <v>45597</v>
      </c>
      <c r="F485" s="2261"/>
      <c r="G485" s="2249" t="str">
        <f>NOV!E8</f>
        <v xml:space="preserve">disattivato  </v>
      </c>
      <c r="H485" s="2250"/>
      <c r="I485" s="2251"/>
      <c r="J485" s="262" t="str">
        <f t="shared" si="101"/>
        <v/>
      </c>
      <c r="K485" s="263"/>
      <c r="L485" s="2217">
        <f t="shared" si="117"/>
        <v>44</v>
      </c>
      <c r="M485" s="2218"/>
      <c r="N485" s="261"/>
      <c r="O485" s="261"/>
      <c r="P485" s="261"/>
      <c r="Q485" s="2219">
        <f t="shared" si="112"/>
        <v>45597</v>
      </c>
      <c r="R485" s="2219"/>
      <c r="S485" s="261"/>
      <c r="T485" s="1173">
        <f t="shared" si="102"/>
        <v>1</v>
      </c>
      <c r="U485" s="261"/>
      <c r="V485" s="261"/>
      <c r="W485" s="261"/>
      <c r="X485" s="261"/>
      <c r="Y485" s="261"/>
      <c r="Z485" s="261"/>
      <c r="AA485" s="261"/>
      <c r="AB485" s="261"/>
      <c r="AC485" s="261"/>
      <c r="AD485" s="261"/>
      <c r="AE485" s="261"/>
      <c r="AF485" s="261"/>
      <c r="AG485" s="1173">
        <f t="shared" si="113"/>
        <v>0</v>
      </c>
      <c r="AH485" s="61" t="str">
        <f t="shared" si="114"/>
        <v/>
      </c>
      <c r="AI485" s="89" t="e">
        <f t="shared" si="115"/>
        <v>#N/A</v>
      </c>
      <c r="AJ485" s="89">
        <f>IF(G485=G547,0,COUNTIF(T485:T514,"&gt;0"))</f>
        <v>0</v>
      </c>
      <c r="AK485" s="61">
        <f>IF(G485=G$547,0,IF(OR(G485&lt;&gt;0,CH485&lt;&gt;0,C485="L"),COUNTIF(AK$180:AK484,"&gt;0")+1,0))</f>
        <v>0</v>
      </c>
      <c r="AL485" s="61" t="str">
        <f t="shared" si="103"/>
        <v/>
      </c>
      <c r="AM485" s="61" t="e">
        <f t="shared" si="104"/>
        <v>#N/A</v>
      </c>
      <c r="AN485" s="89" t="e">
        <f t="shared" si="105"/>
        <v>#N/A</v>
      </c>
      <c r="AO485" s="230">
        <f>SUM(NOV!X8:AD8)-BD485+AY485</f>
        <v>0</v>
      </c>
      <c r="AP485" s="228">
        <f>SUMIF(NOV!$G$121:$M$121,AP$178,NOV!$P8:$V8)+SUMIF($AZ$178:$BC$178,AP$178,$AZ485:$BC485)</f>
        <v>0</v>
      </c>
      <c r="AQ485" s="229">
        <f>SUMIF(NOV!$G$121:$M$121,AQ$178,NOV!$P8:$V8)+SUMIF($AZ$178:$BC$178,AQ$178,$AZ485:$BC485)</f>
        <v>0</v>
      </c>
      <c r="AR485" s="230">
        <f>SUMIF(NOV!$G$121:$M$121,AR$178,NOV!$P8:$V8)+SUMIF($AZ$178:$BC$178,AR$178,$AZ485:$BC485)</f>
        <v>0</v>
      </c>
      <c r="AS485" s="230">
        <f>SUMIF(NOV!$G$121:$M$121,AS$178,NOV!$P8:$V8)+SUMIF($AZ$178:$BC$178,AS$178,$AZ485:$BC485)</f>
        <v>0</v>
      </c>
      <c r="AT485" s="230">
        <f>SUMIF(NOV!$G$121:$M$121,AT$178,NOV!$P8:$V8)+SUMIF($AZ$178:$BC$178,AT$178,$AZ485:$BC485)</f>
        <v>0</v>
      </c>
      <c r="AU485" s="230">
        <f>SUMIF(NOV!$G$121:$M$121,AU$178,NOV!$P8:$V8)+SUMIF($AZ$178:$BC$178,AU$178,$AZ485:$BC485)</f>
        <v>0</v>
      </c>
      <c r="AV485" s="230">
        <f>SUMIF(NOV!$G$121:$M$121,AV$178,NOV!$P8:$V8)+SUMIF($AZ$178:$BC$178,AV$178,$AZ485:$BC485)</f>
        <v>0</v>
      </c>
      <c r="AW485" s="230">
        <f>SUMIF(NOV!$G$121:$M$121,AW$178,NOV!$P8:$V8)+SUMIF($AZ$178:$BC$178,AW$178,$AZ485:$BC485)</f>
        <v>0</v>
      </c>
      <c r="AX485" s="231">
        <f>SUMIF(NOV!$G$121:$M$121,AX$178,NOV!$P8:$V8)+SUMIF($AZ$178:$BC$178,AX$178,$AZ485:$BC485)</f>
        <v>0</v>
      </c>
      <c r="AY485" s="232">
        <f>NOV!AF8</f>
        <v>0</v>
      </c>
      <c r="AZ485" s="228">
        <f>NOV!AG8</f>
        <v>0</v>
      </c>
      <c r="BA485" s="229">
        <f>NOV!AH8</f>
        <v>0</v>
      </c>
      <c r="BB485" s="230">
        <f>NOV!AI8</f>
        <v>0</v>
      </c>
      <c r="BC485" s="231">
        <f>NOV!AJ8</f>
        <v>0</v>
      </c>
      <c r="BD485" s="228">
        <f>SUMIF(NOV!$G$120:$M$120,"&gt;0",NOV!$X8:$AD8)</f>
        <v>0</v>
      </c>
      <c r="BE485" s="696"/>
      <c r="BF485" s="254">
        <f>SUMIF(NOV!$BA$6:$BG$6,BF$177,NOV!$BA8:$BG8)</f>
        <v>0</v>
      </c>
      <c r="BG485" s="255">
        <f>SUMIF(NOV!$BA$6:$BG$6,BG$177,NOV!$BA8:$BG8)</f>
        <v>0</v>
      </c>
      <c r="BH485" s="255">
        <f>SUMIF(NOV!$BA$6:$BG$6,BH$177,NOV!$BA8:$BG8)</f>
        <v>0</v>
      </c>
      <c r="BI485" s="255">
        <f>SUMIF(NOV!$BA$6:$BG$6,BI$177,NOV!$BA8:$BG8)</f>
        <v>0</v>
      </c>
      <c r="BJ485" s="255">
        <f>SUMIF(NOV!$BA$6:$BG$6,BJ$177,NOV!$BA8:$BG8)</f>
        <v>0</v>
      </c>
      <c r="BK485" s="255">
        <f>SUMIF(NOV!$BA$6:$BG$6,BK$177,NOV!$BA8:$BG8)</f>
        <v>0</v>
      </c>
      <c r="BL485" s="255">
        <f>SUMIF(NOV!$BA$6:$BG$6,BL$177,NOV!$BA8:$BG8)</f>
        <v>0</v>
      </c>
      <c r="BM485" s="255">
        <f>SUMIF(NOV!$BA$6:$BG$6,BM$177,NOV!$BA8:$BG8)</f>
        <v>0</v>
      </c>
      <c r="BN485" s="255">
        <f>SUMIF(NOV!$BA$6:$BG$6,BN$177,NOV!$BA8:$BG8)</f>
        <v>0</v>
      </c>
      <c r="BO485" s="256">
        <f>SUMIF(NOV!$BA$6:$BG$6,BO$177,NOV!$BA8:$BG8)</f>
        <v>0</v>
      </c>
      <c r="BP485" s="256">
        <f>SUMIF(NOV!$BA$6:$BG$6,BP$177,NOV!$BA8:$BG8)</f>
        <v>0</v>
      </c>
      <c r="BQ485" s="252"/>
      <c r="BR485" s="254">
        <f>SUMIF(NOV!$BA$5:$BG$5,BR$177,NOV!$BA8:$BG8)</f>
        <v>0</v>
      </c>
      <c r="BS485" s="255">
        <f>SUMIF(NOV!$BA$5:$BG$5,BS$177,NOV!$BA8:$BG8)</f>
        <v>0</v>
      </c>
      <c r="BT485" s="255">
        <f>SUMIF(NOV!$BA$5:$BG$5,BT$177,NOV!$BA8:$BG8)</f>
        <v>0</v>
      </c>
      <c r="BU485" s="255">
        <f>SUMIF(NOV!$BA$5:$BG$5,BU$177,NOV!$BA8:$BG8)</f>
        <v>0</v>
      </c>
      <c r="BV485" s="255">
        <f>SUMIF(NOV!$BA$5:$BG$5,BV$177,NOV!$BA8:$BG8)</f>
        <v>0</v>
      </c>
      <c r="BW485" s="255">
        <f>SUMIF(NOV!$BA$5:$BG$5,BW$177,NOV!$BA8:$BG8)</f>
        <v>0</v>
      </c>
      <c r="BX485" s="996">
        <f>SUMIF(NOV!$BA$5:$BG$5,BX$177,NOV!$BA8:$BG8)</f>
        <v>0</v>
      </c>
      <c r="BY485" s="997">
        <f>SUMIF(NOV!$BA$5:$BG$5,BY$177,NOV!$BA8:$BG8)</f>
        <v>0</v>
      </c>
      <c r="CB485" s="252"/>
      <c r="CC485" s="61" t="e">
        <f t="shared" si="106"/>
        <v>#N/A</v>
      </c>
      <c r="CD485" s="61">
        <f t="shared" si="107"/>
        <v>0</v>
      </c>
      <c r="CE485" s="105" t="str">
        <f t="shared" si="100"/>
        <v/>
      </c>
      <c r="CF485" s="61" t="e">
        <f t="shared" si="108"/>
        <v>#N/A</v>
      </c>
      <c r="CG485" s="61" t="e">
        <f t="shared" si="109"/>
        <v>#N/A</v>
      </c>
      <c r="CH485" s="523">
        <f>NOV!AL8-CW485+CR485</f>
        <v>0</v>
      </c>
      <c r="CI485" s="228">
        <f>SUMIF(NOV!$G$121:$M$121,CI$178,NOV!$AM8:$AS8)+SUMIF($CS$178:$CV$178,CI$178,$CS485:$CV485)</f>
        <v>0</v>
      </c>
      <c r="CJ485" s="229">
        <f>SUMIF(NOV!$G$121:$M$121,CJ$178,NOV!$AM8:$AS8)+SUMIF($CS$178:$CV$178,CJ$178,$CS485:$CV485)</f>
        <v>0</v>
      </c>
      <c r="CK485" s="230">
        <f>SUMIF(NOV!$G$121:$M$121,CK$178,NOV!$AM8:$AS8)+SUMIF($CS$178:$CV$178,CK$178,$CS485:$CV485)</f>
        <v>0</v>
      </c>
      <c r="CL485" s="230">
        <f>SUMIF(NOV!$G$121:$M$121,CL$178,NOV!$AM8:$AS8)+SUMIF($CS$178:$CV$178,CL$178,$CS485:$CV485)</f>
        <v>0</v>
      </c>
      <c r="CM485" s="230">
        <f>SUMIF(NOV!$G$121:$M$121,CM$178,NOV!$AM8:$AS8)+SUMIF($CS$178:$CV$178,CM$178,$CS485:$CV485)</f>
        <v>0</v>
      </c>
      <c r="CN485" s="230">
        <f>SUMIF(NOV!$G$121:$M$121,CN$178,NOV!$AM8:$AS8)+SUMIF($CS$178:$CV$178,CN$178,$CS485:$CV485)</f>
        <v>0</v>
      </c>
      <c r="CO485" s="230">
        <f>SUMIF(NOV!$G$121:$M$121,CO$178,NOV!$AM8:$AS8)+SUMIF($CS$178:$CV$178,CO$178,$CS485:$CV485)</f>
        <v>0</v>
      </c>
      <c r="CP485" s="230">
        <f>SUMIF(NOV!$G$121:$M$121,CP$178,NOV!$AM8:$AS8)+SUMIF($CS$178:$CV$178,CP$178,$CS485:$CV485)</f>
        <v>0</v>
      </c>
      <c r="CQ485" s="231">
        <f>SUMIF(NOV!$G$121:$M$121,CQ$178,NOV!$AM8:$AS8)+SUMIF($CS$178:$CV$178,CQ$178,$CS485:$CV485)</f>
        <v>0</v>
      </c>
      <c r="CR485" s="523">
        <f>NOV!AU8</f>
        <v>0</v>
      </c>
      <c r="CS485" s="228">
        <f>NOV!AV8</f>
        <v>0</v>
      </c>
      <c r="CT485" s="229">
        <f>NOV!AW8</f>
        <v>0</v>
      </c>
      <c r="CU485" s="230">
        <f>NOV!AX8</f>
        <v>0</v>
      </c>
      <c r="CV485" s="231">
        <f>NOV!AY8</f>
        <v>0</v>
      </c>
      <c r="CW485" s="523">
        <f>SUM(NOV!AU8:AY8)</f>
        <v>0</v>
      </c>
      <c r="CX485" s="523">
        <f>NOV!AK8</f>
        <v>0</v>
      </c>
      <c r="CY485" s="2"/>
    </row>
    <row r="486" spans="1:103" ht="14.25" hidden="1" customHeight="1" x14ac:dyDescent="0.2">
      <c r="A486" s="2"/>
      <c r="B486" s="105">
        <f t="shared" si="110"/>
        <v>45598</v>
      </c>
      <c r="C486" s="146">
        <f>IF(AND(E486&gt;(N$561-1),E486&lt;(R$561+1)),W$551,IF(ISERROR(HLOOKUP(E486,$N$554:$U$554,1,FALSE)),HLOOKUP(WEEKDAY(E486,2),IMPOSTAZIONI!$C$52:$P$57,6,FALSE),$W$550))</f>
        <v>0</v>
      </c>
      <c r="D486" s="71" t="str">
        <f t="shared" si="111"/>
        <v/>
      </c>
      <c r="E486" s="2258">
        <f t="shared" si="116"/>
        <v>45598</v>
      </c>
      <c r="F486" s="2259"/>
      <c r="G486" s="2228" t="str">
        <f>NOV!E9</f>
        <v xml:space="preserve">disattivato  </v>
      </c>
      <c r="H486" s="2229"/>
      <c r="I486" s="2230"/>
      <c r="J486" s="262" t="str">
        <f t="shared" si="101"/>
        <v/>
      </c>
      <c r="K486" s="263"/>
      <c r="L486" s="2217">
        <f t="shared" si="117"/>
        <v>44</v>
      </c>
      <c r="M486" s="2218"/>
      <c r="N486" s="261"/>
      <c r="O486" s="261"/>
      <c r="P486" s="261"/>
      <c r="Q486" s="2219">
        <f t="shared" si="112"/>
        <v>45598</v>
      </c>
      <c r="R486" s="2219"/>
      <c r="S486" s="261"/>
      <c r="T486" s="1173">
        <f t="shared" si="102"/>
        <v>1</v>
      </c>
      <c r="U486" s="261"/>
      <c r="V486" s="261"/>
      <c r="W486" s="261"/>
      <c r="X486" s="261"/>
      <c r="Y486" s="261"/>
      <c r="Z486" s="261"/>
      <c r="AA486" s="261"/>
      <c r="AB486" s="261"/>
      <c r="AC486" s="261"/>
      <c r="AD486" s="261"/>
      <c r="AE486" s="261"/>
      <c r="AF486" s="261"/>
      <c r="AG486" s="1173">
        <f t="shared" si="113"/>
        <v>0</v>
      </c>
      <c r="AH486" s="61" t="str">
        <f t="shared" si="114"/>
        <v/>
      </c>
      <c r="AI486" s="89" t="e">
        <f t="shared" si="115"/>
        <v>#N/A</v>
      </c>
      <c r="AJ486" s="2"/>
      <c r="AK486" s="61">
        <f>IF(G486=G$547,0,IF(OR(G486&lt;&gt;0,CH486&lt;&gt;0,C486="L"),COUNTIF(AK$180:AK485,"&gt;0")+1,0))</f>
        <v>0</v>
      </c>
      <c r="AL486" s="61" t="str">
        <f t="shared" si="103"/>
        <v/>
      </c>
      <c r="AM486" s="61" t="e">
        <f t="shared" si="104"/>
        <v>#N/A</v>
      </c>
      <c r="AN486" s="89" t="e">
        <f t="shared" si="105"/>
        <v>#N/A</v>
      </c>
      <c r="AO486" s="230">
        <f>SUM(NOV!X9:AD9)-BD486+AY486</f>
        <v>0</v>
      </c>
      <c r="AP486" s="228">
        <f>SUMIF(NOV!$G$121:$M$121,AP$178,NOV!$P9:$V9)+SUMIF($AZ$178:$BC$178,AP$178,$AZ486:$BC486)</f>
        <v>0</v>
      </c>
      <c r="AQ486" s="229">
        <f>SUMIF(NOV!$G$121:$M$121,AQ$178,NOV!$P9:$V9)+SUMIF($AZ$178:$BC$178,AQ$178,$AZ486:$BC486)</f>
        <v>0</v>
      </c>
      <c r="AR486" s="230">
        <f>SUMIF(NOV!$G$121:$M$121,AR$178,NOV!$P9:$V9)+SUMIF($AZ$178:$BC$178,AR$178,$AZ486:$BC486)</f>
        <v>0</v>
      </c>
      <c r="AS486" s="230">
        <f>SUMIF(NOV!$G$121:$M$121,AS$178,NOV!$P9:$V9)+SUMIF($AZ$178:$BC$178,AS$178,$AZ486:$BC486)</f>
        <v>0</v>
      </c>
      <c r="AT486" s="230">
        <f>SUMIF(NOV!$G$121:$M$121,AT$178,NOV!$P9:$V9)+SUMIF($AZ$178:$BC$178,AT$178,$AZ486:$BC486)</f>
        <v>0</v>
      </c>
      <c r="AU486" s="230">
        <f>SUMIF(NOV!$G$121:$M$121,AU$178,NOV!$P9:$V9)+SUMIF($AZ$178:$BC$178,AU$178,$AZ486:$BC486)</f>
        <v>0</v>
      </c>
      <c r="AV486" s="230">
        <f>SUMIF(NOV!$G$121:$M$121,AV$178,NOV!$P9:$V9)+SUMIF($AZ$178:$BC$178,AV$178,$AZ486:$BC486)</f>
        <v>0</v>
      </c>
      <c r="AW486" s="230">
        <f>SUMIF(NOV!$G$121:$M$121,AW$178,NOV!$P9:$V9)+SUMIF($AZ$178:$BC$178,AW$178,$AZ486:$BC486)</f>
        <v>0</v>
      </c>
      <c r="AX486" s="231">
        <f>SUMIF(NOV!$G$121:$M$121,AX$178,NOV!$P9:$V9)+SUMIF($AZ$178:$BC$178,AX$178,$AZ486:$BC486)</f>
        <v>0</v>
      </c>
      <c r="AY486" s="232">
        <f>NOV!AF9</f>
        <v>0</v>
      </c>
      <c r="AZ486" s="228">
        <f>NOV!AG9</f>
        <v>0</v>
      </c>
      <c r="BA486" s="229">
        <f>NOV!AH9</f>
        <v>0</v>
      </c>
      <c r="BB486" s="230">
        <f>NOV!AI9</f>
        <v>0</v>
      </c>
      <c r="BC486" s="231">
        <f>NOV!AJ9</f>
        <v>0</v>
      </c>
      <c r="BD486" s="228">
        <f>SUMIF(NOV!$G$120:$M$120,"&gt;0",NOV!$X9:$AD9)</f>
        <v>0</v>
      </c>
      <c r="BE486" s="696"/>
      <c r="BF486" s="228">
        <f>SUMIF(NOV!$BA$6:$BG$6,BF$177,NOV!$BA9:$BG9)</f>
        <v>0</v>
      </c>
      <c r="BG486" s="229">
        <f>SUMIF(NOV!$BA$6:$BG$6,BG$177,NOV!$BA9:$BG9)</f>
        <v>0</v>
      </c>
      <c r="BH486" s="229">
        <f>SUMIF(NOV!$BA$6:$BG$6,BH$177,NOV!$BA9:$BG9)</f>
        <v>0</v>
      </c>
      <c r="BI486" s="229">
        <f>SUMIF(NOV!$BA$6:$BG$6,BI$177,NOV!$BA9:$BG9)</f>
        <v>0</v>
      </c>
      <c r="BJ486" s="229">
        <f>SUMIF(NOV!$BA$6:$BG$6,BJ$177,NOV!$BA9:$BG9)</f>
        <v>0</v>
      </c>
      <c r="BK486" s="229">
        <f>SUMIF(NOV!$BA$6:$BG$6,BK$177,NOV!$BA9:$BG9)</f>
        <v>0</v>
      </c>
      <c r="BL486" s="229">
        <f>SUMIF(NOV!$BA$6:$BG$6,BL$177,NOV!$BA9:$BG9)</f>
        <v>0</v>
      </c>
      <c r="BM486" s="229">
        <f>SUMIF(NOV!$BA$6:$BG$6,BM$177,NOV!$BA9:$BG9)</f>
        <v>0</v>
      </c>
      <c r="BN486" s="229">
        <f>SUMIF(NOV!$BA$6:$BG$6,BN$177,NOV!$BA9:$BG9)</f>
        <v>0</v>
      </c>
      <c r="BO486" s="231">
        <f>SUMIF(NOV!$BA$6:$BG$6,BO$177,NOV!$BA9:$BG9)</f>
        <v>0</v>
      </c>
      <c r="BP486" s="231">
        <f>SUMIF(NOV!$BA$6:$BG$6,BP$177,NOV!$BA9:$BG9)</f>
        <v>0</v>
      </c>
      <c r="BQ486" s="252"/>
      <c r="BR486" s="228">
        <f>SUMIF(NOV!$BA$5:$BG$5,BR$177,NOV!$BA9:$BG9)</f>
        <v>0</v>
      </c>
      <c r="BS486" s="229">
        <f>SUMIF(NOV!$BA$5:$BG$5,BS$177,NOV!$BA9:$BG9)</f>
        <v>0</v>
      </c>
      <c r="BT486" s="229">
        <f>SUMIF(NOV!$BA$5:$BG$5,BT$177,NOV!$BA9:$BG9)</f>
        <v>0</v>
      </c>
      <c r="BU486" s="229">
        <f>SUMIF(NOV!$BA$5:$BG$5,BU$177,NOV!$BA9:$BG9)</f>
        <v>0</v>
      </c>
      <c r="BV486" s="229">
        <f>SUMIF(NOV!$BA$5:$BG$5,BV$177,NOV!$BA9:$BG9)</f>
        <v>0</v>
      </c>
      <c r="BW486" s="229">
        <f>SUMIF(NOV!$BA$5:$BG$5,BW$177,NOV!$BA9:$BG9)</f>
        <v>0</v>
      </c>
      <c r="BX486" s="230">
        <f>SUMIF(NOV!$BA$5:$BG$5,BX$177,NOV!$BA9:$BG9)</f>
        <v>0</v>
      </c>
      <c r="BY486" s="998">
        <f>SUMIF(NOV!$BA$5:$BG$5,BY$177,NOV!$BA9:$BG9)</f>
        <v>0</v>
      </c>
      <c r="CB486" s="252"/>
      <c r="CC486" s="61" t="e">
        <f t="shared" si="106"/>
        <v>#N/A</v>
      </c>
      <c r="CD486" s="61">
        <f t="shared" si="107"/>
        <v>0</v>
      </c>
      <c r="CE486" s="105" t="str">
        <f t="shared" si="100"/>
        <v/>
      </c>
      <c r="CF486" s="61" t="e">
        <f t="shared" si="108"/>
        <v>#N/A</v>
      </c>
      <c r="CG486" s="61" t="e">
        <f t="shared" si="109"/>
        <v>#N/A</v>
      </c>
      <c r="CH486" s="521">
        <f>NOV!AL9-CW486+CR486</f>
        <v>0</v>
      </c>
      <c r="CI486" s="228">
        <f>SUMIF(NOV!$G$121:$M$121,CI$178,NOV!$AM9:$AS9)+SUMIF($CS$178:$CV$178,CI$178,$CS486:$CV486)</f>
        <v>0</v>
      </c>
      <c r="CJ486" s="229">
        <f>SUMIF(NOV!$G$121:$M$121,CJ$178,NOV!$AM9:$AS9)+SUMIF($CS$178:$CV$178,CJ$178,$CS486:$CV486)</f>
        <v>0</v>
      </c>
      <c r="CK486" s="230">
        <f>SUMIF(NOV!$G$121:$M$121,CK$178,NOV!$AM9:$AS9)+SUMIF($CS$178:$CV$178,CK$178,$CS486:$CV486)</f>
        <v>0</v>
      </c>
      <c r="CL486" s="230">
        <f>SUMIF(NOV!$G$121:$M$121,CL$178,NOV!$AM9:$AS9)+SUMIF($CS$178:$CV$178,CL$178,$CS486:$CV486)</f>
        <v>0</v>
      </c>
      <c r="CM486" s="230">
        <f>SUMIF(NOV!$G$121:$M$121,CM$178,NOV!$AM9:$AS9)+SUMIF($CS$178:$CV$178,CM$178,$CS486:$CV486)</f>
        <v>0</v>
      </c>
      <c r="CN486" s="230">
        <f>SUMIF(NOV!$G$121:$M$121,CN$178,NOV!$AM9:$AS9)+SUMIF($CS$178:$CV$178,CN$178,$CS486:$CV486)</f>
        <v>0</v>
      </c>
      <c r="CO486" s="230">
        <f>SUMIF(NOV!$G$121:$M$121,CO$178,NOV!$AM9:$AS9)+SUMIF($CS$178:$CV$178,CO$178,$CS486:$CV486)</f>
        <v>0</v>
      </c>
      <c r="CP486" s="230">
        <f>SUMIF(NOV!$G$121:$M$121,CP$178,NOV!$AM9:$AS9)+SUMIF($CS$178:$CV$178,CP$178,$CS486:$CV486)</f>
        <v>0</v>
      </c>
      <c r="CQ486" s="231">
        <f>SUMIF(NOV!$G$121:$M$121,CQ$178,NOV!$AM9:$AS9)+SUMIF($CS$178:$CV$178,CQ$178,$CS486:$CV486)</f>
        <v>0</v>
      </c>
      <c r="CR486" s="521">
        <f>NOV!AU9</f>
        <v>0</v>
      </c>
      <c r="CS486" s="228">
        <f>NOV!AV9</f>
        <v>0</v>
      </c>
      <c r="CT486" s="229">
        <f>NOV!AW9</f>
        <v>0</v>
      </c>
      <c r="CU486" s="230">
        <f>NOV!AX9</f>
        <v>0</v>
      </c>
      <c r="CV486" s="231">
        <f>NOV!AY9</f>
        <v>0</v>
      </c>
      <c r="CW486" s="521">
        <f>SUM(NOV!AU9:AY9)</f>
        <v>0</v>
      </c>
      <c r="CX486" s="521">
        <f>NOV!AK9</f>
        <v>0</v>
      </c>
      <c r="CY486" s="2"/>
    </row>
    <row r="487" spans="1:103" ht="14.25" hidden="1" customHeight="1" x14ac:dyDescent="0.2">
      <c r="A487" s="2"/>
      <c r="B487" s="105">
        <f t="shared" si="110"/>
        <v>45599</v>
      </c>
      <c r="C487" s="146">
        <f>IF(AND(E487&gt;(N$561-1),E487&lt;(R$561+1)),W$551,IF(ISERROR(HLOOKUP(E487,$N$554:$U$554,1,FALSE)),HLOOKUP(WEEKDAY(E487,2),IMPOSTAZIONI!$C$52:$P$57,6,FALSE),$W$550))</f>
        <v>0</v>
      </c>
      <c r="D487" s="71" t="str">
        <f t="shared" si="111"/>
        <v/>
      </c>
      <c r="E487" s="2258">
        <f t="shared" si="116"/>
        <v>45599</v>
      </c>
      <c r="F487" s="2259"/>
      <c r="G487" s="2228" t="str">
        <f>NOV!E10</f>
        <v xml:space="preserve">disattivato  </v>
      </c>
      <c r="H487" s="2229"/>
      <c r="I487" s="2230"/>
      <c r="J487" s="262" t="str">
        <f t="shared" si="101"/>
        <v/>
      </c>
      <c r="K487" s="263"/>
      <c r="L487" s="2220">
        <f t="shared" si="117"/>
        <v>44</v>
      </c>
      <c r="M487" s="2221"/>
      <c r="N487" s="261"/>
      <c r="O487" s="261"/>
      <c r="P487" s="261"/>
      <c r="Q487" s="2219">
        <f t="shared" si="112"/>
        <v>45599</v>
      </c>
      <c r="R487" s="2219"/>
      <c r="S487" s="261"/>
      <c r="T487" s="1173">
        <f t="shared" si="102"/>
        <v>1</v>
      </c>
      <c r="U487" s="261"/>
      <c r="V487" s="261"/>
      <c r="W487" s="261"/>
      <c r="X487" s="261"/>
      <c r="Y487" s="261"/>
      <c r="Z487" s="261"/>
      <c r="AA487" s="261"/>
      <c r="AB487" s="261"/>
      <c r="AC487" s="261"/>
      <c r="AD487" s="261"/>
      <c r="AE487" s="261"/>
      <c r="AF487" s="261"/>
      <c r="AG487" s="1173">
        <f t="shared" si="113"/>
        <v>0</v>
      </c>
      <c r="AH487" s="61" t="str">
        <f t="shared" si="114"/>
        <v/>
      </c>
      <c r="AI487" s="89" t="e">
        <f t="shared" si="115"/>
        <v>#N/A</v>
      </c>
      <c r="AJ487" s="2"/>
      <c r="AK487" s="61">
        <f>IF(G487=G$547,0,IF(OR(G487&lt;&gt;0,CH487&lt;&gt;0,C487="L"),COUNTIF(AK$180:AK486,"&gt;0")+1,0))</f>
        <v>0</v>
      </c>
      <c r="AL487" s="61" t="str">
        <f t="shared" si="103"/>
        <v/>
      </c>
      <c r="AM487" s="61" t="e">
        <f t="shared" si="104"/>
        <v>#N/A</v>
      </c>
      <c r="AN487" s="89" t="e">
        <f t="shared" si="105"/>
        <v>#N/A</v>
      </c>
      <c r="AO487" s="230">
        <f>SUM(NOV!X10:AD10)-BD487+AY487</f>
        <v>0</v>
      </c>
      <c r="AP487" s="228">
        <f>SUMIF(NOV!$G$121:$M$121,AP$178,NOV!$P10:$V10)+SUMIF($AZ$178:$BC$178,AP$178,$AZ487:$BC487)</f>
        <v>0</v>
      </c>
      <c r="AQ487" s="229">
        <f>SUMIF(NOV!$G$121:$M$121,AQ$178,NOV!$P10:$V10)+SUMIF($AZ$178:$BC$178,AQ$178,$AZ487:$BC487)</f>
        <v>0</v>
      </c>
      <c r="AR487" s="230">
        <f>SUMIF(NOV!$G$121:$M$121,AR$178,NOV!$P10:$V10)+SUMIF($AZ$178:$BC$178,AR$178,$AZ487:$BC487)</f>
        <v>0</v>
      </c>
      <c r="AS487" s="230">
        <f>SUMIF(NOV!$G$121:$M$121,AS$178,NOV!$P10:$V10)+SUMIF($AZ$178:$BC$178,AS$178,$AZ487:$BC487)</f>
        <v>0</v>
      </c>
      <c r="AT487" s="230">
        <f>SUMIF(NOV!$G$121:$M$121,AT$178,NOV!$P10:$V10)+SUMIF($AZ$178:$BC$178,AT$178,$AZ487:$BC487)</f>
        <v>0</v>
      </c>
      <c r="AU487" s="230">
        <f>SUMIF(NOV!$G$121:$M$121,AU$178,NOV!$P10:$V10)+SUMIF($AZ$178:$BC$178,AU$178,$AZ487:$BC487)</f>
        <v>0</v>
      </c>
      <c r="AV487" s="230">
        <f>SUMIF(NOV!$G$121:$M$121,AV$178,NOV!$P10:$V10)+SUMIF($AZ$178:$BC$178,AV$178,$AZ487:$BC487)</f>
        <v>0</v>
      </c>
      <c r="AW487" s="230">
        <f>SUMIF(NOV!$G$121:$M$121,AW$178,NOV!$P10:$V10)+SUMIF($AZ$178:$BC$178,AW$178,$AZ487:$BC487)</f>
        <v>0</v>
      </c>
      <c r="AX487" s="231">
        <f>SUMIF(NOV!$G$121:$M$121,AX$178,NOV!$P10:$V10)+SUMIF($AZ$178:$BC$178,AX$178,$AZ487:$BC487)</f>
        <v>0</v>
      </c>
      <c r="AY487" s="232">
        <f>NOV!AF10</f>
        <v>0</v>
      </c>
      <c r="AZ487" s="228">
        <f>NOV!AG10</f>
        <v>0</v>
      </c>
      <c r="BA487" s="229">
        <f>NOV!AH10</f>
        <v>0</v>
      </c>
      <c r="BB487" s="230">
        <f>NOV!AI10</f>
        <v>0</v>
      </c>
      <c r="BC487" s="231">
        <f>NOV!AJ10</f>
        <v>0</v>
      </c>
      <c r="BD487" s="228">
        <f>SUMIF(NOV!$G$120:$M$120,"&gt;0",NOV!$X10:$AD10)</f>
        <v>0</v>
      </c>
      <c r="BE487" s="696"/>
      <c r="BF487" s="228">
        <f>SUMIF(NOV!$BA$6:$BG$6,BF$177,NOV!$BA10:$BG10)</f>
        <v>0</v>
      </c>
      <c r="BG487" s="229">
        <f>SUMIF(NOV!$BA$6:$BG$6,BG$177,NOV!$BA10:$BG10)</f>
        <v>0</v>
      </c>
      <c r="BH487" s="229">
        <f>SUMIF(NOV!$BA$6:$BG$6,BH$177,NOV!$BA10:$BG10)</f>
        <v>0</v>
      </c>
      <c r="BI487" s="229">
        <f>SUMIF(NOV!$BA$6:$BG$6,BI$177,NOV!$BA10:$BG10)</f>
        <v>0</v>
      </c>
      <c r="BJ487" s="229">
        <f>SUMIF(NOV!$BA$6:$BG$6,BJ$177,NOV!$BA10:$BG10)</f>
        <v>0</v>
      </c>
      <c r="BK487" s="229">
        <f>SUMIF(NOV!$BA$6:$BG$6,BK$177,NOV!$BA10:$BG10)</f>
        <v>0</v>
      </c>
      <c r="BL487" s="229">
        <f>SUMIF(NOV!$BA$6:$BG$6,BL$177,NOV!$BA10:$BG10)</f>
        <v>0</v>
      </c>
      <c r="BM487" s="229">
        <f>SUMIF(NOV!$BA$6:$BG$6,BM$177,NOV!$BA10:$BG10)</f>
        <v>0</v>
      </c>
      <c r="BN487" s="229">
        <f>SUMIF(NOV!$BA$6:$BG$6,BN$177,NOV!$BA10:$BG10)</f>
        <v>0</v>
      </c>
      <c r="BO487" s="231">
        <f>SUMIF(NOV!$BA$6:$BG$6,BO$177,NOV!$BA10:$BG10)</f>
        <v>0</v>
      </c>
      <c r="BP487" s="231">
        <f>SUMIF(NOV!$BA$6:$BG$6,BP$177,NOV!$BA10:$BG10)</f>
        <v>0</v>
      </c>
      <c r="BQ487" s="252"/>
      <c r="BR487" s="228">
        <f>SUMIF(NOV!$BA$5:$BG$5,BR$177,NOV!$BA10:$BG10)</f>
        <v>0</v>
      </c>
      <c r="BS487" s="229">
        <f>SUMIF(NOV!$BA$5:$BG$5,BS$177,NOV!$BA10:$BG10)</f>
        <v>0</v>
      </c>
      <c r="BT487" s="229">
        <f>SUMIF(NOV!$BA$5:$BG$5,BT$177,NOV!$BA10:$BG10)</f>
        <v>0</v>
      </c>
      <c r="BU487" s="229">
        <f>SUMIF(NOV!$BA$5:$BG$5,BU$177,NOV!$BA10:$BG10)</f>
        <v>0</v>
      </c>
      <c r="BV487" s="229">
        <f>SUMIF(NOV!$BA$5:$BG$5,BV$177,NOV!$BA10:$BG10)</f>
        <v>0</v>
      </c>
      <c r="BW487" s="229">
        <f>SUMIF(NOV!$BA$5:$BG$5,BW$177,NOV!$BA10:$BG10)</f>
        <v>0</v>
      </c>
      <c r="BX487" s="230">
        <f>SUMIF(NOV!$BA$5:$BG$5,BX$177,NOV!$BA10:$BG10)</f>
        <v>0</v>
      </c>
      <c r="BY487" s="998">
        <f>SUMIF(NOV!$BA$5:$BG$5,BY$177,NOV!$BA10:$BG10)</f>
        <v>0</v>
      </c>
      <c r="CB487" s="252"/>
      <c r="CC487" s="61" t="e">
        <f t="shared" si="106"/>
        <v>#N/A</v>
      </c>
      <c r="CD487" s="61">
        <f t="shared" si="107"/>
        <v>0</v>
      </c>
      <c r="CE487" s="105" t="str">
        <f t="shared" si="100"/>
        <v/>
      </c>
      <c r="CF487" s="61" t="e">
        <f t="shared" si="108"/>
        <v>#N/A</v>
      </c>
      <c r="CG487" s="61" t="e">
        <f t="shared" si="109"/>
        <v>#N/A</v>
      </c>
      <c r="CH487" s="521">
        <f>NOV!AL10-CW487+CR487</f>
        <v>0</v>
      </c>
      <c r="CI487" s="228">
        <f>SUMIF(NOV!$G$121:$M$121,CI$178,NOV!$AM10:$AS10)+SUMIF($CS$178:$CV$178,CI$178,$CS487:$CV487)</f>
        <v>0</v>
      </c>
      <c r="CJ487" s="229">
        <f>SUMIF(NOV!$G$121:$M$121,CJ$178,NOV!$AM10:$AS10)+SUMIF($CS$178:$CV$178,CJ$178,$CS487:$CV487)</f>
        <v>0</v>
      </c>
      <c r="CK487" s="230">
        <f>SUMIF(NOV!$G$121:$M$121,CK$178,NOV!$AM10:$AS10)+SUMIF($CS$178:$CV$178,CK$178,$CS487:$CV487)</f>
        <v>0</v>
      </c>
      <c r="CL487" s="230">
        <f>SUMIF(NOV!$G$121:$M$121,CL$178,NOV!$AM10:$AS10)+SUMIF($CS$178:$CV$178,CL$178,$CS487:$CV487)</f>
        <v>0</v>
      </c>
      <c r="CM487" s="230">
        <f>SUMIF(NOV!$G$121:$M$121,CM$178,NOV!$AM10:$AS10)+SUMIF($CS$178:$CV$178,CM$178,$CS487:$CV487)</f>
        <v>0</v>
      </c>
      <c r="CN487" s="230">
        <f>SUMIF(NOV!$G$121:$M$121,CN$178,NOV!$AM10:$AS10)+SUMIF($CS$178:$CV$178,CN$178,$CS487:$CV487)</f>
        <v>0</v>
      </c>
      <c r="CO487" s="230">
        <f>SUMIF(NOV!$G$121:$M$121,CO$178,NOV!$AM10:$AS10)+SUMIF($CS$178:$CV$178,CO$178,$CS487:$CV487)</f>
        <v>0</v>
      </c>
      <c r="CP487" s="230">
        <f>SUMIF(NOV!$G$121:$M$121,CP$178,NOV!$AM10:$AS10)+SUMIF($CS$178:$CV$178,CP$178,$CS487:$CV487)</f>
        <v>0</v>
      </c>
      <c r="CQ487" s="231">
        <f>SUMIF(NOV!$G$121:$M$121,CQ$178,NOV!$AM10:$AS10)+SUMIF($CS$178:$CV$178,CQ$178,$CS487:$CV487)</f>
        <v>0</v>
      </c>
      <c r="CR487" s="521">
        <f>NOV!AU10</f>
        <v>0</v>
      </c>
      <c r="CS487" s="228">
        <f>NOV!AV10</f>
        <v>0</v>
      </c>
      <c r="CT487" s="229">
        <f>NOV!AW10</f>
        <v>0</v>
      </c>
      <c r="CU487" s="230">
        <f>NOV!AX10</f>
        <v>0</v>
      </c>
      <c r="CV487" s="231">
        <f>NOV!AY10</f>
        <v>0</v>
      </c>
      <c r="CW487" s="521">
        <f>SUM(NOV!AU10:AY10)</f>
        <v>0</v>
      </c>
      <c r="CX487" s="521">
        <f>NOV!AK10</f>
        <v>0</v>
      </c>
      <c r="CY487" s="2"/>
    </row>
    <row r="488" spans="1:103" ht="14.25" hidden="1" customHeight="1" x14ac:dyDescent="0.2">
      <c r="A488" s="2"/>
      <c r="B488" s="105">
        <f t="shared" si="110"/>
        <v>45600</v>
      </c>
      <c r="C488" s="146">
        <f>IF(AND(E488&gt;(N$561-1),E488&lt;(R$561+1)),W$551,IF(ISERROR(HLOOKUP(E488,$N$554:$U$554,1,FALSE)),HLOOKUP(WEEKDAY(E488,2),IMPOSTAZIONI!$C$52:$P$57,6,FALSE),$W$550))</f>
        <v>0</v>
      </c>
      <c r="D488" s="71" t="str">
        <f t="shared" si="111"/>
        <v/>
      </c>
      <c r="E488" s="2258">
        <f t="shared" si="116"/>
        <v>45600</v>
      </c>
      <c r="F488" s="2259"/>
      <c r="G488" s="2228" t="str">
        <f>NOV!E11</f>
        <v xml:space="preserve">disattivato  </v>
      </c>
      <c r="H488" s="2229"/>
      <c r="I488" s="2230"/>
      <c r="J488" s="262" t="str">
        <f t="shared" si="101"/>
        <v/>
      </c>
      <c r="K488" s="263"/>
      <c r="L488" s="2222">
        <f t="shared" si="117"/>
        <v>45</v>
      </c>
      <c r="M488" s="2223"/>
      <c r="N488" s="261"/>
      <c r="O488" s="261"/>
      <c r="P488" s="261"/>
      <c r="Q488" s="2219">
        <f t="shared" si="112"/>
        <v>45600</v>
      </c>
      <c r="R488" s="2219"/>
      <c r="S488" s="261"/>
      <c r="T488" s="1173">
        <f t="shared" si="102"/>
        <v>1</v>
      </c>
      <c r="U488" s="261"/>
      <c r="V488" s="261"/>
      <c r="W488" s="261"/>
      <c r="X488" s="261"/>
      <c r="Y488" s="261"/>
      <c r="Z488" s="261"/>
      <c r="AA488" s="261"/>
      <c r="AB488" s="261"/>
      <c r="AC488" s="261"/>
      <c r="AD488" s="261"/>
      <c r="AE488" s="261"/>
      <c r="AF488" s="261"/>
      <c r="AG488" s="1173">
        <f t="shared" si="113"/>
        <v>0</v>
      </c>
      <c r="AH488" s="61" t="str">
        <f t="shared" si="114"/>
        <v/>
      </c>
      <c r="AI488" s="89" t="e">
        <f t="shared" si="115"/>
        <v>#N/A</v>
      </c>
      <c r="AJ488" s="2"/>
      <c r="AK488" s="61">
        <f>IF(G488=G$547,0,IF(OR(G488&lt;&gt;0,CH488&lt;&gt;0,C488="L"),COUNTIF(AK$180:AK487,"&gt;0")+1,0))</f>
        <v>0</v>
      </c>
      <c r="AL488" s="61" t="str">
        <f t="shared" si="103"/>
        <v/>
      </c>
      <c r="AM488" s="61" t="e">
        <f t="shared" si="104"/>
        <v>#N/A</v>
      </c>
      <c r="AN488" s="89" t="e">
        <f t="shared" si="105"/>
        <v>#N/A</v>
      </c>
      <c r="AO488" s="230">
        <f>SUM(NOV!X11:AD11)-BD488+AY488</f>
        <v>0</v>
      </c>
      <c r="AP488" s="228">
        <f>SUMIF(NOV!$G$121:$M$121,AP$178,NOV!$P11:$V11)+SUMIF($AZ$178:$BC$178,AP$178,$AZ488:$BC488)</f>
        <v>0</v>
      </c>
      <c r="AQ488" s="229">
        <f>SUMIF(NOV!$G$121:$M$121,AQ$178,NOV!$P11:$V11)+SUMIF($AZ$178:$BC$178,AQ$178,$AZ488:$BC488)</f>
        <v>0</v>
      </c>
      <c r="AR488" s="230">
        <f>SUMIF(NOV!$G$121:$M$121,AR$178,NOV!$P11:$V11)+SUMIF($AZ$178:$BC$178,AR$178,$AZ488:$BC488)</f>
        <v>0</v>
      </c>
      <c r="AS488" s="230">
        <f>SUMIF(NOV!$G$121:$M$121,AS$178,NOV!$P11:$V11)+SUMIF($AZ$178:$BC$178,AS$178,$AZ488:$BC488)</f>
        <v>0</v>
      </c>
      <c r="AT488" s="230">
        <f>SUMIF(NOV!$G$121:$M$121,AT$178,NOV!$P11:$V11)+SUMIF($AZ$178:$BC$178,AT$178,$AZ488:$BC488)</f>
        <v>0</v>
      </c>
      <c r="AU488" s="230">
        <f>SUMIF(NOV!$G$121:$M$121,AU$178,NOV!$P11:$V11)+SUMIF($AZ$178:$BC$178,AU$178,$AZ488:$BC488)</f>
        <v>0</v>
      </c>
      <c r="AV488" s="230">
        <f>SUMIF(NOV!$G$121:$M$121,AV$178,NOV!$P11:$V11)+SUMIF($AZ$178:$BC$178,AV$178,$AZ488:$BC488)</f>
        <v>0</v>
      </c>
      <c r="AW488" s="230">
        <f>SUMIF(NOV!$G$121:$M$121,AW$178,NOV!$P11:$V11)+SUMIF($AZ$178:$BC$178,AW$178,$AZ488:$BC488)</f>
        <v>0</v>
      </c>
      <c r="AX488" s="231">
        <f>SUMIF(NOV!$G$121:$M$121,AX$178,NOV!$P11:$V11)+SUMIF($AZ$178:$BC$178,AX$178,$AZ488:$BC488)</f>
        <v>0</v>
      </c>
      <c r="AY488" s="232">
        <f>NOV!AF11</f>
        <v>0</v>
      </c>
      <c r="AZ488" s="228">
        <f>NOV!AG11</f>
        <v>0</v>
      </c>
      <c r="BA488" s="229">
        <f>NOV!AH11</f>
        <v>0</v>
      </c>
      <c r="BB488" s="230">
        <f>NOV!AI11</f>
        <v>0</v>
      </c>
      <c r="BC488" s="231">
        <f>NOV!AJ11</f>
        <v>0</v>
      </c>
      <c r="BD488" s="228">
        <f>SUMIF(NOV!$G$120:$M$120,"&gt;0",NOV!$X11:$AD11)</f>
        <v>0</v>
      </c>
      <c r="BE488" s="696"/>
      <c r="BF488" s="228">
        <f>SUMIF(NOV!$BA$6:$BG$6,BF$177,NOV!$BA11:$BG11)</f>
        <v>0</v>
      </c>
      <c r="BG488" s="229">
        <f>SUMIF(NOV!$BA$6:$BG$6,BG$177,NOV!$BA11:$BG11)</f>
        <v>0</v>
      </c>
      <c r="BH488" s="229">
        <f>SUMIF(NOV!$BA$6:$BG$6,BH$177,NOV!$BA11:$BG11)</f>
        <v>0</v>
      </c>
      <c r="BI488" s="229">
        <f>SUMIF(NOV!$BA$6:$BG$6,BI$177,NOV!$BA11:$BG11)</f>
        <v>0</v>
      </c>
      <c r="BJ488" s="229">
        <f>SUMIF(NOV!$BA$6:$BG$6,BJ$177,NOV!$BA11:$BG11)</f>
        <v>0</v>
      </c>
      <c r="BK488" s="229">
        <f>SUMIF(NOV!$BA$6:$BG$6,BK$177,NOV!$BA11:$BG11)</f>
        <v>0</v>
      </c>
      <c r="BL488" s="229">
        <f>SUMIF(NOV!$BA$6:$BG$6,BL$177,NOV!$BA11:$BG11)</f>
        <v>0</v>
      </c>
      <c r="BM488" s="229">
        <f>SUMIF(NOV!$BA$6:$BG$6,BM$177,NOV!$BA11:$BG11)</f>
        <v>0</v>
      </c>
      <c r="BN488" s="229">
        <f>SUMIF(NOV!$BA$6:$BG$6,BN$177,NOV!$BA11:$BG11)</f>
        <v>0</v>
      </c>
      <c r="BO488" s="231">
        <f>SUMIF(NOV!$BA$6:$BG$6,BO$177,NOV!$BA11:$BG11)</f>
        <v>0</v>
      </c>
      <c r="BP488" s="231">
        <f>SUMIF(NOV!$BA$6:$BG$6,BP$177,NOV!$BA11:$BG11)</f>
        <v>0</v>
      </c>
      <c r="BQ488" s="252"/>
      <c r="BR488" s="228">
        <f>SUMIF(NOV!$BA$5:$BG$5,BR$177,NOV!$BA11:$BG11)</f>
        <v>0</v>
      </c>
      <c r="BS488" s="229">
        <f>SUMIF(NOV!$BA$5:$BG$5,BS$177,NOV!$BA11:$BG11)</f>
        <v>0</v>
      </c>
      <c r="BT488" s="229">
        <f>SUMIF(NOV!$BA$5:$BG$5,BT$177,NOV!$BA11:$BG11)</f>
        <v>0</v>
      </c>
      <c r="BU488" s="229">
        <f>SUMIF(NOV!$BA$5:$BG$5,BU$177,NOV!$BA11:$BG11)</f>
        <v>0</v>
      </c>
      <c r="BV488" s="229">
        <f>SUMIF(NOV!$BA$5:$BG$5,BV$177,NOV!$BA11:$BG11)</f>
        <v>0</v>
      </c>
      <c r="BW488" s="229">
        <f>SUMIF(NOV!$BA$5:$BG$5,BW$177,NOV!$BA11:$BG11)</f>
        <v>0</v>
      </c>
      <c r="BX488" s="230">
        <f>SUMIF(NOV!$BA$5:$BG$5,BX$177,NOV!$BA11:$BG11)</f>
        <v>0</v>
      </c>
      <c r="BY488" s="998">
        <f>SUMIF(NOV!$BA$5:$BG$5,BY$177,NOV!$BA11:$BG11)</f>
        <v>0</v>
      </c>
      <c r="CB488" s="252"/>
      <c r="CC488" s="61" t="e">
        <f t="shared" si="106"/>
        <v>#N/A</v>
      </c>
      <c r="CD488" s="61">
        <f t="shared" si="107"/>
        <v>0</v>
      </c>
      <c r="CE488" s="105" t="str">
        <f t="shared" si="100"/>
        <v/>
      </c>
      <c r="CF488" s="61" t="e">
        <f t="shared" si="108"/>
        <v>#N/A</v>
      </c>
      <c r="CG488" s="61" t="e">
        <f t="shared" si="109"/>
        <v>#N/A</v>
      </c>
      <c r="CH488" s="521">
        <f>NOV!AL11-CW488+CR488</f>
        <v>0</v>
      </c>
      <c r="CI488" s="228">
        <f>SUMIF(NOV!$G$121:$M$121,CI$178,NOV!$AM11:$AS11)+SUMIF($CS$178:$CV$178,CI$178,$CS488:$CV488)</f>
        <v>0</v>
      </c>
      <c r="CJ488" s="229">
        <f>SUMIF(NOV!$G$121:$M$121,CJ$178,NOV!$AM11:$AS11)+SUMIF($CS$178:$CV$178,CJ$178,$CS488:$CV488)</f>
        <v>0</v>
      </c>
      <c r="CK488" s="230">
        <f>SUMIF(NOV!$G$121:$M$121,CK$178,NOV!$AM11:$AS11)+SUMIF($CS$178:$CV$178,CK$178,$CS488:$CV488)</f>
        <v>0</v>
      </c>
      <c r="CL488" s="230">
        <f>SUMIF(NOV!$G$121:$M$121,CL$178,NOV!$AM11:$AS11)+SUMIF($CS$178:$CV$178,CL$178,$CS488:$CV488)</f>
        <v>0</v>
      </c>
      <c r="CM488" s="230">
        <f>SUMIF(NOV!$G$121:$M$121,CM$178,NOV!$AM11:$AS11)+SUMIF($CS$178:$CV$178,CM$178,$CS488:$CV488)</f>
        <v>0</v>
      </c>
      <c r="CN488" s="230">
        <f>SUMIF(NOV!$G$121:$M$121,CN$178,NOV!$AM11:$AS11)+SUMIF($CS$178:$CV$178,CN$178,$CS488:$CV488)</f>
        <v>0</v>
      </c>
      <c r="CO488" s="230">
        <f>SUMIF(NOV!$G$121:$M$121,CO$178,NOV!$AM11:$AS11)+SUMIF($CS$178:$CV$178,CO$178,$CS488:$CV488)</f>
        <v>0</v>
      </c>
      <c r="CP488" s="230">
        <f>SUMIF(NOV!$G$121:$M$121,CP$178,NOV!$AM11:$AS11)+SUMIF($CS$178:$CV$178,CP$178,$CS488:$CV488)</f>
        <v>0</v>
      </c>
      <c r="CQ488" s="231">
        <f>SUMIF(NOV!$G$121:$M$121,CQ$178,NOV!$AM11:$AS11)+SUMIF($CS$178:$CV$178,CQ$178,$CS488:$CV488)</f>
        <v>0</v>
      </c>
      <c r="CR488" s="521">
        <f>NOV!AU11</f>
        <v>0</v>
      </c>
      <c r="CS488" s="228">
        <f>NOV!AV11</f>
        <v>0</v>
      </c>
      <c r="CT488" s="229">
        <f>NOV!AW11</f>
        <v>0</v>
      </c>
      <c r="CU488" s="230">
        <f>NOV!AX11</f>
        <v>0</v>
      </c>
      <c r="CV488" s="231">
        <f>NOV!AY11</f>
        <v>0</v>
      </c>
      <c r="CW488" s="521">
        <f>SUM(NOV!AU11:AY11)</f>
        <v>0</v>
      </c>
      <c r="CX488" s="521">
        <f>NOV!AK11</f>
        <v>0</v>
      </c>
      <c r="CY488" s="2"/>
    </row>
    <row r="489" spans="1:103" ht="14.25" hidden="1" customHeight="1" x14ac:dyDescent="0.2">
      <c r="A489" s="2"/>
      <c r="B489" s="105">
        <f t="shared" si="110"/>
        <v>45601</v>
      </c>
      <c r="C489" s="146">
        <f>IF(AND(E489&gt;(N$561-1),E489&lt;(R$561+1)),W$551,IF(ISERROR(HLOOKUP(E489,$N$554:$U$554,1,FALSE)),HLOOKUP(WEEKDAY(E489,2),IMPOSTAZIONI!$C$52:$P$57,6,FALSE),$W$550))</f>
        <v>0</v>
      </c>
      <c r="D489" s="71" t="str">
        <f t="shared" si="111"/>
        <v/>
      </c>
      <c r="E489" s="2258">
        <f t="shared" si="116"/>
        <v>45601</v>
      </c>
      <c r="F489" s="2259"/>
      <c r="G489" s="2228" t="str">
        <f>NOV!E12</f>
        <v xml:space="preserve">disattivato  </v>
      </c>
      <c r="H489" s="2229"/>
      <c r="I489" s="2230"/>
      <c r="J489" s="262" t="str">
        <f t="shared" si="101"/>
        <v/>
      </c>
      <c r="K489" s="263"/>
      <c r="L489" s="2217">
        <f t="shared" si="117"/>
        <v>45</v>
      </c>
      <c r="M489" s="2218"/>
      <c r="N489" s="261"/>
      <c r="O489" s="261"/>
      <c r="P489" s="261"/>
      <c r="Q489" s="2219">
        <f t="shared" si="112"/>
        <v>45601</v>
      </c>
      <c r="R489" s="2219"/>
      <c r="S489" s="261"/>
      <c r="T489" s="1173">
        <f t="shared" si="102"/>
        <v>1</v>
      </c>
      <c r="U489" s="261"/>
      <c r="V489" s="261"/>
      <c r="W489" s="261"/>
      <c r="X489" s="261"/>
      <c r="Y489" s="261"/>
      <c r="Z489" s="261"/>
      <c r="AA489" s="261"/>
      <c r="AB489" s="261"/>
      <c r="AC489" s="261"/>
      <c r="AD489" s="261"/>
      <c r="AE489" s="261"/>
      <c r="AF489" s="261"/>
      <c r="AG489" s="1173">
        <f t="shared" si="113"/>
        <v>0</v>
      </c>
      <c r="AH489" s="61" t="str">
        <f t="shared" si="114"/>
        <v/>
      </c>
      <c r="AI489" s="89" t="e">
        <f t="shared" si="115"/>
        <v>#N/A</v>
      </c>
      <c r="AJ489" s="2"/>
      <c r="AK489" s="61">
        <f>IF(G489=G$547,0,IF(OR(G489&lt;&gt;0,CH489&lt;&gt;0,C489="L"),COUNTIF(AK$180:AK488,"&gt;0")+1,0))</f>
        <v>0</v>
      </c>
      <c r="AL489" s="61" t="str">
        <f t="shared" si="103"/>
        <v/>
      </c>
      <c r="AM489" s="61" t="e">
        <f t="shared" si="104"/>
        <v>#N/A</v>
      </c>
      <c r="AN489" s="89" t="e">
        <f t="shared" si="105"/>
        <v>#N/A</v>
      </c>
      <c r="AO489" s="230">
        <f>SUM(NOV!X12:AD12)-BD489+AY489</f>
        <v>0</v>
      </c>
      <c r="AP489" s="228">
        <f>SUMIF(NOV!$G$121:$M$121,AP$178,NOV!$P12:$V12)+SUMIF($AZ$178:$BC$178,AP$178,$AZ489:$BC489)</f>
        <v>0</v>
      </c>
      <c r="AQ489" s="229">
        <f>SUMIF(NOV!$G$121:$M$121,AQ$178,NOV!$P12:$V12)+SUMIF($AZ$178:$BC$178,AQ$178,$AZ489:$BC489)</f>
        <v>0</v>
      </c>
      <c r="AR489" s="230">
        <f>SUMIF(NOV!$G$121:$M$121,AR$178,NOV!$P12:$V12)+SUMIF($AZ$178:$BC$178,AR$178,$AZ489:$BC489)</f>
        <v>0</v>
      </c>
      <c r="AS489" s="230">
        <f>SUMIF(NOV!$G$121:$M$121,AS$178,NOV!$P12:$V12)+SUMIF($AZ$178:$BC$178,AS$178,$AZ489:$BC489)</f>
        <v>0</v>
      </c>
      <c r="AT489" s="230">
        <f>SUMIF(NOV!$G$121:$M$121,AT$178,NOV!$P12:$V12)+SUMIF($AZ$178:$BC$178,AT$178,$AZ489:$BC489)</f>
        <v>0</v>
      </c>
      <c r="AU489" s="230">
        <f>SUMIF(NOV!$G$121:$M$121,AU$178,NOV!$P12:$V12)+SUMIF($AZ$178:$BC$178,AU$178,$AZ489:$BC489)</f>
        <v>0</v>
      </c>
      <c r="AV489" s="230">
        <f>SUMIF(NOV!$G$121:$M$121,AV$178,NOV!$P12:$V12)+SUMIF($AZ$178:$BC$178,AV$178,$AZ489:$BC489)</f>
        <v>0</v>
      </c>
      <c r="AW489" s="230">
        <f>SUMIF(NOV!$G$121:$M$121,AW$178,NOV!$P12:$V12)+SUMIF($AZ$178:$BC$178,AW$178,$AZ489:$BC489)</f>
        <v>0</v>
      </c>
      <c r="AX489" s="231">
        <f>SUMIF(NOV!$G$121:$M$121,AX$178,NOV!$P12:$V12)+SUMIF($AZ$178:$BC$178,AX$178,$AZ489:$BC489)</f>
        <v>0</v>
      </c>
      <c r="AY489" s="232">
        <f>NOV!AF12</f>
        <v>0</v>
      </c>
      <c r="AZ489" s="228">
        <f>NOV!AG12</f>
        <v>0</v>
      </c>
      <c r="BA489" s="229">
        <f>NOV!AH12</f>
        <v>0</v>
      </c>
      <c r="BB489" s="230">
        <f>NOV!AI12</f>
        <v>0</v>
      </c>
      <c r="BC489" s="231">
        <f>NOV!AJ12</f>
        <v>0</v>
      </c>
      <c r="BD489" s="228">
        <f>SUMIF(NOV!$G$120:$M$120,"&gt;0",NOV!$X12:$AD12)</f>
        <v>0</v>
      </c>
      <c r="BE489" s="696"/>
      <c r="BF489" s="228">
        <f>SUMIF(NOV!$BA$6:$BG$6,BF$177,NOV!$BA12:$BG12)</f>
        <v>0</v>
      </c>
      <c r="BG489" s="229">
        <f>SUMIF(NOV!$BA$6:$BG$6,BG$177,NOV!$BA12:$BG12)</f>
        <v>0</v>
      </c>
      <c r="BH489" s="229">
        <f>SUMIF(NOV!$BA$6:$BG$6,BH$177,NOV!$BA12:$BG12)</f>
        <v>0</v>
      </c>
      <c r="BI489" s="229">
        <f>SUMIF(NOV!$BA$6:$BG$6,BI$177,NOV!$BA12:$BG12)</f>
        <v>0</v>
      </c>
      <c r="BJ489" s="229">
        <f>SUMIF(NOV!$BA$6:$BG$6,BJ$177,NOV!$BA12:$BG12)</f>
        <v>0</v>
      </c>
      <c r="BK489" s="229">
        <f>SUMIF(NOV!$BA$6:$BG$6,BK$177,NOV!$BA12:$BG12)</f>
        <v>0</v>
      </c>
      <c r="BL489" s="229">
        <f>SUMIF(NOV!$BA$6:$BG$6,BL$177,NOV!$BA12:$BG12)</f>
        <v>0</v>
      </c>
      <c r="BM489" s="229">
        <f>SUMIF(NOV!$BA$6:$BG$6,BM$177,NOV!$BA12:$BG12)</f>
        <v>0</v>
      </c>
      <c r="BN489" s="229">
        <f>SUMIF(NOV!$BA$6:$BG$6,BN$177,NOV!$BA12:$BG12)</f>
        <v>0</v>
      </c>
      <c r="BO489" s="231">
        <f>SUMIF(NOV!$BA$6:$BG$6,BO$177,NOV!$BA12:$BG12)</f>
        <v>0</v>
      </c>
      <c r="BP489" s="231">
        <f>SUMIF(NOV!$BA$6:$BG$6,BP$177,NOV!$BA12:$BG12)</f>
        <v>0</v>
      </c>
      <c r="BQ489" s="252"/>
      <c r="BR489" s="228">
        <f>SUMIF(NOV!$BA$5:$BG$5,BR$177,NOV!$BA12:$BG12)</f>
        <v>0</v>
      </c>
      <c r="BS489" s="229">
        <f>SUMIF(NOV!$BA$5:$BG$5,BS$177,NOV!$BA12:$BG12)</f>
        <v>0</v>
      </c>
      <c r="BT489" s="229">
        <f>SUMIF(NOV!$BA$5:$BG$5,BT$177,NOV!$BA12:$BG12)</f>
        <v>0</v>
      </c>
      <c r="BU489" s="229">
        <f>SUMIF(NOV!$BA$5:$BG$5,BU$177,NOV!$BA12:$BG12)</f>
        <v>0</v>
      </c>
      <c r="BV489" s="229">
        <f>SUMIF(NOV!$BA$5:$BG$5,BV$177,NOV!$BA12:$BG12)</f>
        <v>0</v>
      </c>
      <c r="BW489" s="229">
        <f>SUMIF(NOV!$BA$5:$BG$5,BW$177,NOV!$BA12:$BG12)</f>
        <v>0</v>
      </c>
      <c r="BX489" s="230">
        <f>SUMIF(NOV!$BA$5:$BG$5,BX$177,NOV!$BA12:$BG12)</f>
        <v>0</v>
      </c>
      <c r="BY489" s="998">
        <f>SUMIF(NOV!$BA$5:$BG$5,BY$177,NOV!$BA12:$BG12)</f>
        <v>0</v>
      </c>
      <c r="CB489" s="252"/>
      <c r="CC489" s="61" t="e">
        <f t="shared" si="106"/>
        <v>#N/A</v>
      </c>
      <c r="CD489" s="61">
        <f t="shared" si="107"/>
        <v>0</v>
      </c>
      <c r="CE489" s="105" t="str">
        <f t="shared" si="100"/>
        <v/>
      </c>
      <c r="CF489" s="61" t="e">
        <f t="shared" si="108"/>
        <v>#N/A</v>
      </c>
      <c r="CG489" s="61" t="e">
        <f t="shared" si="109"/>
        <v>#N/A</v>
      </c>
      <c r="CH489" s="521">
        <f>NOV!AL12-CW489+CR489</f>
        <v>0</v>
      </c>
      <c r="CI489" s="228">
        <f>SUMIF(NOV!$G$121:$M$121,CI$178,NOV!$AM12:$AS12)+SUMIF($CS$178:$CV$178,CI$178,$CS489:$CV489)</f>
        <v>0</v>
      </c>
      <c r="CJ489" s="229">
        <f>SUMIF(NOV!$G$121:$M$121,CJ$178,NOV!$AM12:$AS12)+SUMIF($CS$178:$CV$178,CJ$178,$CS489:$CV489)</f>
        <v>0</v>
      </c>
      <c r="CK489" s="230">
        <f>SUMIF(NOV!$G$121:$M$121,CK$178,NOV!$AM12:$AS12)+SUMIF($CS$178:$CV$178,CK$178,$CS489:$CV489)</f>
        <v>0</v>
      </c>
      <c r="CL489" s="230">
        <f>SUMIF(NOV!$G$121:$M$121,CL$178,NOV!$AM12:$AS12)+SUMIF($CS$178:$CV$178,CL$178,$CS489:$CV489)</f>
        <v>0</v>
      </c>
      <c r="CM489" s="230">
        <f>SUMIF(NOV!$G$121:$M$121,CM$178,NOV!$AM12:$AS12)+SUMIF($CS$178:$CV$178,CM$178,$CS489:$CV489)</f>
        <v>0</v>
      </c>
      <c r="CN489" s="230">
        <f>SUMIF(NOV!$G$121:$M$121,CN$178,NOV!$AM12:$AS12)+SUMIF($CS$178:$CV$178,CN$178,$CS489:$CV489)</f>
        <v>0</v>
      </c>
      <c r="CO489" s="230">
        <f>SUMIF(NOV!$G$121:$M$121,CO$178,NOV!$AM12:$AS12)+SUMIF($CS$178:$CV$178,CO$178,$CS489:$CV489)</f>
        <v>0</v>
      </c>
      <c r="CP489" s="230">
        <f>SUMIF(NOV!$G$121:$M$121,CP$178,NOV!$AM12:$AS12)+SUMIF($CS$178:$CV$178,CP$178,$CS489:$CV489)</f>
        <v>0</v>
      </c>
      <c r="CQ489" s="231">
        <f>SUMIF(NOV!$G$121:$M$121,CQ$178,NOV!$AM12:$AS12)+SUMIF($CS$178:$CV$178,CQ$178,$CS489:$CV489)</f>
        <v>0</v>
      </c>
      <c r="CR489" s="521">
        <f>NOV!AU12</f>
        <v>0</v>
      </c>
      <c r="CS489" s="228">
        <f>NOV!AV12</f>
        <v>0</v>
      </c>
      <c r="CT489" s="229">
        <f>NOV!AW12</f>
        <v>0</v>
      </c>
      <c r="CU489" s="230">
        <f>NOV!AX12</f>
        <v>0</v>
      </c>
      <c r="CV489" s="231">
        <f>NOV!AY12</f>
        <v>0</v>
      </c>
      <c r="CW489" s="521">
        <f>SUM(NOV!AU12:AY12)</f>
        <v>0</v>
      </c>
      <c r="CX489" s="521">
        <f>NOV!AK12</f>
        <v>0</v>
      </c>
      <c r="CY489" s="2"/>
    </row>
    <row r="490" spans="1:103" ht="14.25" hidden="1" customHeight="1" x14ac:dyDescent="0.2">
      <c r="A490" s="2"/>
      <c r="B490" s="105">
        <f t="shared" si="110"/>
        <v>45602</v>
      </c>
      <c r="C490" s="146">
        <f>IF(AND(E490&gt;(N$561-1),E490&lt;(R$561+1)),W$551,IF(ISERROR(HLOOKUP(E490,$N$554:$U$554,1,FALSE)),HLOOKUP(WEEKDAY(E490,2),IMPOSTAZIONI!$C$52:$P$57,6,FALSE),$W$550))</f>
        <v>0</v>
      </c>
      <c r="D490" s="71" t="str">
        <f t="shared" si="111"/>
        <v/>
      </c>
      <c r="E490" s="2258">
        <f t="shared" si="116"/>
        <v>45602</v>
      </c>
      <c r="F490" s="2259"/>
      <c r="G490" s="2228" t="str">
        <f>NOV!E13</f>
        <v xml:space="preserve">disattivato  </v>
      </c>
      <c r="H490" s="2229"/>
      <c r="I490" s="2230"/>
      <c r="J490" s="262" t="str">
        <f t="shared" si="101"/>
        <v/>
      </c>
      <c r="K490" s="263"/>
      <c r="L490" s="2217">
        <f t="shared" si="117"/>
        <v>45</v>
      </c>
      <c r="M490" s="2218"/>
      <c r="N490" s="261"/>
      <c r="O490" s="261"/>
      <c r="P490" s="261"/>
      <c r="Q490" s="2219">
        <f t="shared" si="112"/>
        <v>45602</v>
      </c>
      <c r="R490" s="2219"/>
      <c r="S490" s="261"/>
      <c r="T490" s="1173">
        <f t="shared" si="102"/>
        <v>1</v>
      </c>
      <c r="U490" s="261"/>
      <c r="V490" s="261"/>
      <c r="W490" s="261"/>
      <c r="X490" s="261"/>
      <c r="Y490" s="261"/>
      <c r="Z490" s="261"/>
      <c r="AA490" s="261"/>
      <c r="AB490" s="261"/>
      <c r="AC490" s="261"/>
      <c r="AD490" s="261"/>
      <c r="AE490" s="261"/>
      <c r="AF490" s="261"/>
      <c r="AG490" s="1173">
        <f t="shared" si="113"/>
        <v>0</v>
      </c>
      <c r="AH490" s="61" t="str">
        <f t="shared" si="114"/>
        <v/>
      </c>
      <c r="AI490" s="89" t="e">
        <f t="shared" si="115"/>
        <v>#N/A</v>
      </c>
      <c r="AJ490" s="2"/>
      <c r="AK490" s="61">
        <f>IF(G490=G$547,0,IF(OR(G490&lt;&gt;0,CH490&lt;&gt;0,C490="L"),COUNTIF(AK$180:AK489,"&gt;0")+1,0))</f>
        <v>0</v>
      </c>
      <c r="AL490" s="61" t="str">
        <f t="shared" si="103"/>
        <v/>
      </c>
      <c r="AM490" s="61" t="e">
        <f t="shared" si="104"/>
        <v>#N/A</v>
      </c>
      <c r="AN490" s="89" t="e">
        <f t="shared" si="105"/>
        <v>#N/A</v>
      </c>
      <c r="AO490" s="230">
        <f>SUM(NOV!X13:AD13)-BD490+AY490</f>
        <v>0</v>
      </c>
      <c r="AP490" s="228">
        <f>SUMIF(NOV!$G$121:$M$121,AP$178,NOV!$P13:$V13)+SUMIF($AZ$178:$BC$178,AP$178,$AZ490:$BC490)</f>
        <v>0</v>
      </c>
      <c r="AQ490" s="229">
        <f>SUMIF(NOV!$G$121:$M$121,AQ$178,NOV!$P13:$V13)+SUMIF($AZ$178:$BC$178,AQ$178,$AZ490:$BC490)</f>
        <v>0</v>
      </c>
      <c r="AR490" s="230">
        <f>SUMIF(NOV!$G$121:$M$121,AR$178,NOV!$P13:$V13)+SUMIF($AZ$178:$BC$178,AR$178,$AZ490:$BC490)</f>
        <v>0</v>
      </c>
      <c r="AS490" s="230">
        <f>SUMIF(NOV!$G$121:$M$121,AS$178,NOV!$P13:$V13)+SUMIF($AZ$178:$BC$178,AS$178,$AZ490:$BC490)</f>
        <v>0</v>
      </c>
      <c r="AT490" s="230">
        <f>SUMIF(NOV!$G$121:$M$121,AT$178,NOV!$P13:$V13)+SUMIF($AZ$178:$BC$178,AT$178,$AZ490:$BC490)</f>
        <v>0</v>
      </c>
      <c r="AU490" s="230">
        <f>SUMIF(NOV!$G$121:$M$121,AU$178,NOV!$P13:$V13)+SUMIF($AZ$178:$BC$178,AU$178,$AZ490:$BC490)</f>
        <v>0</v>
      </c>
      <c r="AV490" s="230">
        <f>SUMIF(NOV!$G$121:$M$121,AV$178,NOV!$P13:$V13)+SUMIF($AZ$178:$BC$178,AV$178,$AZ490:$BC490)</f>
        <v>0</v>
      </c>
      <c r="AW490" s="230">
        <f>SUMIF(NOV!$G$121:$M$121,AW$178,NOV!$P13:$V13)+SUMIF($AZ$178:$BC$178,AW$178,$AZ490:$BC490)</f>
        <v>0</v>
      </c>
      <c r="AX490" s="231">
        <f>SUMIF(NOV!$G$121:$M$121,AX$178,NOV!$P13:$V13)+SUMIF($AZ$178:$BC$178,AX$178,$AZ490:$BC490)</f>
        <v>0</v>
      </c>
      <c r="AY490" s="232">
        <f>NOV!AF13</f>
        <v>0</v>
      </c>
      <c r="AZ490" s="228">
        <f>NOV!AG13</f>
        <v>0</v>
      </c>
      <c r="BA490" s="229">
        <f>NOV!AH13</f>
        <v>0</v>
      </c>
      <c r="BB490" s="230">
        <f>NOV!AI13</f>
        <v>0</v>
      </c>
      <c r="BC490" s="231">
        <f>NOV!AJ13</f>
        <v>0</v>
      </c>
      <c r="BD490" s="228">
        <f>SUMIF(NOV!$G$120:$M$120,"&gt;0",NOV!$X13:$AD13)</f>
        <v>0</v>
      </c>
      <c r="BE490" s="696"/>
      <c r="BF490" s="228">
        <f>SUMIF(NOV!$BA$6:$BG$6,BF$177,NOV!$BA13:$BG13)</f>
        <v>0</v>
      </c>
      <c r="BG490" s="229">
        <f>SUMIF(NOV!$BA$6:$BG$6,BG$177,NOV!$BA13:$BG13)</f>
        <v>0</v>
      </c>
      <c r="BH490" s="229">
        <f>SUMIF(NOV!$BA$6:$BG$6,BH$177,NOV!$BA13:$BG13)</f>
        <v>0</v>
      </c>
      <c r="BI490" s="229">
        <f>SUMIF(NOV!$BA$6:$BG$6,BI$177,NOV!$BA13:$BG13)</f>
        <v>0</v>
      </c>
      <c r="BJ490" s="229">
        <f>SUMIF(NOV!$BA$6:$BG$6,BJ$177,NOV!$BA13:$BG13)</f>
        <v>0</v>
      </c>
      <c r="BK490" s="229">
        <f>SUMIF(NOV!$BA$6:$BG$6,BK$177,NOV!$BA13:$BG13)</f>
        <v>0</v>
      </c>
      <c r="BL490" s="229">
        <f>SUMIF(NOV!$BA$6:$BG$6,BL$177,NOV!$BA13:$BG13)</f>
        <v>0</v>
      </c>
      <c r="BM490" s="229">
        <f>SUMIF(NOV!$BA$6:$BG$6,BM$177,NOV!$BA13:$BG13)</f>
        <v>0</v>
      </c>
      <c r="BN490" s="229">
        <f>SUMIF(NOV!$BA$6:$BG$6,BN$177,NOV!$BA13:$BG13)</f>
        <v>0</v>
      </c>
      <c r="BO490" s="231">
        <f>SUMIF(NOV!$BA$6:$BG$6,BO$177,NOV!$BA13:$BG13)</f>
        <v>0</v>
      </c>
      <c r="BP490" s="231">
        <f>SUMIF(NOV!$BA$6:$BG$6,BP$177,NOV!$BA13:$BG13)</f>
        <v>0</v>
      </c>
      <c r="BQ490" s="252"/>
      <c r="BR490" s="228">
        <f>SUMIF(NOV!$BA$5:$BG$5,BR$177,NOV!$BA13:$BG13)</f>
        <v>0</v>
      </c>
      <c r="BS490" s="229">
        <f>SUMIF(NOV!$BA$5:$BG$5,BS$177,NOV!$BA13:$BG13)</f>
        <v>0</v>
      </c>
      <c r="BT490" s="229">
        <f>SUMIF(NOV!$BA$5:$BG$5,BT$177,NOV!$BA13:$BG13)</f>
        <v>0</v>
      </c>
      <c r="BU490" s="229">
        <f>SUMIF(NOV!$BA$5:$BG$5,BU$177,NOV!$BA13:$BG13)</f>
        <v>0</v>
      </c>
      <c r="BV490" s="229">
        <f>SUMIF(NOV!$BA$5:$BG$5,BV$177,NOV!$BA13:$BG13)</f>
        <v>0</v>
      </c>
      <c r="BW490" s="229">
        <f>SUMIF(NOV!$BA$5:$BG$5,BW$177,NOV!$BA13:$BG13)</f>
        <v>0</v>
      </c>
      <c r="BX490" s="230">
        <f>SUMIF(NOV!$BA$5:$BG$5,BX$177,NOV!$BA13:$BG13)</f>
        <v>0</v>
      </c>
      <c r="BY490" s="998">
        <f>SUMIF(NOV!$BA$5:$BG$5,BY$177,NOV!$BA13:$BG13)</f>
        <v>0</v>
      </c>
      <c r="CB490" s="252"/>
      <c r="CC490" s="61" t="e">
        <f t="shared" si="106"/>
        <v>#N/A</v>
      </c>
      <c r="CD490" s="61">
        <f t="shared" si="107"/>
        <v>0</v>
      </c>
      <c r="CE490" s="105" t="str">
        <f t="shared" si="100"/>
        <v/>
      </c>
      <c r="CF490" s="61" t="e">
        <f t="shared" si="108"/>
        <v>#N/A</v>
      </c>
      <c r="CG490" s="61" t="e">
        <f t="shared" si="109"/>
        <v>#N/A</v>
      </c>
      <c r="CH490" s="521">
        <f>NOV!AL13-CW490+CR490</f>
        <v>0</v>
      </c>
      <c r="CI490" s="228">
        <f>SUMIF(NOV!$G$121:$M$121,CI$178,NOV!$AM13:$AS13)+SUMIF($CS$178:$CV$178,CI$178,$CS490:$CV490)</f>
        <v>0</v>
      </c>
      <c r="CJ490" s="229">
        <f>SUMIF(NOV!$G$121:$M$121,CJ$178,NOV!$AM13:$AS13)+SUMIF($CS$178:$CV$178,CJ$178,$CS490:$CV490)</f>
        <v>0</v>
      </c>
      <c r="CK490" s="230">
        <f>SUMIF(NOV!$G$121:$M$121,CK$178,NOV!$AM13:$AS13)+SUMIF($CS$178:$CV$178,CK$178,$CS490:$CV490)</f>
        <v>0</v>
      </c>
      <c r="CL490" s="230">
        <f>SUMIF(NOV!$G$121:$M$121,CL$178,NOV!$AM13:$AS13)+SUMIF($CS$178:$CV$178,CL$178,$CS490:$CV490)</f>
        <v>0</v>
      </c>
      <c r="CM490" s="230">
        <f>SUMIF(NOV!$G$121:$M$121,CM$178,NOV!$AM13:$AS13)+SUMIF($CS$178:$CV$178,CM$178,$CS490:$CV490)</f>
        <v>0</v>
      </c>
      <c r="CN490" s="230">
        <f>SUMIF(NOV!$G$121:$M$121,CN$178,NOV!$AM13:$AS13)+SUMIF($CS$178:$CV$178,CN$178,$CS490:$CV490)</f>
        <v>0</v>
      </c>
      <c r="CO490" s="230">
        <f>SUMIF(NOV!$G$121:$M$121,CO$178,NOV!$AM13:$AS13)+SUMIF($CS$178:$CV$178,CO$178,$CS490:$CV490)</f>
        <v>0</v>
      </c>
      <c r="CP490" s="230">
        <f>SUMIF(NOV!$G$121:$M$121,CP$178,NOV!$AM13:$AS13)+SUMIF($CS$178:$CV$178,CP$178,$CS490:$CV490)</f>
        <v>0</v>
      </c>
      <c r="CQ490" s="231">
        <f>SUMIF(NOV!$G$121:$M$121,CQ$178,NOV!$AM13:$AS13)+SUMIF($CS$178:$CV$178,CQ$178,$CS490:$CV490)</f>
        <v>0</v>
      </c>
      <c r="CR490" s="521">
        <f>NOV!AU13</f>
        <v>0</v>
      </c>
      <c r="CS490" s="228">
        <f>NOV!AV13</f>
        <v>0</v>
      </c>
      <c r="CT490" s="229">
        <f>NOV!AW13</f>
        <v>0</v>
      </c>
      <c r="CU490" s="230">
        <f>NOV!AX13</f>
        <v>0</v>
      </c>
      <c r="CV490" s="231">
        <f>NOV!AY13</f>
        <v>0</v>
      </c>
      <c r="CW490" s="521">
        <f>SUM(NOV!AU13:AY13)</f>
        <v>0</v>
      </c>
      <c r="CX490" s="521">
        <f>NOV!AK13</f>
        <v>0</v>
      </c>
      <c r="CY490" s="2"/>
    </row>
    <row r="491" spans="1:103" ht="14.25" hidden="1" customHeight="1" x14ac:dyDescent="0.2">
      <c r="A491" s="2"/>
      <c r="B491" s="105">
        <f t="shared" si="110"/>
        <v>45603</v>
      </c>
      <c r="C491" s="146">
        <f>IF(AND(E491&gt;(N$561-1),E491&lt;(R$561+1)),W$551,IF(ISERROR(HLOOKUP(E491,$N$554:$U$554,1,FALSE)),HLOOKUP(WEEKDAY(E491,2),IMPOSTAZIONI!$C$52:$P$57,6,FALSE),$W$550))</f>
        <v>0</v>
      </c>
      <c r="D491" s="71" t="str">
        <f t="shared" si="111"/>
        <v/>
      </c>
      <c r="E491" s="2258">
        <f t="shared" si="116"/>
        <v>45603</v>
      </c>
      <c r="F491" s="2259"/>
      <c r="G491" s="2228" t="str">
        <f>NOV!E14</f>
        <v xml:space="preserve">disattivato  </v>
      </c>
      <c r="H491" s="2229"/>
      <c r="I491" s="2230"/>
      <c r="J491" s="262" t="str">
        <f t="shared" si="101"/>
        <v/>
      </c>
      <c r="K491" s="263"/>
      <c r="L491" s="2217">
        <f t="shared" si="117"/>
        <v>45</v>
      </c>
      <c r="M491" s="2218"/>
      <c r="N491" s="261"/>
      <c r="O491" s="261"/>
      <c r="P491" s="261"/>
      <c r="Q491" s="2219">
        <f t="shared" si="112"/>
        <v>45603</v>
      </c>
      <c r="R491" s="2219"/>
      <c r="S491" s="261"/>
      <c r="T491" s="1173">
        <f t="shared" si="102"/>
        <v>1</v>
      </c>
      <c r="U491" s="261"/>
      <c r="V491" s="261"/>
      <c r="W491" s="261"/>
      <c r="X491" s="261"/>
      <c r="Y491" s="261"/>
      <c r="Z491" s="261"/>
      <c r="AA491" s="261"/>
      <c r="AB491" s="261"/>
      <c r="AC491" s="261"/>
      <c r="AD491" s="261"/>
      <c r="AE491" s="261"/>
      <c r="AF491" s="261"/>
      <c r="AG491" s="1173">
        <f t="shared" si="113"/>
        <v>0</v>
      </c>
      <c r="AH491" s="61" t="str">
        <f t="shared" si="114"/>
        <v/>
      </c>
      <c r="AI491" s="89" t="e">
        <f t="shared" si="115"/>
        <v>#N/A</v>
      </c>
      <c r="AJ491" s="2"/>
      <c r="AK491" s="61">
        <f>IF(G491=G$547,0,IF(OR(G491&lt;&gt;0,CH491&lt;&gt;0,C491="L"),COUNTIF(AK$180:AK490,"&gt;0")+1,0))</f>
        <v>0</v>
      </c>
      <c r="AL491" s="61" t="str">
        <f t="shared" si="103"/>
        <v/>
      </c>
      <c r="AM491" s="61" t="e">
        <f t="shared" si="104"/>
        <v>#N/A</v>
      </c>
      <c r="AN491" s="89" t="e">
        <f t="shared" si="105"/>
        <v>#N/A</v>
      </c>
      <c r="AO491" s="230">
        <f>SUM(NOV!X14:AD14)-BD491+AY491</f>
        <v>0</v>
      </c>
      <c r="AP491" s="228">
        <f>SUMIF(NOV!$G$121:$M$121,AP$178,NOV!$P14:$V14)+SUMIF($AZ$178:$BC$178,AP$178,$AZ491:$BC491)</f>
        <v>0</v>
      </c>
      <c r="AQ491" s="229">
        <f>SUMIF(NOV!$G$121:$M$121,AQ$178,NOV!$P14:$V14)+SUMIF($AZ$178:$BC$178,AQ$178,$AZ491:$BC491)</f>
        <v>0</v>
      </c>
      <c r="AR491" s="230">
        <f>SUMIF(NOV!$G$121:$M$121,AR$178,NOV!$P14:$V14)+SUMIF($AZ$178:$BC$178,AR$178,$AZ491:$BC491)</f>
        <v>0</v>
      </c>
      <c r="AS491" s="230">
        <f>SUMIF(NOV!$G$121:$M$121,AS$178,NOV!$P14:$V14)+SUMIF($AZ$178:$BC$178,AS$178,$AZ491:$BC491)</f>
        <v>0</v>
      </c>
      <c r="AT491" s="230">
        <f>SUMIF(NOV!$G$121:$M$121,AT$178,NOV!$P14:$V14)+SUMIF($AZ$178:$BC$178,AT$178,$AZ491:$BC491)</f>
        <v>0</v>
      </c>
      <c r="AU491" s="230">
        <f>SUMIF(NOV!$G$121:$M$121,AU$178,NOV!$P14:$V14)+SUMIF($AZ$178:$BC$178,AU$178,$AZ491:$BC491)</f>
        <v>0</v>
      </c>
      <c r="AV491" s="230">
        <f>SUMIF(NOV!$G$121:$M$121,AV$178,NOV!$P14:$V14)+SUMIF($AZ$178:$BC$178,AV$178,$AZ491:$BC491)</f>
        <v>0</v>
      </c>
      <c r="AW491" s="230">
        <f>SUMIF(NOV!$G$121:$M$121,AW$178,NOV!$P14:$V14)+SUMIF($AZ$178:$BC$178,AW$178,$AZ491:$BC491)</f>
        <v>0</v>
      </c>
      <c r="AX491" s="231">
        <f>SUMIF(NOV!$G$121:$M$121,AX$178,NOV!$P14:$V14)+SUMIF($AZ$178:$BC$178,AX$178,$AZ491:$BC491)</f>
        <v>0</v>
      </c>
      <c r="AY491" s="232">
        <f>NOV!AF14</f>
        <v>0</v>
      </c>
      <c r="AZ491" s="228">
        <f>NOV!AG14</f>
        <v>0</v>
      </c>
      <c r="BA491" s="229">
        <f>NOV!AH14</f>
        <v>0</v>
      </c>
      <c r="BB491" s="230">
        <f>NOV!AI14</f>
        <v>0</v>
      </c>
      <c r="BC491" s="231">
        <f>NOV!AJ14</f>
        <v>0</v>
      </c>
      <c r="BD491" s="228">
        <f>SUMIF(NOV!$G$120:$M$120,"&gt;0",NOV!$X14:$AD14)</f>
        <v>0</v>
      </c>
      <c r="BE491" s="696"/>
      <c r="BF491" s="228">
        <f>SUMIF(NOV!$BA$6:$BG$6,BF$177,NOV!$BA14:$BG14)</f>
        <v>0</v>
      </c>
      <c r="BG491" s="229">
        <f>SUMIF(NOV!$BA$6:$BG$6,BG$177,NOV!$BA14:$BG14)</f>
        <v>0</v>
      </c>
      <c r="BH491" s="229">
        <f>SUMIF(NOV!$BA$6:$BG$6,BH$177,NOV!$BA14:$BG14)</f>
        <v>0</v>
      </c>
      <c r="BI491" s="229">
        <f>SUMIF(NOV!$BA$6:$BG$6,BI$177,NOV!$BA14:$BG14)</f>
        <v>0</v>
      </c>
      <c r="BJ491" s="229">
        <f>SUMIF(NOV!$BA$6:$BG$6,BJ$177,NOV!$BA14:$BG14)</f>
        <v>0</v>
      </c>
      <c r="BK491" s="229">
        <f>SUMIF(NOV!$BA$6:$BG$6,BK$177,NOV!$BA14:$BG14)</f>
        <v>0</v>
      </c>
      <c r="BL491" s="229">
        <f>SUMIF(NOV!$BA$6:$BG$6,BL$177,NOV!$BA14:$BG14)</f>
        <v>0</v>
      </c>
      <c r="BM491" s="229">
        <f>SUMIF(NOV!$BA$6:$BG$6,BM$177,NOV!$BA14:$BG14)</f>
        <v>0</v>
      </c>
      <c r="BN491" s="229">
        <f>SUMIF(NOV!$BA$6:$BG$6,BN$177,NOV!$BA14:$BG14)</f>
        <v>0</v>
      </c>
      <c r="BO491" s="231">
        <f>SUMIF(NOV!$BA$6:$BG$6,BO$177,NOV!$BA14:$BG14)</f>
        <v>0</v>
      </c>
      <c r="BP491" s="231">
        <f>SUMIF(NOV!$BA$6:$BG$6,BP$177,NOV!$BA14:$BG14)</f>
        <v>0</v>
      </c>
      <c r="BQ491" s="252"/>
      <c r="BR491" s="228">
        <f>SUMIF(NOV!$BA$5:$BG$5,BR$177,NOV!$BA14:$BG14)</f>
        <v>0</v>
      </c>
      <c r="BS491" s="229">
        <f>SUMIF(NOV!$BA$5:$BG$5,BS$177,NOV!$BA14:$BG14)</f>
        <v>0</v>
      </c>
      <c r="BT491" s="229">
        <f>SUMIF(NOV!$BA$5:$BG$5,BT$177,NOV!$BA14:$BG14)</f>
        <v>0</v>
      </c>
      <c r="BU491" s="229">
        <f>SUMIF(NOV!$BA$5:$BG$5,BU$177,NOV!$BA14:$BG14)</f>
        <v>0</v>
      </c>
      <c r="BV491" s="229">
        <f>SUMIF(NOV!$BA$5:$BG$5,BV$177,NOV!$BA14:$BG14)</f>
        <v>0</v>
      </c>
      <c r="BW491" s="229">
        <f>SUMIF(NOV!$BA$5:$BG$5,BW$177,NOV!$BA14:$BG14)</f>
        <v>0</v>
      </c>
      <c r="BX491" s="230">
        <f>SUMIF(NOV!$BA$5:$BG$5,BX$177,NOV!$BA14:$BG14)</f>
        <v>0</v>
      </c>
      <c r="BY491" s="998">
        <f>SUMIF(NOV!$BA$5:$BG$5,BY$177,NOV!$BA14:$BG14)</f>
        <v>0</v>
      </c>
      <c r="CB491" s="252"/>
      <c r="CC491" s="61" t="e">
        <f t="shared" si="106"/>
        <v>#N/A</v>
      </c>
      <c r="CD491" s="61">
        <f t="shared" si="107"/>
        <v>0</v>
      </c>
      <c r="CE491" s="105" t="str">
        <f t="shared" si="100"/>
        <v/>
      </c>
      <c r="CF491" s="61" t="e">
        <f t="shared" si="108"/>
        <v>#N/A</v>
      </c>
      <c r="CG491" s="61" t="e">
        <f t="shared" si="109"/>
        <v>#N/A</v>
      </c>
      <c r="CH491" s="521">
        <f>NOV!AL14-CW491+CR491</f>
        <v>0</v>
      </c>
      <c r="CI491" s="228">
        <f>SUMIF(NOV!$G$121:$M$121,CI$178,NOV!$AM14:$AS14)+SUMIF($CS$178:$CV$178,CI$178,$CS491:$CV491)</f>
        <v>0</v>
      </c>
      <c r="CJ491" s="229">
        <f>SUMIF(NOV!$G$121:$M$121,CJ$178,NOV!$AM14:$AS14)+SUMIF($CS$178:$CV$178,CJ$178,$CS491:$CV491)</f>
        <v>0</v>
      </c>
      <c r="CK491" s="230">
        <f>SUMIF(NOV!$G$121:$M$121,CK$178,NOV!$AM14:$AS14)+SUMIF($CS$178:$CV$178,CK$178,$CS491:$CV491)</f>
        <v>0</v>
      </c>
      <c r="CL491" s="230">
        <f>SUMIF(NOV!$G$121:$M$121,CL$178,NOV!$AM14:$AS14)+SUMIF($CS$178:$CV$178,CL$178,$CS491:$CV491)</f>
        <v>0</v>
      </c>
      <c r="CM491" s="230">
        <f>SUMIF(NOV!$G$121:$M$121,CM$178,NOV!$AM14:$AS14)+SUMIF($CS$178:$CV$178,CM$178,$CS491:$CV491)</f>
        <v>0</v>
      </c>
      <c r="CN491" s="230">
        <f>SUMIF(NOV!$G$121:$M$121,CN$178,NOV!$AM14:$AS14)+SUMIF($CS$178:$CV$178,CN$178,$CS491:$CV491)</f>
        <v>0</v>
      </c>
      <c r="CO491" s="230">
        <f>SUMIF(NOV!$G$121:$M$121,CO$178,NOV!$AM14:$AS14)+SUMIF($CS$178:$CV$178,CO$178,$CS491:$CV491)</f>
        <v>0</v>
      </c>
      <c r="CP491" s="230">
        <f>SUMIF(NOV!$G$121:$M$121,CP$178,NOV!$AM14:$AS14)+SUMIF($CS$178:$CV$178,CP$178,$CS491:$CV491)</f>
        <v>0</v>
      </c>
      <c r="CQ491" s="231">
        <f>SUMIF(NOV!$G$121:$M$121,CQ$178,NOV!$AM14:$AS14)+SUMIF($CS$178:$CV$178,CQ$178,$CS491:$CV491)</f>
        <v>0</v>
      </c>
      <c r="CR491" s="521">
        <f>NOV!AU14</f>
        <v>0</v>
      </c>
      <c r="CS491" s="228">
        <f>NOV!AV14</f>
        <v>0</v>
      </c>
      <c r="CT491" s="229">
        <f>NOV!AW14</f>
        <v>0</v>
      </c>
      <c r="CU491" s="230">
        <f>NOV!AX14</f>
        <v>0</v>
      </c>
      <c r="CV491" s="231">
        <f>NOV!AY14</f>
        <v>0</v>
      </c>
      <c r="CW491" s="521">
        <f>SUM(NOV!AU14:AY14)</f>
        <v>0</v>
      </c>
      <c r="CX491" s="521">
        <f>NOV!AK14</f>
        <v>0</v>
      </c>
      <c r="CY491" s="2"/>
    </row>
    <row r="492" spans="1:103" ht="14.25" hidden="1" customHeight="1" x14ac:dyDescent="0.2">
      <c r="A492" s="2"/>
      <c r="B492" s="105">
        <f t="shared" si="110"/>
        <v>45604</v>
      </c>
      <c r="C492" s="146">
        <f>IF(AND(E492&gt;(N$561-1),E492&lt;(R$561+1)),W$551,IF(ISERROR(HLOOKUP(E492,$N$554:$U$554,1,FALSE)),HLOOKUP(WEEKDAY(E492,2),IMPOSTAZIONI!$C$52:$P$57,6,FALSE),$W$550))</f>
        <v>0</v>
      </c>
      <c r="D492" s="71" t="str">
        <f t="shared" si="111"/>
        <v/>
      </c>
      <c r="E492" s="2258">
        <f t="shared" si="116"/>
        <v>45604</v>
      </c>
      <c r="F492" s="2259"/>
      <c r="G492" s="2228" t="str">
        <f>NOV!E15</f>
        <v xml:space="preserve">disattivato  </v>
      </c>
      <c r="H492" s="2229"/>
      <c r="I492" s="2230"/>
      <c r="J492" s="262" t="str">
        <f t="shared" si="101"/>
        <v/>
      </c>
      <c r="K492" s="263"/>
      <c r="L492" s="2217">
        <f t="shared" si="117"/>
        <v>45</v>
      </c>
      <c r="M492" s="2218"/>
      <c r="N492" s="261"/>
      <c r="O492" s="261"/>
      <c r="P492" s="261"/>
      <c r="Q492" s="2219">
        <f t="shared" si="112"/>
        <v>45604</v>
      </c>
      <c r="R492" s="2219"/>
      <c r="S492" s="261"/>
      <c r="T492" s="1173">
        <f t="shared" si="102"/>
        <v>1</v>
      </c>
      <c r="U492" s="261"/>
      <c r="V492" s="261"/>
      <c r="W492" s="261"/>
      <c r="X492" s="261"/>
      <c r="Y492" s="261"/>
      <c r="Z492" s="261"/>
      <c r="AA492" s="261"/>
      <c r="AB492" s="261"/>
      <c r="AC492" s="261"/>
      <c r="AD492" s="261"/>
      <c r="AE492" s="261"/>
      <c r="AF492" s="261"/>
      <c r="AG492" s="1173">
        <f t="shared" si="113"/>
        <v>0</v>
      </c>
      <c r="AH492" s="61" t="str">
        <f t="shared" si="114"/>
        <v/>
      </c>
      <c r="AI492" s="89" t="e">
        <f t="shared" si="115"/>
        <v>#N/A</v>
      </c>
      <c r="AJ492" s="2"/>
      <c r="AK492" s="61">
        <f>IF(G492=G$547,0,IF(OR(G492&lt;&gt;0,CH492&lt;&gt;0,C492="L"),COUNTIF(AK$180:AK491,"&gt;0")+1,0))</f>
        <v>0</v>
      </c>
      <c r="AL492" s="61" t="str">
        <f t="shared" si="103"/>
        <v/>
      </c>
      <c r="AM492" s="61" t="e">
        <f t="shared" si="104"/>
        <v>#N/A</v>
      </c>
      <c r="AN492" s="89" t="e">
        <f t="shared" si="105"/>
        <v>#N/A</v>
      </c>
      <c r="AO492" s="230">
        <f>SUM(NOV!X15:AD15)-BD492+AY492</f>
        <v>0</v>
      </c>
      <c r="AP492" s="228">
        <f>SUMIF(NOV!$G$121:$M$121,AP$178,NOV!$P15:$V15)+SUMIF($AZ$178:$BC$178,AP$178,$AZ492:$BC492)</f>
        <v>0</v>
      </c>
      <c r="AQ492" s="229">
        <f>SUMIF(NOV!$G$121:$M$121,AQ$178,NOV!$P15:$V15)+SUMIF($AZ$178:$BC$178,AQ$178,$AZ492:$BC492)</f>
        <v>0</v>
      </c>
      <c r="AR492" s="230">
        <f>SUMIF(NOV!$G$121:$M$121,AR$178,NOV!$P15:$V15)+SUMIF($AZ$178:$BC$178,AR$178,$AZ492:$BC492)</f>
        <v>0</v>
      </c>
      <c r="AS492" s="230">
        <f>SUMIF(NOV!$G$121:$M$121,AS$178,NOV!$P15:$V15)+SUMIF($AZ$178:$BC$178,AS$178,$AZ492:$BC492)</f>
        <v>0</v>
      </c>
      <c r="AT492" s="230">
        <f>SUMIF(NOV!$G$121:$M$121,AT$178,NOV!$P15:$V15)+SUMIF($AZ$178:$BC$178,AT$178,$AZ492:$BC492)</f>
        <v>0</v>
      </c>
      <c r="AU492" s="230">
        <f>SUMIF(NOV!$G$121:$M$121,AU$178,NOV!$P15:$V15)+SUMIF($AZ$178:$BC$178,AU$178,$AZ492:$BC492)</f>
        <v>0</v>
      </c>
      <c r="AV492" s="230">
        <f>SUMIF(NOV!$G$121:$M$121,AV$178,NOV!$P15:$V15)+SUMIF($AZ$178:$BC$178,AV$178,$AZ492:$BC492)</f>
        <v>0</v>
      </c>
      <c r="AW492" s="230">
        <f>SUMIF(NOV!$G$121:$M$121,AW$178,NOV!$P15:$V15)+SUMIF($AZ$178:$BC$178,AW$178,$AZ492:$BC492)</f>
        <v>0</v>
      </c>
      <c r="AX492" s="231">
        <f>SUMIF(NOV!$G$121:$M$121,AX$178,NOV!$P15:$V15)+SUMIF($AZ$178:$BC$178,AX$178,$AZ492:$BC492)</f>
        <v>0</v>
      </c>
      <c r="AY492" s="232">
        <f>NOV!AF15</f>
        <v>0</v>
      </c>
      <c r="AZ492" s="228">
        <f>NOV!AG15</f>
        <v>0</v>
      </c>
      <c r="BA492" s="229">
        <f>NOV!AH15</f>
        <v>0</v>
      </c>
      <c r="BB492" s="230">
        <f>NOV!AI15</f>
        <v>0</v>
      </c>
      <c r="BC492" s="231">
        <f>NOV!AJ15</f>
        <v>0</v>
      </c>
      <c r="BD492" s="228">
        <f>SUMIF(NOV!$G$120:$M$120,"&gt;0",NOV!$X15:$AD15)</f>
        <v>0</v>
      </c>
      <c r="BE492" s="696"/>
      <c r="BF492" s="228">
        <f>SUMIF(NOV!$BA$6:$BG$6,BF$177,NOV!$BA15:$BG15)</f>
        <v>0</v>
      </c>
      <c r="BG492" s="229">
        <f>SUMIF(NOV!$BA$6:$BG$6,BG$177,NOV!$BA15:$BG15)</f>
        <v>0</v>
      </c>
      <c r="BH492" s="229">
        <f>SUMIF(NOV!$BA$6:$BG$6,BH$177,NOV!$BA15:$BG15)</f>
        <v>0</v>
      </c>
      <c r="BI492" s="229">
        <f>SUMIF(NOV!$BA$6:$BG$6,BI$177,NOV!$BA15:$BG15)</f>
        <v>0</v>
      </c>
      <c r="BJ492" s="229">
        <f>SUMIF(NOV!$BA$6:$BG$6,BJ$177,NOV!$BA15:$BG15)</f>
        <v>0</v>
      </c>
      <c r="BK492" s="229">
        <f>SUMIF(NOV!$BA$6:$BG$6,BK$177,NOV!$BA15:$BG15)</f>
        <v>0</v>
      </c>
      <c r="BL492" s="229">
        <f>SUMIF(NOV!$BA$6:$BG$6,BL$177,NOV!$BA15:$BG15)</f>
        <v>0</v>
      </c>
      <c r="BM492" s="229">
        <f>SUMIF(NOV!$BA$6:$BG$6,BM$177,NOV!$BA15:$BG15)</f>
        <v>0</v>
      </c>
      <c r="BN492" s="229">
        <f>SUMIF(NOV!$BA$6:$BG$6,BN$177,NOV!$BA15:$BG15)</f>
        <v>0</v>
      </c>
      <c r="BO492" s="231">
        <f>SUMIF(NOV!$BA$6:$BG$6,BO$177,NOV!$BA15:$BG15)</f>
        <v>0</v>
      </c>
      <c r="BP492" s="231">
        <f>SUMIF(NOV!$BA$6:$BG$6,BP$177,NOV!$BA15:$BG15)</f>
        <v>0</v>
      </c>
      <c r="BQ492" s="252"/>
      <c r="BR492" s="228">
        <f>SUMIF(NOV!$BA$5:$BG$5,BR$177,NOV!$BA15:$BG15)</f>
        <v>0</v>
      </c>
      <c r="BS492" s="229">
        <f>SUMIF(NOV!$BA$5:$BG$5,BS$177,NOV!$BA15:$BG15)</f>
        <v>0</v>
      </c>
      <c r="BT492" s="229">
        <f>SUMIF(NOV!$BA$5:$BG$5,BT$177,NOV!$BA15:$BG15)</f>
        <v>0</v>
      </c>
      <c r="BU492" s="229">
        <f>SUMIF(NOV!$BA$5:$BG$5,BU$177,NOV!$BA15:$BG15)</f>
        <v>0</v>
      </c>
      <c r="BV492" s="229">
        <f>SUMIF(NOV!$BA$5:$BG$5,BV$177,NOV!$BA15:$BG15)</f>
        <v>0</v>
      </c>
      <c r="BW492" s="229">
        <f>SUMIF(NOV!$BA$5:$BG$5,BW$177,NOV!$BA15:$BG15)</f>
        <v>0</v>
      </c>
      <c r="BX492" s="230">
        <f>SUMIF(NOV!$BA$5:$BG$5,BX$177,NOV!$BA15:$BG15)</f>
        <v>0</v>
      </c>
      <c r="BY492" s="998">
        <f>SUMIF(NOV!$BA$5:$BG$5,BY$177,NOV!$BA15:$BG15)</f>
        <v>0</v>
      </c>
      <c r="CB492" s="252"/>
      <c r="CC492" s="61" t="e">
        <f t="shared" si="106"/>
        <v>#N/A</v>
      </c>
      <c r="CD492" s="61">
        <f t="shared" si="107"/>
        <v>0</v>
      </c>
      <c r="CE492" s="105" t="str">
        <f t="shared" si="100"/>
        <v/>
      </c>
      <c r="CF492" s="61" t="e">
        <f t="shared" si="108"/>
        <v>#N/A</v>
      </c>
      <c r="CG492" s="61" t="e">
        <f t="shared" si="109"/>
        <v>#N/A</v>
      </c>
      <c r="CH492" s="521">
        <f>NOV!AL15-CW492+CR492</f>
        <v>0</v>
      </c>
      <c r="CI492" s="228">
        <f>SUMIF(NOV!$G$121:$M$121,CI$178,NOV!$AM15:$AS15)+SUMIF($CS$178:$CV$178,CI$178,$CS492:$CV492)</f>
        <v>0</v>
      </c>
      <c r="CJ492" s="229">
        <f>SUMIF(NOV!$G$121:$M$121,CJ$178,NOV!$AM15:$AS15)+SUMIF($CS$178:$CV$178,CJ$178,$CS492:$CV492)</f>
        <v>0</v>
      </c>
      <c r="CK492" s="230">
        <f>SUMIF(NOV!$G$121:$M$121,CK$178,NOV!$AM15:$AS15)+SUMIF($CS$178:$CV$178,CK$178,$CS492:$CV492)</f>
        <v>0</v>
      </c>
      <c r="CL492" s="230">
        <f>SUMIF(NOV!$G$121:$M$121,CL$178,NOV!$AM15:$AS15)+SUMIF($CS$178:$CV$178,CL$178,$CS492:$CV492)</f>
        <v>0</v>
      </c>
      <c r="CM492" s="230">
        <f>SUMIF(NOV!$G$121:$M$121,CM$178,NOV!$AM15:$AS15)+SUMIF($CS$178:$CV$178,CM$178,$CS492:$CV492)</f>
        <v>0</v>
      </c>
      <c r="CN492" s="230">
        <f>SUMIF(NOV!$G$121:$M$121,CN$178,NOV!$AM15:$AS15)+SUMIF($CS$178:$CV$178,CN$178,$CS492:$CV492)</f>
        <v>0</v>
      </c>
      <c r="CO492" s="230">
        <f>SUMIF(NOV!$G$121:$M$121,CO$178,NOV!$AM15:$AS15)+SUMIF($CS$178:$CV$178,CO$178,$CS492:$CV492)</f>
        <v>0</v>
      </c>
      <c r="CP492" s="230">
        <f>SUMIF(NOV!$G$121:$M$121,CP$178,NOV!$AM15:$AS15)+SUMIF($CS$178:$CV$178,CP$178,$CS492:$CV492)</f>
        <v>0</v>
      </c>
      <c r="CQ492" s="231">
        <f>SUMIF(NOV!$G$121:$M$121,CQ$178,NOV!$AM15:$AS15)+SUMIF($CS$178:$CV$178,CQ$178,$CS492:$CV492)</f>
        <v>0</v>
      </c>
      <c r="CR492" s="521">
        <f>NOV!AU15</f>
        <v>0</v>
      </c>
      <c r="CS492" s="228">
        <f>NOV!AV15</f>
        <v>0</v>
      </c>
      <c r="CT492" s="229">
        <f>NOV!AW15</f>
        <v>0</v>
      </c>
      <c r="CU492" s="230">
        <f>NOV!AX15</f>
        <v>0</v>
      </c>
      <c r="CV492" s="231">
        <f>NOV!AY15</f>
        <v>0</v>
      </c>
      <c r="CW492" s="521">
        <f>SUM(NOV!AU15:AY15)</f>
        <v>0</v>
      </c>
      <c r="CX492" s="521">
        <f>NOV!AK15</f>
        <v>0</v>
      </c>
      <c r="CY492" s="2"/>
    </row>
    <row r="493" spans="1:103" ht="14.25" hidden="1" customHeight="1" x14ac:dyDescent="0.2">
      <c r="A493" s="2"/>
      <c r="B493" s="105">
        <f t="shared" si="110"/>
        <v>45605</v>
      </c>
      <c r="C493" s="146">
        <f>IF(AND(E493&gt;(N$561-1),E493&lt;(R$561+1)),W$551,IF(ISERROR(HLOOKUP(E493,$N$554:$U$554,1,FALSE)),HLOOKUP(WEEKDAY(E493,2),IMPOSTAZIONI!$C$52:$P$57,6,FALSE),$W$550))</f>
        <v>0</v>
      </c>
      <c r="D493" s="71" t="str">
        <f t="shared" si="111"/>
        <v/>
      </c>
      <c r="E493" s="2258">
        <f t="shared" si="116"/>
        <v>45605</v>
      </c>
      <c r="F493" s="2259"/>
      <c r="G493" s="2228" t="str">
        <f>NOV!E16</f>
        <v xml:space="preserve">disattivato  </v>
      </c>
      <c r="H493" s="2229"/>
      <c r="I493" s="2230"/>
      <c r="J493" s="262" t="str">
        <f t="shared" si="101"/>
        <v/>
      </c>
      <c r="K493" s="263"/>
      <c r="L493" s="2217">
        <f t="shared" si="117"/>
        <v>45</v>
      </c>
      <c r="M493" s="2218"/>
      <c r="N493" s="261"/>
      <c r="O493" s="261"/>
      <c r="P493" s="261"/>
      <c r="Q493" s="2219">
        <f t="shared" si="112"/>
        <v>45605</v>
      </c>
      <c r="R493" s="2219"/>
      <c r="S493" s="261"/>
      <c r="T493" s="1173">
        <f t="shared" si="102"/>
        <v>1</v>
      </c>
      <c r="U493" s="261"/>
      <c r="V493" s="261"/>
      <c r="W493" s="261"/>
      <c r="X493" s="261"/>
      <c r="Y493" s="261"/>
      <c r="Z493" s="261"/>
      <c r="AA493" s="261"/>
      <c r="AB493" s="261"/>
      <c r="AC493" s="261"/>
      <c r="AD493" s="261"/>
      <c r="AE493" s="261"/>
      <c r="AF493" s="261"/>
      <c r="AG493" s="1173">
        <f t="shared" si="113"/>
        <v>0</v>
      </c>
      <c r="AH493" s="61" t="str">
        <f t="shared" si="114"/>
        <v/>
      </c>
      <c r="AI493" s="89" t="e">
        <f t="shared" si="115"/>
        <v>#N/A</v>
      </c>
      <c r="AJ493" s="2"/>
      <c r="AK493" s="61">
        <f>IF(G493=G$547,0,IF(OR(G493&lt;&gt;0,CH493&lt;&gt;0,C493="L"),COUNTIF(AK$180:AK492,"&gt;0")+1,0))</f>
        <v>0</v>
      </c>
      <c r="AL493" s="61" t="str">
        <f t="shared" si="103"/>
        <v/>
      </c>
      <c r="AM493" s="61" t="e">
        <f t="shared" si="104"/>
        <v>#N/A</v>
      </c>
      <c r="AN493" s="89" t="e">
        <f t="shared" si="105"/>
        <v>#N/A</v>
      </c>
      <c r="AO493" s="230">
        <f>SUM(NOV!X16:AD16)-BD493+AY493</f>
        <v>0</v>
      </c>
      <c r="AP493" s="228">
        <f>SUMIF(NOV!$G$121:$M$121,AP$178,NOV!$P16:$V16)+SUMIF($AZ$178:$BC$178,AP$178,$AZ493:$BC493)</f>
        <v>0</v>
      </c>
      <c r="AQ493" s="229">
        <f>SUMIF(NOV!$G$121:$M$121,AQ$178,NOV!$P16:$V16)+SUMIF($AZ$178:$BC$178,AQ$178,$AZ493:$BC493)</f>
        <v>0</v>
      </c>
      <c r="AR493" s="230">
        <f>SUMIF(NOV!$G$121:$M$121,AR$178,NOV!$P16:$V16)+SUMIF($AZ$178:$BC$178,AR$178,$AZ493:$BC493)</f>
        <v>0</v>
      </c>
      <c r="AS493" s="230">
        <f>SUMIF(NOV!$G$121:$M$121,AS$178,NOV!$P16:$V16)+SUMIF($AZ$178:$BC$178,AS$178,$AZ493:$BC493)</f>
        <v>0</v>
      </c>
      <c r="AT493" s="230">
        <f>SUMIF(NOV!$G$121:$M$121,AT$178,NOV!$P16:$V16)+SUMIF($AZ$178:$BC$178,AT$178,$AZ493:$BC493)</f>
        <v>0</v>
      </c>
      <c r="AU493" s="230">
        <f>SUMIF(NOV!$G$121:$M$121,AU$178,NOV!$P16:$V16)+SUMIF($AZ$178:$BC$178,AU$178,$AZ493:$BC493)</f>
        <v>0</v>
      </c>
      <c r="AV493" s="230">
        <f>SUMIF(NOV!$G$121:$M$121,AV$178,NOV!$P16:$V16)+SUMIF($AZ$178:$BC$178,AV$178,$AZ493:$BC493)</f>
        <v>0</v>
      </c>
      <c r="AW493" s="230">
        <f>SUMIF(NOV!$G$121:$M$121,AW$178,NOV!$P16:$V16)+SUMIF($AZ$178:$BC$178,AW$178,$AZ493:$BC493)</f>
        <v>0</v>
      </c>
      <c r="AX493" s="231">
        <f>SUMIF(NOV!$G$121:$M$121,AX$178,NOV!$P16:$V16)+SUMIF($AZ$178:$BC$178,AX$178,$AZ493:$BC493)</f>
        <v>0</v>
      </c>
      <c r="AY493" s="232">
        <f>NOV!AF16</f>
        <v>0</v>
      </c>
      <c r="AZ493" s="228">
        <f>NOV!AG16</f>
        <v>0</v>
      </c>
      <c r="BA493" s="229">
        <f>NOV!AH16</f>
        <v>0</v>
      </c>
      <c r="BB493" s="230">
        <f>NOV!AI16</f>
        <v>0</v>
      </c>
      <c r="BC493" s="231">
        <f>NOV!AJ16</f>
        <v>0</v>
      </c>
      <c r="BD493" s="228">
        <f>SUMIF(NOV!$G$120:$M$120,"&gt;0",NOV!$X16:$AD16)</f>
        <v>0</v>
      </c>
      <c r="BE493" s="696"/>
      <c r="BF493" s="228">
        <f>SUMIF(NOV!$BA$6:$BG$6,BF$177,NOV!$BA16:$BG16)</f>
        <v>0</v>
      </c>
      <c r="BG493" s="229">
        <f>SUMIF(NOV!$BA$6:$BG$6,BG$177,NOV!$BA16:$BG16)</f>
        <v>0</v>
      </c>
      <c r="BH493" s="229">
        <f>SUMIF(NOV!$BA$6:$BG$6,BH$177,NOV!$BA16:$BG16)</f>
        <v>0</v>
      </c>
      <c r="BI493" s="229">
        <f>SUMIF(NOV!$BA$6:$BG$6,BI$177,NOV!$BA16:$BG16)</f>
        <v>0</v>
      </c>
      <c r="BJ493" s="229">
        <f>SUMIF(NOV!$BA$6:$BG$6,BJ$177,NOV!$BA16:$BG16)</f>
        <v>0</v>
      </c>
      <c r="BK493" s="229">
        <f>SUMIF(NOV!$BA$6:$BG$6,BK$177,NOV!$BA16:$BG16)</f>
        <v>0</v>
      </c>
      <c r="BL493" s="229">
        <f>SUMIF(NOV!$BA$6:$BG$6,BL$177,NOV!$BA16:$BG16)</f>
        <v>0</v>
      </c>
      <c r="BM493" s="229">
        <f>SUMIF(NOV!$BA$6:$BG$6,BM$177,NOV!$BA16:$BG16)</f>
        <v>0</v>
      </c>
      <c r="BN493" s="229">
        <f>SUMIF(NOV!$BA$6:$BG$6,BN$177,NOV!$BA16:$BG16)</f>
        <v>0</v>
      </c>
      <c r="BO493" s="231">
        <f>SUMIF(NOV!$BA$6:$BG$6,BO$177,NOV!$BA16:$BG16)</f>
        <v>0</v>
      </c>
      <c r="BP493" s="231">
        <f>SUMIF(NOV!$BA$6:$BG$6,BP$177,NOV!$BA16:$BG16)</f>
        <v>0</v>
      </c>
      <c r="BQ493" s="252"/>
      <c r="BR493" s="228">
        <f>SUMIF(NOV!$BA$5:$BG$5,BR$177,NOV!$BA16:$BG16)</f>
        <v>0</v>
      </c>
      <c r="BS493" s="229">
        <f>SUMIF(NOV!$BA$5:$BG$5,BS$177,NOV!$BA16:$BG16)</f>
        <v>0</v>
      </c>
      <c r="BT493" s="229">
        <f>SUMIF(NOV!$BA$5:$BG$5,BT$177,NOV!$BA16:$BG16)</f>
        <v>0</v>
      </c>
      <c r="BU493" s="229">
        <f>SUMIF(NOV!$BA$5:$BG$5,BU$177,NOV!$BA16:$BG16)</f>
        <v>0</v>
      </c>
      <c r="BV493" s="229">
        <f>SUMIF(NOV!$BA$5:$BG$5,BV$177,NOV!$BA16:$BG16)</f>
        <v>0</v>
      </c>
      <c r="BW493" s="229">
        <f>SUMIF(NOV!$BA$5:$BG$5,BW$177,NOV!$BA16:$BG16)</f>
        <v>0</v>
      </c>
      <c r="BX493" s="230">
        <f>SUMIF(NOV!$BA$5:$BG$5,BX$177,NOV!$BA16:$BG16)</f>
        <v>0</v>
      </c>
      <c r="BY493" s="998">
        <f>SUMIF(NOV!$BA$5:$BG$5,BY$177,NOV!$BA16:$BG16)</f>
        <v>0</v>
      </c>
      <c r="CB493" s="252"/>
      <c r="CC493" s="61" t="e">
        <f t="shared" si="106"/>
        <v>#N/A</v>
      </c>
      <c r="CD493" s="61">
        <f t="shared" si="107"/>
        <v>0</v>
      </c>
      <c r="CE493" s="105" t="str">
        <f t="shared" si="100"/>
        <v/>
      </c>
      <c r="CF493" s="61" t="e">
        <f t="shared" si="108"/>
        <v>#N/A</v>
      </c>
      <c r="CG493" s="61" t="e">
        <f t="shared" si="109"/>
        <v>#N/A</v>
      </c>
      <c r="CH493" s="521">
        <f>NOV!AL16-CW493+CR493</f>
        <v>0</v>
      </c>
      <c r="CI493" s="228">
        <f>SUMIF(NOV!$G$121:$M$121,CI$178,NOV!$AM16:$AS16)+SUMIF($CS$178:$CV$178,CI$178,$CS493:$CV493)</f>
        <v>0</v>
      </c>
      <c r="CJ493" s="229">
        <f>SUMIF(NOV!$G$121:$M$121,CJ$178,NOV!$AM16:$AS16)+SUMIF($CS$178:$CV$178,CJ$178,$CS493:$CV493)</f>
        <v>0</v>
      </c>
      <c r="CK493" s="230">
        <f>SUMIF(NOV!$G$121:$M$121,CK$178,NOV!$AM16:$AS16)+SUMIF($CS$178:$CV$178,CK$178,$CS493:$CV493)</f>
        <v>0</v>
      </c>
      <c r="CL493" s="230">
        <f>SUMIF(NOV!$G$121:$M$121,CL$178,NOV!$AM16:$AS16)+SUMIF($CS$178:$CV$178,CL$178,$CS493:$CV493)</f>
        <v>0</v>
      </c>
      <c r="CM493" s="230">
        <f>SUMIF(NOV!$G$121:$M$121,CM$178,NOV!$AM16:$AS16)+SUMIF($CS$178:$CV$178,CM$178,$CS493:$CV493)</f>
        <v>0</v>
      </c>
      <c r="CN493" s="230">
        <f>SUMIF(NOV!$G$121:$M$121,CN$178,NOV!$AM16:$AS16)+SUMIF($CS$178:$CV$178,CN$178,$CS493:$CV493)</f>
        <v>0</v>
      </c>
      <c r="CO493" s="230">
        <f>SUMIF(NOV!$G$121:$M$121,CO$178,NOV!$AM16:$AS16)+SUMIF($CS$178:$CV$178,CO$178,$CS493:$CV493)</f>
        <v>0</v>
      </c>
      <c r="CP493" s="230">
        <f>SUMIF(NOV!$G$121:$M$121,CP$178,NOV!$AM16:$AS16)+SUMIF($CS$178:$CV$178,CP$178,$CS493:$CV493)</f>
        <v>0</v>
      </c>
      <c r="CQ493" s="231">
        <f>SUMIF(NOV!$G$121:$M$121,CQ$178,NOV!$AM16:$AS16)+SUMIF($CS$178:$CV$178,CQ$178,$CS493:$CV493)</f>
        <v>0</v>
      </c>
      <c r="CR493" s="521">
        <f>NOV!AU16</f>
        <v>0</v>
      </c>
      <c r="CS493" s="228">
        <f>NOV!AV16</f>
        <v>0</v>
      </c>
      <c r="CT493" s="229">
        <f>NOV!AW16</f>
        <v>0</v>
      </c>
      <c r="CU493" s="230">
        <f>NOV!AX16</f>
        <v>0</v>
      </c>
      <c r="CV493" s="231">
        <f>NOV!AY16</f>
        <v>0</v>
      </c>
      <c r="CW493" s="521">
        <f>SUM(NOV!AU16:AY16)</f>
        <v>0</v>
      </c>
      <c r="CX493" s="521">
        <f>NOV!AK16</f>
        <v>0</v>
      </c>
      <c r="CY493" s="2"/>
    </row>
    <row r="494" spans="1:103" ht="14.25" hidden="1" customHeight="1" x14ac:dyDescent="0.2">
      <c r="A494" s="2"/>
      <c r="B494" s="105">
        <f t="shared" si="110"/>
        <v>45606</v>
      </c>
      <c r="C494" s="146">
        <f>IF(AND(E494&gt;(N$561-1),E494&lt;(R$561+1)),W$551,IF(ISERROR(HLOOKUP(E494,$N$554:$U$554,1,FALSE)),HLOOKUP(WEEKDAY(E494,2),IMPOSTAZIONI!$C$52:$P$57,6,FALSE),$W$550))</f>
        <v>0</v>
      </c>
      <c r="D494" s="71" t="str">
        <f t="shared" si="111"/>
        <v/>
      </c>
      <c r="E494" s="2258">
        <f t="shared" si="116"/>
        <v>45606</v>
      </c>
      <c r="F494" s="2259"/>
      <c r="G494" s="2228" t="str">
        <f>NOV!E17</f>
        <v xml:space="preserve">disattivato  </v>
      </c>
      <c r="H494" s="2229"/>
      <c r="I494" s="2230"/>
      <c r="J494" s="262" t="str">
        <f t="shared" si="101"/>
        <v/>
      </c>
      <c r="K494" s="263"/>
      <c r="L494" s="2220">
        <f t="shared" si="117"/>
        <v>45</v>
      </c>
      <c r="M494" s="2221"/>
      <c r="N494" s="261"/>
      <c r="O494" s="261"/>
      <c r="P494" s="261"/>
      <c r="Q494" s="2219">
        <f t="shared" si="112"/>
        <v>45606</v>
      </c>
      <c r="R494" s="2219"/>
      <c r="S494" s="261"/>
      <c r="T494" s="1173">
        <f t="shared" si="102"/>
        <v>1</v>
      </c>
      <c r="U494" s="261"/>
      <c r="V494" s="261"/>
      <c r="W494" s="261"/>
      <c r="X494" s="261"/>
      <c r="Y494" s="261"/>
      <c r="Z494" s="261"/>
      <c r="AA494" s="261"/>
      <c r="AB494" s="261"/>
      <c r="AC494" s="261"/>
      <c r="AD494" s="261"/>
      <c r="AE494" s="261"/>
      <c r="AF494" s="261"/>
      <c r="AG494" s="1173">
        <f t="shared" si="113"/>
        <v>0</v>
      </c>
      <c r="AH494" s="61" t="str">
        <f t="shared" si="114"/>
        <v/>
      </c>
      <c r="AI494" s="89" t="e">
        <f t="shared" si="115"/>
        <v>#N/A</v>
      </c>
      <c r="AJ494" s="2"/>
      <c r="AK494" s="61">
        <f>IF(G494=G$547,0,IF(OR(G494&lt;&gt;0,CH494&lt;&gt;0,C494="L"),COUNTIF(AK$180:AK493,"&gt;0")+1,0))</f>
        <v>0</v>
      </c>
      <c r="AL494" s="61" t="str">
        <f t="shared" si="103"/>
        <v/>
      </c>
      <c r="AM494" s="61" t="e">
        <f t="shared" si="104"/>
        <v>#N/A</v>
      </c>
      <c r="AN494" s="89" t="e">
        <f t="shared" si="105"/>
        <v>#N/A</v>
      </c>
      <c r="AO494" s="230">
        <f>SUM(NOV!X17:AD17)-BD494+AY494</f>
        <v>0</v>
      </c>
      <c r="AP494" s="228">
        <f>SUMIF(NOV!$G$121:$M$121,AP$178,NOV!$P17:$V17)+SUMIF($AZ$178:$BC$178,AP$178,$AZ494:$BC494)</f>
        <v>0</v>
      </c>
      <c r="AQ494" s="229">
        <f>SUMIF(NOV!$G$121:$M$121,AQ$178,NOV!$P17:$V17)+SUMIF($AZ$178:$BC$178,AQ$178,$AZ494:$BC494)</f>
        <v>0</v>
      </c>
      <c r="AR494" s="230">
        <f>SUMIF(NOV!$G$121:$M$121,AR$178,NOV!$P17:$V17)+SUMIF($AZ$178:$BC$178,AR$178,$AZ494:$BC494)</f>
        <v>0</v>
      </c>
      <c r="AS494" s="230">
        <f>SUMIF(NOV!$G$121:$M$121,AS$178,NOV!$P17:$V17)+SUMIF($AZ$178:$BC$178,AS$178,$AZ494:$BC494)</f>
        <v>0</v>
      </c>
      <c r="AT494" s="230">
        <f>SUMIF(NOV!$G$121:$M$121,AT$178,NOV!$P17:$V17)+SUMIF($AZ$178:$BC$178,AT$178,$AZ494:$BC494)</f>
        <v>0</v>
      </c>
      <c r="AU494" s="230">
        <f>SUMIF(NOV!$G$121:$M$121,AU$178,NOV!$P17:$V17)+SUMIF($AZ$178:$BC$178,AU$178,$AZ494:$BC494)</f>
        <v>0</v>
      </c>
      <c r="AV494" s="230">
        <f>SUMIF(NOV!$G$121:$M$121,AV$178,NOV!$P17:$V17)+SUMIF($AZ$178:$BC$178,AV$178,$AZ494:$BC494)</f>
        <v>0</v>
      </c>
      <c r="AW494" s="230">
        <f>SUMIF(NOV!$G$121:$M$121,AW$178,NOV!$P17:$V17)+SUMIF($AZ$178:$BC$178,AW$178,$AZ494:$BC494)</f>
        <v>0</v>
      </c>
      <c r="AX494" s="231">
        <f>SUMIF(NOV!$G$121:$M$121,AX$178,NOV!$P17:$V17)+SUMIF($AZ$178:$BC$178,AX$178,$AZ494:$BC494)</f>
        <v>0</v>
      </c>
      <c r="AY494" s="232">
        <f>NOV!AF17</f>
        <v>0</v>
      </c>
      <c r="AZ494" s="228">
        <f>NOV!AG17</f>
        <v>0</v>
      </c>
      <c r="BA494" s="229">
        <f>NOV!AH17</f>
        <v>0</v>
      </c>
      <c r="BB494" s="230">
        <f>NOV!AI17</f>
        <v>0</v>
      </c>
      <c r="BC494" s="231">
        <f>NOV!AJ17</f>
        <v>0</v>
      </c>
      <c r="BD494" s="228">
        <f>SUMIF(NOV!$G$120:$M$120,"&gt;0",NOV!$X17:$AD17)</f>
        <v>0</v>
      </c>
      <c r="BE494" s="696"/>
      <c r="BF494" s="228">
        <f>SUMIF(NOV!$BA$6:$BG$6,BF$177,NOV!$BA17:$BG17)</f>
        <v>0</v>
      </c>
      <c r="BG494" s="229">
        <f>SUMIF(NOV!$BA$6:$BG$6,BG$177,NOV!$BA17:$BG17)</f>
        <v>0</v>
      </c>
      <c r="BH494" s="229">
        <f>SUMIF(NOV!$BA$6:$BG$6,BH$177,NOV!$BA17:$BG17)</f>
        <v>0</v>
      </c>
      <c r="BI494" s="229">
        <f>SUMIF(NOV!$BA$6:$BG$6,BI$177,NOV!$BA17:$BG17)</f>
        <v>0</v>
      </c>
      <c r="BJ494" s="229">
        <f>SUMIF(NOV!$BA$6:$BG$6,BJ$177,NOV!$BA17:$BG17)</f>
        <v>0</v>
      </c>
      <c r="BK494" s="229">
        <f>SUMIF(NOV!$BA$6:$BG$6,BK$177,NOV!$BA17:$BG17)</f>
        <v>0</v>
      </c>
      <c r="BL494" s="229">
        <f>SUMIF(NOV!$BA$6:$BG$6,BL$177,NOV!$BA17:$BG17)</f>
        <v>0</v>
      </c>
      <c r="BM494" s="229">
        <f>SUMIF(NOV!$BA$6:$BG$6,BM$177,NOV!$BA17:$BG17)</f>
        <v>0</v>
      </c>
      <c r="BN494" s="229">
        <f>SUMIF(NOV!$BA$6:$BG$6,BN$177,NOV!$BA17:$BG17)</f>
        <v>0</v>
      </c>
      <c r="BO494" s="231">
        <f>SUMIF(NOV!$BA$6:$BG$6,BO$177,NOV!$BA17:$BG17)</f>
        <v>0</v>
      </c>
      <c r="BP494" s="231">
        <f>SUMIF(NOV!$BA$6:$BG$6,BP$177,NOV!$BA17:$BG17)</f>
        <v>0</v>
      </c>
      <c r="BQ494" s="252"/>
      <c r="BR494" s="228">
        <f>SUMIF(NOV!$BA$5:$BG$5,BR$177,NOV!$BA17:$BG17)</f>
        <v>0</v>
      </c>
      <c r="BS494" s="229">
        <f>SUMIF(NOV!$BA$5:$BG$5,BS$177,NOV!$BA17:$BG17)</f>
        <v>0</v>
      </c>
      <c r="BT494" s="229">
        <f>SUMIF(NOV!$BA$5:$BG$5,BT$177,NOV!$BA17:$BG17)</f>
        <v>0</v>
      </c>
      <c r="BU494" s="229">
        <f>SUMIF(NOV!$BA$5:$BG$5,BU$177,NOV!$BA17:$BG17)</f>
        <v>0</v>
      </c>
      <c r="BV494" s="229">
        <f>SUMIF(NOV!$BA$5:$BG$5,BV$177,NOV!$BA17:$BG17)</f>
        <v>0</v>
      </c>
      <c r="BW494" s="229">
        <f>SUMIF(NOV!$BA$5:$BG$5,BW$177,NOV!$BA17:$BG17)</f>
        <v>0</v>
      </c>
      <c r="BX494" s="230">
        <f>SUMIF(NOV!$BA$5:$BG$5,BX$177,NOV!$BA17:$BG17)</f>
        <v>0</v>
      </c>
      <c r="BY494" s="998">
        <f>SUMIF(NOV!$BA$5:$BG$5,BY$177,NOV!$BA17:$BG17)</f>
        <v>0</v>
      </c>
      <c r="CB494" s="252"/>
      <c r="CC494" s="61" t="e">
        <f t="shared" si="106"/>
        <v>#N/A</v>
      </c>
      <c r="CD494" s="61">
        <f t="shared" si="107"/>
        <v>0</v>
      </c>
      <c r="CE494" s="105" t="str">
        <f t="shared" si="100"/>
        <v/>
      </c>
      <c r="CF494" s="61" t="e">
        <f t="shared" si="108"/>
        <v>#N/A</v>
      </c>
      <c r="CG494" s="61" t="e">
        <f t="shared" si="109"/>
        <v>#N/A</v>
      </c>
      <c r="CH494" s="521">
        <f>NOV!AL17-CW494+CR494</f>
        <v>0</v>
      </c>
      <c r="CI494" s="228">
        <f>SUMIF(NOV!$G$121:$M$121,CI$178,NOV!$AM17:$AS17)+SUMIF($CS$178:$CV$178,CI$178,$CS494:$CV494)</f>
        <v>0</v>
      </c>
      <c r="CJ494" s="229">
        <f>SUMIF(NOV!$G$121:$M$121,CJ$178,NOV!$AM17:$AS17)+SUMIF($CS$178:$CV$178,CJ$178,$CS494:$CV494)</f>
        <v>0</v>
      </c>
      <c r="CK494" s="230">
        <f>SUMIF(NOV!$G$121:$M$121,CK$178,NOV!$AM17:$AS17)+SUMIF($CS$178:$CV$178,CK$178,$CS494:$CV494)</f>
        <v>0</v>
      </c>
      <c r="CL494" s="230">
        <f>SUMIF(NOV!$G$121:$M$121,CL$178,NOV!$AM17:$AS17)+SUMIF($CS$178:$CV$178,CL$178,$CS494:$CV494)</f>
        <v>0</v>
      </c>
      <c r="CM494" s="230">
        <f>SUMIF(NOV!$G$121:$M$121,CM$178,NOV!$AM17:$AS17)+SUMIF($CS$178:$CV$178,CM$178,$CS494:$CV494)</f>
        <v>0</v>
      </c>
      <c r="CN494" s="230">
        <f>SUMIF(NOV!$G$121:$M$121,CN$178,NOV!$AM17:$AS17)+SUMIF($CS$178:$CV$178,CN$178,$CS494:$CV494)</f>
        <v>0</v>
      </c>
      <c r="CO494" s="230">
        <f>SUMIF(NOV!$G$121:$M$121,CO$178,NOV!$AM17:$AS17)+SUMIF($CS$178:$CV$178,CO$178,$CS494:$CV494)</f>
        <v>0</v>
      </c>
      <c r="CP494" s="230">
        <f>SUMIF(NOV!$G$121:$M$121,CP$178,NOV!$AM17:$AS17)+SUMIF($CS$178:$CV$178,CP$178,$CS494:$CV494)</f>
        <v>0</v>
      </c>
      <c r="CQ494" s="231">
        <f>SUMIF(NOV!$G$121:$M$121,CQ$178,NOV!$AM17:$AS17)+SUMIF($CS$178:$CV$178,CQ$178,$CS494:$CV494)</f>
        <v>0</v>
      </c>
      <c r="CR494" s="521">
        <f>NOV!AU17</f>
        <v>0</v>
      </c>
      <c r="CS494" s="228">
        <f>NOV!AV17</f>
        <v>0</v>
      </c>
      <c r="CT494" s="229">
        <f>NOV!AW17</f>
        <v>0</v>
      </c>
      <c r="CU494" s="230">
        <f>NOV!AX17</f>
        <v>0</v>
      </c>
      <c r="CV494" s="231">
        <f>NOV!AY17</f>
        <v>0</v>
      </c>
      <c r="CW494" s="521">
        <f>SUM(NOV!AU17:AY17)</f>
        <v>0</v>
      </c>
      <c r="CX494" s="521">
        <f>NOV!AK17</f>
        <v>0</v>
      </c>
      <c r="CY494" s="2"/>
    </row>
    <row r="495" spans="1:103" ht="14.25" hidden="1" customHeight="1" x14ac:dyDescent="0.2">
      <c r="A495" s="2"/>
      <c r="B495" s="105">
        <f t="shared" si="110"/>
        <v>45607</v>
      </c>
      <c r="C495" s="146">
        <f>IF(AND(E495&gt;(N$561-1),E495&lt;(R$561+1)),W$551,IF(ISERROR(HLOOKUP(E495,$N$554:$U$554,1,FALSE)),HLOOKUP(WEEKDAY(E495,2),IMPOSTAZIONI!$C$52:$P$57,6,FALSE),$W$550))</f>
        <v>0</v>
      </c>
      <c r="D495" s="71" t="str">
        <f t="shared" si="111"/>
        <v/>
      </c>
      <c r="E495" s="2258">
        <f t="shared" si="116"/>
        <v>45607</v>
      </c>
      <c r="F495" s="2259"/>
      <c r="G495" s="2228" t="str">
        <f>NOV!E18</f>
        <v xml:space="preserve">disattivato  </v>
      </c>
      <c r="H495" s="2229"/>
      <c r="I495" s="2230"/>
      <c r="J495" s="262" t="str">
        <f t="shared" si="101"/>
        <v/>
      </c>
      <c r="K495" s="263"/>
      <c r="L495" s="2222">
        <f t="shared" si="117"/>
        <v>46</v>
      </c>
      <c r="M495" s="2223"/>
      <c r="N495" s="261"/>
      <c r="O495" s="261"/>
      <c r="P495" s="261"/>
      <c r="Q495" s="2219">
        <f t="shared" si="112"/>
        <v>45607</v>
      </c>
      <c r="R495" s="2219"/>
      <c r="S495" s="261"/>
      <c r="T495" s="1173">
        <f t="shared" si="102"/>
        <v>1</v>
      </c>
      <c r="U495" s="261"/>
      <c r="V495" s="261"/>
      <c r="W495" s="261"/>
      <c r="X495" s="261"/>
      <c r="Y495" s="261"/>
      <c r="Z495" s="261"/>
      <c r="AA495" s="261"/>
      <c r="AB495" s="261"/>
      <c r="AC495" s="261"/>
      <c r="AD495" s="261"/>
      <c r="AE495" s="261"/>
      <c r="AF495" s="261"/>
      <c r="AG495" s="1173">
        <f t="shared" si="113"/>
        <v>0</v>
      </c>
      <c r="AH495" s="61" t="str">
        <f t="shared" si="114"/>
        <v/>
      </c>
      <c r="AI495" s="89" t="e">
        <f t="shared" si="115"/>
        <v>#N/A</v>
      </c>
      <c r="AJ495" s="2"/>
      <c r="AK495" s="61">
        <f>IF(G495=G$547,0,IF(OR(G495&lt;&gt;0,CH495&lt;&gt;0,C495="L"),COUNTIF(AK$180:AK494,"&gt;0")+1,0))</f>
        <v>0</v>
      </c>
      <c r="AL495" s="61" t="str">
        <f t="shared" si="103"/>
        <v/>
      </c>
      <c r="AM495" s="61" t="e">
        <f t="shared" si="104"/>
        <v>#N/A</v>
      </c>
      <c r="AN495" s="89" t="e">
        <f t="shared" si="105"/>
        <v>#N/A</v>
      </c>
      <c r="AO495" s="230">
        <f>SUM(NOV!X18:AD18)-BD495+AY495</f>
        <v>0</v>
      </c>
      <c r="AP495" s="228">
        <f>SUMIF(NOV!$G$121:$M$121,AP$178,NOV!$P18:$V18)+SUMIF($AZ$178:$BC$178,AP$178,$AZ495:$BC495)</f>
        <v>0</v>
      </c>
      <c r="AQ495" s="229">
        <f>SUMIF(NOV!$G$121:$M$121,AQ$178,NOV!$P18:$V18)+SUMIF($AZ$178:$BC$178,AQ$178,$AZ495:$BC495)</f>
        <v>0</v>
      </c>
      <c r="AR495" s="230">
        <f>SUMIF(NOV!$G$121:$M$121,AR$178,NOV!$P18:$V18)+SUMIF($AZ$178:$BC$178,AR$178,$AZ495:$BC495)</f>
        <v>0</v>
      </c>
      <c r="AS495" s="230">
        <f>SUMIF(NOV!$G$121:$M$121,AS$178,NOV!$P18:$V18)+SUMIF($AZ$178:$BC$178,AS$178,$AZ495:$BC495)</f>
        <v>0</v>
      </c>
      <c r="AT495" s="230">
        <f>SUMIF(NOV!$G$121:$M$121,AT$178,NOV!$P18:$V18)+SUMIF($AZ$178:$BC$178,AT$178,$AZ495:$BC495)</f>
        <v>0</v>
      </c>
      <c r="AU495" s="230">
        <f>SUMIF(NOV!$G$121:$M$121,AU$178,NOV!$P18:$V18)+SUMIF($AZ$178:$BC$178,AU$178,$AZ495:$BC495)</f>
        <v>0</v>
      </c>
      <c r="AV495" s="230">
        <f>SUMIF(NOV!$G$121:$M$121,AV$178,NOV!$P18:$V18)+SUMIF($AZ$178:$BC$178,AV$178,$AZ495:$BC495)</f>
        <v>0</v>
      </c>
      <c r="AW495" s="230">
        <f>SUMIF(NOV!$G$121:$M$121,AW$178,NOV!$P18:$V18)+SUMIF($AZ$178:$BC$178,AW$178,$AZ495:$BC495)</f>
        <v>0</v>
      </c>
      <c r="AX495" s="231">
        <f>SUMIF(NOV!$G$121:$M$121,AX$178,NOV!$P18:$V18)+SUMIF($AZ$178:$BC$178,AX$178,$AZ495:$BC495)</f>
        <v>0</v>
      </c>
      <c r="AY495" s="232">
        <f>NOV!AF18</f>
        <v>0</v>
      </c>
      <c r="AZ495" s="228">
        <f>NOV!AG18</f>
        <v>0</v>
      </c>
      <c r="BA495" s="229">
        <f>NOV!AH18</f>
        <v>0</v>
      </c>
      <c r="BB495" s="230">
        <f>NOV!AI18</f>
        <v>0</v>
      </c>
      <c r="BC495" s="231">
        <f>NOV!AJ18</f>
        <v>0</v>
      </c>
      <c r="BD495" s="228">
        <f>SUMIF(NOV!$G$120:$M$120,"&gt;0",NOV!$X18:$AD18)</f>
        <v>0</v>
      </c>
      <c r="BE495" s="696"/>
      <c r="BF495" s="228">
        <f>SUMIF(NOV!$BA$6:$BG$6,BF$177,NOV!$BA18:$BG18)</f>
        <v>0</v>
      </c>
      <c r="BG495" s="229">
        <f>SUMIF(NOV!$BA$6:$BG$6,BG$177,NOV!$BA18:$BG18)</f>
        <v>0</v>
      </c>
      <c r="BH495" s="229">
        <f>SUMIF(NOV!$BA$6:$BG$6,BH$177,NOV!$BA18:$BG18)</f>
        <v>0</v>
      </c>
      <c r="BI495" s="229">
        <f>SUMIF(NOV!$BA$6:$BG$6,BI$177,NOV!$BA18:$BG18)</f>
        <v>0</v>
      </c>
      <c r="BJ495" s="229">
        <f>SUMIF(NOV!$BA$6:$BG$6,BJ$177,NOV!$BA18:$BG18)</f>
        <v>0</v>
      </c>
      <c r="BK495" s="229">
        <f>SUMIF(NOV!$BA$6:$BG$6,BK$177,NOV!$BA18:$BG18)</f>
        <v>0</v>
      </c>
      <c r="BL495" s="229">
        <f>SUMIF(NOV!$BA$6:$BG$6,BL$177,NOV!$BA18:$BG18)</f>
        <v>0</v>
      </c>
      <c r="BM495" s="229">
        <f>SUMIF(NOV!$BA$6:$BG$6,BM$177,NOV!$BA18:$BG18)</f>
        <v>0</v>
      </c>
      <c r="BN495" s="229">
        <f>SUMIF(NOV!$BA$6:$BG$6,BN$177,NOV!$BA18:$BG18)</f>
        <v>0</v>
      </c>
      <c r="BO495" s="231">
        <f>SUMIF(NOV!$BA$6:$BG$6,BO$177,NOV!$BA18:$BG18)</f>
        <v>0</v>
      </c>
      <c r="BP495" s="231">
        <f>SUMIF(NOV!$BA$6:$BG$6,BP$177,NOV!$BA18:$BG18)</f>
        <v>0</v>
      </c>
      <c r="BQ495" s="252"/>
      <c r="BR495" s="228">
        <f>SUMIF(NOV!$BA$5:$BG$5,BR$177,NOV!$BA18:$BG18)</f>
        <v>0</v>
      </c>
      <c r="BS495" s="229">
        <f>SUMIF(NOV!$BA$5:$BG$5,BS$177,NOV!$BA18:$BG18)</f>
        <v>0</v>
      </c>
      <c r="BT495" s="229">
        <f>SUMIF(NOV!$BA$5:$BG$5,BT$177,NOV!$BA18:$BG18)</f>
        <v>0</v>
      </c>
      <c r="BU495" s="229">
        <f>SUMIF(NOV!$BA$5:$BG$5,BU$177,NOV!$BA18:$BG18)</f>
        <v>0</v>
      </c>
      <c r="BV495" s="229">
        <f>SUMIF(NOV!$BA$5:$BG$5,BV$177,NOV!$BA18:$BG18)</f>
        <v>0</v>
      </c>
      <c r="BW495" s="229">
        <f>SUMIF(NOV!$BA$5:$BG$5,BW$177,NOV!$BA18:$BG18)</f>
        <v>0</v>
      </c>
      <c r="BX495" s="230">
        <f>SUMIF(NOV!$BA$5:$BG$5,BX$177,NOV!$BA18:$BG18)</f>
        <v>0</v>
      </c>
      <c r="BY495" s="998">
        <f>SUMIF(NOV!$BA$5:$BG$5,BY$177,NOV!$BA18:$BG18)</f>
        <v>0</v>
      </c>
      <c r="CB495" s="252"/>
      <c r="CC495" s="61" t="e">
        <f t="shared" si="106"/>
        <v>#N/A</v>
      </c>
      <c r="CD495" s="61">
        <f t="shared" si="107"/>
        <v>0</v>
      </c>
      <c r="CE495" s="105" t="str">
        <f t="shared" si="100"/>
        <v/>
      </c>
      <c r="CF495" s="61" t="e">
        <f t="shared" si="108"/>
        <v>#N/A</v>
      </c>
      <c r="CG495" s="61" t="e">
        <f t="shared" si="109"/>
        <v>#N/A</v>
      </c>
      <c r="CH495" s="521">
        <f>NOV!AL18-CW495+CR495</f>
        <v>0</v>
      </c>
      <c r="CI495" s="228">
        <f>SUMIF(NOV!$G$121:$M$121,CI$178,NOV!$AM18:$AS18)+SUMIF($CS$178:$CV$178,CI$178,$CS495:$CV495)</f>
        <v>0</v>
      </c>
      <c r="CJ495" s="229">
        <f>SUMIF(NOV!$G$121:$M$121,CJ$178,NOV!$AM18:$AS18)+SUMIF($CS$178:$CV$178,CJ$178,$CS495:$CV495)</f>
        <v>0</v>
      </c>
      <c r="CK495" s="230">
        <f>SUMIF(NOV!$G$121:$M$121,CK$178,NOV!$AM18:$AS18)+SUMIF($CS$178:$CV$178,CK$178,$CS495:$CV495)</f>
        <v>0</v>
      </c>
      <c r="CL495" s="230">
        <f>SUMIF(NOV!$G$121:$M$121,CL$178,NOV!$AM18:$AS18)+SUMIF($CS$178:$CV$178,CL$178,$CS495:$CV495)</f>
        <v>0</v>
      </c>
      <c r="CM495" s="230">
        <f>SUMIF(NOV!$G$121:$M$121,CM$178,NOV!$AM18:$AS18)+SUMIF($CS$178:$CV$178,CM$178,$CS495:$CV495)</f>
        <v>0</v>
      </c>
      <c r="CN495" s="230">
        <f>SUMIF(NOV!$G$121:$M$121,CN$178,NOV!$AM18:$AS18)+SUMIF($CS$178:$CV$178,CN$178,$CS495:$CV495)</f>
        <v>0</v>
      </c>
      <c r="CO495" s="230">
        <f>SUMIF(NOV!$G$121:$M$121,CO$178,NOV!$AM18:$AS18)+SUMIF($CS$178:$CV$178,CO$178,$CS495:$CV495)</f>
        <v>0</v>
      </c>
      <c r="CP495" s="230">
        <f>SUMIF(NOV!$G$121:$M$121,CP$178,NOV!$AM18:$AS18)+SUMIF($CS$178:$CV$178,CP$178,$CS495:$CV495)</f>
        <v>0</v>
      </c>
      <c r="CQ495" s="231">
        <f>SUMIF(NOV!$G$121:$M$121,CQ$178,NOV!$AM18:$AS18)+SUMIF($CS$178:$CV$178,CQ$178,$CS495:$CV495)</f>
        <v>0</v>
      </c>
      <c r="CR495" s="521">
        <f>NOV!AU18</f>
        <v>0</v>
      </c>
      <c r="CS495" s="228">
        <f>NOV!AV18</f>
        <v>0</v>
      </c>
      <c r="CT495" s="229">
        <f>NOV!AW18</f>
        <v>0</v>
      </c>
      <c r="CU495" s="230">
        <f>NOV!AX18</f>
        <v>0</v>
      </c>
      <c r="CV495" s="231">
        <f>NOV!AY18</f>
        <v>0</v>
      </c>
      <c r="CW495" s="521">
        <f>SUM(NOV!AU18:AY18)</f>
        <v>0</v>
      </c>
      <c r="CX495" s="521">
        <f>NOV!AK18</f>
        <v>0</v>
      </c>
      <c r="CY495" s="2"/>
    </row>
    <row r="496" spans="1:103" ht="14.25" hidden="1" customHeight="1" x14ac:dyDescent="0.2">
      <c r="A496" s="2"/>
      <c r="B496" s="105">
        <f t="shared" si="110"/>
        <v>45608</v>
      </c>
      <c r="C496" s="146">
        <f>IF(AND(E496&gt;(N$561-1),E496&lt;(R$561+1)),W$551,IF(ISERROR(HLOOKUP(E496,$N$554:$U$554,1,FALSE)),HLOOKUP(WEEKDAY(E496,2),IMPOSTAZIONI!$C$52:$P$57,6,FALSE),$W$550))</f>
        <v>0</v>
      </c>
      <c r="D496" s="71" t="str">
        <f t="shared" si="111"/>
        <v/>
      </c>
      <c r="E496" s="2258">
        <f t="shared" si="116"/>
        <v>45608</v>
      </c>
      <c r="F496" s="2259"/>
      <c r="G496" s="2228" t="str">
        <f>NOV!E19</f>
        <v xml:space="preserve">disattivato  </v>
      </c>
      <c r="H496" s="2229"/>
      <c r="I496" s="2230"/>
      <c r="J496" s="262" t="str">
        <f t="shared" si="101"/>
        <v/>
      </c>
      <c r="K496" s="263"/>
      <c r="L496" s="2217">
        <f t="shared" si="117"/>
        <v>46</v>
      </c>
      <c r="M496" s="2218"/>
      <c r="N496" s="261"/>
      <c r="O496" s="261"/>
      <c r="P496" s="261"/>
      <c r="Q496" s="2219">
        <f t="shared" si="112"/>
        <v>45608</v>
      </c>
      <c r="R496" s="2219"/>
      <c r="S496" s="261"/>
      <c r="T496" s="1173">
        <f t="shared" si="102"/>
        <v>1</v>
      </c>
      <c r="U496" s="261"/>
      <c r="V496" s="261"/>
      <c r="W496" s="261"/>
      <c r="X496" s="261"/>
      <c r="Y496" s="261"/>
      <c r="Z496" s="261"/>
      <c r="AA496" s="261"/>
      <c r="AB496" s="261"/>
      <c r="AC496" s="261"/>
      <c r="AD496" s="261"/>
      <c r="AE496" s="261"/>
      <c r="AF496" s="261"/>
      <c r="AG496" s="1173">
        <f t="shared" si="113"/>
        <v>0</v>
      </c>
      <c r="AH496" s="61" t="str">
        <f t="shared" si="114"/>
        <v/>
      </c>
      <c r="AI496" s="89" t="e">
        <f t="shared" si="115"/>
        <v>#N/A</v>
      </c>
      <c r="AJ496" s="2"/>
      <c r="AK496" s="61">
        <f>IF(G496=G$547,0,IF(OR(G496&lt;&gt;0,CH496&lt;&gt;0,C496="L"),COUNTIF(AK$180:AK495,"&gt;0")+1,0))</f>
        <v>0</v>
      </c>
      <c r="AL496" s="61" t="str">
        <f t="shared" si="103"/>
        <v/>
      </c>
      <c r="AM496" s="61" t="e">
        <f t="shared" si="104"/>
        <v>#N/A</v>
      </c>
      <c r="AN496" s="89" t="e">
        <f t="shared" si="105"/>
        <v>#N/A</v>
      </c>
      <c r="AO496" s="230">
        <f>SUM(NOV!X19:AD19)-BD496+AY496</f>
        <v>0</v>
      </c>
      <c r="AP496" s="228">
        <f>SUMIF(NOV!$G$121:$M$121,AP$178,NOV!$P19:$V19)+SUMIF($AZ$178:$BC$178,AP$178,$AZ496:$BC496)</f>
        <v>0</v>
      </c>
      <c r="AQ496" s="229">
        <f>SUMIF(NOV!$G$121:$M$121,AQ$178,NOV!$P19:$V19)+SUMIF($AZ$178:$BC$178,AQ$178,$AZ496:$BC496)</f>
        <v>0</v>
      </c>
      <c r="AR496" s="230">
        <f>SUMIF(NOV!$G$121:$M$121,AR$178,NOV!$P19:$V19)+SUMIF($AZ$178:$BC$178,AR$178,$AZ496:$BC496)</f>
        <v>0</v>
      </c>
      <c r="AS496" s="230">
        <f>SUMIF(NOV!$G$121:$M$121,AS$178,NOV!$P19:$V19)+SUMIF($AZ$178:$BC$178,AS$178,$AZ496:$BC496)</f>
        <v>0</v>
      </c>
      <c r="AT496" s="230">
        <f>SUMIF(NOV!$G$121:$M$121,AT$178,NOV!$P19:$V19)+SUMIF($AZ$178:$BC$178,AT$178,$AZ496:$BC496)</f>
        <v>0</v>
      </c>
      <c r="AU496" s="230">
        <f>SUMIF(NOV!$G$121:$M$121,AU$178,NOV!$P19:$V19)+SUMIF($AZ$178:$BC$178,AU$178,$AZ496:$BC496)</f>
        <v>0</v>
      </c>
      <c r="AV496" s="230">
        <f>SUMIF(NOV!$G$121:$M$121,AV$178,NOV!$P19:$V19)+SUMIF($AZ$178:$BC$178,AV$178,$AZ496:$BC496)</f>
        <v>0</v>
      </c>
      <c r="AW496" s="230">
        <f>SUMIF(NOV!$G$121:$M$121,AW$178,NOV!$P19:$V19)+SUMIF($AZ$178:$BC$178,AW$178,$AZ496:$BC496)</f>
        <v>0</v>
      </c>
      <c r="AX496" s="231">
        <f>SUMIF(NOV!$G$121:$M$121,AX$178,NOV!$P19:$V19)+SUMIF($AZ$178:$BC$178,AX$178,$AZ496:$BC496)</f>
        <v>0</v>
      </c>
      <c r="AY496" s="232">
        <f>NOV!AF19</f>
        <v>0</v>
      </c>
      <c r="AZ496" s="228">
        <f>NOV!AG19</f>
        <v>0</v>
      </c>
      <c r="BA496" s="229">
        <f>NOV!AH19</f>
        <v>0</v>
      </c>
      <c r="BB496" s="230">
        <f>NOV!AI19</f>
        <v>0</v>
      </c>
      <c r="BC496" s="231">
        <f>NOV!AJ19</f>
        <v>0</v>
      </c>
      <c r="BD496" s="228">
        <f>SUMIF(NOV!$G$120:$M$120,"&gt;0",NOV!$X19:$AD19)</f>
        <v>0</v>
      </c>
      <c r="BE496" s="696"/>
      <c r="BF496" s="228">
        <f>SUMIF(NOV!$BA$6:$BG$6,BF$177,NOV!$BA19:$BG19)</f>
        <v>0</v>
      </c>
      <c r="BG496" s="229">
        <f>SUMIF(NOV!$BA$6:$BG$6,BG$177,NOV!$BA19:$BG19)</f>
        <v>0</v>
      </c>
      <c r="BH496" s="229">
        <f>SUMIF(NOV!$BA$6:$BG$6,BH$177,NOV!$BA19:$BG19)</f>
        <v>0</v>
      </c>
      <c r="BI496" s="229">
        <f>SUMIF(NOV!$BA$6:$BG$6,BI$177,NOV!$BA19:$BG19)</f>
        <v>0</v>
      </c>
      <c r="BJ496" s="229">
        <f>SUMIF(NOV!$BA$6:$BG$6,BJ$177,NOV!$BA19:$BG19)</f>
        <v>0</v>
      </c>
      <c r="BK496" s="229">
        <f>SUMIF(NOV!$BA$6:$BG$6,BK$177,NOV!$BA19:$BG19)</f>
        <v>0</v>
      </c>
      <c r="BL496" s="229">
        <f>SUMIF(NOV!$BA$6:$BG$6,BL$177,NOV!$BA19:$BG19)</f>
        <v>0</v>
      </c>
      <c r="BM496" s="229">
        <f>SUMIF(NOV!$BA$6:$BG$6,BM$177,NOV!$BA19:$BG19)</f>
        <v>0</v>
      </c>
      <c r="BN496" s="229">
        <f>SUMIF(NOV!$BA$6:$BG$6,BN$177,NOV!$BA19:$BG19)</f>
        <v>0</v>
      </c>
      <c r="BO496" s="231">
        <f>SUMIF(NOV!$BA$6:$BG$6,BO$177,NOV!$BA19:$BG19)</f>
        <v>0</v>
      </c>
      <c r="BP496" s="231">
        <f>SUMIF(NOV!$BA$6:$BG$6,BP$177,NOV!$BA19:$BG19)</f>
        <v>0</v>
      </c>
      <c r="BQ496" s="252"/>
      <c r="BR496" s="228">
        <f>SUMIF(NOV!$BA$5:$BG$5,BR$177,NOV!$BA19:$BG19)</f>
        <v>0</v>
      </c>
      <c r="BS496" s="229">
        <f>SUMIF(NOV!$BA$5:$BG$5,BS$177,NOV!$BA19:$BG19)</f>
        <v>0</v>
      </c>
      <c r="BT496" s="229">
        <f>SUMIF(NOV!$BA$5:$BG$5,BT$177,NOV!$BA19:$BG19)</f>
        <v>0</v>
      </c>
      <c r="BU496" s="229">
        <f>SUMIF(NOV!$BA$5:$BG$5,BU$177,NOV!$BA19:$BG19)</f>
        <v>0</v>
      </c>
      <c r="BV496" s="229">
        <f>SUMIF(NOV!$BA$5:$BG$5,BV$177,NOV!$BA19:$BG19)</f>
        <v>0</v>
      </c>
      <c r="BW496" s="229">
        <f>SUMIF(NOV!$BA$5:$BG$5,BW$177,NOV!$BA19:$BG19)</f>
        <v>0</v>
      </c>
      <c r="BX496" s="230">
        <f>SUMIF(NOV!$BA$5:$BG$5,BX$177,NOV!$BA19:$BG19)</f>
        <v>0</v>
      </c>
      <c r="BY496" s="998">
        <f>SUMIF(NOV!$BA$5:$BG$5,BY$177,NOV!$BA19:$BG19)</f>
        <v>0</v>
      </c>
      <c r="CB496" s="252"/>
      <c r="CC496" s="61" t="e">
        <f t="shared" si="106"/>
        <v>#N/A</v>
      </c>
      <c r="CD496" s="61">
        <f t="shared" si="107"/>
        <v>0</v>
      </c>
      <c r="CE496" s="105" t="str">
        <f t="shared" ref="CE496:CE545" si="118">IF(AL496="Y",E496,"")</f>
        <v/>
      </c>
      <c r="CF496" s="61" t="e">
        <f t="shared" si="108"/>
        <v>#N/A</v>
      </c>
      <c r="CG496" s="61" t="e">
        <f t="shared" si="109"/>
        <v>#N/A</v>
      </c>
      <c r="CH496" s="521">
        <f>NOV!AL19-CW496+CR496</f>
        <v>0</v>
      </c>
      <c r="CI496" s="228">
        <f>SUMIF(NOV!$G$121:$M$121,CI$178,NOV!$AM19:$AS19)+SUMIF($CS$178:$CV$178,CI$178,$CS496:$CV496)</f>
        <v>0</v>
      </c>
      <c r="CJ496" s="229">
        <f>SUMIF(NOV!$G$121:$M$121,CJ$178,NOV!$AM19:$AS19)+SUMIF($CS$178:$CV$178,CJ$178,$CS496:$CV496)</f>
        <v>0</v>
      </c>
      <c r="CK496" s="230">
        <f>SUMIF(NOV!$G$121:$M$121,CK$178,NOV!$AM19:$AS19)+SUMIF($CS$178:$CV$178,CK$178,$CS496:$CV496)</f>
        <v>0</v>
      </c>
      <c r="CL496" s="230">
        <f>SUMIF(NOV!$G$121:$M$121,CL$178,NOV!$AM19:$AS19)+SUMIF($CS$178:$CV$178,CL$178,$CS496:$CV496)</f>
        <v>0</v>
      </c>
      <c r="CM496" s="230">
        <f>SUMIF(NOV!$G$121:$M$121,CM$178,NOV!$AM19:$AS19)+SUMIF($CS$178:$CV$178,CM$178,$CS496:$CV496)</f>
        <v>0</v>
      </c>
      <c r="CN496" s="230">
        <f>SUMIF(NOV!$G$121:$M$121,CN$178,NOV!$AM19:$AS19)+SUMIF($CS$178:$CV$178,CN$178,$CS496:$CV496)</f>
        <v>0</v>
      </c>
      <c r="CO496" s="230">
        <f>SUMIF(NOV!$G$121:$M$121,CO$178,NOV!$AM19:$AS19)+SUMIF($CS$178:$CV$178,CO$178,$CS496:$CV496)</f>
        <v>0</v>
      </c>
      <c r="CP496" s="230">
        <f>SUMIF(NOV!$G$121:$M$121,CP$178,NOV!$AM19:$AS19)+SUMIF($CS$178:$CV$178,CP$178,$CS496:$CV496)</f>
        <v>0</v>
      </c>
      <c r="CQ496" s="231">
        <f>SUMIF(NOV!$G$121:$M$121,CQ$178,NOV!$AM19:$AS19)+SUMIF($CS$178:$CV$178,CQ$178,$CS496:$CV496)</f>
        <v>0</v>
      </c>
      <c r="CR496" s="521">
        <f>NOV!AU19</f>
        <v>0</v>
      </c>
      <c r="CS496" s="228">
        <f>NOV!AV19</f>
        <v>0</v>
      </c>
      <c r="CT496" s="229">
        <f>NOV!AW19</f>
        <v>0</v>
      </c>
      <c r="CU496" s="230">
        <f>NOV!AX19</f>
        <v>0</v>
      </c>
      <c r="CV496" s="231">
        <f>NOV!AY19</f>
        <v>0</v>
      </c>
      <c r="CW496" s="521">
        <f>SUM(NOV!AU19:AY19)</f>
        <v>0</v>
      </c>
      <c r="CX496" s="521">
        <f>NOV!AK19</f>
        <v>0</v>
      </c>
      <c r="CY496" s="2"/>
    </row>
    <row r="497" spans="1:103" ht="14.25" hidden="1" customHeight="1" x14ac:dyDescent="0.2">
      <c r="A497" s="2"/>
      <c r="B497" s="105">
        <f t="shared" si="110"/>
        <v>45609</v>
      </c>
      <c r="C497" s="146">
        <f>IF(AND(E497&gt;(N$561-1),E497&lt;(R$561+1)),W$551,IF(ISERROR(HLOOKUP(E497,$N$554:$U$554,1,FALSE)),HLOOKUP(WEEKDAY(E497,2),IMPOSTAZIONI!$C$52:$P$57,6,FALSE),$W$550))</f>
        <v>0</v>
      </c>
      <c r="D497" s="71" t="str">
        <f t="shared" si="111"/>
        <v/>
      </c>
      <c r="E497" s="2258">
        <f t="shared" si="116"/>
        <v>45609</v>
      </c>
      <c r="F497" s="2259"/>
      <c r="G497" s="2228" t="str">
        <f>NOV!E20</f>
        <v xml:space="preserve">disattivato  </v>
      </c>
      <c r="H497" s="2229"/>
      <c r="I497" s="2230"/>
      <c r="J497" s="262" t="str">
        <f t="shared" si="101"/>
        <v/>
      </c>
      <c r="K497" s="263"/>
      <c r="L497" s="2217">
        <f t="shared" si="117"/>
        <v>46</v>
      </c>
      <c r="M497" s="2218"/>
      <c r="N497" s="261"/>
      <c r="O497" s="261"/>
      <c r="P497" s="261"/>
      <c r="Q497" s="2219">
        <f t="shared" si="112"/>
        <v>45609</v>
      </c>
      <c r="R497" s="2219"/>
      <c r="S497" s="261"/>
      <c r="T497" s="1173">
        <f t="shared" si="102"/>
        <v>1</v>
      </c>
      <c r="U497" s="261"/>
      <c r="V497" s="261"/>
      <c r="W497" s="261"/>
      <c r="X497" s="261"/>
      <c r="Y497" s="261"/>
      <c r="Z497" s="261"/>
      <c r="AA497" s="261"/>
      <c r="AB497" s="261"/>
      <c r="AC497" s="261"/>
      <c r="AD497" s="261"/>
      <c r="AE497" s="261"/>
      <c r="AF497" s="261"/>
      <c r="AG497" s="1173">
        <f t="shared" si="113"/>
        <v>0</v>
      </c>
      <c r="AH497" s="61" t="str">
        <f t="shared" si="114"/>
        <v/>
      </c>
      <c r="AI497" s="89" t="e">
        <f t="shared" si="115"/>
        <v>#N/A</v>
      </c>
      <c r="AJ497" s="2"/>
      <c r="AK497" s="61">
        <f>IF(G497=G$547,0,IF(OR(G497&lt;&gt;0,CH497&lt;&gt;0,C497="L"),COUNTIF(AK$180:AK496,"&gt;0")+1,0))</f>
        <v>0</v>
      </c>
      <c r="AL497" s="61" t="str">
        <f t="shared" si="103"/>
        <v/>
      </c>
      <c r="AM497" s="61" t="e">
        <f t="shared" si="104"/>
        <v>#N/A</v>
      </c>
      <c r="AN497" s="89" t="e">
        <f t="shared" si="105"/>
        <v>#N/A</v>
      </c>
      <c r="AO497" s="230">
        <f>SUM(NOV!X20:AD20)-BD497+AY497</f>
        <v>0</v>
      </c>
      <c r="AP497" s="228">
        <f>SUMIF(NOV!$G$121:$M$121,AP$178,NOV!$P20:$V20)+SUMIF($AZ$178:$BC$178,AP$178,$AZ497:$BC497)</f>
        <v>0</v>
      </c>
      <c r="AQ497" s="229">
        <f>SUMIF(NOV!$G$121:$M$121,AQ$178,NOV!$P20:$V20)+SUMIF($AZ$178:$BC$178,AQ$178,$AZ497:$BC497)</f>
        <v>0</v>
      </c>
      <c r="AR497" s="230">
        <f>SUMIF(NOV!$G$121:$M$121,AR$178,NOV!$P20:$V20)+SUMIF($AZ$178:$BC$178,AR$178,$AZ497:$BC497)</f>
        <v>0</v>
      </c>
      <c r="AS497" s="230">
        <f>SUMIF(NOV!$G$121:$M$121,AS$178,NOV!$P20:$V20)+SUMIF($AZ$178:$BC$178,AS$178,$AZ497:$BC497)</f>
        <v>0</v>
      </c>
      <c r="AT497" s="230">
        <f>SUMIF(NOV!$G$121:$M$121,AT$178,NOV!$P20:$V20)+SUMIF($AZ$178:$BC$178,AT$178,$AZ497:$BC497)</f>
        <v>0</v>
      </c>
      <c r="AU497" s="230">
        <f>SUMIF(NOV!$G$121:$M$121,AU$178,NOV!$P20:$V20)+SUMIF($AZ$178:$BC$178,AU$178,$AZ497:$BC497)</f>
        <v>0</v>
      </c>
      <c r="AV497" s="230">
        <f>SUMIF(NOV!$G$121:$M$121,AV$178,NOV!$P20:$V20)+SUMIF($AZ$178:$BC$178,AV$178,$AZ497:$BC497)</f>
        <v>0</v>
      </c>
      <c r="AW497" s="230">
        <f>SUMIF(NOV!$G$121:$M$121,AW$178,NOV!$P20:$V20)+SUMIF($AZ$178:$BC$178,AW$178,$AZ497:$BC497)</f>
        <v>0</v>
      </c>
      <c r="AX497" s="231">
        <f>SUMIF(NOV!$G$121:$M$121,AX$178,NOV!$P20:$V20)+SUMIF($AZ$178:$BC$178,AX$178,$AZ497:$BC497)</f>
        <v>0</v>
      </c>
      <c r="AY497" s="232">
        <f>NOV!AF20</f>
        <v>0</v>
      </c>
      <c r="AZ497" s="228">
        <f>NOV!AG20</f>
        <v>0</v>
      </c>
      <c r="BA497" s="229">
        <f>NOV!AH20</f>
        <v>0</v>
      </c>
      <c r="BB497" s="230">
        <f>NOV!AI20</f>
        <v>0</v>
      </c>
      <c r="BC497" s="231">
        <f>NOV!AJ20</f>
        <v>0</v>
      </c>
      <c r="BD497" s="228">
        <f>SUMIF(NOV!$G$120:$M$120,"&gt;0",NOV!$X20:$AD20)</f>
        <v>0</v>
      </c>
      <c r="BE497" s="696"/>
      <c r="BF497" s="228">
        <f>SUMIF(NOV!$BA$6:$BG$6,BF$177,NOV!$BA20:$BG20)</f>
        <v>0</v>
      </c>
      <c r="BG497" s="229">
        <f>SUMIF(NOV!$BA$6:$BG$6,BG$177,NOV!$BA20:$BG20)</f>
        <v>0</v>
      </c>
      <c r="BH497" s="229">
        <f>SUMIF(NOV!$BA$6:$BG$6,BH$177,NOV!$BA20:$BG20)</f>
        <v>0</v>
      </c>
      <c r="BI497" s="229">
        <f>SUMIF(NOV!$BA$6:$BG$6,BI$177,NOV!$BA20:$BG20)</f>
        <v>0</v>
      </c>
      <c r="BJ497" s="229">
        <f>SUMIF(NOV!$BA$6:$BG$6,BJ$177,NOV!$BA20:$BG20)</f>
        <v>0</v>
      </c>
      <c r="BK497" s="229">
        <f>SUMIF(NOV!$BA$6:$BG$6,BK$177,NOV!$BA20:$BG20)</f>
        <v>0</v>
      </c>
      <c r="BL497" s="229">
        <f>SUMIF(NOV!$BA$6:$BG$6,BL$177,NOV!$BA20:$BG20)</f>
        <v>0</v>
      </c>
      <c r="BM497" s="229">
        <f>SUMIF(NOV!$BA$6:$BG$6,BM$177,NOV!$BA20:$BG20)</f>
        <v>0</v>
      </c>
      <c r="BN497" s="229">
        <f>SUMIF(NOV!$BA$6:$BG$6,BN$177,NOV!$BA20:$BG20)</f>
        <v>0</v>
      </c>
      <c r="BO497" s="231">
        <f>SUMIF(NOV!$BA$6:$BG$6,BO$177,NOV!$BA20:$BG20)</f>
        <v>0</v>
      </c>
      <c r="BP497" s="231">
        <f>SUMIF(NOV!$BA$6:$BG$6,BP$177,NOV!$BA20:$BG20)</f>
        <v>0</v>
      </c>
      <c r="BQ497" s="252"/>
      <c r="BR497" s="228">
        <f>SUMIF(NOV!$BA$5:$BG$5,BR$177,NOV!$BA20:$BG20)</f>
        <v>0</v>
      </c>
      <c r="BS497" s="229">
        <f>SUMIF(NOV!$BA$5:$BG$5,BS$177,NOV!$BA20:$BG20)</f>
        <v>0</v>
      </c>
      <c r="BT497" s="229">
        <f>SUMIF(NOV!$BA$5:$BG$5,BT$177,NOV!$BA20:$BG20)</f>
        <v>0</v>
      </c>
      <c r="BU497" s="229">
        <f>SUMIF(NOV!$BA$5:$BG$5,BU$177,NOV!$BA20:$BG20)</f>
        <v>0</v>
      </c>
      <c r="BV497" s="229">
        <f>SUMIF(NOV!$BA$5:$BG$5,BV$177,NOV!$BA20:$BG20)</f>
        <v>0</v>
      </c>
      <c r="BW497" s="229">
        <f>SUMIF(NOV!$BA$5:$BG$5,BW$177,NOV!$BA20:$BG20)</f>
        <v>0</v>
      </c>
      <c r="BX497" s="230">
        <f>SUMIF(NOV!$BA$5:$BG$5,BX$177,NOV!$BA20:$BG20)</f>
        <v>0</v>
      </c>
      <c r="BY497" s="998">
        <f>SUMIF(NOV!$BA$5:$BG$5,BY$177,NOV!$BA20:$BG20)</f>
        <v>0</v>
      </c>
      <c r="CB497" s="252"/>
      <c r="CC497" s="61" t="e">
        <f t="shared" si="106"/>
        <v>#N/A</v>
      </c>
      <c r="CD497" s="61">
        <f t="shared" si="107"/>
        <v>0</v>
      </c>
      <c r="CE497" s="105" t="str">
        <f t="shared" si="118"/>
        <v/>
      </c>
      <c r="CF497" s="61" t="e">
        <f t="shared" si="108"/>
        <v>#N/A</v>
      </c>
      <c r="CG497" s="61" t="e">
        <f t="shared" si="109"/>
        <v>#N/A</v>
      </c>
      <c r="CH497" s="521">
        <f>NOV!AL20-CW497+CR497</f>
        <v>0</v>
      </c>
      <c r="CI497" s="228">
        <f>SUMIF(NOV!$G$121:$M$121,CI$178,NOV!$AM20:$AS20)+SUMIF($CS$178:$CV$178,CI$178,$CS497:$CV497)</f>
        <v>0</v>
      </c>
      <c r="CJ497" s="229">
        <f>SUMIF(NOV!$G$121:$M$121,CJ$178,NOV!$AM20:$AS20)+SUMIF($CS$178:$CV$178,CJ$178,$CS497:$CV497)</f>
        <v>0</v>
      </c>
      <c r="CK497" s="230">
        <f>SUMIF(NOV!$G$121:$M$121,CK$178,NOV!$AM20:$AS20)+SUMIF($CS$178:$CV$178,CK$178,$CS497:$CV497)</f>
        <v>0</v>
      </c>
      <c r="CL497" s="230">
        <f>SUMIF(NOV!$G$121:$M$121,CL$178,NOV!$AM20:$AS20)+SUMIF($CS$178:$CV$178,CL$178,$CS497:$CV497)</f>
        <v>0</v>
      </c>
      <c r="CM497" s="230">
        <f>SUMIF(NOV!$G$121:$M$121,CM$178,NOV!$AM20:$AS20)+SUMIF($CS$178:$CV$178,CM$178,$CS497:$CV497)</f>
        <v>0</v>
      </c>
      <c r="CN497" s="230">
        <f>SUMIF(NOV!$G$121:$M$121,CN$178,NOV!$AM20:$AS20)+SUMIF($CS$178:$CV$178,CN$178,$CS497:$CV497)</f>
        <v>0</v>
      </c>
      <c r="CO497" s="230">
        <f>SUMIF(NOV!$G$121:$M$121,CO$178,NOV!$AM20:$AS20)+SUMIF($CS$178:$CV$178,CO$178,$CS497:$CV497)</f>
        <v>0</v>
      </c>
      <c r="CP497" s="230">
        <f>SUMIF(NOV!$G$121:$M$121,CP$178,NOV!$AM20:$AS20)+SUMIF($CS$178:$CV$178,CP$178,$CS497:$CV497)</f>
        <v>0</v>
      </c>
      <c r="CQ497" s="231">
        <f>SUMIF(NOV!$G$121:$M$121,CQ$178,NOV!$AM20:$AS20)+SUMIF($CS$178:$CV$178,CQ$178,$CS497:$CV497)</f>
        <v>0</v>
      </c>
      <c r="CR497" s="521">
        <f>NOV!AU20</f>
        <v>0</v>
      </c>
      <c r="CS497" s="228">
        <f>NOV!AV20</f>
        <v>0</v>
      </c>
      <c r="CT497" s="229">
        <f>NOV!AW20</f>
        <v>0</v>
      </c>
      <c r="CU497" s="230">
        <f>NOV!AX20</f>
        <v>0</v>
      </c>
      <c r="CV497" s="231">
        <f>NOV!AY20</f>
        <v>0</v>
      </c>
      <c r="CW497" s="521">
        <f>SUM(NOV!AU20:AY20)</f>
        <v>0</v>
      </c>
      <c r="CX497" s="521">
        <f>NOV!AK20</f>
        <v>0</v>
      </c>
      <c r="CY497" s="2"/>
    </row>
    <row r="498" spans="1:103" ht="14.25" hidden="1" customHeight="1" x14ac:dyDescent="0.2">
      <c r="A498" s="2"/>
      <c r="B498" s="105">
        <f t="shared" si="110"/>
        <v>45610</v>
      </c>
      <c r="C498" s="146">
        <f>IF(AND(E498&gt;(N$561-1),E498&lt;(R$561+1)),W$551,IF(ISERROR(HLOOKUP(E498,$N$554:$U$554,1,FALSE)),HLOOKUP(WEEKDAY(E498,2),IMPOSTAZIONI!$C$52:$P$57,6,FALSE),$W$550))</f>
        <v>0</v>
      </c>
      <c r="D498" s="71" t="str">
        <f t="shared" si="111"/>
        <v/>
      </c>
      <c r="E498" s="2258">
        <f t="shared" si="116"/>
        <v>45610</v>
      </c>
      <c r="F498" s="2259"/>
      <c r="G498" s="2228" t="str">
        <f>NOV!E21</f>
        <v xml:space="preserve">disattivato  </v>
      </c>
      <c r="H498" s="2229"/>
      <c r="I498" s="2230"/>
      <c r="J498" s="262" t="str">
        <f t="shared" si="101"/>
        <v/>
      </c>
      <c r="K498" s="263"/>
      <c r="L498" s="2217">
        <f t="shared" si="117"/>
        <v>46</v>
      </c>
      <c r="M498" s="2218"/>
      <c r="N498" s="261"/>
      <c r="O498" s="261"/>
      <c r="P498" s="261"/>
      <c r="Q498" s="2219">
        <f t="shared" si="112"/>
        <v>45610</v>
      </c>
      <c r="R498" s="2219"/>
      <c r="S498" s="261"/>
      <c r="T498" s="1173">
        <f t="shared" si="102"/>
        <v>1</v>
      </c>
      <c r="U498" s="261"/>
      <c r="V498" s="261"/>
      <c r="W498" s="261"/>
      <c r="X498" s="261"/>
      <c r="Y498" s="261"/>
      <c r="Z498" s="261"/>
      <c r="AA498" s="261"/>
      <c r="AB498" s="261"/>
      <c r="AC498" s="261"/>
      <c r="AD498" s="261"/>
      <c r="AE498" s="261"/>
      <c r="AF498" s="261"/>
      <c r="AG498" s="1173">
        <f t="shared" si="113"/>
        <v>0</v>
      </c>
      <c r="AH498" s="61" t="str">
        <f t="shared" si="114"/>
        <v/>
      </c>
      <c r="AI498" s="89" t="e">
        <f t="shared" si="115"/>
        <v>#N/A</v>
      </c>
      <c r="AJ498" s="2"/>
      <c r="AK498" s="61">
        <f>IF(G498=G$547,0,IF(OR(G498&lt;&gt;0,CH498&lt;&gt;0,C498="L"),COUNTIF(AK$180:AK497,"&gt;0")+1,0))</f>
        <v>0</v>
      </c>
      <c r="AL498" s="61" t="str">
        <f t="shared" si="103"/>
        <v/>
      </c>
      <c r="AM498" s="61" t="e">
        <f t="shared" si="104"/>
        <v>#N/A</v>
      </c>
      <c r="AN498" s="89" t="e">
        <f t="shared" si="105"/>
        <v>#N/A</v>
      </c>
      <c r="AO498" s="230">
        <f>SUM(NOV!X21:AD21)-BD498+AY498</f>
        <v>0</v>
      </c>
      <c r="AP498" s="228">
        <f>SUMIF(NOV!$G$121:$M$121,AP$178,NOV!$P21:$V21)+SUMIF($AZ$178:$BC$178,AP$178,$AZ498:$BC498)</f>
        <v>0</v>
      </c>
      <c r="AQ498" s="229">
        <f>SUMIF(NOV!$G$121:$M$121,AQ$178,NOV!$P21:$V21)+SUMIF($AZ$178:$BC$178,AQ$178,$AZ498:$BC498)</f>
        <v>0</v>
      </c>
      <c r="AR498" s="230">
        <f>SUMIF(NOV!$G$121:$M$121,AR$178,NOV!$P21:$V21)+SUMIF($AZ$178:$BC$178,AR$178,$AZ498:$BC498)</f>
        <v>0</v>
      </c>
      <c r="AS498" s="230">
        <f>SUMIF(NOV!$G$121:$M$121,AS$178,NOV!$P21:$V21)+SUMIF($AZ$178:$BC$178,AS$178,$AZ498:$BC498)</f>
        <v>0</v>
      </c>
      <c r="AT498" s="230">
        <f>SUMIF(NOV!$G$121:$M$121,AT$178,NOV!$P21:$V21)+SUMIF($AZ$178:$BC$178,AT$178,$AZ498:$BC498)</f>
        <v>0</v>
      </c>
      <c r="AU498" s="230">
        <f>SUMIF(NOV!$G$121:$M$121,AU$178,NOV!$P21:$V21)+SUMIF($AZ$178:$BC$178,AU$178,$AZ498:$BC498)</f>
        <v>0</v>
      </c>
      <c r="AV498" s="230">
        <f>SUMIF(NOV!$G$121:$M$121,AV$178,NOV!$P21:$V21)+SUMIF($AZ$178:$BC$178,AV$178,$AZ498:$BC498)</f>
        <v>0</v>
      </c>
      <c r="AW498" s="230">
        <f>SUMIF(NOV!$G$121:$M$121,AW$178,NOV!$P21:$V21)+SUMIF($AZ$178:$BC$178,AW$178,$AZ498:$BC498)</f>
        <v>0</v>
      </c>
      <c r="AX498" s="231">
        <f>SUMIF(NOV!$G$121:$M$121,AX$178,NOV!$P21:$V21)+SUMIF($AZ$178:$BC$178,AX$178,$AZ498:$BC498)</f>
        <v>0</v>
      </c>
      <c r="AY498" s="232">
        <f>NOV!AF21</f>
        <v>0</v>
      </c>
      <c r="AZ498" s="228">
        <f>NOV!AG21</f>
        <v>0</v>
      </c>
      <c r="BA498" s="229">
        <f>NOV!AH21</f>
        <v>0</v>
      </c>
      <c r="BB498" s="230">
        <f>NOV!AI21</f>
        <v>0</v>
      </c>
      <c r="BC498" s="231">
        <f>NOV!AJ21</f>
        <v>0</v>
      </c>
      <c r="BD498" s="228">
        <f>SUMIF(NOV!$G$120:$M$120,"&gt;0",NOV!$X21:$AD21)</f>
        <v>0</v>
      </c>
      <c r="BE498" s="696"/>
      <c r="BF498" s="228">
        <f>SUMIF(NOV!$BA$6:$BG$6,BF$177,NOV!$BA21:$BG21)</f>
        <v>0</v>
      </c>
      <c r="BG498" s="229">
        <f>SUMIF(NOV!$BA$6:$BG$6,BG$177,NOV!$BA21:$BG21)</f>
        <v>0</v>
      </c>
      <c r="BH498" s="229">
        <f>SUMIF(NOV!$BA$6:$BG$6,BH$177,NOV!$BA21:$BG21)</f>
        <v>0</v>
      </c>
      <c r="BI498" s="229">
        <f>SUMIF(NOV!$BA$6:$BG$6,BI$177,NOV!$BA21:$BG21)</f>
        <v>0</v>
      </c>
      <c r="BJ498" s="229">
        <f>SUMIF(NOV!$BA$6:$BG$6,BJ$177,NOV!$BA21:$BG21)</f>
        <v>0</v>
      </c>
      <c r="BK498" s="229">
        <f>SUMIF(NOV!$BA$6:$BG$6,BK$177,NOV!$BA21:$BG21)</f>
        <v>0</v>
      </c>
      <c r="BL498" s="229">
        <f>SUMIF(NOV!$BA$6:$BG$6,BL$177,NOV!$BA21:$BG21)</f>
        <v>0</v>
      </c>
      <c r="BM498" s="229">
        <f>SUMIF(NOV!$BA$6:$BG$6,BM$177,NOV!$BA21:$BG21)</f>
        <v>0</v>
      </c>
      <c r="BN498" s="229">
        <f>SUMIF(NOV!$BA$6:$BG$6,BN$177,NOV!$BA21:$BG21)</f>
        <v>0</v>
      </c>
      <c r="BO498" s="231">
        <f>SUMIF(NOV!$BA$6:$BG$6,BO$177,NOV!$BA21:$BG21)</f>
        <v>0</v>
      </c>
      <c r="BP498" s="231">
        <f>SUMIF(NOV!$BA$6:$BG$6,BP$177,NOV!$BA21:$BG21)</f>
        <v>0</v>
      </c>
      <c r="BQ498" s="252"/>
      <c r="BR498" s="228">
        <f>SUMIF(NOV!$BA$5:$BG$5,BR$177,NOV!$BA21:$BG21)</f>
        <v>0</v>
      </c>
      <c r="BS498" s="229">
        <f>SUMIF(NOV!$BA$5:$BG$5,BS$177,NOV!$BA21:$BG21)</f>
        <v>0</v>
      </c>
      <c r="BT498" s="229">
        <f>SUMIF(NOV!$BA$5:$BG$5,BT$177,NOV!$BA21:$BG21)</f>
        <v>0</v>
      </c>
      <c r="BU498" s="229">
        <f>SUMIF(NOV!$BA$5:$BG$5,BU$177,NOV!$BA21:$BG21)</f>
        <v>0</v>
      </c>
      <c r="BV498" s="229">
        <f>SUMIF(NOV!$BA$5:$BG$5,BV$177,NOV!$BA21:$BG21)</f>
        <v>0</v>
      </c>
      <c r="BW498" s="229">
        <f>SUMIF(NOV!$BA$5:$BG$5,BW$177,NOV!$BA21:$BG21)</f>
        <v>0</v>
      </c>
      <c r="BX498" s="230">
        <f>SUMIF(NOV!$BA$5:$BG$5,BX$177,NOV!$BA21:$BG21)</f>
        <v>0</v>
      </c>
      <c r="BY498" s="998">
        <f>SUMIF(NOV!$BA$5:$BG$5,BY$177,NOV!$BA21:$BG21)</f>
        <v>0</v>
      </c>
      <c r="CB498" s="252"/>
      <c r="CC498" s="61" t="e">
        <f t="shared" si="106"/>
        <v>#N/A</v>
      </c>
      <c r="CD498" s="61">
        <f t="shared" si="107"/>
        <v>0</v>
      </c>
      <c r="CE498" s="105" t="str">
        <f t="shared" si="118"/>
        <v/>
      </c>
      <c r="CF498" s="61" t="e">
        <f t="shared" si="108"/>
        <v>#N/A</v>
      </c>
      <c r="CG498" s="61" t="e">
        <f t="shared" si="109"/>
        <v>#N/A</v>
      </c>
      <c r="CH498" s="521">
        <f>NOV!AL21-CW498+CR498</f>
        <v>0</v>
      </c>
      <c r="CI498" s="228">
        <f>SUMIF(NOV!$G$121:$M$121,CI$178,NOV!$AM21:$AS21)+SUMIF($CS$178:$CV$178,CI$178,$CS498:$CV498)</f>
        <v>0</v>
      </c>
      <c r="CJ498" s="229">
        <f>SUMIF(NOV!$G$121:$M$121,CJ$178,NOV!$AM21:$AS21)+SUMIF($CS$178:$CV$178,CJ$178,$CS498:$CV498)</f>
        <v>0</v>
      </c>
      <c r="CK498" s="230">
        <f>SUMIF(NOV!$G$121:$M$121,CK$178,NOV!$AM21:$AS21)+SUMIF($CS$178:$CV$178,CK$178,$CS498:$CV498)</f>
        <v>0</v>
      </c>
      <c r="CL498" s="230">
        <f>SUMIF(NOV!$G$121:$M$121,CL$178,NOV!$AM21:$AS21)+SUMIF($CS$178:$CV$178,CL$178,$CS498:$CV498)</f>
        <v>0</v>
      </c>
      <c r="CM498" s="230">
        <f>SUMIF(NOV!$G$121:$M$121,CM$178,NOV!$AM21:$AS21)+SUMIF($CS$178:$CV$178,CM$178,$CS498:$CV498)</f>
        <v>0</v>
      </c>
      <c r="CN498" s="230">
        <f>SUMIF(NOV!$G$121:$M$121,CN$178,NOV!$AM21:$AS21)+SUMIF($CS$178:$CV$178,CN$178,$CS498:$CV498)</f>
        <v>0</v>
      </c>
      <c r="CO498" s="230">
        <f>SUMIF(NOV!$G$121:$M$121,CO$178,NOV!$AM21:$AS21)+SUMIF($CS$178:$CV$178,CO$178,$CS498:$CV498)</f>
        <v>0</v>
      </c>
      <c r="CP498" s="230">
        <f>SUMIF(NOV!$G$121:$M$121,CP$178,NOV!$AM21:$AS21)+SUMIF($CS$178:$CV$178,CP$178,$CS498:$CV498)</f>
        <v>0</v>
      </c>
      <c r="CQ498" s="231">
        <f>SUMIF(NOV!$G$121:$M$121,CQ$178,NOV!$AM21:$AS21)+SUMIF($CS$178:$CV$178,CQ$178,$CS498:$CV498)</f>
        <v>0</v>
      </c>
      <c r="CR498" s="521">
        <f>NOV!AU21</f>
        <v>0</v>
      </c>
      <c r="CS498" s="228">
        <f>NOV!AV21</f>
        <v>0</v>
      </c>
      <c r="CT498" s="229">
        <f>NOV!AW21</f>
        <v>0</v>
      </c>
      <c r="CU498" s="230">
        <f>NOV!AX21</f>
        <v>0</v>
      </c>
      <c r="CV498" s="231">
        <f>NOV!AY21</f>
        <v>0</v>
      </c>
      <c r="CW498" s="521">
        <f>SUM(NOV!AU21:AY21)</f>
        <v>0</v>
      </c>
      <c r="CX498" s="521">
        <f>NOV!AK21</f>
        <v>0</v>
      </c>
      <c r="CY498" s="2"/>
    </row>
    <row r="499" spans="1:103" ht="14.25" hidden="1" customHeight="1" x14ac:dyDescent="0.2">
      <c r="A499" s="2"/>
      <c r="B499" s="105">
        <f t="shared" si="110"/>
        <v>45611</v>
      </c>
      <c r="C499" s="146">
        <f>IF(AND(E499&gt;(N$561-1),E499&lt;(R$561+1)),W$551,IF(ISERROR(HLOOKUP(E499,$N$554:$U$554,1,FALSE)),HLOOKUP(WEEKDAY(E499,2),IMPOSTAZIONI!$C$52:$P$57,6,FALSE),$W$550))</f>
        <v>0</v>
      </c>
      <c r="D499" s="71" t="str">
        <f t="shared" si="111"/>
        <v/>
      </c>
      <c r="E499" s="2258">
        <f t="shared" si="116"/>
        <v>45611</v>
      </c>
      <c r="F499" s="2259"/>
      <c r="G499" s="2228" t="str">
        <f>NOV!E22</f>
        <v xml:space="preserve">disattivato  </v>
      </c>
      <c r="H499" s="2229"/>
      <c r="I499" s="2230"/>
      <c r="J499" s="262" t="str">
        <f t="shared" si="101"/>
        <v/>
      </c>
      <c r="K499" s="263"/>
      <c r="L499" s="2217">
        <f t="shared" si="117"/>
        <v>46</v>
      </c>
      <c r="M499" s="2218"/>
      <c r="N499" s="261"/>
      <c r="O499" s="261"/>
      <c r="P499" s="261"/>
      <c r="Q499" s="2219">
        <f t="shared" si="112"/>
        <v>45611</v>
      </c>
      <c r="R499" s="2219"/>
      <c r="S499" s="261"/>
      <c r="T499" s="1173">
        <f t="shared" si="102"/>
        <v>1</v>
      </c>
      <c r="U499" s="261"/>
      <c r="V499" s="261"/>
      <c r="W499" s="261"/>
      <c r="X499" s="261"/>
      <c r="Y499" s="261"/>
      <c r="Z499" s="261"/>
      <c r="AA499" s="261"/>
      <c r="AB499" s="261"/>
      <c r="AC499" s="261"/>
      <c r="AD499" s="261"/>
      <c r="AE499" s="261"/>
      <c r="AF499" s="261"/>
      <c r="AG499" s="1173">
        <f t="shared" si="113"/>
        <v>0</v>
      </c>
      <c r="AH499" s="61" t="str">
        <f t="shared" si="114"/>
        <v/>
      </c>
      <c r="AI499" s="89" t="e">
        <f t="shared" si="115"/>
        <v>#N/A</v>
      </c>
      <c r="AJ499" s="2"/>
      <c r="AK499" s="61">
        <f>IF(G499=G$547,0,IF(OR(G499&lt;&gt;0,CH499&lt;&gt;0,C499="L"),COUNTIF(AK$180:AK498,"&gt;0")+1,0))</f>
        <v>0</v>
      </c>
      <c r="AL499" s="61" t="str">
        <f t="shared" si="103"/>
        <v/>
      </c>
      <c r="AM499" s="61" t="e">
        <f t="shared" si="104"/>
        <v>#N/A</v>
      </c>
      <c r="AN499" s="89" t="e">
        <f t="shared" si="105"/>
        <v>#N/A</v>
      </c>
      <c r="AO499" s="230">
        <f>SUM(NOV!X22:AD22)-BD499+AY499</f>
        <v>0</v>
      </c>
      <c r="AP499" s="228">
        <f>SUMIF(NOV!$G$121:$M$121,AP$178,NOV!$P22:$V22)+SUMIF($AZ$178:$BC$178,AP$178,$AZ499:$BC499)</f>
        <v>0</v>
      </c>
      <c r="AQ499" s="229">
        <f>SUMIF(NOV!$G$121:$M$121,AQ$178,NOV!$P22:$V22)+SUMIF($AZ$178:$BC$178,AQ$178,$AZ499:$BC499)</f>
        <v>0</v>
      </c>
      <c r="AR499" s="230">
        <f>SUMIF(NOV!$G$121:$M$121,AR$178,NOV!$P22:$V22)+SUMIF($AZ$178:$BC$178,AR$178,$AZ499:$BC499)</f>
        <v>0</v>
      </c>
      <c r="AS499" s="230">
        <f>SUMIF(NOV!$G$121:$M$121,AS$178,NOV!$P22:$V22)+SUMIF($AZ$178:$BC$178,AS$178,$AZ499:$BC499)</f>
        <v>0</v>
      </c>
      <c r="AT499" s="230">
        <f>SUMIF(NOV!$G$121:$M$121,AT$178,NOV!$P22:$V22)+SUMIF($AZ$178:$BC$178,AT$178,$AZ499:$BC499)</f>
        <v>0</v>
      </c>
      <c r="AU499" s="230">
        <f>SUMIF(NOV!$G$121:$M$121,AU$178,NOV!$P22:$V22)+SUMIF($AZ$178:$BC$178,AU$178,$AZ499:$BC499)</f>
        <v>0</v>
      </c>
      <c r="AV499" s="230">
        <f>SUMIF(NOV!$G$121:$M$121,AV$178,NOV!$P22:$V22)+SUMIF($AZ$178:$BC$178,AV$178,$AZ499:$BC499)</f>
        <v>0</v>
      </c>
      <c r="AW499" s="230">
        <f>SUMIF(NOV!$G$121:$M$121,AW$178,NOV!$P22:$V22)+SUMIF($AZ$178:$BC$178,AW$178,$AZ499:$BC499)</f>
        <v>0</v>
      </c>
      <c r="AX499" s="231">
        <f>SUMIF(NOV!$G$121:$M$121,AX$178,NOV!$P22:$V22)+SUMIF($AZ$178:$BC$178,AX$178,$AZ499:$BC499)</f>
        <v>0</v>
      </c>
      <c r="AY499" s="232">
        <f>NOV!AF22</f>
        <v>0</v>
      </c>
      <c r="AZ499" s="228">
        <f>NOV!AG22</f>
        <v>0</v>
      </c>
      <c r="BA499" s="229">
        <f>NOV!AH22</f>
        <v>0</v>
      </c>
      <c r="BB499" s="230">
        <f>NOV!AI22</f>
        <v>0</v>
      </c>
      <c r="BC499" s="231">
        <f>NOV!AJ22</f>
        <v>0</v>
      </c>
      <c r="BD499" s="228">
        <f>SUMIF(NOV!$G$120:$M$120,"&gt;0",NOV!$X22:$AD22)</f>
        <v>0</v>
      </c>
      <c r="BE499" s="696"/>
      <c r="BF499" s="228">
        <f>SUMIF(NOV!$BA$6:$BG$6,BF$177,NOV!$BA22:$BG22)</f>
        <v>0</v>
      </c>
      <c r="BG499" s="229">
        <f>SUMIF(NOV!$BA$6:$BG$6,BG$177,NOV!$BA22:$BG22)</f>
        <v>0</v>
      </c>
      <c r="BH499" s="229">
        <f>SUMIF(NOV!$BA$6:$BG$6,BH$177,NOV!$BA22:$BG22)</f>
        <v>0</v>
      </c>
      <c r="BI499" s="229">
        <f>SUMIF(NOV!$BA$6:$BG$6,BI$177,NOV!$BA22:$BG22)</f>
        <v>0</v>
      </c>
      <c r="BJ499" s="229">
        <f>SUMIF(NOV!$BA$6:$BG$6,BJ$177,NOV!$BA22:$BG22)</f>
        <v>0</v>
      </c>
      <c r="BK499" s="229">
        <f>SUMIF(NOV!$BA$6:$BG$6,BK$177,NOV!$BA22:$BG22)</f>
        <v>0</v>
      </c>
      <c r="BL499" s="229">
        <f>SUMIF(NOV!$BA$6:$BG$6,BL$177,NOV!$BA22:$BG22)</f>
        <v>0</v>
      </c>
      <c r="BM499" s="229">
        <f>SUMIF(NOV!$BA$6:$BG$6,BM$177,NOV!$BA22:$BG22)</f>
        <v>0</v>
      </c>
      <c r="BN499" s="229">
        <f>SUMIF(NOV!$BA$6:$BG$6,BN$177,NOV!$BA22:$BG22)</f>
        <v>0</v>
      </c>
      <c r="BO499" s="231">
        <f>SUMIF(NOV!$BA$6:$BG$6,BO$177,NOV!$BA22:$BG22)</f>
        <v>0</v>
      </c>
      <c r="BP499" s="231">
        <f>SUMIF(NOV!$BA$6:$BG$6,BP$177,NOV!$BA22:$BG22)</f>
        <v>0</v>
      </c>
      <c r="BQ499" s="252"/>
      <c r="BR499" s="228">
        <f>SUMIF(NOV!$BA$5:$BG$5,BR$177,NOV!$BA22:$BG22)</f>
        <v>0</v>
      </c>
      <c r="BS499" s="229">
        <f>SUMIF(NOV!$BA$5:$BG$5,BS$177,NOV!$BA22:$BG22)</f>
        <v>0</v>
      </c>
      <c r="BT499" s="229">
        <f>SUMIF(NOV!$BA$5:$BG$5,BT$177,NOV!$BA22:$BG22)</f>
        <v>0</v>
      </c>
      <c r="BU499" s="229">
        <f>SUMIF(NOV!$BA$5:$BG$5,BU$177,NOV!$BA22:$BG22)</f>
        <v>0</v>
      </c>
      <c r="BV499" s="229">
        <f>SUMIF(NOV!$BA$5:$BG$5,BV$177,NOV!$BA22:$BG22)</f>
        <v>0</v>
      </c>
      <c r="BW499" s="229">
        <f>SUMIF(NOV!$BA$5:$BG$5,BW$177,NOV!$BA22:$BG22)</f>
        <v>0</v>
      </c>
      <c r="BX499" s="230">
        <f>SUMIF(NOV!$BA$5:$BG$5,BX$177,NOV!$BA22:$BG22)</f>
        <v>0</v>
      </c>
      <c r="BY499" s="998">
        <f>SUMIF(NOV!$BA$5:$BG$5,BY$177,NOV!$BA22:$BG22)</f>
        <v>0</v>
      </c>
      <c r="CB499" s="252"/>
      <c r="CC499" s="61" t="e">
        <f t="shared" si="106"/>
        <v>#N/A</v>
      </c>
      <c r="CD499" s="61">
        <f t="shared" si="107"/>
        <v>0</v>
      </c>
      <c r="CE499" s="105" t="str">
        <f t="shared" si="118"/>
        <v/>
      </c>
      <c r="CF499" s="61" t="e">
        <f t="shared" si="108"/>
        <v>#N/A</v>
      </c>
      <c r="CG499" s="61" t="e">
        <f t="shared" si="109"/>
        <v>#N/A</v>
      </c>
      <c r="CH499" s="521">
        <f>NOV!AL22-CW499+CR499</f>
        <v>0</v>
      </c>
      <c r="CI499" s="228">
        <f>SUMIF(NOV!$G$121:$M$121,CI$178,NOV!$AM22:$AS22)+SUMIF($CS$178:$CV$178,CI$178,$CS499:$CV499)</f>
        <v>0</v>
      </c>
      <c r="CJ499" s="229">
        <f>SUMIF(NOV!$G$121:$M$121,CJ$178,NOV!$AM22:$AS22)+SUMIF($CS$178:$CV$178,CJ$178,$CS499:$CV499)</f>
        <v>0</v>
      </c>
      <c r="CK499" s="230">
        <f>SUMIF(NOV!$G$121:$M$121,CK$178,NOV!$AM22:$AS22)+SUMIF($CS$178:$CV$178,CK$178,$CS499:$CV499)</f>
        <v>0</v>
      </c>
      <c r="CL499" s="230">
        <f>SUMIF(NOV!$G$121:$M$121,CL$178,NOV!$AM22:$AS22)+SUMIF($CS$178:$CV$178,CL$178,$CS499:$CV499)</f>
        <v>0</v>
      </c>
      <c r="CM499" s="230">
        <f>SUMIF(NOV!$G$121:$M$121,CM$178,NOV!$AM22:$AS22)+SUMIF($CS$178:$CV$178,CM$178,$CS499:$CV499)</f>
        <v>0</v>
      </c>
      <c r="CN499" s="230">
        <f>SUMIF(NOV!$G$121:$M$121,CN$178,NOV!$AM22:$AS22)+SUMIF($CS$178:$CV$178,CN$178,$CS499:$CV499)</f>
        <v>0</v>
      </c>
      <c r="CO499" s="230">
        <f>SUMIF(NOV!$G$121:$M$121,CO$178,NOV!$AM22:$AS22)+SUMIF($CS$178:$CV$178,CO$178,$CS499:$CV499)</f>
        <v>0</v>
      </c>
      <c r="CP499" s="230">
        <f>SUMIF(NOV!$G$121:$M$121,CP$178,NOV!$AM22:$AS22)+SUMIF($CS$178:$CV$178,CP$178,$CS499:$CV499)</f>
        <v>0</v>
      </c>
      <c r="CQ499" s="231">
        <f>SUMIF(NOV!$G$121:$M$121,CQ$178,NOV!$AM22:$AS22)+SUMIF($CS$178:$CV$178,CQ$178,$CS499:$CV499)</f>
        <v>0</v>
      </c>
      <c r="CR499" s="521">
        <f>NOV!AU22</f>
        <v>0</v>
      </c>
      <c r="CS499" s="228">
        <f>NOV!AV22</f>
        <v>0</v>
      </c>
      <c r="CT499" s="229">
        <f>NOV!AW22</f>
        <v>0</v>
      </c>
      <c r="CU499" s="230">
        <f>NOV!AX22</f>
        <v>0</v>
      </c>
      <c r="CV499" s="231">
        <f>NOV!AY22</f>
        <v>0</v>
      </c>
      <c r="CW499" s="521">
        <f>SUM(NOV!AU22:AY22)</f>
        <v>0</v>
      </c>
      <c r="CX499" s="521">
        <f>NOV!AK22</f>
        <v>0</v>
      </c>
      <c r="CY499" s="2"/>
    </row>
    <row r="500" spans="1:103" ht="14.25" hidden="1" customHeight="1" x14ac:dyDescent="0.2">
      <c r="A500" s="2"/>
      <c r="B500" s="105">
        <f t="shared" si="110"/>
        <v>45612</v>
      </c>
      <c r="C500" s="146">
        <f>IF(AND(E500&gt;(N$561-1),E500&lt;(R$561+1)),W$551,IF(ISERROR(HLOOKUP(E500,$N$554:$U$554,1,FALSE)),HLOOKUP(WEEKDAY(E500,2),IMPOSTAZIONI!$C$52:$P$57,6,FALSE),$W$550))</f>
        <v>0</v>
      </c>
      <c r="D500" s="71" t="str">
        <f t="shared" si="111"/>
        <v/>
      </c>
      <c r="E500" s="2258">
        <f t="shared" si="116"/>
        <v>45612</v>
      </c>
      <c r="F500" s="2259"/>
      <c r="G500" s="2228" t="str">
        <f>NOV!E23</f>
        <v xml:space="preserve">disattivato  </v>
      </c>
      <c r="H500" s="2229"/>
      <c r="I500" s="2230"/>
      <c r="J500" s="262" t="str">
        <f t="shared" ref="J500:J545" si="119">IF(E500=T$5,"&gt;","")</f>
        <v/>
      </c>
      <c r="K500" s="263"/>
      <c r="L500" s="2217">
        <f t="shared" si="117"/>
        <v>46</v>
      </c>
      <c r="M500" s="2218"/>
      <c r="N500" s="261"/>
      <c r="O500" s="261"/>
      <c r="P500" s="261"/>
      <c r="Q500" s="2219">
        <f t="shared" si="112"/>
        <v>45612</v>
      </c>
      <c r="R500" s="2219"/>
      <c r="S500" s="261"/>
      <c r="T500" s="1173">
        <f t="shared" ref="T500:T545" si="120">IF(OR(G500&lt;&gt;0,CH500&lt;&gt;0),1,0)</f>
        <v>1</v>
      </c>
      <c r="U500" s="261"/>
      <c r="V500" s="261"/>
      <c r="W500" s="261"/>
      <c r="X500" s="261"/>
      <c r="Y500" s="261"/>
      <c r="Z500" s="261"/>
      <c r="AA500" s="261"/>
      <c r="AB500" s="261"/>
      <c r="AC500" s="261"/>
      <c r="AD500" s="261"/>
      <c r="AE500" s="261"/>
      <c r="AF500" s="261"/>
      <c r="AG500" s="1173">
        <f t="shared" si="113"/>
        <v>0</v>
      </c>
      <c r="AH500" s="61" t="str">
        <f t="shared" si="114"/>
        <v/>
      </c>
      <c r="AI500" s="89" t="e">
        <f t="shared" si="115"/>
        <v>#N/A</v>
      </c>
      <c r="AJ500" s="2"/>
      <c r="AK500" s="61">
        <f>IF(G500=G$547,0,IF(OR(G500&lt;&gt;0,CH500&lt;&gt;0,C500="L"),COUNTIF(AK$180:AK499,"&gt;0")+1,0))</f>
        <v>0</v>
      </c>
      <c r="AL500" s="61" t="str">
        <f t="shared" ref="AL500:AL545" si="121">IF(AL$177=5,AH500,IF(AK500=0,"",IF(AL$177=1,IF(AND(AK500&gt;($CD$549-1),AK500&lt;($CD$550+1)),"Y",""),IF(AL$177=2,IF(AL$176=MONTH(E500),"Y",""),IF(AL$177=3,"Y",IF(AL$177=4,IF(AND(E500&gt;(AO$177-1),E500&lt;(AO$178+1)),"Y",""),IF(AL$177=5,IF(AG500=1,"Y",""),"")))))))</f>
        <v/>
      </c>
      <c r="AM500" s="61" t="e">
        <f t="shared" ref="AM500:AM545" si="122">IF(AM$175=AM$174,CG500,IF(AND(AN$177&gt;0,AN$178&gt;0),IF(AND(E500&gt;(AN$177-1),E500&lt;(AN$178+1),OR(AO500&lt;&gt;0,AN500=AM$177)),"X",""),""))</f>
        <v>#N/A</v>
      </c>
      <c r="AN500" s="89" t="e">
        <f t="shared" ref="AN500:AN545" si="123">IF(AND(E500&gt;(AN$177-1),E500&lt;(AN$178+1)),C500,0)</f>
        <v>#N/A</v>
      </c>
      <c r="AO500" s="230">
        <f>SUM(NOV!X23:AD23)-BD500+AY500</f>
        <v>0</v>
      </c>
      <c r="AP500" s="228">
        <f>SUMIF(NOV!$G$121:$M$121,AP$178,NOV!$P23:$V23)+SUMIF($AZ$178:$BC$178,AP$178,$AZ500:$BC500)</f>
        <v>0</v>
      </c>
      <c r="AQ500" s="229">
        <f>SUMIF(NOV!$G$121:$M$121,AQ$178,NOV!$P23:$V23)+SUMIF($AZ$178:$BC$178,AQ$178,$AZ500:$BC500)</f>
        <v>0</v>
      </c>
      <c r="AR500" s="230">
        <f>SUMIF(NOV!$G$121:$M$121,AR$178,NOV!$P23:$V23)+SUMIF($AZ$178:$BC$178,AR$178,$AZ500:$BC500)</f>
        <v>0</v>
      </c>
      <c r="AS500" s="230">
        <f>SUMIF(NOV!$G$121:$M$121,AS$178,NOV!$P23:$V23)+SUMIF($AZ$178:$BC$178,AS$178,$AZ500:$BC500)</f>
        <v>0</v>
      </c>
      <c r="AT500" s="230">
        <f>SUMIF(NOV!$G$121:$M$121,AT$178,NOV!$P23:$V23)+SUMIF($AZ$178:$BC$178,AT$178,$AZ500:$BC500)</f>
        <v>0</v>
      </c>
      <c r="AU500" s="230">
        <f>SUMIF(NOV!$G$121:$M$121,AU$178,NOV!$P23:$V23)+SUMIF($AZ$178:$BC$178,AU$178,$AZ500:$BC500)</f>
        <v>0</v>
      </c>
      <c r="AV500" s="230">
        <f>SUMIF(NOV!$G$121:$M$121,AV$178,NOV!$P23:$V23)+SUMIF($AZ$178:$BC$178,AV$178,$AZ500:$BC500)</f>
        <v>0</v>
      </c>
      <c r="AW500" s="230">
        <f>SUMIF(NOV!$G$121:$M$121,AW$178,NOV!$P23:$V23)+SUMIF($AZ$178:$BC$178,AW$178,$AZ500:$BC500)</f>
        <v>0</v>
      </c>
      <c r="AX500" s="231">
        <f>SUMIF(NOV!$G$121:$M$121,AX$178,NOV!$P23:$V23)+SUMIF($AZ$178:$BC$178,AX$178,$AZ500:$BC500)</f>
        <v>0</v>
      </c>
      <c r="AY500" s="232">
        <f>NOV!AF23</f>
        <v>0</v>
      </c>
      <c r="AZ500" s="228">
        <f>NOV!AG23</f>
        <v>0</v>
      </c>
      <c r="BA500" s="229">
        <f>NOV!AH23</f>
        <v>0</v>
      </c>
      <c r="BB500" s="230">
        <f>NOV!AI23</f>
        <v>0</v>
      </c>
      <c r="BC500" s="231">
        <f>NOV!AJ23</f>
        <v>0</v>
      </c>
      <c r="BD500" s="228">
        <f>SUMIF(NOV!$G$120:$M$120,"&gt;0",NOV!$X23:$AD23)</f>
        <v>0</v>
      </c>
      <c r="BE500" s="696"/>
      <c r="BF500" s="228">
        <f>SUMIF(NOV!$BA$6:$BG$6,BF$177,NOV!$BA23:$BG23)</f>
        <v>0</v>
      </c>
      <c r="BG500" s="229">
        <f>SUMIF(NOV!$BA$6:$BG$6,BG$177,NOV!$BA23:$BG23)</f>
        <v>0</v>
      </c>
      <c r="BH500" s="229">
        <f>SUMIF(NOV!$BA$6:$BG$6,BH$177,NOV!$BA23:$BG23)</f>
        <v>0</v>
      </c>
      <c r="BI500" s="229">
        <f>SUMIF(NOV!$BA$6:$BG$6,BI$177,NOV!$BA23:$BG23)</f>
        <v>0</v>
      </c>
      <c r="BJ500" s="229">
        <f>SUMIF(NOV!$BA$6:$BG$6,BJ$177,NOV!$BA23:$BG23)</f>
        <v>0</v>
      </c>
      <c r="BK500" s="229">
        <f>SUMIF(NOV!$BA$6:$BG$6,BK$177,NOV!$BA23:$BG23)</f>
        <v>0</v>
      </c>
      <c r="BL500" s="229">
        <f>SUMIF(NOV!$BA$6:$BG$6,BL$177,NOV!$BA23:$BG23)</f>
        <v>0</v>
      </c>
      <c r="BM500" s="229">
        <f>SUMIF(NOV!$BA$6:$BG$6,BM$177,NOV!$BA23:$BG23)</f>
        <v>0</v>
      </c>
      <c r="BN500" s="229">
        <f>SUMIF(NOV!$BA$6:$BG$6,BN$177,NOV!$BA23:$BG23)</f>
        <v>0</v>
      </c>
      <c r="BO500" s="231">
        <f>SUMIF(NOV!$BA$6:$BG$6,BO$177,NOV!$BA23:$BG23)</f>
        <v>0</v>
      </c>
      <c r="BP500" s="231">
        <f>SUMIF(NOV!$BA$6:$BG$6,BP$177,NOV!$BA23:$BG23)</f>
        <v>0</v>
      </c>
      <c r="BQ500" s="252"/>
      <c r="BR500" s="228">
        <f>SUMIF(NOV!$BA$5:$BG$5,BR$177,NOV!$BA23:$BG23)</f>
        <v>0</v>
      </c>
      <c r="BS500" s="229">
        <f>SUMIF(NOV!$BA$5:$BG$5,BS$177,NOV!$BA23:$BG23)</f>
        <v>0</v>
      </c>
      <c r="BT500" s="229">
        <f>SUMIF(NOV!$BA$5:$BG$5,BT$177,NOV!$BA23:$BG23)</f>
        <v>0</v>
      </c>
      <c r="BU500" s="229">
        <f>SUMIF(NOV!$BA$5:$BG$5,BU$177,NOV!$BA23:$BG23)</f>
        <v>0</v>
      </c>
      <c r="BV500" s="229">
        <f>SUMIF(NOV!$BA$5:$BG$5,BV$177,NOV!$BA23:$BG23)</f>
        <v>0</v>
      </c>
      <c r="BW500" s="229">
        <f>SUMIF(NOV!$BA$5:$BG$5,BW$177,NOV!$BA23:$BG23)</f>
        <v>0</v>
      </c>
      <c r="BX500" s="230">
        <f>SUMIF(NOV!$BA$5:$BG$5,BX$177,NOV!$BA23:$BG23)</f>
        <v>0</v>
      </c>
      <c r="BY500" s="998">
        <f>SUMIF(NOV!$BA$5:$BG$5,BY$177,NOV!$BA23:$BG23)</f>
        <v>0</v>
      </c>
      <c r="CB500" s="252"/>
      <c r="CC500" s="61" t="e">
        <f t="shared" ref="CC500:CC545" si="124">IF(AM500="X",AK500,0)</f>
        <v>#N/A</v>
      </c>
      <c r="CD500" s="61">
        <f t="shared" ref="CD500:CD545" si="125">IF(AL500="Y",AK500,0)</f>
        <v>0</v>
      </c>
      <c r="CE500" s="105" t="str">
        <f t="shared" si="118"/>
        <v/>
      </c>
      <c r="CF500" s="61" t="e">
        <f t="shared" ref="CF500:CF545" si="126">IF(CG500="X",AK500,0)</f>
        <v>#N/A</v>
      </c>
      <c r="CG500" s="61" t="e">
        <f t="shared" ref="CG500:CG545" si="127">IF(AND(L500&gt;(AI$177-1),L500&lt;(AI$178+1),OR(AO500&lt;&gt;0,AI500=CG$177)),"X","")</f>
        <v>#N/A</v>
      </c>
      <c r="CH500" s="521">
        <f>NOV!AL23-CW500+CR500</f>
        <v>0</v>
      </c>
      <c r="CI500" s="228">
        <f>SUMIF(NOV!$G$121:$M$121,CI$178,NOV!$AM23:$AS23)+SUMIF($CS$178:$CV$178,CI$178,$CS500:$CV500)</f>
        <v>0</v>
      </c>
      <c r="CJ500" s="229">
        <f>SUMIF(NOV!$G$121:$M$121,CJ$178,NOV!$AM23:$AS23)+SUMIF($CS$178:$CV$178,CJ$178,$CS500:$CV500)</f>
        <v>0</v>
      </c>
      <c r="CK500" s="230">
        <f>SUMIF(NOV!$G$121:$M$121,CK$178,NOV!$AM23:$AS23)+SUMIF($CS$178:$CV$178,CK$178,$CS500:$CV500)</f>
        <v>0</v>
      </c>
      <c r="CL500" s="230">
        <f>SUMIF(NOV!$G$121:$M$121,CL$178,NOV!$AM23:$AS23)+SUMIF($CS$178:$CV$178,CL$178,$CS500:$CV500)</f>
        <v>0</v>
      </c>
      <c r="CM500" s="230">
        <f>SUMIF(NOV!$G$121:$M$121,CM$178,NOV!$AM23:$AS23)+SUMIF($CS$178:$CV$178,CM$178,$CS500:$CV500)</f>
        <v>0</v>
      </c>
      <c r="CN500" s="230">
        <f>SUMIF(NOV!$G$121:$M$121,CN$178,NOV!$AM23:$AS23)+SUMIF($CS$178:$CV$178,CN$178,$CS500:$CV500)</f>
        <v>0</v>
      </c>
      <c r="CO500" s="230">
        <f>SUMIF(NOV!$G$121:$M$121,CO$178,NOV!$AM23:$AS23)+SUMIF($CS$178:$CV$178,CO$178,$CS500:$CV500)</f>
        <v>0</v>
      </c>
      <c r="CP500" s="230">
        <f>SUMIF(NOV!$G$121:$M$121,CP$178,NOV!$AM23:$AS23)+SUMIF($CS$178:$CV$178,CP$178,$CS500:$CV500)</f>
        <v>0</v>
      </c>
      <c r="CQ500" s="231">
        <f>SUMIF(NOV!$G$121:$M$121,CQ$178,NOV!$AM23:$AS23)+SUMIF($CS$178:$CV$178,CQ$178,$CS500:$CV500)</f>
        <v>0</v>
      </c>
      <c r="CR500" s="521">
        <f>NOV!AU23</f>
        <v>0</v>
      </c>
      <c r="CS500" s="228">
        <f>NOV!AV23</f>
        <v>0</v>
      </c>
      <c r="CT500" s="229">
        <f>NOV!AW23</f>
        <v>0</v>
      </c>
      <c r="CU500" s="230">
        <f>NOV!AX23</f>
        <v>0</v>
      </c>
      <c r="CV500" s="231">
        <f>NOV!AY23</f>
        <v>0</v>
      </c>
      <c r="CW500" s="521">
        <f>SUM(NOV!AU23:AY23)</f>
        <v>0</v>
      </c>
      <c r="CX500" s="521">
        <f>NOV!AK23</f>
        <v>0</v>
      </c>
      <c r="CY500" s="2"/>
    </row>
    <row r="501" spans="1:103" ht="14.25" hidden="1" customHeight="1" x14ac:dyDescent="0.2">
      <c r="A501" s="2"/>
      <c r="B501" s="105">
        <f t="shared" ref="B501:B545" si="128">E501</f>
        <v>45613</v>
      </c>
      <c r="C501" s="146">
        <f>IF(AND(E501&gt;(N$561-1),E501&lt;(R$561+1)),W$551,IF(ISERROR(HLOOKUP(E501,$N$554:$U$554,1,FALSE)),HLOOKUP(WEEKDAY(E501,2),IMPOSTAZIONI!$C$52:$P$57,6,FALSE),$W$550))</f>
        <v>0</v>
      </c>
      <c r="D501" s="71" t="str">
        <f t="shared" ref="D501:D545" si="129">IF(C501="L",MONTH(E501),"")</f>
        <v/>
      </c>
      <c r="E501" s="2258">
        <f t="shared" si="116"/>
        <v>45613</v>
      </c>
      <c r="F501" s="2259"/>
      <c r="G501" s="2228" t="str">
        <f>NOV!E24</f>
        <v xml:space="preserve">disattivato  </v>
      </c>
      <c r="H501" s="2229"/>
      <c r="I501" s="2230"/>
      <c r="J501" s="262" t="str">
        <f t="shared" si="119"/>
        <v/>
      </c>
      <c r="K501" s="263"/>
      <c r="L501" s="2220">
        <f t="shared" si="117"/>
        <v>46</v>
      </c>
      <c r="M501" s="2221"/>
      <c r="N501" s="261"/>
      <c r="O501" s="261"/>
      <c r="P501" s="261"/>
      <c r="Q501" s="2219">
        <f t="shared" ref="Q501:Q545" si="130">E501</f>
        <v>45613</v>
      </c>
      <c r="R501" s="2219"/>
      <c r="S501" s="261"/>
      <c r="T501" s="1173">
        <f t="shared" si="120"/>
        <v>1</v>
      </c>
      <c r="U501" s="261"/>
      <c r="V501" s="261"/>
      <c r="W501" s="261"/>
      <c r="X501" s="261"/>
      <c r="Y501" s="261"/>
      <c r="Z501" s="261"/>
      <c r="AA501" s="261"/>
      <c r="AB501" s="261"/>
      <c r="AC501" s="261"/>
      <c r="AD501" s="261"/>
      <c r="AE501" s="261"/>
      <c r="AF501" s="261"/>
      <c r="AG501" s="1173">
        <f t="shared" ref="AG501:AG545" si="131">IF(AND(L501&gt;(AG$176-1),L501&lt;(AG$177+1)),1,0)</f>
        <v>0</v>
      </c>
      <c r="AH501" s="61" t="str">
        <f t="shared" ref="AH501:AH545" si="132">IF(AK501=0,"",IF(AH$177=5,IF(AND(L501&gt;(AG$176-1),L501&lt;(AG$177+1)),"Y",""),""))</f>
        <v/>
      </c>
      <c r="AI501" s="89" t="e">
        <f t="shared" ref="AI501:AI545" si="133">IF(AND($L501&gt;(AI$177-1),$L501&lt;(AI$178+1)),$C501,0)</f>
        <v>#N/A</v>
      </c>
      <c r="AJ501" s="2"/>
      <c r="AK501" s="61">
        <f>IF(G501=G$547,0,IF(OR(G501&lt;&gt;0,CH501&lt;&gt;0,C501="L"),COUNTIF(AK$180:AK500,"&gt;0")+1,0))</f>
        <v>0</v>
      </c>
      <c r="AL501" s="61" t="str">
        <f t="shared" si="121"/>
        <v/>
      </c>
      <c r="AM501" s="61" t="e">
        <f t="shared" si="122"/>
        <v>#N/A</v>
      </c>
      <c r="AN501" s="89" t="e">
        <f t="shared" si="123"/>
        <v>#N/A</v>
      </c>
      <c r="AO501" s="230">
        <f>SUM(NOV!X24:AD24)-BD501+AY501</f>
        <v>0</v>
      </c>
      <c r="AP501" s="228">
        <f>SUMIF(NOV!$G$121:$M$121,AP$178,NOV!$P24:$V24)+SUMIF($AZ$178:$BC$178,AP$178,$AZ501:$BC501)</f>
        <v>0</v>
      </c>
      <c r="AQ501" s="229">
        <f>SUMIF(NOV!$G$121:$M$121,AQ$178,NOV!$P24:$V24)+SUMIF($AZ$178:$BC$178,AQ$178,$AZ501:$BC501)</f>
        <v>0</v>
      </c>
      <c r="AR501" s="230">
        <f>SUMIF(NOV!$G$121:$M$121,AR$178,NOV!$P24:$V24)+SUMIF($AZ$178:$BC$178,AR$178,$AZ501:$BC501)</f>
        <v>0</v>
      </c>
      <c r="AS501" s="230">
        <f>SUMIF(NOV!$G$121:$M$121,AS$178,NOV!$P24:$V24)+SUMIF($AZ$178:$BC$178,AS$178,$AZ501:$BC501)</f>
        <v>0</v>
      </c>
      <c r="AT501" s="230">
        <f>SUMIF(NOV!$G$121:$M$121,AT$178,NOV!$P24:$V24)+SUMIF($AZ$178:$BC$178,AT$178,$AZ501:$BC501)</f>
        <v>0</v>
      </c>
      <c r="AU501" s="230">
        <f>SUMIF(NOV!$G$121:$M$121,AU$178,NOV!$P24:$V24)+SUMIF($AZ$178:$BC$178,AU$178,$AZ501:$BC501)</f>
        <v>0</v>
      </c>
      <c r="AV501" s="230">
        <f>SUMIF(NOV!$G$121:$M$121,AV$178,NOV!$P24:$V24)+SUMIF($AZ$178:$BC$178,AV$178,$AZ501:$BC501)</f>
        <v>0</v>
      </c>
      <c r="AW501" s="230">
        <f>SUMIF(NOV!$G$121:$M$121,AW$178,NOV!$P24:$V24)+SUMIF($AZ$178:$BC$178,AW$178,$AZ501:$BC501)</f>
        <v>0</v>
      </c>
      <c r="AX501" s="231">
        <f>SUMIF(NOV!$G$121:$M$121,AX$178,NOV!$P24:$V24)+SUMIF($AZ$178:$BC$178,AX$178,$AZ501:$BC501)</f>
        <v>0</v>
      </c>
      <c r="AY501" s="232">
        <f>NOV!AF24</f>
        <v>0</v>
      </c>
      <c r="AZ501" s="228">
        <f>NOV!AG24</f>
        <v>0</v>
      </c>
      <c r="BA501" s="229">
        <f>NOV!AH24</f>
        <v>0</v>
      </c>
      <c r="BB501" s="230">
        <f>NOV!AI24</f>
        <v>0</v>
      </c>
      <c r="BC501" s="231">
        <f>NOV!AJ24</f>
        <v>0</v>
      </c>
      <c r="BD501" s="228">
        <f>SUMIF(NOV!$G$120:$M$120,"&gt;0",NOV!$X24:$AD24)</f>
        <v>0</v>
      </c>
      <c r="BE501" s="696"/>
      <c r="BF501" s="228">
        <f>SUMIF(NOV!$BA$6:$BG$6,BF$177,NOV!$BA24:$BG24)</f>
        <v>0</v>
      </c>
      <c r="BG501" s="229">
        <f>SUMIF(NOV!$BA$6:$BG$6,BG$177,NOV!$BA24:$BG24)</f>
        <v>0</v>
      </c>
      <c r="BH501" s="229">
        <f>SUMIF(NOV!$BA$6:$BG$6,BH$177,NOV!$BA24:$BG24)</f>
        <v>0</v>
      </c>
      <c r="BI501" s="229">
        <f>SUMIF(NOV!$BA$6:$BG$6,BI$177,NOV!$BA24:$BG24)</f>
        <v>0</v>
      </c>
      <c r="BJ501" s="229">
        <f>SUMIF(NOV!$BA$6:$BG$6,BJ$177,NOV!$BA24:$BG24)</f>
        <v>0</v>
      </c>
      <c r="BK501" s="229">
        <f>SUMIF(NOV!$BA$6:$BG$6,BK$177,NOV!$BA24:$BG24)</f>
        <v>0</v>
      </c>
      <c r="BL501" s="229">
        <f>SUMIF(NOV!$BA$6:$BG$6,BL$177,NOV!$BA24:$BG24)</f>
        <v>0</v>
      </c>
      <c r="BM501" s="229">
        <f>SUMIF(NOV!$BA$6:$BG$6,BM$177,NOV!$BA24:$BG24)</f>
        <v>0</v>
      </c>
      <c r="BN501" s="229">
        <f>SUMIF(NOV!$BA$6:$BG$6,BN$177,NOV!$BA24:$BG24)</f>
        <v>0</v>
      </c>
      <c r="BO501" s="231">
        <f>SUMIF(NOV!$BA$6:$BG$6,BO$177,NOV!$BA24:$BG24)</f>
        <v>0</v>
      </c>
      <c r="BP501" s="231">
        <f>SUMIF(NOV!$BA$6:$BG$6,BP$177,NOV!$BA24:$BG24)</f>
        <v>0</v>
      </c>
      <c r="BQ501" s="252"/>
      <c r="BR501" s="228">
        <f>SUMIF(NOV!$BA$5:$BG$5,BR$177,NOV!$BA24:$BG24)</f>
        <v>0</v>
      </c>
      <c r="BS501" s="229">
        <f>SUMIF(NOV!$BA$5:$BG$5,BS$177,NOV!$BA24:$BG24)</f>
        <v>0</v>
      </c>
      <c r="BT501" s="229">
        <f>SUMIF(NOV!$BA$5:$BG$5,BT$177,NOV!$BA24:$BG24)</f>
        <v>0</v>
      </c>
      <c r="BU501" s="229">
        <f>SUMIF(NOV!$BA$5:$BG$5,BU$177,NOV!$BA24:$BG24)</f>
        <v>0</v>
      </c>
      <c r="BV501" s="229">
        <f>SUMIF(NOV!$BA$5:$BG$5,BV$177,NOV!$BA24:$BG24)</f>
        <v>0</v>
      </c>
      <c r="BW501" s="229">
        <f>SUMIF(NOV!$BA$5:$BG$5,BW$177,NOV!$BA24:$BG24)</f>
        <v>0</v>
      </c>
      <c r="BX501" s="230">
        <f>SUMIF(NOV!$BA$5:$BG$5,BX$177,NOV!$BA24:$BG24)</f>
        <v>0</v>
      </c>
      <c r="BY501" s="998">
        <f>SUMIF(NOV!$BA$5:$BG$5,BY$177,NOV!$BA24:$BG24)</f>
        <v>0</v>
      </c>
      <c r="CB501" s="252"/>
      <c r="CC501" s="61" t="e">
        <f t="shared" si="124"/>
        <v>#N/A</v>
      </c>
      <c r="CD501" s="61">
        <f t="shared" si="125"/>
        <v>0</v>
      </c>
      <c r="CE501" s="105" t="str">
        <f t="shared" si="118"/>
        <v/>
      </c>
      <c r="CF501" s="61" t="e">
        <f t="shared" si="126"/>
        <v>#N/A</v>
      </c>
      <c r="CG501" s="61" t="e">
        <f t="shared" si="127"/>
        <v>#N/A</v>
      </c>
      <c r="CH501" s="521">
        <f>NOV!AL24-CW501+CR501</f>
        <v>0</v>
      </c>
      <c r="CI501" s="228">
        <f>SUMIF(NOV!$G$121:$M$121,CI$178,NOV!$AM24:$AS24)+SUMIF($CS$178:$CV$178,CI$178,$CS501:$CV501)</f>
        <v>0</v>
      </c>
      <c r="CJ501" s="229">
        <f>SUMIF(NOV!$G$121:$M$121,CJ$178,NOV!$AM24:$AS24)+SUMIF($CS$178:$CV$178,CJ$178,$CS501:$CV501)</f>
        <v>0</v>
      </c>
      <c r="CK501" s="230">
        <f>SUMIF(NOV!$G$121:$M$121,CK$178,NOV!$AM24:$AS24)+SUMIF($CS$178:$CV$178,CK$178,$CS501:$CV501)</f>
        <v>0</v>
      </c>
      <c r="CL501" s="230">
        <f>SUMIF(NOV!$G$121:$M$121,CL$178,NOV!$AM24:$AS24)+SUMIF($CS$178:$CV$178,CL$178,$CS501:$CV501)</f>
        <v>0</v>
      </c>
      <c r="CM501" s="230">
        <f>SUMIF(NOV!$G$121:$M$121,CM$178,NOV!$AM24:$AS24)+SUMIF($CS$178:$CV$178,CM$178,$CS501:$CV501)</f>
        <v>0</v>
      </c>
      <c r="CN501" s="230">
        <f>SUMIF(NOV!$G$121:$M$121,CN$178,NOV!$AM24:$AS24)+SUMIF($CS$178:$CV$178,CN$178,$CS501:$CV501)</f>
        <v>0</v>
      </c>
      <c r="CO501" s="230">
        <f>SUMIF(NOV!$G$121:$M$121,CO$178,NOV!$AM24:$AS24)+SUMIF($CS$178:$CV$178,CO$178,$CS501:$CV501)</f>
        <v>0</v>
      </c>
      <c r="CP501" s="230">
        <f>SUMIF(NOV!$G$121:$M$121,CP$178,NOV!$AM24:$AS24)+SUMIF($CS$178:$CV$178,CP$178,$CS501:$CV501)</f>
        <v>0</v>
      </c>
      <c r="CQ501" s="231">
        <f>SUMIF(NOV!$G$121:$M$121,CQ$178,NOV!$AM24:$AS24)+SUMIF($CS$178:$CV$178,CQ$178,$CS501:$CV501)</f>
        <v>0</v>
      </c>
      <c r="CR501" s="521">
        <f>NOV!AU24</f>
        <v>0</v>
      </c>
      <c r="CS501" s="228">
        <f>NOV!AV24</f>
        <v>0</v>
      </c>
      <c r="CT501" s="229">
        <f>NOV!AW24</f>
        <v>0</v>
      </c>
      <c r="CU501" s="230">
        <f>NOV!AX24</f>
        <v>0</v>
      </c>
      <c r="CV501" s="231">
        <f>NOV!AY24</f>
        <v>0</v>
      </c>
      <c r="CW501" s="521">
        <f>SUM(NOV!AU24:AY24)</f>
        <v>0</v>
      </c>
      <c r="CX501" s="521">
        <f>NOV!AK24</f>
        <v>0</v>
      </c>
      <c r="CY501" s="2"/>
    </row>
    <row r="502" spans="1:103" ht="14.25" hidden="1" customHeight="1" x14ac:dyDescent="0.2">
      <c r="A502" s="2"/>
      <c r="B502" s="105">
        <f t="shared" si="128"/>
        <v>45614</v>
      </c>
      <c r="C502" s="146">
        <f>IF(AND(E502&gt;(N$561-1),E502&lt;(R$561+1)),W$551,IF(ISERROR(HLOOKUP(E502,$N$554:$U$554,1,FALSE)),HLOOKUP(WEEKDAY(E502,2),IMPOSTAZIONI!$C$52:$P$57,6,FALSE),$W$550))</f>
        <v>0</v>
      </c>
      <c r="D502" s="71" t="str">
        <f t="shared" si="129"/>
        <v/>
      </c>
      <c r="E502" s="2258">
        <f t="shared" ref="E502:E545" si="134">E501+1</f>
        <v>45614</v>
      </c>
      <c r="F502" s="2259"/>
      <c r="G502" s="2228" t="str">
        <f>NOV!E25</f>
        <v xml:space="preserve">disattivato  </v>
      </c>
      <c r="H502" s="2229"/>
      <c r="I502" s="2230"/>
      <c r="J502" s="262" t="str">
        <f t="shared" si="119"/>
        <v/>
      </c>
      <c r="K502" s="263"/>
      <c r="L502" s="2222">
        <f t="shared" si="117"/>
        <v>47</v>
      </c>
      <c r="M502" s="2223"/>
      <c r="N502" s="261"/>
      <c r="O502" s="261"/>
      <c r="P502" s="261"/>
      <c r="Q502" s="2219">
        <f t="shared" si="130"/>
        <v>45614</v>
      </c>
      <c r="R502" s="2219"/>
      <c r="S502" s="261"/>
      <c r="T502" s="1173">
        <f t="shared" si="120"/>
        <v>1</v>
      </c>
      <c r="U502" s="261"/>
      <c r="V502" s="261"/>
      <c r="W502" s="261"/>
      <c r="X502" s="261"/>
      <c r="Y502" s="261"/>
      <c r="Z502" s="261"/>
      <c r="AA502" s="261"/>
      <c r="AB502" s="261"/>
      <c r="AC502" s="261"/>
      <c r="AD502" s="261"/>
      <c r="AE502" s="261"/>
      <c r="AF502" s="261"/>
      <c r="AG502" s="1173">
        <f t="shared" si="131"/>
        <v>0</v>
      </c>
      <c r="AH502" s="61" t="str">
        <f t="shared" si="132"/>
        <v/>
      </c>
      <c r="AI502" s="89" t="e">
        <f t="shared" si="133"/>
        <v>#N/A</v>
      </c>
      <c r="AJ502" s="2"/>
      <c r="AK502" s="61">
        <f>IF(G502=G$547,0,IF(OR(G502&lt;&gt;0,CH502&lt;&gt;0,C502="L"),COUNTIF(AK$180:AK501,"&gt;0")+1,0))</f>
        <v>0</v>
      </c>
      <c r="AL502" s="61" t="str">
        <f t="shared" si="121"/>
        <v/>
      </c>
      <c r="AM502" s="61" t="e">
        <f t="shared" si="122"/>
        <v>#N/A</v>
      </c>
      <c r="AN502" s="89" t="e">
        <f t="shared" si="123"/>
        <v>#N/A</v>
      </c>
      <c r="AO502" s="230">
        <f>SUM(NOV!X25:AD25)-BD502+AY502</f>
        <v>0</v>
      </c>
      <c r="AP502" s="228">
        <f>SUMIF(NOV!$G$121:$M$121,AP$178,NOV!$P25:$V25)+SUMIF($AZ$178:$BC$178,AP$178,$AZ502:$BC502)</f>
        <v>0</v>
      </c>
      <c r="AQ502" s="229">
        <f>SUMIF(NOV!$G$121:$M$121,AQ$178,NOV!$P25:$V25)+SUMIF($AZ$178:$BC$178,AQ$178,$AZ502:$BC502)</f>
        <v>0</v>
      </c>
      <c r="AR502" s="230">
        <f>SUMIF(NOV!$G$121:$M$121,AR$178,NOV!$P25:$V25)+SUMIF($AZ$178:$BC$178,AR$178,$AZ502:$BC502)</f>
        <v>0</v>
      </c>
      <c r="AS502" s="230">
        <f>SUMIF(NOV!$G$121:$M$121,AS$178,NOV!$P25:$V25)+SUMIF($AZ$178:$BC$178,AS$178,$AZ502:$BC502)</f>
        <v>0</v>
      </c>
      <c r="AT502" s="230">
        <f>SUMIF(NOV!$G$121:$M$121,AT$178,NOV!$P25:$V25)+SUMIF($AZ$178:$BC$178,AT$178,$AZ502:$BC502)</f>
        <v>0</v>
      </c>
      <c r="AU502" s="230">
        <f>SUMIF(NOV!$G$121:$M$121,AU$178,NOV!$P25:$V25)+SUMIF($AZ$178:$BC$178,AU$178,$AZ502:$BC502)</f>
        <v>0</v>
      </c>
      <c r="AV502" s="230">
        <f>SUMIF(NOV!$G$121:$M$121,AV$178,NOV!$P25:$V25)+SUMIF($AZ$178:$BC$178,AV$178,$AZ502:$BC502)</f>
        <v>0</v>
      </c>
      <c r="AW502" s="230">
        <f>SUMIF(NOV!$G$121:$M$121,AW$178,NOV!$P25:$V25)+SUMIF($AZ$178:$BC$178,AW$178,$AZ502:$BC502)</f>
        <v>0</v>
      </c>
      <c r="AX502" s="231">
        <f>SUMIF(NOV!$G$121:$M$121,AX$178,NOV!$P25:$V25)+SUMIF($AZ$178:$BC$178,AX$178,$AZ502:$BC502)</f>
        <v>0</v>
      </c>
      <c r="AY502" s="232">
        <f>NOV!AF25</f>
        <v>0</v>
      </c>
      <c r="AZ502" s="228">
        <f>NOV!AG25</f>
        <v>0</v>
      </c>
      <c r="BA502" s="229">
        <f>NOV!AH25</f>
        <v>0</v>
      </c>
      <c r="BB502" s="230">
        <f>NOV!AI25</f>
        <v>0</v>
      </c>
      <c r="BC502" s="231">
        <f>NOV!AJ25</f>
        <v>0</v>
      </c>
      <c r="BD502" s="228">
        <f>SUMIF(NOV!$G$120:$M$120,"&gt;0",NOV!$X25:$AD25)</f>
        <v>0</v>
      </c>
      <c r="BE502" s="696"/>
      <c r="BF502" s="228">
        <f>SUMIF(NOV!$BA$6:$BG$6,BF$177,NOV!$BA25:$BG25)</f>
        <v>0</v>
      </c>
      <c r="BG502" s="229">
        <f>SUMIF(NOV!$BA$6:$BG$6,BG$177,NOV!$BA25:$BG25)</f>
        <v>0</v>
      </c>
      <c r="BH502" s="229">
        <f>SUMIF(NOV!$BA$6:$BG$6,BH$177,NOV!$BA25:$BG25)</f>
        <v>0</v>
      </c>
      <c r="BI502" s="229">
        <f>SUMIF(NOV!$BA$6:$BG$6,BI$177,NOV!$BA25:$BG25)</f>
        <v>0</v>
      </c>
      <c r="BJ502" s="229">
        <f>SUMIF(NOV!$BA$6:$BG$6,BJ$177,NOV!$BA25:$BG25)</f>
        <v>0</v>
      </c>
      <c r="BK502" s="229">
        <f>SUMIF(NOV!$BA$6:$BG$6,BK$177,NOV!$BA25:$BG25)</f>
        <v>0</v>
      </c>
      <c r="BL502" s="229">
        <f>SUMIF(NOV!$BA$6:$BG$6,BL$177,NOV!$BA25:$BG25)</f>
        <v>0</v>
      </c>
      <c r="BM502" s="229">
        <f>SUMIF(NOV!$BA$6:$BG$6,BM$177,NOV!$BA25:$BG25)</f>
        <v>0</v>
      </c>
      <c r="BN502" s="229">
        <f>SUMIF(NOV!$BA$6:$BG$6,BN$177,NOV!$BA25:$BG25)</f>
        <v>0</v>
      </c>
      <c r="BO502" s="231">
        <f>SUMIF(NOV!$BA$6:$BG$6,BO$177,NOV!$BA25:$BG25)</f>
        <v>0</v>
      </c>
      <c r="BP502" s="231">
        <f>SUMIF(NOV!$BA$6:$BG$6,BP$177,NOV!$BA25:$BG25)</f>
        <v>0</v>
      </c>
      <c r="BQ502" s="252"/>
      <c r="BR502" s="228">
        <f>SUMIF(NOV!$BA$5:$BG$5,BR$177,NOV!$BA25:$BG25)</f>
        <v>0</v>
      </c>
      <c r="BS502" s="229">
        <f>SUMIF(NOV!$BA$5:$BG$5,BS$177,NOV!$BA25:$BG25)</f>
        <v>0</v>
      </c>
      <c r="BT502" s="229">
        <f>SUMIF(NOV!$BA$5:$BG$5,BT$177,NOV!$BA25:$BG25)</f>
        <v>0</v>
      </c>
      <c r="BU502" s="229">
        <f>SUMIF(NOV!$BA$5:$BG$5,BU$177,NOV!$BA25:$BG25)</f>
        <v>0</v>
      </c>
      <c r="BV502" s="229">
        <f>SUMIF(NOV!$BA$5:$BG$5,BV$177,NOV!$BA25:$BG25)</f>
        <v>0</v>
      </c>
      <c r="BW502" s="229">
        <f>SUMIF(NOV!$BA$5:$BG$5,BW$177,NOV!$BA25:$BG25)</f>
        <v>0</v>
      </c>
      <c r="BX502" s="230">
        <f>SUMIF(NOV!$BA$5:$BG$5,BX$177,NOV!$BA25:$BG25)</f>
        <v>0</v>
      </c>
      <c r="BY502" s="998">
        <f>SUMIF(NOV!$BA$5:$BG$5,BY$177,NOV!$BA25:$BG25)</f>
        <v>0</v>
      </c>
      <c r="CB502" s="252"/>
      <c r="CC502" s="61" t="e">
        <f t="shared" si="124"/>
        <v>#N/A</v>
      </c>
      <c r="CD502" s="61">
        <f t="shared" si="125"/>
        <v>0</v>
      </c>
      <c r="CE502" s="105" t="str">
        <f t="shared" si="118"/>
        <v/>
      </c>
      <c r="CF502" s="61" t="e">
        <f t="shared" si="126"/>
        <v>#N/A</v>
      </c>
      <c r="CG502" s="61" t="e">
        <f t="shared" si="127"/>
        <v>#N/A</v>
      </c>
      <c r="CH502" s="521">
        <f>NOV!AL25-CW502+CR502</f>
        <v>0</v>
      </c>
      <c r="CI502" s="228">
        <f>SUMIF(NOV!$G$121:$M$121,CI$178,NOV!$AM25:$AS25)+SUMIF($CS$178:$CV$178,CI$178,$CS502:$CV502)</f>
        <v>0</v>
      </c>
      <c r="CJ502" s="229">
        <f>SUMIF(NOV!$G$121:$M$121,CJ$178,NOV!$AM25:$AS25)+SUMIF($CS$178:$CV$178,CJ$178,$CS502:$CV502)</f>
        <v>0</v>
      </c>
      <c r="CK502" s="230">
        <f>SUMIF(NOV!$G$121:$M$121,CK$178,NOV!$AM25:$AS25)+SUMIF($CS$178:$CV$178,CK$178,$CS502:$CV502)</f>
        <v>0</v>
      </c>
      <c r="CL502" s="230">
        <f>SUMIF(NOV!$G$121:$M$121,CL$178,NOV!$AM25:$AS25)+SUMIF($CS$178:$CV$178,CL$178,$CS502:$CV502)</f>
        <v>0</v>
      </c>
      <c r="CM502" s="230">
        <f>SUMIF(NOV!$G$121:$M$121,CM$178,NOV!$AM25:$AS25)+SUMIF($CS$178:$CV$178,CM$178,$CS502:$CV502)</f>
        <v>0</v>
      </c>
      <c r="CN502" s="230">
        <f>SUMIF(NOV!$G$121:$M$121,CN$178,NOV!$AM25:$AS25)+SUMIF($CS$178:$CV$178,CN$178,$CS502:$CV502)</f>
        <v>0</v>
      </c>
      <c r="CO502" s="230">
        <f>SUMIF(NOV!$G$121:$M$121,CO$178,NOV!$AM25:$AS25)+SUMIF($CS$178:$CV$178,CO$178,$CS502:$CV502)</f>
        <v>0</v>
      </c>
      <c r="CP502" s="230">
        <f>SUMIF(NOV!$G$121:$M$121,CP$178,NOV!$AM25:$AS25)+SUMIF($CS$178:$CV$178,CP$178,$CS502:$CV502)</f>
        <v>0</v>
      </c>
      <c r="CQ502" s="231">
        <f>SUMIF(NOV!$G$121:$M$121,CQ$178,NOV!$AM25:$AS25)+SUMIF($CS$178:$CV$178,CQ$178,$CS502:$CV502)</f>
        <v>0</v>
      </c>
      <c r="CR502" s="521">
        <f>NOV!AU25</f>
        <v>0</v>
      </c>
      <c r="CS502" s="228">
        <f>NOV!AV25</f>
        <v>0</v>
      </c>
      <c r="CT502" s="229">
        <f>NOV!AW25</f>
        <v>0</v>
      </c>
      <c r="CU502" s="230">
        <f>NOV!AX25</f>
        <v>0</v>
      </c>
      <c r="CV502" s="231">
        <f>NOV!AY25</f>
        <v>0</v>
      </c>
      <c r="CW502" s="521">
        <f>SUM(NOV!AU25:AY25)</f>
        <v>0</v>
      </c>
      <c r="CX502" s="521">
        <f>NOV!AK25</f>
        <v>0</v>
      </c>
      <c r="CY502" s="2"/>
    </row>
    <row r="503" spans="1:103" ht="14.25" hidden="1" customHeight="1" x14ac:dyDescent="0.2">
      <c r="A503" s="2"/>
      <c r="B503" s="105">
        <f t="shared" si="128"/>
        <v>45615</v>
      </c>
      <c r="C503" s="146">
        <f>IF(AND(E503&gt;(N$561-1),E503&lt;(R$561+1)),W$551,IF(ISERROR(HLOOKUP(E503,$N$554:$U$554,1,FALSE)),HLOOKUP(WEEKDAY(E503,2),IMPOSTAZIONI!$C$52:$P$57,6,FALSE),$W$550))</f>
        <v>0</v>
      </c>
      <c r="D503" s="71" t="str">
        <f t="shared" si="129"/>
        <v/>
      </c>
      <c r="E503" s="2258">
        <f t="shared" si="134"/>
        <v>45615</v>
      </c>
      <c r="F503" s="2259"/>
      <c r="G503" s="2228" t="str">
        <f>NOV!E26</f>
        <v xml:space="preserve">disattivato  </v>
      </c>
      <c r="H503" s="2229"/>
      <c r="I503" s="2230"/>
      <c r="J503" s="262" t="str">
        <f t="shared" si="119"/>
        <v/>
      </c>
      <c r="K503" s="263"/>
      <c r="L503" s="2217">
        <f t="shared" si="117"/>
        <v>47</v>
      </c>
      <c r="M503" s="2218"/>
      <c r="N503" s="261"/>
      <c r="O503" s="261"/>
      <c r="P503" s="261"/>
      <c r="Q503" s="2219">
        <f t="shared" si="130"/>
        <v>45615</v>
      </c>
      <c r="R503" s="2219"/>
      <c r="S503" s="261"/>
      <c r="T503" s="1173">
        <f t="shared" si="120"/>
        <v>1</v>
      </c>
      <c r="U503" s="261"/>
      <c r="V503" s="261"/>
      <c r="W503" s="261"/>
      <c r="X503" s="261"/>
      <c r="Y503" s="261"/>
      <c r="Z503" s="261"/>
      <c r="AA503" s="261"/>
      <c r="AB503" s="261"/>
      <c r="AC503" s="261"/>
      <c r="AD503" s="261"/>
      <c r="AE503" s="261"/>
      <c r="AF503" s="261"/>
      <c r="AG503" s="1173">
        <f t="shared" si="131"/>
        <v>0</v>
      </c>
      <c r="AH503" s="61" t="str">
        <f t="shared" si="132"/>
        <v/>
      </c>
      <c r="AI503" s="89" t="e">
        <f t="shared" si="133"/>
        <v>#N/A</v>
      </c>
      <c r="AJ503" s="2"/>
      <c r="AK503" s="61">
        <f>IF(G503=G$547,0,IF(OR(G503&lt;&gt;0,CH503&lt;&gt;0,C503="L"),COUNTIF(AK$180:AK502,"&gt;0")+1,0))</f>
        <v>0</v>
      </c>
      <c r="AL503" s="61" t="str">
        <f t="shared" si="121"/>
        <v/>
      </c>
      <c r="AM503" s="61" t="e">
        <f t="shared" si="122"/>
        <v>#N/A</v>
      </c>
      <c r="AN503" s="89" t="e">
        <f t="shared" si="123"/>
        <v>#N/A</v>
      </c>
      <c r="AO503" s="230">
        <f>SUM(NOV!X26:AD26)-BD503+AY503</f>
        <v>0</v>
      </c>
      <c r="AP503" s="228">
        <f>SUMIF(NOV!$G$121:$M$121,AP$178,NOV!$P26:$V26)+SUMIF($AZ$178:$BC$178,AP$178,$AZ503:$BC503)</f>
        <v>0</v>
      </c>
      <c r="AQ503" s="229">
        <f>SUMIF(NOV!$G$121:$M$121,AQ$178,NOV!$P26:$V26)+SUMIF($AZ$178:$BC$178,AQ$178,$AZ503:$BC503)</f>
        <v>0</v>
      </c>
      <c r="AR503" s="230">
        <f>SUMIF(NOV!$G$121:$M$121,AR$178,NOV!$P26:$V26)+SUMIF($AZ$178:$BC$178,AR$178,$AZ503:$BC503)</f>
        <v>0</v>
      </c>
      <c r="AS503" s="230">
        <f>SUMIF(NOV!$G$121:$M$121,AS$178,NOV!$P26:$V26)+SUMIF($AZ$178:$BC$178,AS$178,$AZ503:$BC503)</f>
        <v>0</v>
      </c>
      <c r="AT503" s="230">
        <f>SUMIF(NOV!$G$121:$M$121,AT$178,NOV!$P26:$V26)+SUMIF($AZ$178:$BC$178,AT$178,$AZ503:$BC503)</f>
        <v>0</v>
      </c>
      <c r="AU503" s="230">
        <f>SUMIF(NOV!$G$121:$M$121,AU$178,NOV!$P26:$V26)+SUMIF($AZ$178:$BC$178,AU$178,$AZ503:$BC503)</f>
        <v>0</v>
      </c>
      <c r="AV503" s="230">
        <f>SUMIF(NOV!$G$121:$M$121,AV$178,NOV!$P26:$V26)+SUMIF($AZ$178:$BC$178,AV$178,$AZ503:$BC503)</f>
        <v>0</v>
      </c>
      <c r="AW503" s="230">
        <f>SUMIF(NOV!$G$121:$M$121,AW$178,NOV!$P26:$V26)+SUMIF($AZ$178:$BC$178,AW$178,$AZ503:$BC503)</f>
        <v>0</v>
      </c>
      <c r="AX503" s="231">
        <f>SUMIF(NOV!$G$121:$M$121,AX$178,NOV!$P26:$V26)+SUMIF($AZ$178:$BC$178,AX$178,$AZ503:$BC503)</f>
        <v>0</v>
      </c>
      <c r="AY503" s="232">
        <f>NOV!AF26</f>
        <v>0</v>
      </c>
      <c r="AZ503" s="228">
        <f>NOV!AG26</f>
        <v>0</v>
      </c>
      <c r="BA503" s="229">
        <f>NOV!AH26</f>
        <v>0</v>
      </c>
      <c r="BB503" s="230">
        <f>NOV!AI26</f>
        <v>0</v>
      </c>
      <c r="BC503" s="231">
        <f>NOV!AJ26</f>
        <v>0</v>
      </c>
      <c r="BD503" s="228">
        <f>SUMIF(NOV!$G$120:$M$120,"&gt;0",NOV!$X26:$AD26)</f>
        <v>0</v>
      </c>
      <c r="BE503" s="696"/>
      <c r="BF503" s="228">
        <f>SUMIF(NOV!$BA$6:$BG$6,BF$177,NOV!$BA26:$BG26)</f>
        <v>0</v>
      </c>
      <c r="BG503" s="229">
        <f>SUMIF(NOV!$BA$6:$BG$6,BG$177,NOV!$BA26:$BG26)</f>
        <v>0</v>
      </c>
      <c r="BH503" s="229">
        <f>SUMIF(NOV!$BA$6:$BG$6,BH$177,NOV!$BA26:$BG26)</f>
        <v>0</v>
      </c>
      <c r="BI503" s="229">
        <f>SUMIF(NOV!$BA$6:$BG$6,BI$177,NOV!$BA26:$BG26)</f>
        <v>0</v>
      </c>
      <c r="BJ503" s="229">
        <f>SUMIF(NOV!$BA$6:$BG$6,BJ$177,NOV!$BA26:$BG26)</f>
        <v>0</v>
      </c>
      <c r="BK503" s="229">
        <f>SUMIF(NOV!$BA$6:$BG$6,BK$177,NOV!$BA26:$BG26)</f>
        <v>0</v>
      </c>
      <c r="BL503" s="229">
        <f>SUMIF(NOV!$BA$6:$BG$6,BL$177,NOV!$BA26:$BG26)</f>
        <v>0</v>
      </c>
      <c r="BM503" s="229">
        <f>SUMIF(NOV!$BA$6:$BG$6,BM$177,NOV!$BA26:$BG26)</f>
        <v>0</v>
      </c>
      <c r="BN503" s="229">
        <f>SUMIF(NOV!$BA$6:$BG$6,BN$177,NOV!$BA26:$BG26)</f>
        <v>0</v>
      </c>
      <c r="BO503" s="231">
        <f>SUMIF(NOV!$BA$6:$BG$6,BO$177,NOV!$BA26:$BG26)</f>
        <v>0</v>
      </c>
      <c r="BP503" s="231">
        <f>SUMIF(NOV!$BA$6:$BG$6,BP$177,NOV!$BA26:$BG26)</f>
        <v>0</v>
      </c>
      <c r="BQ503" s="252"/>
      <c r="BR503" s="228">
        <f>SUMIF(NOV!$BA$5:$BG$5,BR$177,NOV!$BA26:$BG26)</f>
        <v>0</v>
      </c>
      <c r="BS503" s="229">
        <f>SUMIF(NOV!$BA$5:$BG$5,BS$177,NOV!$BA26:$BG26)</f>
        <v>0</v>
      </c>
      <c r="BT503" s="229">
        <f>SUMIF(NOV!$BA$5:$BG$5,BT$177,NOV!$BA26:$BG26)</f>
        <v>0</v>
      </c>
      <c r="BU503" s="229">
        <f>SUMIF(NOV!$BA$5:$BG$5,BU$177,NOV!$BA26:$BG26)</f>
        <v>0</v>
      </c>
      <c r="BV503" s="229">
        <f>SUMIF(NOV!$BA$5:$BG$5,BV$177,NOV!$BA26:$BG26)</f>
        <v>0</v>
      </c>
      <c r="BW503" s="229">
        <f>SUMIF(NOV!$BA$5:$BG$5,BW$177,NOV!$BA26:$BG26)</f>
        <v>0</v>
      </c>
      <c r="BX503" s="230">
        <f>SUMIF(NOV!$BA$5:$BG$5,BX$177,NOV!$BA26:$BG26)</f>
        <v>0</v>
      </c>
      <c r="BY503" s="998">
        <f>SUMIF(NOV!$BA$5:$BG$5,BY$177,NOV!$BA26:$BG26)</f>
        <v>0</v>
      </c>
      <c r="CB503" s="252"/>
      <c r="CC503" s="61" t="e">
        <f t="shared" si="124"/>
        <v>#N/A</v>
      </c>
      <c r="CD503" s="61">
        <f t="shared" si="125"/>
        <v>0</v>
      </c>
      <c r="CE503" s="105" t="str">
        <f t="shared" si="118"/>
        <v/>
      </c>
      <c r="CF503" s="61" t="e">
        <f t="shared" si="126"/>
        <v>#N/A</v>
      </c>
      <c r="CG503" s="61" t="e">
        <f t="shared" si="127"/>
        <v>#N/A</v>
      </c>
      <c r="CH503" s="521">
        <f>NOV!AL26-CW503+CR503</f>
        <v>0</v>
      </c>
      <c r="CI503" s="228">
        <f>SUMIF(NOV!$G$121:$M$121,CI$178,NOV!$AM26:$AS26)+SUMIF($CS$178:$CV$178,CI$178,$CS503:$CV503)</f>
        <v>0</v>
      </c>
      <c r="CJ503" s="229">
        <f>SUMIF(NOV!$G$121:$M$121,CJ$178,NOV!$AM26:$AS26)+SUMIF($CS$178:$CV$178,CJ$178,$CS503:$CV503)</f>
        <v>0</v>
      </c>
      <c r="CK503" s="230">
        <f>SUMIF(NOV!$G$121:$M$121,CK$178,NOV!$AM26:$AS26)+SUMIF($CS$178:$CV$178,CK$178,$CS503:$CV503)</f>
        <v>0</v>
      </c>
      <c r="CL503" s="230">
        <f>SUMIF(NOV!$G$121:$M$121,CL$178,NOV!$AM26:$AS26)+SUMIF($CS$178:$CV$178,CL$178,$CS503:$CV503)</f>
        <v>0</v>
      </c>
      <c r="CM503" s="230">
        <f>SUMIF(NOV!$G$121:$M$121,CM$178,NOV!$AM26:$AS26)+SUMIF($CS$178:$CV$178,CM$178,$CS503:$CV503)</f>
        <v>0</v>
      </c>
      <c r="CN503" s="230">
        <f>SUMIF(NOV!$G$121:$M$121,CN$178,NOV!$AM26:$AS26)+SUMIF($CS$178:$CV$178,CN$178,$CS503:$CV503)</f>
        <v>0</v>
      </c>
      <c r="CO503" s="230">
        <f>SUMIF(NOV!$G$121:$M$121,CO$178,NOV!$AM26:$AS26)+SUMIF($CS$178:$CV$178,CO$178,$CS503:$CV503)</f>
        <v>0</v>
      </c>
      <c r="CP503" s="230">
        <f>SUMIF(NOV!$G$121:$M$121,CP$178,NOV!$AM26:$AS26)+SUMIF($CS$178:$CV$178,CP$178,$CS503:$CV503)</f>
        <v>0</v>
      </c>
      <c r="CQ503" s="231">
        <f>SUMIF(NOV!$G$121:$M$121,CQ$178,NOV!$AM26:$AS26)+SUMIF($CS$178:$CV$178,CQ$178,$CS503:$CV503)</f>
        <v>0</v>
      </c>
      <c r="CR503" s="521">
        <f>NOV!AU26</f>
        <v>0</v>
      </c>
      <c r="CS503" s="228">
        <f>NOV!AV26</f>
        <v>0</v>
      </c>
      <c r="CT503" s="229">
        <f>NOV!AW26</f>
        <v>0</v>
      </c>
      <c r="CU503" s="230">
        <f>NOV!AX26</f>
        <v>0</v>
      </c>
      <c r="CV503" s="231">
        <f>NOV!AY26</f>
        <v>0</v>
      </c>
      <c r="CW503" s="521">
        <f>SUM(NOV!AU26:AY26)</f>
        <v>0</v>
      </c>
      <c r="CX503" s="521">
        <f>NOV!AK26</f>
        <v>0</v>
      </c>
      <c r="CY503" s="2"/>
    </row>
    <row r="504" spans="1:103" ht="14.25" hidden="1" customHeight="1" x14ac:dyDescent="0.2">
      <c r="A504" s="2"/>
      <c r="B504" s="105">
        <f t="shared" si="128"/>
        <v>45616</v>
      </c>
      <c r="C504" s="146">
        <f>IF(AND(E504&gt;(N$561-1),E504&lt;(R$561+1)),W$551,IF(ISERROR(HLOOKUP(E504,$N$554:$U$554,1,FALSE)),HLOOKUP(WEEKDAY(E504,2),IMPOSTAZIONI!$C$52:$P$57,6,FALSE),$W$550))</f>
        <v>0</v>
      </c>
      <c r="D504" s="71" t="str">
        <f t="shared" si="129"/>
        <v/>
      </c>
      <c r="E504" s="2258">
        <f t="shared" si="134"/>
        <v>45616</v>
      </c>
      <c r="F504" s="2259"/>
      <c r="G504" s="2228" t="str">
        <f>NOV!E27</f>
        <v xml:space="preserve">disattivato  </v>
      </c>
      <c r="H504" s="2229"/>
      <c r="I504" s="2230"/>
      <c r="J504" s="262" t="str">
        <f t="shared" si="119"/>
        <v/>
      </c>
      <c r="K504" s="263"/>
      <c r="L504" s="2217">
        <f t="shared" si="117"/>
        <v>47</v>
      </c>
      <c r="M504" s="2218"/>
      <c r="N504" s="261"/>
      <c r="O504" s="261"/>
      <c r="P504" s="261"/>
      <c r="Q504" s="2219">
        <f t="shared" si="130"/>
        <v>45616</v>
      </c>
      <c r="R504" s="2219"/>
      <c r="S504" s="261"/>
      <c r="T504" s="1173">
        <f t="shared" si="120"/>
        <v>1</v>
      </c>
      <c r="U504" s="261"/>
      <c r="V504" s="261"/>
      <c r="W504" s="261"/>
      <c r="X504" s="261"/>
      <c r="Y504" s="261"/>
      <c r="Z504" s="261"/>
      <c r="AA504" s="261"/>
      <c r="AB504" s="261"/>
      <c r="AC504" s="261"/>
      <c r="AD504" s="261"/>
      <c r="AE504" s="261"/>
      <c r="AF504" s="261"/>
      <c r="AG504" s="1173">
        <f t="shared" si="131"/>
        <v>0</v>
      </c>
      <c r="AH504" s="61" t="str">
        <f t="shared" si="132"/>
        <v/>
      </c>
      <c r="AI504" s="89" t="e">
        <f t="shared" si="133"/>
        <v>#N/A</v>
      </c>
      <c r="AJ504" s="2"/>
      <c r="AK504" s="61">
        <f>IF(G504=G$547,0,IF(OR(G504&lt;&gt;0,CH504&lt;&gt;0,C504="L"),COUNTIF(AK$180:AK503,"&gt;0")+1,0))</f>
        <v>0</v>
      </c>
      <c r="AL504" s="61" t="str">
        <f t="shared" si="121"/>
        <v/>
      </c>
      <c r="AM504" s="61" t="e">
        <f t="shared" si="122"/>
        <v>#N/A</v>
      </c>
      <c r="AN504" s="89" t="e">
        <f t="shared" si="123"/>
        <v>#N/A</v>
      </c>
      <c r="AO504" s="230">
        <f>SUM(NOV!X27:AD27)-BD504+AY504</f>
        <v>0</v>
      </c>
      <c r="AP504" s="228">
        <f>SUMIF(NOV!$G$121:$M$121,AP$178,NOV!$P27:$V27)+SUMIF($AZ$178:$BC$178,AP$178,$AZ504:$BC504)</f>
        <v>0</v>
      </c>
      <c r="AQ504" s="229">
        <f>SUMIF(NOV!$G$121:$M$121,AQ$178,NOV!$P27:$V27)+SUMIF($AZ$178:$BC$178,AQ$178,$AZ504:$BC504)</f>
        <v>0</v>
      </c>
      <c r="AR504" s="230">
        <f>SUMIF(NOV!$G$121:$M$121,AR$178,NOV!$P27:$V27)+SUMIF($AZ$178:$BC$178,AR$178,$AZ504:$BC504)</f>
        <v>0</v>
      </c>
      <c r="AS504" s="230">
        <f>SUMIF(NOV!$G$121:$M$121,AS$178,NOV!$P27:$V27)+SUMIF($AZ$178:$BC$178,AS$178,$AZ504:$BC504)</f>
        <v>0</v>
      </c>
      <c r="AT504" s="230">
        <f>SUMIF(NOV!$G$121:$M$121,AT$178,NOV!$P27:$V27)+SUMIF($AZ$178:$BC$178,AT$178,$AZ504:$BC504)</f>
        <v>0</v>
      </c>
      <c r="AU504" s="230">
        <f>SUMIF(NOV!$G$121:$M$121,AU$178,NOV!$P27:$V27)+SUMIF($AZ$178:$BC$178,AU$178,$AZ504:$BC504)</f>
        <v>0</v>
      </c>
      <c r="AV504" s="230">
        <f>SUMIF(NOV!$G$121:$M$121,AV$178,NOV!$P27:$V27)+SUMIF($AZ$178:$BC$178,AV$178,$AZ504:$BC504)</f>
        <v>0</v>
      </c>
      <c r="AW504" s="230">
        <f>SUMIF(NOV!$G$121:$M$121,AW$178,NOV!$P27:$V27)+SUMIF($AZ$178:$BC$178,AW$178,$AZ504:$BC504)</f>
        <v>0</v>
      </c>
      <c r="AX504" s="231">
        <f>SUMIF(NOV!$G$121:$M$121,AX$178,NOV!$P27:$V27)+SUMIF($AZ$178:$BC$178,AX$178,$AZ504:$BC504)</f>
        <v>0</v>
      </c>
      <c r="AY504" s="232">
        <f>NOV!AF27</f>
        <v>0</v>
      </c>
      <c r="AZ504" s="228">
        <f>NOV!AG27</f>
        <v>0</v>
      </c>
      <c r="BA504" s="229">
        <f>NOV!AH27</f>
        <v>0</v>
      </c>
      <c r="BB504" s="230">
        <f>NOV!AI27</f>
        <v>0</v>
      </c>
      <c r="BC504" s="231">
        <f>NOV!AJ27</f>
        <v>0</v>
      </c>
      <c r="BD504" s="228">
        <f>SUMIF(NOV!$G$120:$M$120,"&gt;0",NOV!$X27:$AD27)</f>
        <v>0</v>
      </c>
      <c r="BE504" s="696"/>
      <c r="BF504" s="228">
        <f>SUMIF(NOV!$BA$6:$BG$6,BF$177,NOV!$BA27:$BG27)</f>
        <v>0</v>
      </c>
      <c r="BG504" s="229">
        <f>SUMIF(NOV!$BA$6:$BG$6,BG$177,NOV!$BA27:$BG27)</f>
        <v>0</v>
      </c>
      <c r="BH504" s="229">
        <f>SUMIF(NOV!$BA$6:$BG$6,BH$177,NOV!$BA27:$BG27)</f>
        <v>0</v>
      </c>
      <c r="BI504" s="229">
        <f>SUMIF(NOV!$BA$6:$BG$6,BI$177,NOV!$BA27:$BG27)</f>
        <v>0</v>
      </c>
      <c r="BJ504" s="229">
        <f>SUMIF(NOV!$BA$6:$BG$6,BJ$177,NOV!$BA27:$BG27)</f>
        <v>0</v>
      </c>
      <c r="BK504" s="229">
        <f>SUMIF(NOV!$BA$6:$BG$6,BK$177,NOV!$BA27:$BG27)</f>
        <v>0</v>
      </c>
      <c r="BL504" s="229">
        <f>SUMIF(NOV!$BA$6:$BG$6,BL$177,NOV!$BA27:$BG27)</f>
        <v>0</v>
      </c>
      <c r="BM504" s="229">
        <f>SUMIF(NOV!$BA$6:$BG$6,BM$177,NOV!$BA27:$BG27)</f>
        <v>0</v>
      </c>
      <c r="BN504" s="229">
        <f>SUMIF(NOV!$BA$6:$BG$6,BN$177,NOV!$BA27:$BG27)</f>
        <v>0</v>
      </c>
      <c r="BO504" s="231">
        <f>SUMIF(NOV!$BA$6:$BG$6,BO$177,NOV!$BA27:$BG27)</f>
        <v>0</v>
      </c>
      <c r="BP504" s="231">
        <f>SUMIF(NOV!$BA$6:$BG$6,BP$177,NOV!$BA27:$BG27)</f>
        <v>0</v>
      </c>
      <c r="BQ504" s="252"/>
      <c r="BR504" s="228">
        <f>SUMIF(NOV!$BA$5:$BG$5,BR$177,NOV!$BA27:$BG27)</f>
        <v>0</v>
      </c>
      <c r="BS504" s="229">
        <f>SUMIF(NOV!$BA$5:$BG$5,BS$177,NOV!$BA27:$BG27)</f>
        <v>0</v>
      </c>
      <c r="BT504" s="229">
        <f>SUMIF(NOV!$BA$5:$BG$5,BT$177,NOV!$BA27:$BG27)</f>
        <v>0</v>
      </c>
      <c r="BU504" s="229">
        <f>SUMIF(NOV!$BA$5:$BG$5,BU$177,NOV!$BA27:$BG27)</f>
        <v>0</v>
      </c>
      <c r="BV504" s="229">
        <f>SUMIF(NOV!$BA$5:$BG$5,BV$177,NOV!$BA27:$BG27)</f>
        <v>0</v>
      </c>
      <c r="BW504" s="229">
        <f>SUMIF(NOV!$BA$5:$BG$5,BW$177,NOV!$BA27:$BG27)</f>
        <v>0</v>
      </c>
      <c r="BX504" s="230">
        <f>SUMIF(NOV!$BA$5:$BG$5,BX$177,NOV!$BA27:$BG27)</f>
        <v>0</v>
      </c>
      <c r="BY504" s="998">
        <f>SUMIF(NOV!$BA$5:$BG$5,BY$177,NOV!$BA27:$BG27)</f>
        <v>0</v>
      </c>
      <c r="CB504" s="252"/>
      <c r="CC504" s="61" t="e">
        <f t="shared" si="124"/>
        <v>#N/A</v>
      </c>
      <c r="CD504" s="61">
        <f t="shared" si="125"/>
        <v>0</v>
      </c>
      <c r="CE504" s="105" t="str">
        <f t="shared" si="118"/>
        <v/>
      </c>
      <c r="CF504" s="61" t="e">
        <f t="shared" si="126"/>
        <v>#N/A</v>
      </c>
      <c r="CG504" s="61" t="e">
        <f t="shared" si="127"/>
        <v>#N/A</v>
      </c>
      <c r="CH504" s="521">
        <f>NOV!AL27-CW504+CR504</f>
        <v>0</v>
      </c>
      <c r="CI504" s="228">
        <f>SUMIF(NOV!$G$121:$M$121,CI$178,NOV!$AM27:$AS27)+SUMIF($CS$178:$CV$178,CI$178,$CS504:$CV504)</f>
        <v>0</v>
      </c>
      <c r="CJ504" s="229">
        <f>SUMIF(NOV!$G$121:$M$121,CJ$178,NOV!$AM27:$AS27)+SUMIF($CS$178:$CV$178,CJ$178,$CS504:$CV504)</f>
        <v>0</v>
      </c>
      <c r="CK504" s="230">
        <f>SUMIF(NOV!$G$121:$M$121,CK$178,NOV!$AM27:$AS27)+SUMIF($CS$178:$CV$178,CK$178,$CS504:$CV504)</f>
        <v>0</v>
      </c>
      <c r="CL504" s="230">
        <f>SUMIF(NOV!$G$121:$M$121,CL$178,NOV!$AM27:$AS27)+SUMIF($CS$178:$CV$178,CL$178,$CS504:$CV504)</f>
        <v>0</v>
      </c>
      <c r="CM504" s="230">
        <f>SUMIF(NOV!$G$121:$M$121,CM$178,NOV!$AM27:$AS27)+SUMIF($CS$178:$CV$178,CM$178,$CS504:$CV504)</f>
        <v>0</v>
      </c>
      <c r="CN504" s="230">
        <f>SUMIF(NOV!$G$121:$M$121,CN$178,NOV!$AM27:$AS27)+SUMIF($CS$178:$CV$178,CN$178,$CS504:$CV504)</f>
        <v>0</v>
      </c>
      <c r="CO504" s="230">
        <f>SUMIF(NOV!$G$121:$M$121,CO$178,NOV!$AM27:$AS27)+SUMIF($CS$178:$CV$178,CO$178,$CS504:$CV504)</f>
        <v>0</v>
      </c>
      <c r="CP504" s="230">
        <f>SUMIF(NOV!$G$121:$M$121,CP$178,NOV!$AM27:$AS27)+SUMIF($CS$178:$CV$178,CP$178,$CS504:$CV504)</f>
        <v>0</v>
      </c>
      <c r="CQ504" s="231">
        <f>SUMIF(NOV!$G$121:$M$121,CQ$178,NOV!$AM27:$AS27)+SUMIF($CS$178:$CV$178,CQ$178,$CS504:$CV504)</f>
        <v>0</v>
      </c>
      <c r="CR504" s="521">
        <f>NOV!AU27</f>
        <v>0</v>
      </c>
      <c r="CS504" s="228">
        <f>NOV!AV27</f>
        <v>0</v>
      </c>
      <c r="CT504" s="229">
        <f>NOV!AW27</f>
        <v>0</v>
      </c>
      <c r="CU504" s="230">
        <f>NOV!AX27</f>
        <v>0</v>
      </c>
      <c r="CV504" s="231">
        <f>NOV!AY27</f>
        <v>0</v>
      </c>
      <c r="CW504" s="521">
        <f>SUM(NOV!AU27:AY27)</f>
        <v>0</v>
      </c>
      <c r="CX504" s="521">
        <f>NOV!AK27</f>
        <v>0</v>
      </c>
      <c r="CY504" s="2"/>
    </row>
    <row r="505" spans="1:103" ht="14.25" hidden="1" customHeight="1" x14ac:dyDescent="0.2">
      <c r="A505" s="2"/>
      <c r="B505" s="105">
        <f t="shared" si="128"/>
        <v>45617</v>
      </c>
      <c r="C505" s="146">
        <f>IF(AND(E505&gt;(N$561-1),E505&lt;(R$561+1)),W$551,IF(ISERROR(HLOOKUP(E505,$N$554:$U$554,1,FALSE)),HLOOKUP(WEEKDAY(E505,2),IMPOSTAZIONI!$C$52:$P$57,6,FALSE),$W$550))</f>
        <v>0</v>
      </c>
      <c r="D505" s="71" t="str">
        <f t="shared" si="129"/>
        <v/>
      </c>
      <c r="E505" s="2258">
        <f t="shared" si="134"/>
        <v>45617</v>
      </c>
      <c r="F505" s="2259"/>
      <c r="G505" s="2228" t="str">
        <f>NOV!E28</f>
        <v xml:space="preserve">disattivato  </v>
      </c>
      <c r="H505" s="2229"/>
      <c r="I505" s="2230"/>
      <c r="J505" s="262" t="str">
        <f t="shared" si="119"/>
        <v/>
      </c>
      <c r="K505" s="263"/>
      <c r="L505" s="2217">
        <f t="shared" si="117"/>
        <v>47</v>
      </c>
      <c r="M505" s="2218"/>
      <c r="N505" s="261"/>
      <c r="O505" s="261"/>
      <c r="P505" s="261"/>
      <c r="Q505" s="2219">
        <f t="shared" si="130"/>
        <v>45617</v>
      </c>
      <c r="R505" s="2219"/>
      <c r="S505" s="261"/>
      <c r="T505" s="1173">
        <f t="shared" si="120"/>
        <v>1</v>
      </c>
      <c r="U505" s="261"/>
      <c r="V505" s="261"/>
      <c r="W505" s="261"/>
      <c r="X505" s="261"/>
      <c r="Y505" s="261"/>
      <c r="Z505" s="261"/>
      <c r="AA505" s="261"/>
      <c r="AB505" s="261"/>
      <c r="AC505" s="261"/>
      <c r="AD505" s="261"/>
      <c r="AE505" s="261"/>
      <c r="AF505" s="261"/>
      <c r="AG505" s="1173">
        <f t="shared" si="131"/>
        <v>0</v>
      </c>
      <c r="AH505" s="61" t="str">
        <f t="shared" si="132"/>
        <v/>
      </c>
      <c r="AI505" s="89" t="e">
        <f t="shared" si="133"/>
        <v>#N/A</v>
      </c>
      <c r="AJ505" s="2"/>
      <c r="AK505" s="61">
        <f>IF(G505=G$547,0,IF(OR(G505&lt;&gt;0,CH505&lt;&gt;0,C505="L"),COUNTIF(AK$180:AK504,"&gt;0")+1,0))</f>
        <v>0</v>
      </c>
      <c r="AL505" s="61" t="str">
        <f t="shared" si="121"/>
        <v/>
      </c>
      <c r="AM505" s="61" t="e">
        <f t="shared" si="122"/>
        <v>#N/A</v>
      </c>
      <c r="AN505" s="89" t="e">
        <f t="shared" si="123"/>
        <v>#N/A</v>
      </c>
      <c r="AO505" s="230">
        <f>SUM(NOV!X28:AD28)-BD505+AY505</f>
        <v>0</v>
      </c>
      <c r="AP505" s="228">
        <f>SUMIF(NOV!$G$121:$M$121,AP$178,NOV!$P28:$V28)+SUMIF($AZ$178:$BC$178,AP$178,$AZ505:$BC505)</f>
        <v>0</v>
      </c>
      <c r="AQ505" s="229">
        <f>SUMIF(NOV!$G$121:$M$121,AQ$178,NOV!$P28:$V28)+SUMIF($AZ$178:$BC$178,AQ$178,$AZ505:$BC505)</f>
        <v>0</v>
      </c>
      <c r="AR505" s="230">
        <f>SUMIF(NOV!$G$121:$M$121,AR$178,NOV!$P28:$V28)+SUMIF($AZ$178:$BC$178,AR$178,$AZ505:$BC505)</f>
        <v>0</v>
      </c>
      <c r="AS505" s="230">
        <f>SUMIF(NOV!$G$121:$M$121,AS$178,NOV!$P28:$V28)+SUMIF($AZ$178:$BC$178,AS$178,$AZ505:$BC505)</f>
        <v>0</v>
      </c>
      <c r="AT505" s="230">
        <f>SUMIF(NOV!$G$121:$M$121,AT$178,NOV!$P28:$V28)+SUMIF($AZ$178:$BC$178,AT$178,$AZ505:$BC505)</f>
        <v>0</v>
      </c>
      <c r="AU505" s="230">
        <f>SUMIF(NOV!$G$121:$M$121,AU$178,NOV!$P28:$V28)+SUMIF($AZ$178:$BC$178,AU$178,$AZ505:$BC505)</f>
        <v>0</v>
      </c>
      <c r="AV505" s="230">
        <f>SUMIF(NOV!$G$121:$M$121,AV$178,NOV!$P28:$V28)+SUMIF($AZ$178:$BC$178,AV$178,$AZ505:$BC505)</f>
        <v>0</v>
      </c>
      <c r="AW505" s="230">
        <f>SUMIF(NOV!$G$121:$M$121,AW$178,NOV!$P28:$V28)+SUMIF($AZ$178:$BC$178,AW$178,$AZ505:$BC505)</f>
        <v>0</v>
      </c>
      <c r="AX505" s="231">
        <f>SUMIF(NOV!$G$121:$M$121,AX$178,NOV!$P28:$V28)+SUMIF($AZ$178:$BC$178,AX$178,$AZ505:$BC505)</f>
        <v>0</v>
      </c>
      <c r="AY505" s="232">
        <f>NOV!AF28</f>
        <v>0</v>
      </c>
      <c r="AZ505" s="228">
        <f>NOV!AG28</f>
        <v>0</v>
      </c>
      <c r="BA505" s="229">
        <f>NOV!AH28</f>
        <v>0</v>
      </c>
      <c r="BB505" s="230">
        <f>NOV!AI28</f>
        <v>0</v>
      </c>
      <c r="BC505" s="231">
        <f>NOV!AJ28</f>
        <v>0</v>
      </c>
      <c r="BD505" s="228">
        <f>SUMIF(NOV!$G$120:$M$120,"&gt;0",NOV!$X28:$AD28)</f>
        <v>0</v>
      </c>
      <c r="BE505" s="696"/>
      <c r="BF505" s="228">
        <f>SUMIF(NOV!$BA$6:$BG$6,BF$177,NOV!$BA28:$BG28)</f>
        <v>0</v>
      </c>
      <c r="BG505" s="229">
        <f>SUMIF(NOV!$BA$6:$BG$6,BG$177,NOV!$BA28:$BG28)</f>
        <v>0</v>
      </c>
      <c r="BH505" s="229">
        <f>SUMIF(NOV!$BA$6:$BG$6,BH$177,NOV!$BA28:$BG28)</f>
        <v>0</v>
      </c>
      <c r="BI505" s="229">
        <f>SUMIF(NOV!$BA$6:$BG$6,BI$177,NOV!$BA28:$BG28)</f>
        <v>0</v>
      </c>
      <c r="BJ505" s="229">
        <f>SUMIF(NOV!$BA$6:$BG$6,BJ$177,NOV!$BA28:$BG28)</f>
        <v>0</v>
      </c>
      <c r="BK505" s="229">
        <f>SUMIF(NOV!$BA$6:$BG$6,BK$177,NOV!$BA28:$BG28)</f>
        <v>0</v>
      </c>
      <c r="BL505" s="229">
        <f>SUMIF(NOV!$BA$6:$BG$6,BL$177,NOV!$BA28:$BG28)</f>
        <v>0</v>
      </c>
      <c r="BM505" s="229">
        <f>SUMIF(NOV!$BA$6:$BG$6,BM$177,NOV!$BA28:$BG28)</f>
        <v>0</v>
      </c>
      <c r="BN505" s="229">
        <f>SUMIF(NOV!$BA$6:$BG$6,BN$177,NOV!$BA28:$BG28)</f>
        <v>0</v>
      </c>
      <c r="BO505" s="231">
        <f>SUMIF(NOV!$BA$6:$BG$6,BO$177,NOV!$BA28:$BG28)</f>
        <v>0</v>
      </c>
      <c r="BP505" s="231">
        <f>SUMIF(NOV!$BA$6:$BG$6,BP$177,NOV!$BA28:$BG28)</f>
        <v>0</v>
      </c>
      <c r="BQ505" s="252"/>
      <c r="BR505" s="228">
        <f>SUMIF(NOV!$BA$5:$BG$5,BR$177,NOV!$BA28:$BG28)</f>
        <v>0</v>
      </c>
      <c r="BS505" s="229">
        <f>SUMIF(NOV!$BA$5:$BG$5,BS$177,NOV!$BA28:$BG28)</f>
        <v>0</v>
      </c>
      <c r="BT505" s="229">
        <f>SUMIF(NOV!$BA$5:$BG$5,BT$177,NOV!$BA28:$BG28)</f>
        <v>0</v>
      </c>
      <c r="BU505" s="229">
        <f>SUMIF(NOV!$BA$5:$BG$5,BU$177,NOV!$BA28:$BG28)</f>
        <v>0</v>
      </c>
      <c r="BV505" s="229">
        <f>SUMIF(NOV!$BA$5:$BG$5,BV$177,NOV!$BA28:$BG28)</f>
        <v>0</v>
      </c>
      <c r="BW505" s="229">
        <f>SUMIF(NOV!$BA$5:$BG$5,BW$177,NOV!$BA28:$BG28)</f>
        <v>0</v>
      </c>
      <c r="BX505" s="230">
        <f>SUMIF(NOV!$BA$5:$BG$5,BX$177,NOV!$BA28:$BG28)</f>
        <v>0</v>
      </c>
      <c r="BY505" s="998">
        <f>SUMIF(NOV!$BA$5:$BG$5,BY$177,NOV!$BA28:$BG28)</f>
        <v>0</v>
      </c>
      <c r="CB505" s="252"/>
      <c r="CC505" s="61" t="e">
        <f t="shared" si="124"/>
        <v>#N/A</v>
      </c>
      <c r="CD505" s="61">
        <f t="shared" si="125"/>
        <v>0</v>
      </c>
      <c r="CE505" s="105" t="str">
        <f t="shared" si="118"/>
        <v/>
      </c>
      <c r="CF505" s="61" t="e">
        <f t="shared" si="126"/>
        <v>#N/A</v>
      </c>
      <c r="CG505" s="61" t="e">
        <f t="shared" si="127"/>
        <v>#N/A</v>
      </c>
      <c r="CH505" s="521">
        <f>NOV!AL28-CW505+CR505</f>
        <v>0</v>
      </c>
      <c r="CI505" s="228">
        <f>SUMIF(NOV!$G$121:$M$121,CI$178,NOV!$AM28:$AS28)+SUMIF($CS$178:$CV$178,CI$178,$CS505:$CV505)</f>
        <v>0</v>
      </c>
      <c r="CJ505" s="229">
        <f>SUMIF(NOV!$G$121:$M$121,CJ$178,NOV!$AM28:$AS28)+SUMIF($CS$178:$CV$178,CJ$178,$CS505:$CV505)</f>
        <v>0</v>
      </c>
      <c r="CK505" s="230">
        <f>SUMIF(NOV!$G$121:$M$121,CK$178,NOV!$AM28:$AS28)+SUMIF($CS$178:$CV$178,CK$178,$CS505:$CV505)</f>
        <v>0</v>
      </c>
      <c r="CL505" s="230">
        <f>SUMIF(NOV!$G$121:$M$121,CL$178,NOV!$AM28:$AS28)+SUMIF($CS$178:$CV$178,CL$178,$CS505:$CV505)</f>
        <v>0</v>
      </c>
      <c r="CM505" s="230">
        <f>SUMIF(NOV!$G$121:$M$121,CM$178,NOV!$AM28:$AS28)+SUMIF($CS$178:$CV$178,CM$178,$CS505:$CV505)</f>
        <v>0</v>
      </c>
      <c r="CN505" s="230">
        <f>SUMIF(NOV!$G$121:$M$121,CN$178,NOV!$AM28:$AS28)+SUMIF($CS$178:$CV$178,CN$178,$CS505:$CV505)</f>
        <v>0</v>
      </c>
      <c r="CO505" s="230">
        <f>SUMIF(NOV!$G$121:$M$121,CO$178,NOV!$AM28:$AS28)+SUMIF($CS$178:$CV$178,CO$178,$CS505:$CV505)</f>
        <v>0</v>
      </c>
      <c r="CP505" s="230">
        <f>SUMIF(NOV!$G$121:$M$121,CP$178,NOV!$AM28:$AS28)+SUMIF($CS$178:$CV$178,CP$178,$CS505:$CV505)</f>
        <v>0</v>
      </c>
      <c r="CQ505" s="231">
        <f>SUMIF(NOV!$G$121:$M$121,CQ$178,NOV!$AM28:$AS28)+SUMIF($CS$178:$CV$178,CQ$178,$CS505:$CV505)</f>
        <v>0</v>
      </c>
      <c r="CR505" s="521">
        <f>NOV!AU28</f>
        <v>0</v>
      </c>
      <c r="CS505" s="228">
        <f>NOV!AV28</f>
        <v>0</v>
      </c>
      <c r="CT505" s="229">
        <f>NOV!AW28</f>
        <v>0</v>
      </c>
      <c r="CU505" s="230">
        <f>NOV!AX28</f>
        <v>0</v>
      </c>
      <c r="CV505" s="231">
        <f>NOV!AY28</f>
        <v>0</v>
      </c>
      <c r="CW505" s="521">
        <f>SUM(NOV!AU28:AY28)</f>
        <v>0</v>
      </c>
      <c r="CX505" s="521">
        <f>NOV!AK28</f>
        <v>0</v>
      </c>
      <c r="CY505" s="2"/>
    </row>
    <row r="506" spans="1:103" ht="14.25" hidden="1" customHeight="1" x14ac:dyDescent="0.2">
      <c r="A506" s="2"/>
      <c r="B506" s="105">
        <f t="shared" si="128"/>
        <v>45618</v>
      </c>
      <c r="C506" s="146">
        <f>IF(AND(E506&gt;(N$561-1),E506&lt;(R$561+1)),W$551,IF(ISERROR(HLOOKUP(E506,$N$554:$U$554,1,FALSE)),HLOOKUP(WEEKDAY(E506,2),IMPOSTAZIONI!$C$52:$P$57,6,FALSE),$W$550))</f>
        <v>0</v>
      </c>
      <c r="D506" s="71" t="str">
        <f t="shared" si="129"/>
        <v/>
      </c>
      <c r="E506" s="2258">
        <f t="shared" si="134"/>
        <v>45618</v>
      </c>
      <c r="F506" s="2259"/>
      <c r="G506" s="2228" t="str">
        <f>NOV!E29</f>
        <v xml:space="preserve">disattivato  </v>
      </c>
      <c r="H506" s="2229"/>
      <c r="I506" s="2230"/>
      <c r="J506" s="262" t="str">
        <f t="shared" si="119"/>
        <v/>
      </c>
      <c r="K506" s="263"/>
      <c r="L506" s="2217">
        <f t="shared" si="117"/>
        <v>47</v>
      </c>
      <c r="M506" s="2218"/>
      <c r="N506" s="261"/>
      <c r="O506" s="261"/>
      <c r="P506" s="261"/>
      <c r="Q506" s="2219">
        <f t="shared" si="130"/>
        <v>45618</v>
      </c>
      <c r="R506" s="2219"/>
      <c r="S506" s="261"/>
      <c r="T506" s="1173">
        <f t="shared" si="120"/>
        <v>1</v>
      </c>
      <c r="U506" s="261"/>
      <c r="V506" s="261"/>
      <c r="W506" s="261"/>
      <c r="X506" s="261"/>
      <c r="Y506" s="261"/>
      <c r="Z506" s="261"/>
      <c r="AA506" s="261"/>
      <c r="AB506" s="261"/>
      <c r="AC506" s="261"/>
      <c r="AD506" s="261"/>
      <c r="AE506" s="261"/>
      <c r="AF506" s="261"/>
      <c r="AG506" s="1173">
        <f t="shared" si="131"/>
        <v>0</v>
      </c>
      <c r="AH506" s="61" t="str">
        <f t="shared" si="132"/>
        <v/>
      </c>
      <c r="AI506" s="89" t="e">
        <f t="shared" si="133"/>
        <v>#N/A</v>
      </c>
      <c r="AJ506" s="2"/>
      <c r="AK506" s="61">
        <f>IF(G506=G$547,0,IF(OR(G506&lt;&gt;0,CH506&lt;&gt;0,C506="L"),COUNTIF(AK$180:AK505,"&gt;0")+1,0))</f>
        <v>0</v>
      </c>
      <c r="AL506" s="61" t="str">
        <f t="shared" si="121"/>
        <v/>
      </c>
      <c r="AM506" s="61" t="e">
        <f t="shared" si="122"/>
        <v>#N/A</v>
      </c>
      <c r="AN506" s="89" t="e">
        <f t="shared" si="123"/>
        <v>#N/A</v>
      </c>
      <c r="AO506" s="230">
        <f>SUM(NOV!X29:AD29)-BD506+AY506</f>
        <v>0</v>
      </c>
      <c r="AP506" s="228">
        <f>SUMIF(NOV!$G$121:$M$121,AP$178,NOV!$P29:$V29)+SUMIF($AZ$178:$BC$178,AP$178,$AZ506:$BC506)</f>
        <v>0</v>
      </c>
      <c r="AQ506" s="229">
        <f>SUMIF(NOV!$G$121:$M$121,AQ$178,NOV!$P29:$V29)+SUMIF($AZ$178:$BC$178,AQ$178,$AZ506:$BC506)</f>
        <v>0</v>
      </c>
      <c r="AR506" s="230">
        <f>SUMIF(NOV!$G$121:$M$121,AR$178,NOV!$P29:$V29)+SUMIF($AZ$178:$BC$178,AR$178,$AZ506:$BC506)</f>
        <v>0</v>
      </c>
      <c r="AS506" s="230">
        <f>SUMIF(NOV!$G$121:$M$121,AS$178,NOV!$P29:$V29)+SUMIF($AZ$178:$BC$178,AS$178,$AZ506:$BC506)</f>
        <v>0</v>
      </c>
      <c r="AT506" s="230">
        <f>SUMIF(NOV!$G$121:$M$121,AT$178,NOV!$P29:$V29)+SUMIF($AZ$178:$BC$178,AT$178,$AZ506:$BC506)</f>
        <v>0</v>
      </c>
      <c r="AU506" s="230">
        <f>SUMIF(NOV!$G$121:$M$121,AU$178,NOV!$P29:$V29)+SUMIF($AZ$178:$BC$178,AU$178,$AZ506:$BC506)</f>
        <v>0</v>
      </c>
      <c r="AV506" s="230">
        <f>SUMIF(NOV!$G$121:$M$121,AV$178,NOV!$P29:$V29)+SUMIF($AZ$178:$BC$178,AV$178,$AZ506:$BC506)</f>
        <v>0</v>
      </c>
      <c r="AW506" s="230">
        <f>SUMIF(NOV!$G$121:$M$121,AW$178,NOV!$P29:$V29)+SUMIF($AZ$178:$BC$178,AW$178,$AZ506:$BC506)</f>
        <v>0</v>
      </c>
      <c r="AX506" s="231">
        <f>SUMIF(NOV!$G$121:$M$121,AX$178,NOV!$P29:$V29)+SUMIF($AZ$178:$BC$178,AX$178,$AZ506:$BC506)</f>
        <v>0</v>
      </c>
      <c r="AY506" s="232">
        <f>NOV!AF29</f>
        <v>0</v>
      </c>
      <c r="AZ506" s="228">
        <f>NOV!AG29</f>
        <v>0</v>
      </c>
      <c r="BA506" s="229">
        <f>NOV!AH29</f>
        <v>0</v>
      </c>
      <c r="BB506" s="230">
        <f>NOV!AI29</f>
        <v>0</v>
      </c>
      <c r="BC506" s="231">
        <f>NOV!AJ29</f>
        <v>0</v>
      </c>
      <c r="BD506" s="228">
        <f>SUMIF(NOV!$G$120:$M$120,"&gt;0",NOV!$X29:$AD29)</f>
        <v>0</v>
      </c>
      <c r="BE506" s="696"/>
      <c r="BF506" s="228">
        <f>SUMIF(NOV!$BA$6:$BG$6,BF$177,NOV!$BA29:$BG29)</f>
        <v>0</v>
      </c>
      <c r="BG506" s="229">
        <f>SUMIF(NOV!$BA$6:$BG$6,BG$177,NOV!$BA29:$BG29)</f>
        <v>0</v>
      </c>
      <c r="BH506" s="229">
        <f>SUMIF(NOV!$BA$6:$BG$6,BH$177,NOV!$BA29:$BG29)</f>
        <v>0</v>
      </c>
      <c r="BI506" s="229">
        <f>SUMIF(NOV!$BA$6:$BG$6,BI$177,NOV!$BA29:$BG29)</f>
        <v>0</v>
      </c>
      <c r="BJ506" s="229">
        <f>SUMIF(NOV!$BA$6:$BG$6,BJ$177,NOV!$BA29:$BG29)</f>
        <v>0</v>
      </c>
      <c r="BK506" s="229">
        <f>SUMIF(NOV!$BA$6:$BG$6,BK$177,NOV!$BA29:$BG29)</f>
        <v>0</v>
      </c>
      <c r="BL506" s="229">
        <f>SUMIF(NOV!$BA$6:$BG$6,BL$177,NOV!$BA29:$BG29)</f>
        <v>0</v>
      </c>
      <c r="BM506" s="229">
        <f>SUMIF(NOV!$BA$6:$BG$6,BM$177,NOV!$BA29:$BG29)</f>
        <v>0</v>
      </c>
      <c r="BN506" s="229">
        <f>SUMIF(NOV!$BA$6:$BG$6,BN$177,NOV!$BA29:$BG29)</f>
        <v>0</v>
      </c>
      <c r="BO506" s="231">
        <f>SUMIF(NOV!$BA$6:$BG$6,BO$177,NOV!$BA29:$BG29)</f>
        <v>0</v>
      </c>
      <c r="BP506" s="231">
        <f>SUMIF(NOV!$BA$6:$BG$6,BP$177,NOV!$BA29:$BG29)</f>
        <v>0</v>
      </c>
      <c r="BQ506" s="252"/>
      <c r="BR506" s="228">
        <f>SUMIF(NOV!$BA$5:$BG$5,BR$177,NOV!$BA29:$BG29)</f>
        <v>0</v>
      </c>
      <c r="BS506" s="229">
        <f>SUMIF(NOV!$BA$5:$BG$5,BS$177,NOV!$BA29:$BG29)</f>
        <v>0</v>
      </c>
      <c r="BT506" s="229">
        <f>SUMIF(NOV!$BA$5:$BG$5,BT$177,NOV!$BA29:$BG29)</f>
        <v>0</v>
      </c>
      <c r="BU506" s="229">
        <f>SUMIF(NOV!$BA$5:$BG$5,BU$177,NOV!$BA29:$BG29)</f>
        <v>0</v>
      </c>
      <c r="BV506" s="229">
        <f>SUMIF(NOV!$BA$5:$BG$5,BV$177,NOV!$BA29:$BG29)</f>
        <v>0</v>
      </c>
      <c r="BW506" s="229">
        <f>SUMIF(NOV!$BA$5:$BG$5,BW$177,NOV!$BA29:$BG29)</f>
        <v>0</v>
      </c>
      <c r="BX506" s="230">
        <f>SUMIF(NOV!$BA$5:$BG$5,BX$177,NOV!$BA29:$BG29)</f>
        <v>0</v>
      </c>
      <c r="BY506" s="998">
        <f>SUMIF(NOV!$BA$5:$BG$5,BY$177,NOV!$BA29:$BG29)</f>
        <v>0</v>
      </c>
      <c r="CB506" s="252"/>
      <c r="CC506" s="61" t="e">
        <f t="shared" si="124"/>
        <v>#N/A</v>
      </c>
      <c r="CD506" s="61">
        <f t="shared" si="125"/>
        <v>0</v>
      </c>
      <c r="CE506" s="105" t="str">
        <f t="shared" si="118"/>
        <v/>
      </c>
      <c r="CF506" s="61" t="e">
        <f t="shared" si="126"/>
        <v>#N/A</v>
      </c>
      <c r="CG506" s="61" t="e">
        <f t="shared" si="127"/>
        <v>#N/A</v>
      </c>
      <c r="CH506" s="521">
        <f>NOV!AL29-CW506+CR506</f>
        <v>0</v>
      </c>
      <c r="CI506" s="228">
        <f>SUMIF(NOV!$G$121:$M$121,CI$178,NOV!$AM29:$AS29)+SUMIF($CS$178:$CV$178,CI$178,$CS506:$CV506)</f>
        <v>0</v>
      </c>
      <c r="CJ506" s="229">
        <f>SUMIF(NOV!$G$121:$M$121,CJ$178,NOV!$AM29:$AS29)+SUMIF($CS$178:$CV$178,CJ$178,$CS506:$CV506)</f>
        <v>0</v>
      </c>
      <c r="CK506" s="230">
        <f>SUMIF(NOV!$G$121:$M$121,CK$178,NOV!$AM29:$AS29)+SUMIF($CS$178:$CV$178,CK$178,$CS506:$CV506)</f>
        <v>0</v>
      </c>
      <c r="CL506" s="230">
        <f>SUMIF(NOV!$G$121:$M$121,CL$178,NOV!$AM29:$AS29)+SUMIF($CS$178:$CV$178,CL$178,$CS506:$CV506)</f>
        <v>0</v>
      </c>
      <c r="CM506" s="230">
        <f>SUMIF(NOV!$G$121:$M$121,CM$178,NOV!$AM29:$AS29)+SUMIF($CS$178:$CV$178,CM$178,$CS506:$CV506)</f>
        <v>0</v>
      </c>
      <c r="CN506" s="230">
        <f>SUMIF(NOV!$G$121:$M$121,CN$178,NOV!$AM29:$AS29)+SUMIF($CS$178:$CV$178,CN$178,$CS506:$CV506)</f>
        <v>0</v>
      </c>
      <c r="CO506" s="230">
        <f>SUMIF(NOV!$G$121:$M$121,CO$178,NOV!$AM29:$AS29)+SUMIF($CS$178:$CV$178,CO$178,$CS506:$CV506)</f>
        <v>0</v>
      </c>
      <c r="CP506" s="230">
        <f>SUMIF(NOV!$G$121:$M$121,CP$178,NOV!$AM29:$AS29)+SUMIF($CS$178:$CV$178,CP$178,$CS506:$CV506)</f>
        <v>0</v>
      </c>
      <c r="CQ506" s="231">
        <f>SUMIF(NOV!$G$121:$M$121,CQ$178,NOV!$AM29:$AS29)+SUMIF($CS$178:$CV$178,CQ$178,$CS506:$CV506)</f>
        <v>0</v>
      </c>
      <c r="CR506" s="521">
        <f>NOV!AU29</f>
        <v>0</v>
      </c>
      <c r="CS506" s="228">
        <f>NOV!AV29</f>
        <v>0</v>
      </c>
      <c r="CT506" s="229">
        <f>NOV!AW29</f>
        <v>0</v>
      </c>
      <c r="CU506" s="230">
        <f>NOV!AX29</f>
        <v>0</v>
      </c>
      <c r="CV506" s="231">
        <f>NOV!AY29</f>
        <v>0</v>
      </c>
      <c r="CW506" s="521">
        <f>SUM(NOV!AU29:AY29)</f>
        <v>0</v>
      </c>
      <c r="CX506" s="521">
        <f>NOV!AK29</f>
        <v>0</v>
      </c>
      <c r="CY506" s="2"/>
    </row>
    <row r="507" spans="1:103" ht="14.25" hidden="1" customHeight="1" x14ac:dyDescent="0.2">
      <c r="A507" s="2"/>
      <c r="B507" s="105">
        <f t="shared" si="128"/>
        <v>45619</v>
      </c>
      <c r="C507" s="146">
        <f>IF(AND(E507&gt;(N$561-1),E507&lt;(R$561+1)),W$551,IF(ISERROR(HLOOKUP(E507,$N$554:$U$554,1,FALSE)),HLOOKUP(WEEKDAY(E507,2),IMPOSTAZIONI!$C$52:$P$57,6,FALSE),$W$550))</f>
        <v>0</v>
      </c>
      <c r="D507" s="71" t="str">
        <f t="shared" si="129"/>
        <v/>
      </c>
      <c r="E507" s="2258">
        <f t="shared" si="134"/>
        <v>45619</v>
      </c>
      <c r="F507" s="2259"/>
      <c r="G507" s="2228" t="str">
        <f>NOV!E30</f>
        <v xml:space="preserve">disattivato  </v>
      </c>
      <c r="H507" s="2229"/>
      <c r="I507" s="2230"/>
      <c r="J507" s="262" t="str">
        <f t="shared" si="119"/>
        <v/>
      </c>
      <c r="K507" s="263"/>
      <c r="L507" s="2217">
        <f t="shared" si="117"/>
        <v>47</v>
      </c>
      <c r="M507" s="2218"/>
      <c r="N507" s="261"/>
      <c r="O507" s="261"/>
      <c r="P507" s="261"/>
      <c r="Q507" s="2219">
        <f t="shared" si="130"/>
        <v>45619</v>
      </c>
      <c r="R507" s="2219"/>
      <c r="S507" s="261"/>
      <c r="T507" s="1173">
        <f t="shared" si="120"/>
        <v>1</v>
      </c>
      <c r="U507" s="261"/>
      <c r="V507" s="261"/>
      <c r="W507" s="261"/>
      <c r="X507" s="261"/>
      <c r="Y507" s="261"/>
      <c r="Z507" s="261"/>
      <c r="AA507" s="261"/>
      <c r="AB507" s="261"/>
      <c r="AC507" s="261"/>
      <c r="AD507" s="261"/>
      <c r="AE507" s="261"/>
      <c r="AF507" s="261"/>
      <c r="AG507" s="1173">
        <f t="shared" si="131"/>
        <v>0</v>
      </c>
      <c r="AH507" s="61" t="str">
        <f t="shared" si="132"/>
        <v/>
      </c>
      <c r="AI507" s="89" t="e">
        <f t="shared" si="133"/>
        <v>#N/A</v>
      </c>
      <c r="AJ507" s="2"/>
      <c r="AK507" s="61">
        <f>IF(G507=G$547,0,IF(OR(G507&lt;&gt;0,CH507&lt;&gt;0,C507="L"),COUNTIF(AK$180:AK506,"&gt;0")+1,0))</f>
        <v>0</v>
      </c>
      <c r="AL507" s="61" t="str">
        <f t="shared" si="121"/>
        <v/>
      </c>
      <c r="AM507" s="61" t="e">
        <f t="shared" si="122"/>
        <v>#N/A</v>
      </c>
      <c r="AN507" s="89" t="e">
        <f t="shared" si="123"/>
        <v>#N/A</v>
      </c>
      <c r="AO507" s="230">
        <f>SUM(NOV!X30:AD30)-BD507+AY507</f>
        <v>0</v>
      </c>
      <c r="AP507" s="228">
        <f>SUMIF(NOV!$G$121:$M$121,AP$178,NOV!$P30:$V30)+SUMIF($AZ$178:$BC$178,AP$178,$AZ507:$BC507)</f>
        <v>0</v>
      </c>
      <c r="AQ507" s="229">
        <f>SUMIF(NOV!$G$121:$M$121,AQ$178,NOV!$P30:$V30)+SUMIF($AZ$178:$BC$178,AQ$178,$AZ507:$BC507)</f>
        <v>0</v>
      </c>
      <c r="AR507" s="230">
        <f>SUMIF(NOV!$G$121:$M$121,AR$178,NOV!$P30:$V30)+SUMIF($AZ$178:$BC$178,AR$178,$AZ507:$BC507)</f>
        <v>0</v>
      </c>
      <c r="AS507" s="230">
        <f>SUMIF(NOV!$G$121:$M$121,AS$178,NOV!$P30:$V30)+SUMIF($AZ$178:$BC$178,AS$178,$AZ507:$BC507)</f>
        <v>0</v>
      </c>
      <c r="AT507" s="230">
        <f>SUMIF(NOV!$G$121:$M$121,AT$178,NOV!$P30:$V30)+SUMIF($AZ$178:$BC$178,AT$178,$AZ507:$BC507)</f>
        <v>0</v>
      </c>
      <c r="AU507" s="230">
        <f>SUMIF(NOV!$G$121:$M$121,AU$178,NOV!$P30:$V30)+SUMIF($AZ$178:$BC$178,AU$178,$AZ507:$BC507)</f>
        <v>0</v>
      </c>
      <c r="AV507" s="230">
        <f>SUMIF(NOV!$G$121:$M$121,AV$178,NOV!$P30:$V30)+SUMIF($AZ$178:$BC$178,AV$178,$AZ507:$BC507)</f>
        <v>0</v>
      </c>
      <c r="AW507" s="230">
        <f>SUMIF(NOV!$G$121:$M$121,AW$178,NOV!$P30:$V30)+SUMIF($AZ$178:$BC$178,AW$178,$AZ507:$BC507)</f>
        <v>0</v>
      </c>
      <c r="AX507" s="231">
        <f>SUMIF(NOV!$G$121:$M$121,AX$178,NOV!$P30:$V30)+SUMIF($AZ$178:$BC$178,AX$178,$AZ507:$BC507)</f>
        <v>0</v>
      </c>
      <c r="AY507" s="232">
        <f>NOV!AF30</f>
        <v>0</v>
      </c>
      <c r="AZ507" s="228">
        <f>NOV!AG30</f>
        <v>0</v>
      </c>
      <c r="BA507" s="229">
        <f>NOV!AH30</f>
        <v>0</v>
      </c>
      <c r="BB507" s="230">
        <f>NOV!AI30</f>
        <v>0</v>
      </c>
      <c r="BC507" s="231">
        <f>NOV!AJ30</f>
        <v>0</v>
      </c>
      <c r="BD507" s="228">
        <f>SUMIF(NOV!$G$120:$M$120,"&gt;0",NOV!$X30:$AD30)</f>
        <v>0</v>
      </c>
      <c r="BE507" s="696"/>
      <c r="BF507" s="228">
        <f>SUMIF(NOV!$BA$6:$BG$6,BF$177,NOV!$BA30:$BG30)</f>
        <v>0</v>
      </c>
      <c r="BG507" s="229">
        <f>SUMIF(NOV!$BA$6:$BG$6,BG$177,NOV!$BA30:$BG30)</f>
        <v>0</v>
      </c>
      <c r="BH507" s="229">
        <f>SUMIF(NOV!$BA$6:$BG$6,BH$177,NOV!$BA30:$BG30)</f>
        <v>0</v>
      </c>
      <c r="BI507" s="229">
        <f>SUMIF(NOV!$BA$6:$BG$6,BI$177,NOV!$BA30:$BG30)</f>
        <v>0</v>
      </c>
      <c r="BJ507" s="229">
        <f>SUMIF(NOV!$BA$6:$BG$6,BJ$177,NOV!$BA30:$BG30)</f>
        <v>0</v>
      </c>
      <c r="BK507" s="229">
        <f>SUMIF(NOV!$BA$6:$BG$6,BK$177,NOV!$BA30:$BG30)</f>
        <v>0</v>
      </c>
      <c r="BL507" s="229">
        <f>SUMIF(NOV!$BA$6:$BG$6,BL$177,NOV!$BA30:$BG30)</f>
        <v>0</v>
      </c>
      <c r="BM507" s="229">
        <f>SUMIF(NOV!$BA$6:$BG$6,BM$177,NOV!$BA30:$BG30)</f>
        <v>0</v>
      </c>
      <c r="BN507" s="229">
        <f>SUMIF(NOV!$BA$6:$BG$6,BN$177,NOV!$BA30:$BG30)</f>
        <v>0</v>
      </c>
      <c r="BO507" s="231">
        <f>SUMIF(NOV!$BA$6:$BG$6,BO$177,NOV!$BA30:$BG30)</f>
        <v>0</v>
      </c>
      <c r="BP507" s="231">
        <f>SUMIF(NOV!$BA$6:$BG$6,BP$177,NOV!$BA30:$BG30)</f>
        <v>0</v>
      </c>
      <c r="BQ507" s="252"/>
      <c r="BR507" s="228">
        <f>SUMIF(NOV!$BA$5:$BG$5,BR$177,NOV!$BA30:$BG30)</f>
        <v>0</v>
      </c>
      <c r="BS507" s="229">
        <f>SUMIF(NOV!$BA$5:$BG$5,BS$177,NOV!$BA30:$BG30)</f>
        <v>0</v>
      </c>
      <c r="BT507" s="229">
        <f>SUMIF(NOV!$BA$5:$BG$5,BT$177,NOV!$BA30:$BG30)</f>
        <v>0</v>
      </c>
      <c r="BU507" s="229">
        <f>SUMIF(NOV!$BA$5:$BG$5,BU$177,NOV!$BA30:$BG30)</f>
        <v>0</v>
      </c>
      <c r="BV507" s="229">
        <f>SUMIF(NOV!$BA$5:$BG$5,BV$177,NOV!$BA30:$BG30)</f>
        <v>0</v>
      </c>
      <c r="BW507" s="229">
        <f>SUMIF(NOV!$BA$5:$BG$5,BW$177,NOV!$BA30:$BG30)</f>
        <v>0</v>
      </c>
      <c r="BX507" s="230">
        <f>SUMIF(NOV!$BA$5:$BG$5,BX$177,NOV!$BA30:$BG30)</f>
        <v>0</v>
      </c>
      <c r="BY507" s="998">
        <f>SUMIF(NOV!$BA$5:$BG$5,BY$177,NOV!$BA30:$BG30)</f>
        <v>0</v>
      </c>
      <c r="CB507" s="252"/>
      <c r="CC507" s="61" t="e">
        <f t="shared" si="124"/>
        <v>#N/A</v>
      </c>
      <c r="CD507" s="61">
        <f t="shared" si="125"/>
        <v>0</v>
      </c>
      <c r="CE507" s="105" t="str">
        <f t="shared" si="118"/>
        <v/>
      </c>
      <c r="CF507" s="61" t="e">
        <f t="shared" si="126"/>
        <v>#N/A</v>
      </c>
      <c r="CG507" s="61" t="e">
        <f t="shared" si="127"/>
        <v>#N/A</v>
      </c>
      <c r="CH507" s="521">
        <f>NOV!AL30-CW507+CR507</f>
        <v>0</v>
      </c>
      <c r="CI507" s="228">
        <f>SUMIF(NOV!$G$121:$M$121,CI$178,NOV!$AM30:$AS30)+SUMIF($CS$178:$CV$178,CI$178,$CS507:$CV507)</f>
        <v>0</v>
      </c>
      <c r="CJ507" s="229">
        <f>SUMIF(NOV!$G$121:$M$121,CJ$178,NOV!$AM30:$AS30)+SUMIF($CS$178:$CV$178,CJ$178,$CS507:$CV507)</f>
        <v>0</v>
      </c>
      <c r="CK507" s="230">
        <f>SUMIF(NOV!$G$121:$M$121,CK$178,NOV!$AM30:$AS30)+SUMIF($CS$178:$CV$178,CK$178,$CS507:$CV507)</f>
        <v>0</v>
      </c>
      <c r="CL507" s="230">
        <f>SUMIF(NOV!$G$121:$M$121,CL$178,NOV!$AM30:$AS30)+SUMIF($CS$178:$CV$178,CL$178,$CS507:$CV507)</f>
        <v>0</v>
      </c>
      <c r="CM507" s="230">
        <f>SUMIF(NOV!$G$121:$M$121,CM$178,NOV!$AM30:$AS30)+SUMIF($CS$178:$CV$178,CM$178,$CS507:$CV507)</f>
        <v>0</v>
      </c>
      <c r="CN507" s="230">
        <f>SUMIF(NOV!$G$121:$M$121,CN$178,NOV!$AM30:$AS30)+SUMIF($CS$178:$CV$178,CN$178,$CS507:$CV507)</f>
        <v>0</v>
      </c>
      <c r="CO507" s="230">
        <f>SUMIF(NOV!$G$121:$M$121,CO$178,NOV!$AM30:$AS30)+SUMIF($CS$178:$CV$178,CO$178,$CS507:$CV507)</f>
        <v>0</v>
      </c>
      <c r="CP507" s="230">
        <f>SUMIF(NOV!$G$121:$M$121,CP$178,NOV!$AM30:$AS30)+SUMIF($CS$178:$CV$178,CP$178,$CS507:$CV507)</f>
        <v>0</v>
      </c>
      <c r="CQ507" s="231">
        <f>SUMIF(NOV!$G$121:$M$121,CQ$178,NOV!$AM30:$AS30)+SUMIF($CS$178:$CV$178,CQ$178,$CS507:$CV507)</f>
        <v>0</v>
      </c>
      <c r="CR507" s="521">
        <f>NOV!AU30</f>
        <v>0</v>
      </c>
      <c r="CS507" s="228">
        <f>NOV!AV30</f>
        <v>0</v>
      </c>
      <c r="CT507" s="229">
        <f>NOV!AW30</f>
        <v>0</v>
      </c>
      <c r="CU507" s="230">
        <f>NOV!AX30</f>
        <v>0</v>
      </c>
      <c r="CV507" s="231">
        <f>NOV!AY30</f>
        <v>0</v>
      </c>
      <c r="CW507" s="521">
        <f>SUM(NOV!AU30:AY30)</f>
        <v>0</v>
      </c>
      <c r="CX507" s="521">
        <f>NOV!AK30</f>
        <v>0</v>
      </c>
      <c r="CY507" s="2"/>
    </row>
    <row r="508" spans="1:103" ht="14.25" hidden="1" customHeight="1" x14ac:dyDescent="0.2">
      <c r="A508" s="2"/>
      <c r="B508" s="105">
        <f t="shared" si="128"/>
        <v>45620</v>
      </c>
      <c r="C508" s="146">
        <f>IF(AND(E508&gt;(N$561-1),E508&lt;(R$561+1)),W$551,IF(ISERROR(HLOOKUP(E508,$N$554:$U$554,1,FALSE)),HLOOKUP(WEEKDAY(E508,2),IMPOSTAZIONI!$C$52:$P$57,6,FALSE),$W$550))</f>
        <v>0</v>
      </c>
      <c r="D508" s="71" t="str">
        <f t="shared" si="129"/>
        <v/>
      </c>
      <c r="E508" s="2258">
        <f t="shared" si="134"/>
        <v>45620</v>
      </c>
      <c r="F508" s="2259"/>
      <c r="G508" s="2228" t="str">
        <f>NOV!E31</f>
        <v xml:space="preserve">disattivato  </v>
      </c>
      <c r="H508" s="2229"/>
      <c r="I508" s="2230"/>
      <c r="J508" s="262" t="str">
        <f t="shared" si="119"/>
        <v/>
      </c>
      <c r="K508" s="263"/>
      <c r="L508" s="2220">
        <f t="shared" si="117"/>
        <v>47</v>
      </c>
      <c r="M508" s="2221"/>
      <c r="N508" s="261"/>
      <c r="O508" s="261"/>
      <c r="P508" s="261"/>
      <c r="Q508" s="2219">
        <f t="shared" si="130"/>
        <v>45620</v>
      </c>
      <c r="R508" s="2219"/>
      <c r="S508" s="261"/>
      <c r="T508" s="1173">
        <f t="shared" si="120"/>
        <v>1</v>
      </c>
      <c r="U508" s="261"/>
      <c r="V508" s="261"/>
      <c r="W508" s="261"/>
      <c r="X508" s="261"/>
      <c r="Y508" s="261"/>
      <c r="Z508" s="261"/>
      <c r="AA508" s="261"/>
      <c r="AB508" s="261"/>
      <c r="AC508" s="261"/>
      <c r="AD508" s="261"/>
      <c r="AE508" s="261"/>
      <c r="AF508" s="261"/>
      <c r="AG508" s="1173">
        <f t="shared" si="131"/>
        <v>0</v>
      </c>
      <c r="AH508" s="61" t="str">
        <f t="shared" si="132"/>
        <v/>
      </c>
      <c r="AI508" s="89" t="e">
        <f t="shared" si="133"/>
        <v>#N/A</v>
      </c>
      <c r="AJ508" s="2"/>
      <c r="AK508" s="61">
        <f>IF(G508=G$547,0,IF(OR(G508&lt;&gt;0,CH508&lt;&gt;0,C508="L"),COUNTIF(AK$180:AK507,"&gt;0")+1,0))</f>
        <v>0</v>
      </c>
      <c r="AL508" s="61" t="str">
        <f t="shared" si="121"/>
        <v/>
      </c>
      <c r="AM508" s="61" t="e">
        <f t="shared" si="122"/>
        <v>#N/A</v>
      </c>
      <c r="AN508" s="89" t="e">
        <f t="shared" si="123"/>
        <v>#N/A</v>
      </c>
      <c r="AO508" s="230">
        <f>SUM(NOV!X31:AD31)-BD508+AY508</f>
        <v>0</v>
      </c>
      <c r="AP508" s="228">
        <f>SUMIF(NOV!$G$121:$M$121,AP$178,NOV!$P31:$V31)+SUMIF($AZ$178:$BC$178,AP$178,$AZ508:$BC508)</f>
        <v>0</v>
      </c>
      <c r="AQ508" s="229">
        <f>SUMIF(NOV!$G$121:$M$121,AQ$178,NOV!$P31:$V31)+SUMIF($AZ$178:$BC$178,AQ$178,$AZ508:$BC508)</f>
        <v>0</v>
      </c>
      <c r="AR508" s="230">
        <f>SUMIF(NOV!$G$121:$M$121,AR$178,NOV!$P31:$V31)+SUMIF($AZ$178:$BC$178,AR$178,$AZ508:$BC508)</f>
        <v>0</v>
      </c>
      <c r="AS508" s="230">
        <f>SUMIF(NOV!$G$121:$M$121,AS$178,NOV!$P31:$V31)+SUMIF($AZ$178:$BC$178,AS$178,$AZ508:$BC508)</f>
        <v>0</v>
      </c>
      <c r="AT508" s="230">
        <f>SUMIF(NOV!$G$121:$M$121,AT$178,NOV!$P31:$V31)+SUMIF($AZ$178:$BC$178,AT$178,$AZ508:$BC508)</f>
        <v>0</v>
      </c>
      <c r="AU508" s="230">
        <f>SUMIF(NOV!$G$121:$M$121,AU$178,NOV!$P31:$V31)+SUMIF($AZ$178:$BC$178,AU$178,$AZ508:$BC508)</f>
        <v>0</v>
      </c>
      <c r="AV508" s="230">
        <f>SUMIF(NOV!$G$121:$M$121,AV$178,NOV!$P31:$V31)+SUMIF($AZ$178:$BC$178,AV$178,$AZ508:$BC508)</f>
        <v>0</v>
      </c>
      <c r="AW508" s="230">
        <f>SUMIF(NOV!$G$121:$M$121,AW$178,NOV!$P31:$V31)+SUMIF($AZ$178:$BC$178,AW$178,$AZ508:$BC508)</f>
        <v>0</v>
      </c>
      <c r="AX508" s="231">
        <f>SUMIF(NOV!$G$121:$M$121,AX$178,NOV!$P31:$V31)+SUMIF($AZ$178:$BC$178,AX$178,$AZ508:$BC508)</f>
        <v>0</v>
      </c>
      <c r="AY508" s="232">
        <f>NOV!AF31</f>
        <v>0</v>
      </c>
      <c r="AZ508" s="228">
        <f>NOV!AG31</f>
        <v>0</v>
      </c>
      <c r="BA508" s="229">
        <f>NOV!AH31</f>
        <v>0</v>
      </c>
      <c r="BB508" s="230">
        <f>NOV!AI31</f>
        <v>0</v>
      </c>
      <c r="BC508" s="231">
        <f>NOV!AJ31</f>
        <v>0</v>
      </c>
      <c r="BD508" s="228">
        <f>SUMIF(NOV!$G$120:$M$120,"&gt;0",NOV!$X31:$AD31)</f>
        <v>0</v>
      </c>
      <c r="BE508" s="696"/>
      <c r="BF508" s="228">
        <f>SUMIF(NOV!$BA$6:$BG$6,BF$177,NOV!$BA31:$BG31)</f>
        <v>0</v>
      </c>
      <c r="BG508" s="229">
        <f>SUMIF(NOV!$BA$6:$BG$6,BG$177,NOV!$BA31:$BG31)</f>
        <v>0</v>
      </c>
      <c r="BH508" s="229">
        <f>SUMIF(NOV!$BA$6:$BG$6,BH$177,NOV!$BA31:$BG31)</f>
        <v>0</v>
      </c>
      <c r="BI508" s="229">
        <f>SUMIF(NOV!$BA$6:$BG$6,BI$177,NOV!$BA31:$BG31)</f>
        <v>0</v>
      </c>
      <c r="BJ508" s="229">
        <f>SUMIF(NOV!$BA$6:$BG$6,BJ$177,NOV!$BA31:$BG31)</f>
        <v>0</v>
      </c>
      <c r="BK508" s="229">
        <f>SUMIF(NOV!$BA$6:$BG$6,BK$177,NOV!$BA31:$BG31)</f>
        <v>0</v>
      </c>
      <c r="BL508" s="229">
        <f>SUMIF(NOV!$BA$6:$BG$6,BL$177,NOV!$BA31:$BG31)</f>
        <v>0</v>
      </c>
      <c r="BM508" s="229">
        <f>SUMIF(NOV!$BA$6:$BG$6,BM$177,NOV!$BA31:$BG31)</f>
        <v>0</v>
      </c>
      <c r="BN508" s="229">
        <f>SUMIF(NOV!$BA$6:$BG$6,BN$177,NOV!$BA31:$BG31)</f>
        <v>0</v>
      </c>
      <c r="BO508" s="231">
        <f>SUMIF(NOV!$BA$6:$BG$6,BO$177,NOV!$BA31:$BG31)</f>
        <v>0</v>
      </c>
      <c r="BP508" s="231">
        <f>SUMIF(NOV!$BA$6:$BG$6,BP$177,NOV!$BA31:$BG31)</f>
        <v>0</v>
      </c>
      <c r="BQ508" s="252"/>
      <c r="BR508" s="228">
        <f>SUMIF(NOV!$BA$5:$BG$5,BR$177,NOV!$BA31:$BG31)</f>
        <v>0</v>
      </c>
      <c r="BS508" s="229">
        <f>SUMIF(NOV!$BA$5:$BG$5,BS$177,NOV!$BA31:$BG31)</f>
        <v>0</v>
      </c>
      <c r="BT508" s="229">
        <f>SUMIF(NOV!$BA$5:$BG$5,BT$177,NOV!$BA31:$BG31)</f>
        <v>0</v>
      </c>
      <c r="BU508" s="229">
        <f>SUMIF(NOV!$BA$5:$BG$5,BU$177,NOV!$BA31:$BG31)</f>
        <v>0</v>
      </c>
      <c r="BV508" s="229">
        <f>SUMIF(NOV!$BA$5:$BG$5,BV$177,NOV!$BA31:$BG31)</f>
        <v>0</v>
      </c>
      <c r="BW508" s="229">
        <f>SUMIF(NOV!$BA$5:$BG$5,BW$177,NOV!$BA31:$BG31)</f>
        <v>0</v>
      </c>
      <c r="BX508" s="230">
        <f>SUMIF(NOV!$BA$5:$BG$5,BX$177,NOV!$BA31:$BG31)</f>
        <v>0</v>
      </c>
      <c r="BY508" s="998">
        <f>SUMIF(NOV!$BA$5:$BG$5,BY$177,NOV!$BA31:$BG31)</f>
        <v>0</v>
      </c>
      <c r="CB508" s="252"/>
      <c r="CC508" s="61" t="e">
        <f t="shared" si="124"/>
        <v>#N/A</v>
      </c>
      <c r="CD508" s="61">
        <f t="shared" si="125"/>
        <v>0</v>
      </c>
      <c r="CE508" s="105" t="str">
        <f t="shared" si="118"/>
        <v/>
      </c>
      <c r="CF508" s="61" t="e">
        <f t="shared" si="126"/>
        <v>#N/A</v>
      </c>
      <c r="CG508" s="61" t="e">
        <f t="shared" si="127"/>
        <v>#N/A</v>
      </c>
      <c r="CH508" s="521">
        <f>NOV!AL31-CW508+CR508</f>
        <v>0</v>
      </c>
      <c r="CI508" s="228">
        <f>SUMIF(NOV!$G$121:$M$121,CI$178,NOV!$AM31:$AS31)+SUMIF($CS$178:$CV$178,CI$178,$CS508:$CV508)</f>
        <v>0</v>
      </c>
      <c r="CJ508" s="229">
        <f>SUMIF(NOV!$G$121:$M$121,CJ$178,NOV!$AM31:$AS31)+SUMIF($CS$178:$CV$178,CJ$178,$CS508:$CV508)</f>
        <v>0</v>
      </c>
      <c r="CK508" s="230">
        <f>SUMIF(NOV!$G$121:$M$121,CK$178,NOV!$AM31:$AS31)+SUMIF($CS$178:$CV$178,CK$178,$CS508:$CV508)</f>
        <v>0</v>
      </c>
      <c r="CL508" s="230">
        <f>SUMIF(NOV!$G$121:$M$121,CL$178,NOV!$AM31:$AS31)+SUMIF($CS$178:$CV$178,CL$178,$CS508:$CV508)</f>
        <v>0</v>
      </c>
      <c r="CM508" s="230">
        <f>SUMIF(NOV!$G$121:$M$121,CM$178,NOV!$AM31:$AS31)+SUMIF($CS$178:$CV$178,CM$178,$CS508:$CV508)</f>
        <v>0</v>
      </c>
      <c r="CN508" s="230">
        <f>SUMIF(NOV!$G$121:$M$121,CN$178,NOV!$AM31:$AS31)+SUMIF($CS$178:$CV$178,CN$178,$CS508:$CV508)</f>
        <v>0</v>
      </c>
      <c r="CO508" s="230">
        <f>SUMIF(NOV!$G$121:$M$121,CO$178,NOV!$AM31:$AS31)+SUMIF($CS$178:$CV$178,CO$178,$CS508:$CV508)</f>
        <v>0</v>
      </c>
      <c r="CP508" s="230">
        <f>SUMIF(NOV!$G$121:$M$121,CP$178,NOV!$AM31:$AS31)+SUMIF($CS$178:$CV$178,CP$178,$CS508:$CV508)</f>
        <v>0</v>
      </c>
      <c r="CQ508" s="231">
        <f>SUMIF(NOV!$G$121:$M$121,CQ$178,NOV!$AM31:$AS31)+SUMIF($CS$178:$CV$178,CQ$178,$CS508:$CV508)</f>
        <v>0</v>
      </c>
      <c r="CR508" s="521">
        <f>NOV!AU31</f>
        <v>0</v>
      </c>
      <c r="CS508" s="228">
        <f>NOV!AV31</f>
        <v>0</v>
      </c>
      <c r="CT508" s="229">
        <f>NOV!AW31</f>
        <v>0</v>
      </c>
      <c r="CU508" s="230">
        <f>NOV!AX31</f>
        <v>0</v>
      </c>
      <c r="CV508" s="231">
        <f>NOV!AY31</f>
        <v>0</v>
      </c>
      <c r="CW508" s="521">
        <f>SUM(NOV!AU31:AY31)</f>
        <v>0</v>
      </c>
      <c r="CX508" s="521">
        <f>NOV!AK31</f>
        <v>0</v>
      </c>
      <c r="CY508" s="2"/>
    </row>
    <row r="509" spans="1:103" ht="14.25" hidden="1" customHeight="1" x14ac:dyDescent="0.2">
      <c r="A509" s="2"/>
      <c r="B509" s="105">
        <f t="shared" si="128"/>
        <v>45621</v>
      </c>
      <c r="C509" s="146">
        <f>IF(AND(E509&gt;(N$561-1),E509&lt;(R$561+1)),W$551,IF(ISERROR(HLOOKUP(E509,$N$554:$U$554,1,FALSE)),HLOOKUP(WEEKDAY(E509,2),IMPOSTAZIONI!$C$52:$P$57,6,FALSE),$W$550))</f>
        <v>0</v>
      </c>
      <c r="D509" s="71" t="str">
        <f t="shared" si="129"/>
        <v/>
      </c>
      <c r="E509" s="2258">
        <f t="shared" si="134"/>
        <v>45621</v>
      </c>
      <c r="F509" s="2259"/>
      <c r="G509" s="2228" t="str">
        <f>NOV!E32</f>
        <v xml:space="preserve">disattivato  </v>
      </c>
      <c r="H509" s="2229"/>
      <c r="I509" s="2230"/>
      <c r="J509" s="262" t="str">
        <f t="shared" si="119"/>
        <v/>
      </c>
      <c r="K509" s="263"/>
      <c r="L509" s="2222">
        <f t="shared" si="117"/>
        <v>48</v>
      </c>
      <c r="M509" s="2223"/>
      <c r="N509" s="261"/>
      <c r="O509" s="261"/>
      <c r="P509" s="261"/>
      <c r="Q509" s="2219">
        <f t="shared" si="130"/>
        <v>45621</v>
      </c>
      <c r="R509" s="2219"/>
      <c r="S509" s="261"/>
      <c r="T509" s="1173">
        <f t="shared" si="120"/>
        <v>1</v>
      </c>
      <c r="U509" s="261"/>
      <c r="V509" s="261"/>
      <c r="W509" s="261"/>
      <c r="X509" s="261"/>
      <c r="Y509" s="261"/>
      <c r="Z509" s="261"/>
      <c r="AA509" s="261"/>
      <c r="AB509" s="261"/>
      <c r="AC509" s="261"/>
      <c r="AD509" s="261"/>
      <c r="AE509" s="261"/>
      <c r="AF509" s="261"/>
      <c r="AG509" s="1173">
        <f t="shared" si="131"/>
        <v>0</v>
      </c>
      <c r="AH509" s="61" t="str">
        <f t="shared" si="132"/>
        <v/>
      </c>
      <c r="AI509" s="89" t="e">
        <f t="shared" si="133"/>
        <v>#N/A</v>
      </c>
      <c r="AJ509" s="2"/>
      <c r="AK509" s="61">
        <f>IF(G509=G$547,0,IF(OR(G509&lt;&gt;0,CH509&lt;&gt;0,C509="L"),COUNTIF(AK$180:AK508,"&gt;0")+1,0))</f>
        <v>0</v>
      </c>
      <c r="AL509" s="61" t="str">
        <f t="shared" si="121"/>
        <v/>
      </c>
      <c r="AM509" s="61" t="e">
        <f t="shared" si="122"/>
        <v>#N/A</v>
      </c>
      <c r="AN509" s="89" t="e">
        <f t="shared" si="123"/>
        <v>#N/A</v>
      </c>
      <c r="AO509" s="230">
        <f>SUM(NOV!X32:AD32)-BD509+AY509</f>
        <v>0</v>
      </c>
      <c r="AP509" s="228">
        <f>SUMIF(NOV!$G$121:$M$121,AP$178,NOV!$P32:$V32)+SUMIF($AZ$178:$BC$178,AP$178,$AZ509:$BC509)</f>
        <v>0</v>
      </c>
      <c r="AQ509" s="229">
        <f>SUMIF(NOV!$G$121:$M$121,AQ$178,NOV!$P32:$V32)+SUMIF($AZ$178:$BC$178,AQ$178,$AZ509:$BC509)</f>
        <v>0</v>
      </c>
      <c r="AR509" s="230">
        <f>SUMIF(NOV!$G$121:$M$121,AR$178,NOV!$P32:$V32)+SUMIF($AZ$178:$BC$178,AR$178,$AZ509:$BC509)</f>
        <v>0</v>
      </c>
      <c r="AS509" s="230">
        <f>SUMIF(NOV!$G$121:$M$121,AS$178,NOV!$P32:$V32)+SUMIF($AZ$178:$BC$178,AS$178,$AZ509:$BC509)</f>
        <v>0</v>
      </c>
      <c r="AT509" s="230">
        <f>SUMIF(NOV!$G$121:$M$121,AT$178,NOV!$P32:$V32)+SUMIF($AZ$178:$BC$178,AT$178,$AZ509:$BC509)</f>
        <v>0</v>
      </c>
      <c r="AU509" s="230">
        <f>SUMIF(NOV!$G$121:$M$121,AU$178,NOV!$P32:$V32)+SUMIF($AZ$178:$BC$178,AU$178,$AZ509:$BC509)</f>
        <v>0</v>
      </c>
      <c r="AV509" s="230">
        <f>SUMIF(NOV!$G$121:$M$121,AV$178,NOV!$P32:$V32)+SUMIF($AZ$178:$BC$178,AV$178,$AZ509:$BC509)</f>
        <v>0</v>
      </c>
      <c r="AW509" s="230">
        <f>SUMIF(NOV!$G$121:$M$121,AW$178,NOV!$P32:$V32)+SUMIF($AZ$178:$BC$178,AW$178,$AZ509:$BC509)</f>
        <v>0</v>
      </c>
      <c r="AX509" s="231">
        <f>SUMIF(NOV!$G$121:$M$121,AX$178,NOV!$P32:$V32)+SUMIF($AZ$178:$BC$178,AX$178,$AZ509:$BC509)</f>
        <v>0</v>
      </c>
      <c r="AY509" s="232">
        <f>NOV!AF32</f>
        <v>0</v>
      </c>
      <c r="AZ509" s="228">
        <f>NOV!AG32</f>
        <v>0</v>
      </c>
      <c r="BA509" s="229">
        <f>NOV!AH32</f>
        <v>0</v>
      </c>
      <c r="BB509" s="230">
        <f>NOV!AI32</f>
        <v>0</v>
      </c>
      <c r="BC509" s="231">
        <f>NOV!AJ32</f>
        <v>0</v>
      </c>
      <c r="BD509" s="228">
        <f>SUMIF(NOV!$G$120:$M$120,"&gt;0",NOV!$X32:$AD32)</f>
        <v>0</v>
      </c>
      <c r="BE509" s="696"/>
      <c r="BF509" s="228">
        <f>SUMIF(NOV!$BA$6:$BG$6,BF$177,NOV!$BA32:$BG32)</f>
        <v>0</v>
      </c>
      <c r="BG509" s="229">
        <f>SUMIF(NOV!$BA$6:$BG$6,BG$177,NOV!$BA32:$BG32)</f>
        <v>0</v>
      </c>
      <c r="BH509" s="229">
        <f>SUMIF(NOV!$BA$6:$BG$6,BH$177,NOV!$BA32:$BG32)</f>
        <v>0</v>
      </c>
      <c r="BI509" s="229">
        <f>SUMIF(NOV!$BA$6:$BG$6,BI$177,NOV!$BA32:$BG32)</f>
        <v>0</v>
      </c>
      <c r="BJ509" s="229">
        <f>SUMIF(NOV!$BA$6:$BG$6,BJ$177,NOV!$BA32:$BG32)</f>
        <v>0</v>
      </c>
      <c r="BK509" s="229">
        <f>SUMIF(NOV!$BA$6:$BG$6,BK$177,NOV!$BA32:$BG32)</f>
        <v>0</v>
      </c>
      <c r="BL509" s="229">
        <f>SUMIF(NOV!$BA$6:$BG$6,BL$177,NOV!$BA32:$BG32)</f>
        <v>0</v>
      </c>
      <c r="BM509" s="229">
        <f>SUMIF(NOV!$BA$6:$BG$6,BM$177,NOV!$BA32:$BG32)</f>
        <v>0</v>
      </c>
      <c r="BN509" s="229">
        <f>SUMIF(NOV!$BA$6:$BG$6,BN$177,NOV!$BA32:$BG32)</f>
        <v>0</v>
      </c>
      <c r="BO509" s="231">
        <f>SUMIF(NOV!$BA$6:$BG$6,BO$177,NOV!$BA32:$BG32)</f>
        <v>0</v>
      </c>
      <c r="BP509" s="231">
        <f>SUMIF(NOV!$BA$6:$BG$6,BP$177,NOV!$BA32:$BG32)</f>
        <v>0</v>
      </c>
      <c r="BQ509" s="252"/>
      <c r="BR509" s="228">
        <f>SUMIF(NOV!$BA$5:$BG$5,BR$177,NOV!$BA32:$BG32)</f>
        <v>0</v>
      </c>
      <c r="BS509" s="229">
        <f>SUMIF(NOV!$BA$5:$BG$5,BS$177,NOV!$BA32:$BG32)</f>
        <v>0</v>
      </c>
      <c r="BT509" s="229">
        <f>SUMIF(NOV!$BA$5:$BG$5,BT$177,NOV!$BA32:$BG32)</f>
        <v>0</v>
      </c>
      <c r="BU509" s="229">
        <f>SUMIF(NOV!$BA$5:$BG$5,BU$177,NOV!$BA32:$BG32)</f>
        <v>0</v>
      </c>
      <c r="BV509" s="229">
        <f>SUMIF(NOV!$BA$5:$BG$5,BV$177,NOV!$BA32:$BG32)</f>
        <v>0</v>
      </c>
      <c r="BW509" s="229">
        <f>SUMIF(NOV!$BA$5:$BG$5,BW$177,NOV!$BA32:$BG32)</f>
        <v>0</v>
      </c>
      <c r="BX509" s="230">
        <f>SUMIF(NOV!$BA$5:$BG$5,BX$177,NOV!$BA32:$BG32)</f>
        <v>0</v>
      </c>
      <c r="BY509" s="998">
        <f>SUMIF(NOV!$BA$5:$BG$5,BY$177,NOV!$BA32:$BG32)</f>
        <v>0</v>
      </c>
      <c r="CB509" s="252"/>
      <c r="CC509" s="61" t="e">
        <f t="shared" si="124"/>
        <v>#N/A</v>
      </c>
      <c r="CD509" s="61">
        <f t="shared" si="125"/>
        <v>0</v>
      </c>
      <c r="CE509" s="105" t="str">
        <f t="shared" si="118"/>
        <v/>
      </c>
      <c r="CF509" s="61" t="e">
        <f t="shared" si="126"/>
        <v>#N/A</v>
      </c>
      <c r="CG509" s="61" t="e">
        <f t="shared" si="127"/>
        <v>#N/A</v>
      </c>
      <c r="CH509" s="521">
        <f>NOV!AL32-CW509+CR509</f>
        <v>0</v>
      </c>
      <c r="CI509" s="228">
        <f>SUMIF(NOV!$G$121:$M$121,CI$178,NOV!$AM32:$AS32)+SUMIF($CS$178:$CV$178,CI$178,$CS509:$CV509)</f>
        <v>0</v>
      </c>
      <c r="CJ509" s="229">
        <f>SUMIF(NOV!$G$121:$M$121,CJ$178,NOV!$AM32:$AS32)+SUMIF($CS$178:$CV$178,CJ$178,$CS509:$CV509)</f>
        <v>0</v>
      </c>
      <c r="CK509" s="230">
        <f>SUMIF(NOV!$G$121:$M$121,CK$178,NOV!$AM32:$AS32)+SUMIF($CS$178:$CV$178,CK$178,$CS509:$CV509)</f>
        <v>0</v>
      </c>
      <c r="CL509" s="230">
        <f>SUMIF(NOV!$G$121:$M$121,CL$178,NOV!$AM32:$AS32)+SUMIF($CS$178:$CV$178,CL$178,$CS509:$CV509)</f>
        <v>0</v>
      </c>
      <c r="CM509" s="230">
        <f>SUMIF(NOV!$G$121:$M$121,CM$178,NOV!$AM32:$AS32)+SUMIF($CS$178:$CV$178,CM$178,$CS509:$CV509)</f>
        <v>0</v>
      </c>
      <c r="CN509" s="230">
        <f>SUMIF(NOV!$G$121:$M$121,CN$178,NOV!$AM32:$AS32)+SUMIF($CS$178:$CV$178,CN$178,$CS509:$CV509)</f>
        <v>0</v>
      </c>
      <c r="CO509" s="230">
        <f>SUMIF(NOV!$G$121:$M$121,CO$178,NOV!$AM32:$AS32)+SUMIF($CS$178:$CV$178,CO$178,$CS509:$CV509)</f>
        <v>0</v>
      </c>
      <c r="CP509" s="230">
        <f>SUMIF(NOV!$G$121:$M$121,CP$178,NOV!$AM32:$AS32)+SUMIF($CS$178:$CV$178,CP$178,$CS509:$CV509)</f>
        <v>0</v>
      </c>
      <c r="CQ509" s="231">
        <f>SUMIF(NOV!$G$121:$M$121,CQ$178,NOV!$AM32:$AS32)+SUMIF($CS$178:$CV$178,CQ$178,$CS509:$CV509)</f>
        <v>0</v>
      </c>
      <c r="CR509" s="521">
        <f>NOV!AU32</f>
        <v>0</v>
      </c>
      <c r="CS509" s="228">
        <f>NOV!AV32</f>
        <v>0</v>
      </c>
      <c r="CT509" s="229">
        <f>NOV!AW32</f>
        <v>0</v>
      </c>
      <c r="CU509" s="230">
        <f>NOV!AX32</f>
        <v>0</v>
      </c>
      <c r="CV509" s="231">
        <f>NOV!AY32</f>
        <v>0</v>
      </c>
      <c r="CW509" s="521">
        <f>SUM(NOV!AU32:AY32)</f>
        <v>0</v>
      </c>
      <c r="CX509" s="521">
        <f>NOV!AK32</f>
        <v>0</v>
      </c>
      <c r="CY509" s="2"/>
    </row>
    <row r="510" spans="1:103" ht="14.25" hidden="1" customHeight="1" x14ac:dyDescent="0.2">
      <c r="A510" s="2"/>
      <c r="B510" s="105">
        <f t="shared" si="128"/>
        <v>45622</v>
      </c>
      <c r="C510" s="146">
        <f>IF(AND(E510&gt;(N$561-1),E510&lt;(R$561+1)),W$551,IF(ISERROR(HLOOKUP(E510,$N$554:$U$554,1,FALSE)),HLOOKUP(WEEKDAY(E510,2),IMPOSTAZIONI!$C$52:$P$57,6,FALSE),$W$550))</f>
        <v>0</v>
      </c>
      <c r="D510" s="71" t="str">
        <f t="shared" si="129"/>
        <v/>
      </c>
      <c r="E510" s="2258">
        <f t="shared" si="134"/>
        <v>45622</v>
      </c>
      <c r="F510" s="2259"/>
      <c r="G510" s="2228" t="str">
        <f>NOV!E33</f>
        <v xml:space="preserve">disattivato  </v>
      </c>
      <c r="H510" s="2229"/>
      <c r="I510" s="2230"/>
      <c r="J510" s="262" t="str">
        <f t="shared" si="119"/>
        <v/>
      </c>
      <c r="K510" s="263"/>
      <c r="L510" s="2217">
        <f t="shared" ref="L510:L545" si="135">L503+1</f>
        <v>48</v>
      </c>
      <c r="M510" s="2218"/>
      <c r="N510" s="261"/>
      <c r="O510" s="261"/>
      <c r="P510" s="261"/>
      <c r="Q510" s="2219">
        <f t="shared" si="130"/>
        <v>45622</v>
      </c>
      <c r="R510" s="2219"/>
      <c r="S510" s="261"/>
      <c r="T510" s="1173">
        <f t="shared" si="120"/>
        <v>1</v>
      </c>
      <c r="U510" s="261"/>
      <c r="V510" s="261"/>
      <c r="W510" s="261"/>
      <c r="X510" s="261"/>
      <c r="Y510" s="261"/>
      <c r="Z510" s="261"/>
      <c r="AA510" s="261"/>
      <c r="AB510" s="261"/>
      <c r="AC510" s="261"/>
      <c r="AD510" s="261"/>
      <c r="AE510" s="261"/>
      <c r="AF510" s="261"/>
      <c r="AG510" s="1173">
        <f t="shared" si="131"/>
        <v>0</v>
      </c>
      <c r="AH510" s="61" t="str">
        <f t="shared" si="132"/>
        <v/>
      </c>
      <c r="AI510" s="89" t="e">
        <f t="shared" si="133"/>
        <v>#N/A</v>
      </c>
      <c r="AJ510" s="2"/>
      <c r="AK510" s="61">
        <f>IF(G510=G$547,0,IF(OR(G510&lt;&gt;0,CH510&lt;&gt;0,C510="L"),COUNTIF(AK$180:AK509,"&gt;0")+1,0))</f>
        <v>0</v>
      </c>
      <c r="AL510" s="61" t="str">
        <f t="shared" si="121"/>
        <v/>
      </c>
      <c r="AM510" s="61" t="e">
        <f t="shared" si="122"/>
        <v>#N/A</v>
      </c>
      <c r="AN510" s="89" t="e">
        <f t="shared" si="123"/>
        <v>#N/A</v>
      </c>
      <c r="AO510" s="230">
        <f>SUM(NOV!X33:AD33)-BD510+AY510</f>
        <v>0</v>
      </c>
      <c r="AP510" s="228">
        <f>SUMIF(NOV!$G$121:$M$121,AP$178,NOV!$P33:$V33)+SUMIF($AZ$178:$BC$178,AP$178,$AZ510:$BC510)</f>
        <v>0</v>
      </c>
      <c r="AQ510" s="229">
        <f>SUMIF(NOV!$G$121:$M$121,AQ$178,NOV!$P33:$V33)+SUMIF($AZ$178:$BC$178,AQ$178,$AZ510:$BC510)</f>
        <v>0</v>
      </c>
      <c r="AR510" s="230">
        <f>SUMIF(NOV!$G$121:$M$121,AR$178,NOV!$P33:$V33)+SUMIF($AZ$178:$BC$178,AR$178,$AZ510:$BC510)</f>
        <v>0</v>
      </c>
      <c r="AS510" s="230">
        <f>SUMIF(NOV!$G$121:$M$121,AS$178,NOV!$P33:$V33)+SUMIF($AZ$178:$BC$178,AS$178,$AZ510:$BC510)</f>
        <v>0</v>
      </c>
      <c r="AT510" s="230">
        <f>SUMIF(NOV!$G$121:$M$121,AT$178,NOV!$P33:$V33)+SUMIF($AZ$178:$BC$178,AT$178,$AZ510:$BC510)</f>
        <v>0</v>
      </c>
      <c r="AU510" s="230">
        <f>SUMIF(NOV!$G$121:$M$121,AU$178,NOV!$P33:$V33)+SUMIF($AZ$178:$BC$178,AU$178,$AZ510:$BC510)</f>
        <v>0</v>
      </c>
      <c r="AV510" s="230">
        <f>SUMIF(NOV!$G$121:$M$121,AV$178,NOV!$P33:$V33)+SUMIF($AZ$178:$BC$178,AV$178,$AZ510:$BC510)</f>
        <v>0</v>
      </c>
      <c r="AW510" s="230">
        <f>SUMIF(NOV!$G$121:$M$121,AW$178,NOV!$P33:$V33)+SUMIF($AZ$178:$BC$178,AW$178,$AZ510:$BC510)</f>
        <v>0</v>
      </c>
      <c r="AX510" s="231">
        <f>SUMIF(NOV!$G$121:$M$121,AX$178,NOV!$P33:$V33)+SUMIF($AZ$178:$BC$178,AX$178,$AZ510:$BC510)</f>
        <v>0</v>
      </c>
      <c r="AY510" s="232">
        <f>NOV!AF33</f>
        <v>0</v>
      </c>
      <c r="AZ510" s="228">
        <f>NOV!AG33</f>
        <v>0</v>
      </c>
      <c r="BA510" s="229">
        <f>NOV!AH33</f>
        <v>0</v>
      </c>
      <c r="BB510" s="230">
        <f>NOV!AI33</f>
        <v>0</v>
      </c>
      <c r="BC510" s="231">
        <f>NOV!AJ33</f>
        <v>0</v>
      </c>
      <c r="BD510" s="228">
        <f>SUMIF(NOV!$G$120:$M$120,"&gt;0",NOV!$X33:$AD33)</f>
        <v>0</v>
      </c>
      <c r="BE510" s="696"/>
      <c r="BF510" s="228">
        <f>SUMIF(NOV!$BA$6:$BG$6,BF$177,NOV!$BA33:$BG33)</f>
        <v>0</v>
      </c>
      <c r="BG510" s="229">
        <f>SUMIF(NOV!$BA$6:$BG$6,BG$177,NOV!$BA33:$BG33)</f>
        <v>0</v>
      </c>
      <c r="BH510" s="229">
        <f>SUMIF(NOV!$BA$6:$BG$6,BH$177,NOV!$BA33:$BG33)</f>
        <v>0</v>
      </c>
      <c r="BI510" s="229">
        <f>SUMIF(NOV!$BA$6:$BG$6,BI$177,NOV!$BA33:$BG33)</f>
        <v>0</v>
      </c>
      <c r="BJ510" s="229">
        <f>SUMIF(NOV!$BA$6:$BG$6,BJ$177,NOV!$BA33:$BG33)</f>
        <v>0</v>
      </c>
      <c r="BK510" s="229">
        <f>SUMIF(NOV!$BA$6:$BG$6,BK$177,NOV!$BA33:$BG33)</f>
        <v>0</v>
      </c>
      <c r="BL510" s="229">
        <f>SUMIF(NOV!$BA$6:$BG$6,BL$177,NOV!$BA33:$BG33)</f>
        <v>0</v>
      </c>
      <c r="BM510" s="229">
        <f>SUMIF(NOV!$BA$6:$BG$6,BM$177,NOV!$BA33:$BG33)</f>
        <v>0</v>
      </c>
      <c r="BN510" s="229">
        <f>SUMIF(NOV!$BA$6:$BG$6,BN$177,NOV!$BA33:$BG33)</f>
        <v>0</v>
      </c>
      <c r="BO510" s="231">
        <f>SUMIF(NOV!$BA$6:$BG$6,BO$177,NOV!$BA33:$BG33)</f>
        <v>0</v>
      </c>
      <c r="BP510" s="231">
        <f>SUMIF(NOV!$BA$6:$BG$6,BP$177,NOV!$BA33:$BG33)</f>
        <v>0</v>
      </c>
      <c r="BQ510" s="252"/>
      <c r="BR510" s="228">
        <f>SUMIF(NOV!$BA$5:$BG$5,BR$177,NOV!$BA33:$BG33)</f>
        <v>0</v>
      </c>
      <c r="BS510" s="229">
        <f>SUMIF(NOV!$BA$5:$BG$5,BS$177,NOV!$BA33:$BG33)</f>
        <v>0</v>
      </c>
      <c r="BT510" s="229">
        <f>SUMIF(NOV!$BA$5:$BG$5,BT$177,NOV!$BA33:$BG33)</f>
        <v>0</v>
      </c>
      <c r="BU510" s="229">
        <f>SUMIF(NOV!$BA$5:$BG$5,BU$177,NOV!$BA33:$BG33)</f>
        <v>0</v>
      </c>
      <c r="BV510" s="229">
        <f>SUMIF(NOV!$BA$5:$BG$5,BV$177,NOV!$BA33:$BG33)</f>
        <v>0</v>
      </c>
      <c r="BW510" s="229">
        <f>SUMIF(NOV!$BA$5:$BG$5,BW$177,NOV!$BA33:$BG33)</f>
        <v>0</v>
      </c>
      <c r="BX510" s="230">
        <f>SUMIF(NOV!$BA$5:$BG$5,BX$177,NOV!$BA33:$BG33)</f>
        <v>0</v>
      </c>
      <c r="BY510" s="998">
        <f>SUMIF(NOV!$BA$5:$BG$5,BY$177,NOV!$BA33:$BG33)</f>
        <v>0</v>
      </c>
      <c r="CB510" s="252"/>
      <c r="CC510" s="61" t="e">
        <f t="shared" si="124"/>
        <v>#N/A</v>
      </c>
      <c r="CD510" s="61">
        <f t="shared" si="125"/>
        <v>0</v>
      </c>
      <c r="CE510" s="105" t="str">
        <f t="shared" si="118"/>
        <v/>
      </c>
      <c r="CF510" s="61" t="e">
        <f t="shared" si="126"/>
        <v>#N/A</v>
      </c>
      <c r="CG510" s="61" t="e">
        <f t="shared" si="127"/>
        <v>#N/A</v>
      </c>
      <c r="CH510" s="521">
        <f>NOV!AL33-CW510+CR510</f>
        <v>0</v>
      </c>
      <c r="CI510" s="228">
        <f>SUMIF(NOV!$G$121:$M$121,CI$178,NOV!$AM33:$AS33)+SUMIF($CS$178:$CV$178,CI$178,$CS510:$CV510)</f>
        <v>0</v>
      </c>
      <c r="CJ510" s="229">
        <f>SUMIF(NOV!$G$121:$M$121,CJ$178,NOV!$AM33:$AS33)+SUMIF($CS$178:$CV$178,CJ$178,$CS510:$CV510)</f>
        <v>0</v>
      </c>
      <c r="CK510" s="230">
        <f>SUMIF(NOV!$G$121:$M$121,CK$178,NOV!$AM33:$AS33)+SUMIF($CS$178:$CV$178,CK$178,$CS510:$CV510)</f>
        <v>0</v>
      </c>
      <c r="CL510" s="230">
        <f>SUMIF(NOV!$G$121:$M$121,CL$178,NOV!$AM33:$AS33)+SUMIF($CS$178:$CV$178,CL$178,$CS510:$CV510)</f>
        <v>0</v>
      </c>
      <c r="CM510" s="230">
        <f>SUMIF(NOV!$G$121:$M$121,CM$178,NOV!$AM33:$AS33)+SUMIF($CS$178:$CV$178,CM$178,$CS510:$CV510)</f>
        <v>0</v>
      </c>
      <c r="CN510" s="230">
        <f>SUMIF(NOV!$G$121:$M$121,CN$178,NOV!$AM33:$AS33)+SUMIF($CS$178:$CV$178,CN$178,$CS510:$CV510)</f>
        <v>0</v>
      </c>
      <c r="CO510" s="230">
        <f>SUMIF(NOV!$G$121:$M$121,CO$178,NOV!$AM33:$AS33)+SUMIF($CS$178:$CV$178,CO$178,$CS510:$CV510)</f>
        <v>0</v>
      </c>
      <c r="CP510" s="230">
        <f>SUMIF(NOV!$G$121:$M$121,CP$178,NOV!$AM33:$AS33)+SUMIF($CS$178:$CV$178,CP$178,$CS510:$CV510)</f>
        <v>0</v>
      </c>
      <c r="CQ510" s="231">
        <f>SUMIF(NOV!$G$121:$M$121,CQ$178,NOV!$AM33:$AS33)+SUMIF($CS$178:$CV$178,CQ$178,$CS510:$CV510)</f>
        <v>0</v>
      </c>
      <c r="CR510" s="521">
        <f>NOV!AU33</f>
        <v>0</v>
      </c>
      <c r="CS510" s="228">
        <f>NOV!AV33</f>
        <v>0</v>
      </c>
      <c r="CT510" s="229">
        <f>NOV!AW33</f>
        <v>0</v>
      </c>
      <c r="CU510" s="230">
        <f>NOV!AX33</f>
        <v>0</v>
      </c>
      <c r="CV510" s="231">
        <f>NOV!AY33</f>
        <v>0</v>
      </c>
      <c r="CW510" s="521">
        <f>SUM(NOV!AU33:AY33)</f>
        <v>0</v>
      </c>
      <c r="CX510" s="521">
        <f>NOV!AK33</f>
        <v>0</v>
      </c>
      <c r="CY510" s="2"/>
    </row>
    <row r="511" spans="1:103" ht="14.25" hidden="1" customHeight="1" x14ac:dyDescent="0.2">
      <c r="A511" s="2"/>
      <c r="B511" s="105">
        <f t="shared" si="128"/>
        <v>45623</v>
      </c>
      <c r="C511" s="146">
        <f>IF(AND(E511&gt;(N$561-1),E511&lt;(R$561+1)),W$551,IF(ISERROR(HLOOKUP(E511,$N$554:$U$554,1,FALSE)),HLOOKUP(WEEKDAY(E511,2),IMPOSTAZIONI!$C$52:$P$57,6,FALSE),$W$550))</f>
        <v>0</v>
      </c>
      <c r="D511" s="71" t="str">
        <f t="shared" si="129"/>
        <v/>
      </c>
      <c r="E511" s="2258">
        <f t="shared" si="134"/>
        <v>45623</v>
      </c>
      <c r="F511" s="2259"/>
      <c r="G511" s="2228" t="str">
        <f>NOV!E34</f>
        <v xml:space="preserve">disattivato  </v>
      </c>
      <c r="H511" s="2229"/>
      <c r="I511" s="2230"/>
      <c r="J511" s="262" t="str">
        <f t="shared" si="119"/>
        <v/>
      </c>
      <c r="K511" s="263"/>
      <c r="L511" s="2217">
        <f t="shared" si="135"/>
        <v>48</v>
      </c>
      <c r="M511" s="2218"/>
      <c r="N511" s="261"/>
      <c r="O511" s="261"/>
      <c r="P511" s="261"/>
      <c r="Q511" s="2219">
        <f t="shared" si="130"/>
        <v>45623</v>
      </c>
      <c r="R511" s="2219"/>
      <c r="S511" s="261"/>
      <c r="T511" s="1173">
        <f t="shared" si="120"/>
        <v>1</v>
      </c>
      <c r="U511" s="261"/>
      <c r="V511" s="261"/>
      <c r="W511" s="261"/>
      <c r="X511" s="261"/>
      <c r="Y511" s="261"/>
      <c r="Z511" s="261"/>
      <c r="AA511" s="261"/>
      <c r="AB511" s="261"/>
      <c r="AC511" s="261"/>
      <c r="AD511" s="261"/>
      <c r="AE511" s="261"/>
      <c r="AF511" s="261"/>
      <c r="AG511" s="1173">
        <f t="shared" si="131"/>
        <v>0</v>
      </c>
      <c r="AH511" s="61" t="str">
        <f t="shared" si="132"/>
        <v/>
      </c>
      <c r="AI511" s="89" t="e">
        <f t="shared" si="133"/>
        <v>#N/A</v>
      </c>
      <c r="AJ511" s="2"/>
      <c r="AK511" s="61">
        <f>IF(G511=G$547,0,IF(OR(G511&lt;&gt;0,CH511&lt;&gt;0,C511="L"),COUNTIF(AK$180:AK510,"&gt;0")+1,0))</f>
        <v>0</v>
      </c>
      <c r="AL511" s="61" t="str">
        <f t="shared" si="121"/>
        <v/>
      </c>
      <c r="AM511" s="61" t="e">
        <f t="shared" si="122"/>
        <v>#N/A</v>
      </c>
      <c r="AN511" s="89" t="e">
        <f t="shared" si="123"/>
        <v>#N/A</v>
      </c>
      <c r="AO511" s="230">
        <f>SUM(NOV!X34:AD34)-BD511+AY511</f>
        <v>0</v>
      </c>
      <c r="AP511" s="228">
        <f>SUMIF(NOV!$G$121:$M$121,AP$178,NOV!$P34:$V34)+SUMIF($AZ$178:$BC$178,AP$178,$AZ511:$BC511)</f>
        <v>0</v>
      </c>
      <c r="AQ511" s="229">
        <f>SUMIF(NOV!$G$121:$M$121,AQ$178,NOV!$P34:$V34)+SUMIF($AZ$178:$BC$178,AQ$178,$AZ511:$BC511)</f>
        <v>0</v>
      </c>
      <c r="AR511" s="230">
        <f>SUMIF(NOV!$G$121:$M$121,AR$178,NOV!$P34:$V34)+SUMIF($AZ$178:$BC$178,AR$178,$AZ511:$BC511)</f>
        <v>0</v>
      </c>
      <c r="AS511" s="230">
        <f>SUMIF(NOV!$G$121:$M$121,AS$178,NOV!$P34:$V34)+SUMIF($AZ$178:$BC$178,AS$178,$AZ511:$BC511)</f>
        <v>0</v>
      </c>
      <c r="AT511" s="230">
        <f>SUMIF(NOV!$G$121:$M$121,AT$178,NOV!$P34:$V34)+SUMIF($AZ$178:$BC$178,AT$178,$AZ511:$BC511)</f>
        <v>0</v>
      </c>
      <c r="AU511" s="230">
        <f>SUMIF(NOV!$G$121:$M$121,AU$178,NOV!$P34:$V34)+SUMIF($AZ$178:$BC$178,AU$178,$AZ511:$BC511)</f>
        <v>0</v>
      </c>
      <c r="AV511" s="230">
        <f>SUMIF(NOV!$G$121:$M$121,AV$178,NOV!$P34:$V34)+SUMIF($AZ$178:$BC$178,AV$178,$AZ511:$BC511)</f>
        <v>0</v>
      </c>
      <c r="AW511" s="230">
        <f>SUMIF(NOV!$G$121:$M$121,AW$178,NOV!$P34:$V34)+SUMIF($AZ$178:$BC$178,AW$178,$AZ511:$BC511)</f>
        <v>0</v>
      </c>
      <c r="AX511" s="231">
        <f>SUMIF(NOV!$G$121:$M$121,AX$178,NOV!$P34:$V34)+SUMIF($AZ$178:$BC$178,AX$178,$AZ511:$BC511)</f>
        <v>0</v>
      </c>
      <c r="AY511" s="232">
        <f>NOV!AF34</f>
        <v>0</v>
      </c>
      <c r="AZ511" s="228">
        <f>NOV!AG34</f>
        <v>0</v>
      </c>
      <c r="BA511" s="229">
        <f>NOV!AH34</f>
        <v>0</v>
      </c>
      <c r="BB511" s="230">
        <f>NOV!AI34</f>
        <v>0</v>
      </c>
      <c r="BC511" s="231">
        <f>NOV!AJ34</f>
        <v>0</v>
      </c>
      <c r="BD511" s="228">
        <f>SUMIF(NOV!$G$120:$M$120,"&gt;0",NOV!$X34:$AD34)</f>
        <v>0</v>
      </c>
      <c r="BE511" s="696"/>
      <c r="BF511" s="228">
        <f>SUMIF(NOV!$BA$6:$BG$6,BF$177,NOV!$BA34:$BG34)</f>
        <v>0</v>
      </c>
      <c r="BG511" s="229">
        <f>SUMIF(NOV!$BA$6:$BG$6,BG$177,NOV!$BA34:$BG34)</f>
        <v>0</v>
      </c>
      <c r="BH511" s="229">
        <f>SUMIF(NOV!$BA$6:$BG$6,BH$177,NOV!$BA34:$BG34)</f>
        <v>0</v>
      </c>
      <c r="BI511" s="229">
        <f>SUMIF(NOV!$BA$6:$BG$6,BI$177,NOV!$BA34:$BG34)</f>
        <v>0</v>
      </c>
      <c r="BJ511" s="229">
        <f>SUMIF(NOV!$BA$6:$BG$6,BJ$177,NOV!$BA34:$BG34)</f>
        <v>0</v>
      </c>
      <c r="BK511" s="229">
        <f>SUMIF(NOV!$BA$6:$BG$6,BK$177,NOV!$BA34:$BG34)</f>
        <v>0</v>
      </c>
      <c r="BL511" s="229">
        <f>SUMIF(NOV!$BA$6:$BG$6,BL$177,NOV!$BA34:$BG34)</f>
        <v>0</v>
      </c>
      <c r="BM511" s="229">
        <f>SUMIF(NOV!$BA$6:$BG$6,BM$177,NOV!$BA34:$BG34)</f>
        <v>0</v>
      </c>
      <c r="BN511" s="229">
        <f>SUMIF(NOV!$BA$6:$BG$6,BN$177,NOV!$BA34:$BG34)</f>
        <v>0</v>
      </c>
      <c r="BO511" s="231">
        <f>SUMIF(NOV!$BA$6:$BG$6,BO$177,NOV!$BA34:$BG34)</f>
        <v>0</v>
      </c>
      <c r="BP511" s="231">
        <f>SUMIF(NOV!$BA$6:$BG$6,BP$177,NOV!$BA34:$BG34)</f>
        <v>0</v>
      </c>
      <c r="BQ511" s="252"/>
      <c r="BR511" s="228">
        <f>SUMIF(NOV!$BA$5:$BG$5,BR$177,NOV!$BA34:$BG34)</f>
        <v>0</v>
      </c>
      <c r="BS511" s="229">
        <f>SUMIF(NOV!$BA$5:$BG$5,BS$177,NOV!$BA34:$BG34)</f>
        <v>0</v>
      </c>
      <c r="BT511" s="229">
        <f>SUMIF(NOV!$BA$5:$BG$5,BT$177,NOV!$BA34:$BG34)</f>
        <v>0</v>
      </c>
      <c r="BU511" s="229">
        <f>SUMIF(NOV!$BA$5:$BG$5,BU$177,NOV!$BA34:$BG34)</f>
        <v>0</v>
      </c>
      <c r="BV511" s="229">
        <f>SUMIF(NOV!$BA$5:$BG$5,BV$177,NOV!$BA34:$BG34)</f>
        <v>0</v>
      </c>
      <c r="BW511" s="229">
        <f>SUMIF(NOV!$BA$5:$BG$5,BW$177,NOV!$BA34:$BG34)</f>
        <v>0</v>
      </c>
      <c r="BX511" s="230">
        <f>SUMIF(NOV!$BA$5:$BG$5,BX$177,NOV!$BA34:$BG34)</f>
        <v>0</v>
      </c>
      <c r="BY511" s="998">
        <f>SUMIF(NOV!$BA$5:$BG$5,BY$177,NOV!$BA34:$BG34)</f>
        <v>0</v>
      </c>
      <c r="CB511" s="252"/>
      <c r="CC511" s="61" t="e">
        <f t="shared" si="124"/>
        <v>#N/A</v>
      </c>
      <c r="CD511" s="61">
        <f t="shared" si="125"/>
        <v>0</v>
      </c>
      <c r="CE511" s="105" t="str">
        <f t="shared" si="118"/>
        <v/>
      </c>
      <c r="CF511" s="61" t="e">
        <f t="shared" si="126"/>
        <v>#N/A</v>
      </c>
      <c r="CG511" s="61" t="e">
        <f t="shared" si="127"/>
        <v>#N/A</v>
      </c>
      <c r="CH511" s="521">
        <f>NOV!AL34-CW511+CR511</f>
        <v>0</v>
      </c>
      <c r="CI511" s="228">
        <f>SUMIF(NOV!$G$121:$M$121,CI$178,NOV!$AM34:$AS34)+SUMIF($CS$178:$CV$178,CI$178,$CS511:$CV511)</f>
        <v>0</v>
      </c>
      <c r="CJ511" s="229">
        <f>SUMIF(NOV!$G$121:$M$121,CJ$178,NOV!$AM34:$AS34)+SUMIF($CS$178:$CV$178,CJ$178,$CS511:$CV511)</f>
        <v>0</v>
      </c>
      <c r="CK511" s="230">
        <f>SUMIF(NOV!$G$121:$M$121,CK$178,NOV!$AM34:$AS34)+SUMIF($CS$178:$CV$178,CK$178,$CS511:$CV511)</f>
        <v>0</v>
      </c>
      <c r="CL511" s="230">
        <f>SUMIF(NOV!$G$121:$M$121,CL$178,NOV!$AM34:$AS34)+SUMIF($CS$178:$CV$178,CL$178,$CS511:$CV511)</f>
        <v>0</v>
      </c>
      <c r="CM511" s="230">
        <f>SUMIF(NOV!$G$121:$M$121,CM$178,NOV!$AM34:$AS34)+SUMIF($CS$178:$CV$178,CM$178,$CS511:$CV511)</f>
        <v>0</v>
      </c>
      <c r="CN511" s="230">
        <f>SUMIF(NOV!$G$121:$M$121,CN$178,NOV!$AM34:$AS34)+SUMIF($CS$178:$CV$178,CN$178,$CS511:$CV511)</f>
        <v>0</v>
      </c>
      <c r="CO511" s="230">
        <f>SUMIF(NOV!$G$121:$M$121,CO$178,NOV!$AM34:$AS34)+SUMIF($CS$178:$CV$178,CO$178,$CS511:$CV511)</f>
        <v>0</v>
      </c>
      <c r="CP511" s="230">
        <f>SUMIF(NOV!$G$121:$M$121,CP$178,NOV!$AM34:$AS34)+SUMIF($CS$178:$CV$178,CP$178,$CS511:$CV511)</f>
        <v>0</v>
      </c>
      <c r="CQ511" s="231">
        <f>SUMIF(NOV!$G$121:$M$121,CQ$178,NOV!$AM34:$AS34)+SUMIF($CS$178:$CV$178,CQ$178,$CS511:$CV511)</f>
        <v>0</v>
      </c>
      <c r="CR511" s="521">
        <f>NOV!AU34</f>
        <v>0</v>
      </c>
      <c r="CS511" s="228">
        <f>NOV!AV34</f>
        <v>0</v>
      </c>
      <c r="CT511" s="229">
        <f>NOV!AW34</f>
        <v>0</v>
      </c>
      <c r="CU511" s="230">
        <f>NOV!AX34</f>
        <v>0</v>
      </c>
      <c r="CV511" s="231">
        <f>NOV!AY34</f>
        <v>0</v>
      </c>
      <c r="CW511" s="521">
        <f>SUM(NOV!AU34:AY34)</f>
        <v>0</v>
      </c>
      <c r="CX511" s="521">
        <f>NOV!AK34</f>
        <v>0</v>
      </c>
      <c r="CY511" s="2"/>
    </row>
    <row r="512" spans="1:103" ht="14.25" hidden="1" customHeight="1" x14ac:dyDescent="0.2">
      <c r="A512" s="2"/>
      <c r="B512" s="105">
        <f t="shared" si="128"/>
        <v>45624</v>
      </c>
      <c r="C512" s="146">
        <f>IF(AND(E512&gt;(N$561-1),E512&lt;(R$561+1)),W$551,IF(ISERROR(HLOOKUP(E512,$N$554:$U$554,1,FALSE)),HLOOKUP(WEEKDAY(E512,2),IMPOSTAZIONI!$C$52:$P$57,6,FALSE),$W$550))</f>
        <v>0</v>
      </c>
      <c r="D512" s="71" t="str">
        <f t="shared" si="129"/>
        <v/>
      </c>
      <c r="E512" s="2258">
        <f t="shared" si="134"/>
        <v>45624</v>
      </c>
      <c r="F512" s="2259"/>
      <c r="G512" s="2228" t="str">
        <f>NOV!E35</f>
        <v xml:space="preserve">disattivato  </v>
      </c>
      <c r="H512" s="2229"/>
      <c r="I512" s="2230"/>
      <c r="J512" s="262" t="str">
        <f t="shared" si="119"/>
        <v/>
      </c>
      <c r="K512" s="263"/>
      <c r="L512" s="2217">
        <f t="shared" si="135"/>
        <v>48</v>
      </c>
      <c r="M512" s="2218"/>
      <c r="N512" s="261"/>
      <c r="O512" s="261"/>
      <c r="P512" s="261"/>
      <c r="Q512" s="2219">
        <f t="shared" si="130"/>
        <v>45624</v>
      </c>
      <c r="R512" s="2219"/>
      <c r="S512" s="261"/>
      <c r="T512" s="1173">
        <f t="shared" si="120"/>
        <v>1</v>
      </c>
      <c r="U512" s="261"/>
      <c r="V512" s="261"/>
      <c r="W512" s="261"/>
      <c r="X512" s="261"/>
      <c r="Y512" s="261"/>
      <c r="Z512" s="261"/>
      <c r="AA512" s="261"/>
      <c r="AB512" s="261"/>
      <c r="AC512" s="261"/>
      <c r="AD512" s="261"/>
      <c r="AE512" s="261"/>
      <c r="AF512" s="261"/>
      <c r="AG512" s="1173">
        <f t="shared" si="131"/>
        <v>0</v>
      </c>
      <c r="AH512" s="61" t="str">
        <f t="shared" si="132"/>
        <v/>
      </c>
      <c r="AI512" s="89" t="e">
        <f t="shared" si="133"/>
        <v>#N/A</v>
      </c>
      <c r="AJ512" s="2"/>
      <c r="AK512" s="61">
        <f>IF(G512=G$547,0,IF(OR(G512&lt;&gt;0,CH512&lt;&gt;0,C512="L"),COUNTIF(AK$180:AK511,"&gt;0")+1,0))</f>
        <v>0</v>
      </c>
      <c r="AL512" s="61" t="str">
        <f t="shared" si="121"/>
        <v/>
      </c>
      <c r="AM512" s="61" t="e">
        <f t="shared" si="122"/>
        <v>#N/A</v>
      </c>
      <c r="AN512" s="89" t="e">
        <f t="shared" si="123"/>
        <v>#N/A</v>
      </c>
      <c r="AO512" s="230">
        <f>SUM(NOV!X35:AD35)-BD512+AY512</f>
        <v>0</v>
      </c>
      <c r="AP512" s="228">
        <f>SUMIF(NOV!$G$121:$M$121,AP$178,NOV!$P35:$V35)+SUMIF($AZ$178:$BC$178,AP$178,$AZ512:$BC512)</f>
        <v>0</v>
      </c>
      <c r="AQ512" s="229">
        <f>SUMIF(NOV!$G$121:$M$121,AQ$178,NOV!$P35:$V35)+SUMIF($AZ$178:$BC$178,AQ$178,$AZ512:$BC512)</f>
        <v>0</v>
      </c>
      <c r="AR512" s="230">
        <f>SUMIF(NOV!$G$121:$M$121,AR$178,NOV!$P35:$V35)+SUMIF($AZ$178:$BC$178,AR$178,$AZ512:$BC512)</f>
        <v>0</v>
      </c>
      <c r="AS512" s="230">
        <f>SUMIF(NOV!$G$121:$M$121,AS$178,NOV!$P35:$V35)+SUMIF($AZ$178:$BC$178,AS$178,$AZ512:$BC512)</f>
        <v>0</v>
      </c>
      <c r="AT512" s="230">
        <f>SUMIF(NOV!$G$121:$M$121,AT$178,NOV!$P35:$V35)+SUMIF($AZ$178:$BC$178,AT$178,$AZ512:$BC512)</f>
        <v>0</v>
      </c>
      <c r="AU512" s="230">
        <f>SUMIF(NOV!$G$121:$M$121,AU$178,NOV!$P35:$V35)+SUMIF($AZ$178:$BC$178,AU$178,$AZ512:$BC512)</f>
        <v>0</v>
      </c>
      <c r="AV512" s="230">
        <f>SUMIF(NOV!$G$121:$M$121,AV$178,NOV!$P35:$V35)+SUMIF($AZ$178:$BC$178,AV$178,$AZ512:$BC512)</f>
        <v>0</v>
      </c>
      <c r="AW512" s="230">
        <f>SUMIF(NOV!$G$121:$M$121,AW$178,NOV!$P35:$V35)+SUMIF($AZ$178:$BC$178,AW$178,$AZ512:$BC512)</f>
        <v>0</v>
      </c>
      <c r="AX512" s="231">
        <f>SUMIF(NOV!$G$121:$M$121,AX$178,NOV!$P35:$V35)+SUMIF($AZ$178:$BC$178,AX$178,$AZ512:$BC512)</f>
        <v>0</v>
      </c>
      <c r="AY512" s="232">
        <f>NOV!AF35</f>
        <v>0</v>
      </c>
      <c r="AZ512" s="228">
        <f>NOV!AG35</f>
        <v>0</v>
      </c>
      <c r="BA512" s="229">
        <f>NOV!AH35</f>
        <v>0</v>
      </c>
      <c r="BB512" s="230">
        <f>NOV!AI35</f>
        <v>0</v>
      </c>
      <c r="BC512" s="231">
        <f>NOV!AJ35</f>
        <v>0</v>
      </c>
      <c r="BD512" s="228">
        <f>SUMIF(NOV!$G$120:$M$120,"&gt;0",NOV!$X35:$AD35)</f>
        <v>0</v>
      </c>
      <c r="BE512" s="696"/>
      <c r="BF512" s="228">
        <f>SUMIF(NOV!$BA$6:$BG$6,BF$177,NOV!$BA35:$BG35)</f>
        <v>0</v>
      </c>
      <c r="BG512" s="229">
        <f>SUMIF(NOV!$BA$6:$BG$6,BG$177,NOV!$BA35:$BG35)</f>
        <v>0</v>
      </c>
      <c r="BH512" s="229">
        <f>SUMIF(NOV!$BA$6:$BG$6,BH$177,NOV!$BA35:$BG35)</f>
        <v>0</v>
      </c>
      <c r="BI512" s="229">
        <f>SUMIF(NOV!$BA$6:$BG$6,BI$177,NOV!$BA35:$BG35)</f>
        <v>0</v>
      </c>
      <c r="BJ512" s="229">
        <f>SUMIF(NOV!$BA$6:$BG$6,BJ$177,NOV!$BA35:$BG35)</f>
        <v>0</v>
      </c>
      <c r="BK512" s="229">
        <f>SUMIF(NOV!$BA$6:$BG$6,BK$177,NOV!$BA35:$BG35)</f>
        <v>0</v>
      </c>
      <c r="BL512" s="229">
        <f>SUMIF(NOV!$BA$6:$BG$6,BL$177,NOV!$BA35:$BG35)</f>
        <v>0</v>
      </c>
      <c r="BM512" s="229">
        <f>SUMIF(NOV!$BA$6:$BG$6,BM$177,NOV!$BA35:$BG35)</f>
        <v>0</v>
      </c>
      <c r="BN512" s="229">
        <f>SUMIF(NOV!$BA$6:$BG$6,BN$177,NOV!$BA35:$BG35)</f>
        <v>0</v>
      </c>
      <c r="BO512" s="231">
        <f>SUMIF(NOV!$BA$6:$BG$6,BO$177,NOV!$BA35:$BG35)</f>
        <v>0</v>
      </c>
      <c r="BP512" s="231">
        <f>SUMIF(NOV!$BA$6:$BG$6,BP$177,NOV!$BA35:$BG35)</f>
        <v>0</v>
      </c>
      <c r="BQ512" s="252"/>
      <c r="BR512" s="228">
        <f>SUMIF(NOV!$BA$5:$BG$5,BR$177,NOV!$BA35:$BG35)</f>
        <v>0</v>
      </c>
      <c r="BS512" s="229">
        <f>SUMIF(NOV!$BA$5:$BG$5,BS$177,NOV!$BA35:$BG35)</f>
        <v>0</v>
      </c>
      <c r="BT512" s="229">
        <f>SUMIF(NOV!$BA$5:$BG$5,BT$177,NOV!$BA35:$BG35)</f>
        <v>0</v>
      </c>
      <c r="BU512" s="229">
        <f>SUMIF(NOV!$BA$5:$BG$5,BU$177,NOV!$BA35:$BG35)</f>
        <v>0</v>
      </c>
      <c r="BV512" s="229">
        <f>SUMIF(NOV!$BA$5:$BG$5,BV$177,NOV!$BA35:$BG35)</f>
        <v>0</v>
      </c>
      <c r="BW512" s="229">
        <f>SUMIF(NOV!$BA$5:$BG$5,BW$177,NOV!$BA35:$BG35)</f>
        <v>0</v>
      </c>
      <c r="BX512" s="230">
        <f>SUMIF(NOV!$BA$5:$BG$5,BX$177,NOV!$BA35:$BG35)</f>
        <v>0</v>
      </c>
      <c r="BY512" s="998">
        <f>SUMIF(NOV!$BA$5:$BG$5,BY$177,NOV!$BA35:$BG35)</f>
        <v>0</v>
      </c>
      <c r="CB512" s="252"/>
      <c r="CC512" s="61" t="e">
        <f t="shared" si="124"/>
        <v>#N/A</v>
      </c>
      <c r="CD512" s="61">
        <f t="shared" si="125"/>
        <v>0</v>
      </c>
      <c r="CE512" s="105" t="str">
        <f t="shared" si="118"/>
        <v/>
      </c>
      <c r="CF512" s="61" t="e">
        <f t="shared" si="126"/>
        <v>#N/A</v>
      </c>
      <c r="CG512" s="61" t="e">
        <f t="shared" si="127"/>
        <v>#N/A</v>
      </c>
      <c r="CH512" s="521">
        <f>NOV!AL35-CW512+CR512</f>
        <v>0</v>
      </c>
      <c r="CI512" s="228">
        <f>SUMIF(NOV!$G$121:$M$121,CI$178,NOV!$AM35:$AS35)+SUMIF($CS$178:$CV$178,CI$178,$CS512:$CV512)</f>
        <v>0</v>
      </c>
      <c r="CJ512" s="229">
        <f>SUMIF(NOV!$G$121:$M$121,CJ$178,NOV!$AM35:$AS35)+SUMIF($CS$178:$CV$178,CJ$178,$CS512:$CV512)</f>
        <v>0</v>
      </c>
      <c r="CK512" s="230">
        <f>SUMIF(NOV!$G$121:$M$121,CK$178,NOV!$AM35:$AS35)+SUMIF($CS$178:$CV$178,CK$178,$CS512:$CV512)</f>
        <v>0</v>
      </c>
      <c r="CL512" s="230">
        <f>SUMIF(NOV!$G$121:$M$121,CL$178,NOV!$AM35:$AS35)+SUMIF($CS$178:$CV$178,CL$178,$CS512:$CV512)</f>
        <v>0</v>
      </c>
      <c r="CM512" s="230">
        <f>SUMIF(NOV!$G$121:$M$121,CM$178,NOV!$AM35:$AS35)+SUMIF($CS$178:$CV$178,CM$178,$CS512:$CV512)</f>
        <v>0</v>
      </c>
      <c r="CN512" s="230">
        <f>SUMIF(NOV!$G$121:$M$121,CN$178,NOV!$AM35:$AS35)+SUMIF($CS$178:$CV$178,CN$178,$CS512:$CV512)</f>
        <v>0</v>
      </c>
      <c r="CO512" s="230">
        <f>SUMIF(NOV!$G$121:$M$121,CO$178,NOV!$AM35:$AS35)+SUMIF($CS$178:$CV$178,CO$178,$CS512:$CV512)</f>
        <v>0</v>
      </c>
      <c r="CP512" s="230">
        <f>SUMIF(NOV!$G$121:$M$121,CP$178,NOV!$AM35:$AS35)+SUMIF($CS$178:$CV$178,CP$178,$CS512:$CV512)</f>
        <v>0</v>
      </c>
      <c r="CQ512" s="231">
        <f>SUMIF(NOV!$G$121:$M$121,CQ$178,NOV!$AM35:$AS35)+SUMIF($CS$178:$CV$178,CQ$178,$CS512:$CV512)</f>
        <v>0</v>
      </c>
      <c r="CR512" s="521">
        <f>NOV!AU35</f>
        <v>0</v>
      </c>
      <c r="CS512" s="228">
        <f>NOV!AV35</f>
        <v>0</v>
      </c>
      <c r="CT512" s="229">
        <f>NOV!AW35</f>
        <v>0</v>
      </c>
      <c r="CU512" s="230">
        <f>NOV!AX35</f>
        <v>0</v>
      </c>
      <c r="CV512" s="231">
        <f>NOV!AY35</f>
        <v>0</v>
      </c>
      <c r="CW512" s="521">
        <f>SUM(NOV!AU35:AY35)</f>
        <v>0</v>
      </c>
      <c r="CX512" s="521">
        <f>NOV!AK35</f>
        <v>0</v>
      </c>
      <c r="CY512" s="2"/>
    </row>
    <row r="513" spans="1:103" ht="14.25" hidden="1" customHeight="1" x14ac:dyDescent="0.2">
      <c r="A513" s="2"/>
      <c r="B513" s="105">
        <f t="shared" si="128"/>
        <v>45625</v>
      </c>
      <c r="C513" s="146">
        <f>IF(AND(E513&gt;(N$561-1),E513&lt;(R$561+1)),W$551,IF(ISERROR(HLOOKUP(E513,$N$554:$U$554,1,FALSE)),HLOOKUP(WEEKDAY(E513,2),IMPOSTAZIONI!$C$52:$P$57,6,FALSE),$W$550))</f>
        <v>0</v>
      </c>
      <c r="D513" s="71" t="str">
        <f t="shared" si="129"/>
        <v/>
      </c>
      <c r="E513" s="2258">
        <f t="shared" si="134"/>
        <v>45625</v>
      </c>
      <c r="F513" s="2259"/>
      <c r="G513" s="2228" t="str">
        <f>NOV!E36</f>
        <v xml:space="preserve">disattivato  </v>
      </c>
      <c r="H513" s="2229"/>
      <c r="I513" s="2230"/>
      <c r="J513" s="262" t="str">
        <f t="shared" si="119"/>
        <v/>
      </c>
      <c r="K513" s="263"/>
      <c r="L513" s="2217">
        <f t="shared" si="135"/>
        <v>48</v>
      </c>
      <c r="M513" s="2218"/>
      <c r="N513" s="261"/>
      <c r="O513" s="261"/>
      <c r="P513" s="261"/>
      <c r="Q513" s="2219">
        <f t="shared" si="130"/>
        <v>45625</v>
      </c>
      <c r="R513" s="2219"/>
      <c r="S513" s="261"/>
      <c r="T513" s="1173">
        <f t="shared" si="120"/>
        <v>1</v>
      </c>
      <c r="U513" s="261"/>
      <c r="V513" s="261"/>
      <c r="W513" s="261"/>
      <c r="X513" s="261"/>
      <c r="Y513" s="261"/>
      <c r="Z513" s="261"/>
      <c r="AA513" s="261"/>
      <c r="AB513" s="261"/>
      <c r="AC513" s="261"/>
      <c r="AD513" s="261"/>
      <c r="AE513" s="261"/>
      <c r="AF513" s="261"/>
      <c r="AG513" s="1173">
        <f t="shared" si="131"/>
        <v>0</v>
      </c>
      <c r="AH513" s="61" t="str">
        <f t="shared" si="132"/>
        <v/>
      </c>
      <c r="AI513" s="89" t="e">
        <f t="shared" si="133"/>
        <v>#N/A</v>
      </c>
      <c r="AJ513" s="2"/>
      <c r="AK513" s="61">
        <f>IF(G513=G$547,0,IF(OR(G513&lt;&gt;0,CH513&lt;&gt;0,C513="L"),COUNTIF(AK$180:AK512,"&gt;0")+1,0))</f>
        <v>0</v>
      </c>
      <c r="AL513" s="61" t="str">
        <f t="shared" si="121"/>
        <v/>
      </c>
      <c r="AM513" s="61" t="e">
        <f t="shared" si="122"/>
        <v>#N/A</v>
      </c>
      <c r="AN513" s="89" t="e">
        <f t="shared" si="123"/>
        <v>#N/A</v>
      </c>
      <c r="AO513" s="230">
        <f>SUM(NOV!X36:AD36)-BD513+AY513</f>
        <v>0</v>
      </c>
      <c r="AP513" s="228">
        <f>SUMIF(NOV!$G$121:$M$121,AP$178,NOV!$P36:$V36)+SUMIF($AZ$178:$BC$178,AP$178,$AZ513:$BC513)</f>
        <v>0</v>
      </c>
      <c r="AQ513" s="229">
        <f>SUMIF(NOV!$G$121:$M$121,AQ$178,NOV!$P36:$V36)+SUMIF($AZ$178:$BC$178,AQ$178,$AZ513:$BC513)</f>
        <v>0</v>
      </c>
      <c r="AR513" s="230">
        <f>SUMIF(NOV!$G$121:$M$121,AR$178,NOV!$P36:$V36)+SUMIF($AZ$178:$BC$178,AR$178,$AZ513:$BC513)</f>
        <v>0</v>
      </c>
      <c r="AS513" s="230">
        <f>SUMIF(NOV!$G$121:$M$121,AS$178,NOV!$P36:$V36)+SUMIF($AZ$178:$BC$178,AS$178,$AZ513:$BC513)</f>
        <v>0</v>
      </c>
      <c r="AT513" s="230">
        <f>SUMIF(NOV!$G$121:$M$121,AT$178,NOV!$P36:$V36)+SUMIF($AZ$178:$BC$178,AT$178,$AZ513:$BC513)</f>
        <v>0</v>
      </c>
      <c r="AU513" s="230">
        <f>SUMIF(NOV!$G$121:$M$121,AU$178,NOV!$P36:$V36)+SUMIF($AZ$178:$BC$178,AU$178,$AZ513:$BC513)</f>
        <v>0</v>
      </c>
      <c r="AV513" s="230">
        <f>SUMIF(NOV!$G$121:$M$121,AV$178,NOV!$P36:$V36)+SUMIF($AZ$178:$BC$178,AV$178,$AZ513:$BC513)</f>
        <v>0</v>
      </c>
      <c r="AW513" s="230">
        <f>SUMIF(NOV!$G$121:$M$121,AW$178,NOV!$P36:$V36)+SUMIF($AZ$178:$BC$178,AW$178,$AZ513:$BC513)</f>
        <v>0</v>
      </c>
      <c r="AX513" s="231">
        <f>SUMIF(NOV!$G$121:$M$121,AX$178,NOV!$P36:$V36)+SUMIF($AZ$178:$BC$178,AX$178,$AZ513:$BC513)</f>
        <v>0</v>
      </c>
      <c r="AY513" s="232">
        <f>NOV!AF36</f>
        <v>0</v>
      </c>
      <c r="AZ513" s="228">
        <f>NOV!AG36</f>
        <v>0</v>
      </c>
      <c r="BA513" s="229">
        <f>NOV!AH36</f>
        <v>0</v>
      </c>
      <c r="BB513" s="230">
        <f>NOV!AI36</f>
        <v>0</v>
      </c>
      <c r="BC513" s="231">
        <f>NOV!AJ36</f>
        <v>0</v>
      </c>
      <c r="BD513" s="228">
        <f>SUMIF(NOV!$G$120:$M$120,"&gt;0",NOV!$X36:$AD36)</f>
        <v>0</v>
      </c>
      <c r="BE513" s="696"/>
      <c r="BF513" s="228">
        <f>SUMIF(NOV!$BA$6:$BG$6,BF$177,NOV!$BA36:$BG36)</f>
        <v>0</v>
      </c>
      <c r="BG513" s="229">
        <f>SUMIF(NOV!$BA$6:$BG$6,BG$177,NOV!$BA36:$BG36)</f>
        <v>0</v>
      </c>
      <c r="BH513" s="229">
        <f>SUMIF(NOV!$BA$6:$BG$6,BH$177,NOV!$BA36:$BG36)</f>
        <v>0</v>
      </c>
      <c r="BI513" s="229">
        <f>SUMIF(NOV!$BA$6:$BG$6,BI$177,NOV!$BA36:$BG36)</f>
        <v>0</v>
      </c>
      <c r="BJ513" s="229">
        <f>SUMIF(NOV!$BA$6:$BG$6,BJ$177,NOV!$BA36:$BG36)</f>
        <v>0</v>
      </c>
      <c r="BK513" s="229">
        <f>SUMIF(NOV!$BA$6:$BG$6,BK$177,NOV!$BA36:$BG36)</f>
        <v>0</v>
      </c>
      <c r="BL513" s="229">
        <f>SUMIF(NOV!$BA$6:$BG$6,BL$177,NOV!$BA36:$BG36)</f>
        <v>0</v>
      </c>
      <c r="BM513" s="229">
        <f>SUMIF(NOV!$BA$6:$BG$6,BM$177,NOV!$BA36:$BG36)</f>
        <v>0</v>
      </c>
      <c r="BN513" s="229">
        <f>SUMIF(NOV!$BA$6:$BG$6,BN$177,NOV!$BA36:$BG36)</f>
        <v>0</v>
      </c>
      <c r="BO513" s="231">
        <f>SUMIF(NOV!$BA$6:$BG$6,BO$177,NOV!$BA36:$BG36)</f>
        <v>0</v>
      </c>
      <c r="BP513" s="231">
        <f>SUMIF(NOV!$BA$6:$BG$6,BP$177,NOV!$BA36:$BG36)</f>
        <v>0</v>
      </c>
      <c r="BQ513" s="252"/>
      <c r="BR513" s="228">
        <f>SUMIF(NOV!$BA$5:$BG$5,BR$177,NOV!$BA36:$BG36)</f>
        <v>0</v>
      </c>
      <c r="BS513" s="229">
        <f>SUMIF(NOV!$BA$5:$BG$5,BS$177,NOV!$BA36:$BG36)</f>
        <v>0</v>
      </c>
      <c r="BT513" s="229">
        <f>SUMIF(NOV!$BA$5:$BG$5,BT$177,NOV!$BA36:$BG36)</f>
        <v>0</v>
      </c>
      <c r="BU513" s="229">
        <f>SUMIF(NOV!$BA$5:$BG$5,BU$177,NOV!$BA36:$BG36)</f>
        <v>0</v>
      </c>
      <c r="BV513" s="229">
        <f>SUMIF(NOV!$BA$5:$BG$5,BV$177,NOV!$BA36:$BG36)</f>
        <v>0</v>
      </c>
      <c r="BW513" s="229">
        <f>SUMIF(NOV!$BA$5:$BG$5,BW$177,NOV!$BA36:$BG36)</f>
        <v>0</v>
      </c>
      <c r="BX513" s="230">
        <f>SUMIF(NOV!$BA$5:$BG$5,BX$177,NOV!$BA36:$BG36)</f>
        <v>0</v>
      </c>
      <c r="BY513" s="998">
        <f>SUMIF(NOV!$BA$5:$BG$5,BY$177,NOV!$BA36:$BG36)</f>
        <v>0</v>
      </c>
      <c r="CB513" s="252"/>
      <c r="CC513" s="61" t="e">
        <f t="shared" si="124"/>
        <v>#N/A</v>
      </c>
      <c r="CD513" s="61">
        <f t="shared" si="125"/>
        <v>0</v>
      </c>
      <c r="CE513" s="105" t="str">
        <f t="shared" si="118"/>
        <v/>
      </c>
      <c r="CF513" s="61" t="e">
        <f t="shared" si="126"/>
        <v>#N/A</v>
      </c>
      <c r="CG513" s="61" t="e">
        <f t="shared" si="127"/>
        <v>#N/A</v>
      </c>
      <c r="CH513" s="521">
        <f>NOV!AL36-CW513+CR513</f>
        <v>0</v>
      </c>
      <c r="CI513" s="228">
        <f>SUMIF(NOV!$G$121:$M$121,CI$178,NOV!$AM36:$AS36)+SUMIF($CS$178:$CV$178,CI$178,$CS513:$CV513)</f>
        <v>0</v>
      </c>
      <c r="CJ513" s="229">
        <f>SUMIF(NOV!$G$121:$M$121,CJ$178,NOV!$AM36:$AS36)+SUMIF($CS$178:$CV$178,CJ$178,$CS513:$CV513)</f>
        <v>0</v>
      </c>
      <c r="CK513" s="230">
        <f>SUMIF(NOV!$G$121:$M$121,CK$178,NOV!$AM36:$AS36)+SUMIF($CS$178:$CV$178,CK$178,$CS513:$CV513)</f>
        <v>0</v>
      </c>
      <c r="CL513" s="230">
        <f>SUMIF(NOV!$G$121:$M$121,CL$178,NOV!$AM36:$AS36)+SUMIF($CS$178:$CV$178,CL$178,$CS513:$CV513)</f>
        <v>0</v>
      </c>
      <c r="CM513" s="230">
        <f>SUMIF(NOV!$G$121:$M$121,CM$178,NOV!$AM36:$AS36)+SUMIF($CS$178:$CV$178,CM$178,$CS513:$CV513)</f>
        <v>0</v>
      </c>
      <c r="CN513" s="230">
        <f>SUMIF(NOV!$G$121:$M$121,CN$178,NOV!$AM36:$AS36)+SUMIF($CS$178:$CV$178,CN$178,$CS513:$CV513)</f>
        <v>0</v>
      </c>
      <c r="CO513" s="230">
        <f>SUMIF(NOV!$G$121:$M$121,CO$178,NOV!$AM36:$AS36)+SUMIF($CS$178:$CV$178,CO$178,$CS513:$CV513)</f>
        <v>0</v>
      </c>
      <c r="CP513" s="230">
        <f>SUMIF(NOV!$G$121:$M$121,CP$178,NOV!$AM36:$AS36)+SUMIF($CS$178:$CV$178,CP$178,$CS513:$CV513)</f>
        <v>0</v>
      </c>
      <c r="CQ513" s="231">
        <f>SUMIF(NOV!$G$121:$M$121,CQ$178,NOV!$AM36:$AS36)+SUMIF($CS$178:$CV$178,CQ$178,$CS513:$CV513)</f>
        <v>0</v>
      </c>
      <c r="CR513" s="521">
        <f>NOV!AU36</f>
        <v>0</v>
      </c>
      <c r="CS513" s="228">
        <f>NOV!AV36</f>
        <v>0</v>
      </c>
      <c r="CT513" s="229">
        <f>NOV!AW36</f>
        <v>0</v>
      </c>
      <c r="CU513" s="230">
        <f>NOV!AX36</f>
        <v>0</v>
      </c>
      <c r="CV513" s="231">
        <f>NOV!AY36</f>
        <v>0</v>
      </c>
      <c r="CW513" s="521">
        <f>SUM(NOV!AU36:AY36)</f>
        <v>0</v>
      </c>
      <c r="CX513" s="521">
        <f>NOV!AK36</f>
        <v>0</v>
      </c>
      <c r="CY513" s="2"/>
    </row>
    <row r="514" spans="1:103" ht="14.25" hidden="1" customHeight="1" x14ac:dyDescent="0.2">
      <c r="A514" s="2"/>
      <c r="B514" s="105">
        <f t="shared" si="128"/>
        <v>45626</v>
      </c>
      <c r="C514" s="146">
        <f>IF(AND(E514&gt;(N$561-1),E514&lt;(R$561+1)),W$551,IF(ISERROR(HLOOKUP(E514,$N$554:$U$554,1,FALSE)),HLOOKUP(WEEKDAY(E514,2),IMPOSTAZIONI!$C$52:$P$57,6,FALSE),$W$550))</f>
        <v>0</v>
      </c>
      <c r="D514" s="71" t="str">
        <f t="shared" si="129"/>
        <v/>
      </c>
      <c r="E514" s="2258">
        <f t="shared" si="134"/>
        <v>45626</v>
      </c>
      <c r="F514" s="2259"/>
      <c r="G514" s="2228" t="str">
        <f>NOV!E37</f>
        <v xml:space="preserve">disattivato  </v>
      </c>
      <c r="H514" s="2229"/>
      <c r="I514" s="2230"/>
      <c r="J514" s="262" t="str">
        <f t="shared" si="119"/>
        <v/>
      </c>
      <c r="K514" s="263"/>
      <c r="L514" s="2217">
        <f t="shared" si="135"/>
        <v>48</v>
      </c>
      <c r="M514" s="2218"/>
      <c r="N514" s="261"/>
      <c r="O514" s="261"/>
      <c r="P514" s="261"/>
      <c r="Q514" s="2219">
        <f t="shared" si="130"/>
        <v>45626</v>
      </c>
      <c r="R514" s="2219"/>
      <c r="S514" s="261"/>
      <c r="T514" s="1173">
        <f t="shared" si="120"/>
        <v>1</v>
      </c>
      <c r="U514" s="261"/>
      <c r="V514" s="261"/>
      <c r="W514" s="261"/>
      <c r="X514" s="261"/>
      <c r="Y514" s="261"/>
      <c r="Z514" s="261"/>
      <c r="AA514" s="261"/>
      <c r="AB514" s="261"/>
      <c r="AC514" s="261"/>
      <c r="AD514" s="261"/>
      <c r="AE514" s="261"/>
      <c r="AF514" s="261"/>
      <c r="AG514" s="1173">
        <f t="shared" si="131"/>
        <v>0</v>
      </c>
      <c r="AH514" s="61" t="str">
        <f t="shared" si="132"/>
        <v/>
      </c>
      <c r="AI514" s="89" t="e">
        <f t="shared" si="133"/>
        <v>#N/A</v>
      </c>
      <c r="AJ514" s="2"/>
      <c r="AK514" s="61">
        <f>IF(G514=G$547,0,IF(OR(G514&lt;&gt;0,CH514&lt;&gt;0,C514="L"),COUNTIF(AK$180:AK513,"&gt;0")+1,0))</f>
        <v>0</v>
      </c>
      <c r="AL514" s="61" t="str">
        <f t="shared" si="121"/>
        <v/>
      </c>
      <c r="AM514" s="61" t="e">
        <f t="shared" si="122"/>
        <v>#N/A</v>
      </c>
      <c r="AN514" s="89" t="e">
        <f t="shared" si="123"/>
        <v>#N/A</v>
      </c>
      <c r="AO514" s="235">
        <f>SUM(NOV!X37:AD37)-BD514+AY514</f>
        <v>0</v>
      </c>
      <c r="AP514" s="233">
        <f>SUMIF(NOV!$G$121:$M$121,AP$178,NOV!$P37:$V37)+SUMIF($AZ$178:$BC$178,AP$178,$AZ514:$BC514)</f>
        <v>0</v>
      </c>
      <c r="AQ514" s="234">
        <f>SUMIF(NOV!$G$121:$M$121,AQ$178,NOV!$P37:$V37)+SUMIF($AZ$178:$BC$178,AQ$178,$AZ514:$BC514)</f>
        <v>0</v>
      </c>
      <c r="AR514" s="235">
        <f>SUMIF(NOV!$G$121:$M$121,AR$178,NOV!$P37:$V37)+SUMIF($AZ$178:$BC$178,AR$178,$AZ514:$BC514)</f>
        <v>0</v>
      </c>
      <c r="AS514" s="235">
        <f>SUMIF(NOV!$G$121:$M$121,AS$178,NOV!$P37:$V37)+SUMIF($AZ$178:$BC$178,AS$178,$AZ514:$BC514)</f>
        <v>0</v>
      </c>
      <c r="AT514" s="235">
        <f>SUMIF(NOV!$G$121:$M$121,AT$178,NOV!$P37:$V37)+SUMIF($AZ$178:$BC$178,AT$178,$AZ514:$BC514)</f>
        <v>0</v>
      </c>
      <c r="AU514" s="235">
        <f>SUMIF(NOV!$G$121:$M$121,AU$178,NOV!$P37:$V37)+SUMIF($AZ$178:$BC$178,AU$178,$AZ514:$BC514)</f>
        <v>0</v>
      </c>
      <c r="AV514" s="235">
        <f>SUMIF(NOV!$G$121:$M$121,AV$178,NOV!$P37:$V37)+SUMIF($AZ$178:$BC$178,AV$178,$AZ514:$BC514)</f>
        <v>0</v>
      </c>
      <c r="AW514" s="235">
        <f>SUMIF(NOV!$G$121:$M$121,AW$178,NOV!$P37:$V37)+SUMIF($AZ$178:$BC$178,AW$178,$AZ514:$BC514)</f>
        <v>0</v>
      </c>
      <c r="AX514" s="236">
        <f>SUMIF(NOV!$G$121:$M$121,AX$178,NOV!$P37:$V37)+SUMIF($AZ$178:$BC$178,AX$178,$AZ514:$BC514)</f>
        <v>0</v>
      </c>
      <c r="AY514" s="237">
        <f>NOV!AF37</f>
        <v>0</v>
      </c>
      <c r="AZ514" s="233">
        <f>NOV!AG37</f>
        <v>0</v>
      </c>
      <c r="BA514" s="234">
        <f>NOV!AH37</f>
        <v>0</v>
      </c>
      <c r="BB514" s="235">
        <f>NOV!AI37</f>
        <v>0</v>
      </c>
      <c r="BC514" s="236">
        <f>NOV!AJ37</f>
        <v>0</v>
      </c>
      <c r="BD514" s="233">
        <f>SUMIF(NOV!$G$120:$M$120,"&gt;0",NOV!$X37:$AD37)</f>
        <v>0</v>
      </c>
      <c r="BE514" s="696"/>
      <c r="BF514" s="233">
        <f>SUMIF(NOV!$BA$6:$BG$6,BF$177,NOV!$BA37:$BG37)</f>
        <v>0</v>
      </c>
      <c r="BG514" s="234">
        <f>SUMIF(NOV!$BA$6:$BG$6,BG$177,NOV!$BA37:$BG37)</f>
        <v>0</v>
      </c>
      <c r="BH514" s="234">
        <f>SUMIF(NOV!$BA$6:$BG$6,BH$177,NOV!$BA37:$BG37)</f>
        <v>0</v>
      </c>
      <c r="BI514" s="234">
        <f>SUMIF(NOV!$BA$6:$BG$6,BI$177,NOV!$BA37:$BG37)</f>
        <v>0</v>
      </c>
      <c r="BJ514" s="234">
        <f>SUMIF(NOV!$BA$6:$BG$6,BJ$177,NOV!$BA37:$BG37)</f>
        <v>0</v>
      </c>
      <c r="BK514" s="234">
        <f>SUMIF(NOV!$BA$6:$BG$6,BK$177,NOV!$BA37:$BG37)</f>
        <v>0</v>
      </c>
      <c r="BL514" s="234">
        <f>SUMIF(NOV!$BA$6:$BG$6,BL$177,NOV!$BA37:$BG37)</f>
        <v>0</v>
      </c>
      <c r="BM514" s="234">
        <f>SUMIF(NOV!$BA$6:$BG$6,BM$177,NOV!$BA37:$BG37)</f>
        <v>0</v>
      </c>
      <c r="BN514" s="234">
        <f>SUMIF(NOV!$BA$6:$BG$6,BN$177,NOV!$BA37:$BG37)</f>
        <v>0</v>
      </c>
      <c r="BO514" s="236">
        <f>SUMIF(NOV!$BA$6:$BG$6,BO$177,NOV!$BA37:$BG37)</f>
        <v>0</v>
      </c>
      <c r="BP514" s="236">
        <f>SUMIF(NOV!$BA$6:$BG$6,BP$177,NOV!$BA37:$BG37)</f>
        <v>0</v>
      </c>
      <c r="BQ514" s="252"/>
      <c r="BR514" s="233">
        <f>SUMIF(NOV!$BA$5:$BG$5,BR$177,NOV!$BA37:$BG37)</f>
        <v>0</v>
      </c>
      <c r="BS514" s="234">
        <f>SUMIF(NOV!$BA$5:$BG$5,BS$177,NOV!$BA37:$BG37)</f>
        <v>0</v>
      </c>
      <c r="BT514" s="234">
        <f>SUMIF(NOV!$BA$5:$BG$5,BT$177,NOV!$BA37:$BG37)</f>
        <v>0</v>
      </c>
      <c r="BU514" s="234">
        <f>SUMIF(NOV!$BA$5:$BG$5,BU$177,NOV!$BA37:$BG37)</f>
        <v>0</v>
      </c>
      <c r="BV514" s="234">
        <f>SUMIF(NOV!$BA$5:$BG$5,BV$177,NOV!$BA37:$BG37)</f>
        <v>0</v>
      </c>
      <c r="BW514" s="234">
        <f>SUMIF(NOV!$BA$5:$BG$5,BW$177,NOV!$BA37:$BG37)</f>
        <v>0</v>
      </c>
      <c r="BX514" s="235">
        <f>SUMIF(NOV!$BA$5:$BG$5,BX$177,NOV!$BA37:$BG37)</f>
        <v>0</v>
      </c>
      <c r="BY514" s="999">
        <f>SUMIF(NOV!$BA$5:$BG$5,BY$177,NOV!$BA37:$BG37)</f>
        <v>0</v>
      </c>
      <c r="CB514" s="252"/>
      <c r="CC514" s="61" t="e">
        <f t="shared" si="124"/>
        <v>#N/A</v>
      </c>
      <c r="CD514" s="61">
        <f t="shared" si="125"/>
        <v>0</v>
      </c>
      <c r="CE514" s="105" t="str">
        <f t="shared" si="118"/>
        <v/>
      </c>
      <c r="CF514" s="61" t="e">
        <f t="shared" si="126"/>
        <v>#N/A</v>
      </c>
      <c r="CG514" s="61" t="e">
        <f t="shared" si="127"/>
        <v>#N/A</v>
      </c>
      <c r="CH514" s="522">
        <f>NOV!AL37-CW514+CR514</f>
        <v>0</v>
      </c>
      <c r="CI514" s="233">
        <f>SUMIF(NOV!$G$121:$M$121,CI$178,NOV!$AM37:$AS37)+SUMIF($CS$178:$CV$178,CI$178,$CS514:$CV514)</f>
        <v>0</v>
      </c>
      <c r="CJ514" s="234">
        <f>SUMIF(NOV!$G$121:$M$121,CJ$178,NOV!$AM37:$AS37)+SUMIF($CS$178:$CV$178,CJ$178,$CS514:$CV514)</f>
        <v>0</v>
      </c>
      <c r="CK514" s="235">
        <f>SUMIF(NOV!$G$121:$M$121,CK$178,NOV!$AM37:$AS37)+SUMIF($CS$178:$CV$178,CK$178,$CS514:$CV514)</f>
        <v>0</v>
      </c>
      <c r="CL514" s="235">
        <f>SUMIF(NOV!$G$121:$M$121,CL$178,NOV!$AM37:$AS37)+SUMIF($CS$178:$CV$178,CL$178,$CS514:$CV514)</f>
        <v>0</v>
      </c>
      <c r="CM514" s="235">
        <f>SUMIF(NOV!$G$121:$M$121,CM$178,NOV!$AM37:$AS37)+SUMIF($CS$178:$CV$178,CM$178,$CS514:$CV514)</f>
        <v>0</v>
      </c>
      <c r="CN514" s="235">
        <f>SUMIF(NOV!$G$121:$M$121,CN$178,NOV!$AM37:$AS37)+SUMIF($CS$178:$CV$178,CN$178,$CS514:$CV514)</f>
        <v>0</v>
      </c>
      <c r="CO514" s="235">
        <f>SUMIF(NOV!$G$121:$M$121,CO$178,NOV!$AM37:$AS37)+SUMIF($CS$178:$CV$178,CO$178,$CS514:$CV514)</f>
        <v>0</v>
      </c>
      <c r="CP514" s="235">
        <f>SUMIF(NOV!$G$121:$M$121,CP$178,NOV!$AM37:$AS37)+SUMIF($CS$178:$CV$178,CP$178,$CS514:$CV514)</f>
        <v>0</v>
      </c>
      <c r="CQ514" s="236">
        <f>SUMIF(NOV!$G$121:$M$121,CQ$178,NOV!$AM37:$AS37)+SUMIF($CS$178:$CV$178,CQ$178,$CS514:$CV514)</f>
        <v>0</v>
      </c>
      <c r="CR514" s="522">
        <f>NOV!AU37</f>
        <v>0</v>
      </c>
      <c r="CS514" s="233">
        <f>NOV!AV37</f>
        <v>0</v>
      </c>
      <c r="CT514" s="234">
        <f>NOV!AW37</f>
        <v>0</v>
      </c>
      <c r="CU514" s="235">
        <f>NOV!AX37</f>
        <v>0</v>
      </c>
      <c r="CV514" s="236">
        <f>NOV!AY37</f>
        <v>0</v>
      </c>
      <c r="CW514" s="522">
        <f>SUM(NOV!AU37:AY37)</f>
        <v>0</v>
      </c>
      <c r="CX514" s="522">
        <f>NOV!AK37</f>
        <v>0</v>
      </c>
      <c r="CY514" s="2"/>
    </row>
    <row r="515" spans="1:103" ht="14.25" hidden="1" customHeight="1" x14ac:dyDescent="0.2">
      <c r="A515" s="2"/>
      <c r="B515" s="105">
        <f t="shared" si="128"/>
        <v>45627</v>
      </c>
      <c r="C515" s="146">
        <f>IF(AND(E515&gt;(N$562-1),E515&lt;(R$562+1)),W$551,IF(ISERROR(HLOOKUP(E515,$N$555:$U$555,1,FALSE)),HLOOKUP(WEEKDAY(E515,2),IMPOSTAZIONI!$C$52:$P$57,6,FALSE),$W$550))</f>
        <v>0</v>
      </c>
      <c r="D515" s="71" t="str">
        <f t="shared" si="129"/>
        <v/>
      </c>
      <c r="E515" s="2260">
        <f t="shared" si="134"/>
        <v>45627</v>
      </c>
      <c r="F515" s="2261"/>
      <c r="G515" s="2249" t="str">
        <f>DIC!E8</f>
        <v xml:space="preserve">disattivato  </v>
      </c>
      <c r="H515" s="2250"/>
      <c r="I515" s="2251"/>
      <c r="J515" s="262" t="str">
        <f t="shared" si="119"/>
        <v/>
      </c>
      <c r="K515" s="263"/>
      <c r="L515" s="2220">
        <f t="shared" si="135"/>
        <v>48</v>
      </c>
      <c r="M515" s="2221"/>
      <c r="N515" s="261"/>
      <c r="O515" s="261"/>
      <c r="P515" s="261"/>
      <c r="Q515" s="2219">
        <f t="shared" si="130"/>
        <v>45627</v>
      </c>
      <c r="R515" s="2219"/>
      <c r="S515" s="261"/>
      <c r="T515" s="1173">
        <f t="shared" si="120"/>
        <v>1</v>
      </c>
      <c r="U515" s="261"/>
      <c r="V515" s="261"/>
      <c r="W515" s="261"/>
      <c r="X515" s="261"/>
      <c r="Y515" s="261"/>
      <c r="Z515" s="261"/>
      <c r="AA515" s="261"/>
      <c r="AB515" s="261"/>
      <c r="AC515" s="261"/>
      <c r="AD515" s="261"/>
      <c r="AE515" s="261"/>
      <c r="AF515" s="261"/>
      <c r="AG515" s="1173">
        <f t="shared" si="131"/>
        <v>0</v>
      </c>
      <c r="AH515" s="61" t="str">
        <f t="shared" si="132"/>
        <v/>
      </c>
      <c r="AI515" s="89" t="e">
        <f t="shared" si="133"/>
        <v>#N/A</v>
      </c>
      <c r="AJ515" s="89">
        <f>IF(G515=G547,0,COUNTIF(T515:T545,"&gt;0"))</f>
        <v>0</v>
      </c>
      <c r="AK515" s="61">
        <f>IF(G515=G$547,0,IF(OR(G515&lt;&gt;0,CH515&lt;&gt;0,C515="L"),COUNTIF(AK$180:AK514,"&gt;0")+1,0))</f>
        <v>0</v>
      </c>
      <c r="AL515" s="61" t="str">
        <f t="shared" si="121"/>
        <v/>
      </c>
      <c r="AM515" s="61" t="e">
        <f t="shared" si="122"/>
        <v>#N/A</v>
      </c>
      <c r="AN515" s="89" t="e">
        <f t="shared" si="123"/>
        <v>#N/A</v>
      </c>
      <c r="AO515" s="230">
        <f>SUM(DIC!X8:AD8)-BD515+AY515</f>
        <v>0</v>
      </c>
      <c r="AP515" s="228">
        <f>SUMIF(DIC!$G$121:$M$121,AP$178,DIC!$P8:$V8)+SUMIF($AZ$178:$BC$178,AP$178,$AZ515:$BC515)</f>
        <v>0</v>
      </c>
      <c r="AQ515" s="229">
        <f>SUMIF(DIC!$G$121:$M$121,AQ$178,DIC!$P8:$V8)+SUMIF($AZ$178:$BC$178,AQ$178,$AZ515:$BC515)</f>
        <v>0</v>
      </c>
      <c r="AR515" s="230">
        <f>SUMIF(DIC!$G$121:$M$121,AR$178,DIC!$P8:$V8)+SUMIF($AZ$178:$BC$178,AR$178,$AZ515:$BC515)</f>
        <v>0</v>
      </c>
      <c r="AS515" s="230">
        <f>SUMIF(DIC!$G$121:$M$121,AS$178,DIC!$P8:$V8)+SUMIF($AZ$178:$BC$178,AS$178,$AZ515:$BC515)</f>
        <v>0</v>
      </c>
      <c r="AT515" s="230">
        <f>SUMIF(DIC!$G$121:$M$121,AT$178,DIC!$P8:$V8)+SUMIF($AZ$178:$BC$178,AT$178,$AZ515:$BC515)</f>
        <v>0</v>
      </c>
      <c r="AU515" s="230">
        <f>SUMIF(DIC!$G$121:$M$121,AU$178,DIC!$P8:$V8)+SUMIF($AZ$178:$BC$178,AU$178,$AZ515:$BC515)</f>
        <v>0</v>
      </c>
      <c r="AV515" s="230">
        <f>SUMIF(DIC!$G$121:$M$121,AV$178,DIC!$P8:$V8)+SUMIF($AZ$178:$BC$178,AV$178,$AZ515:$BC515)</f>
        <v>0</v>
      </c>
      <c r="AW515" s="230">
        <f>SUMIF(DIC!$G$121:$M$121,AW$178,DIC!$P8:$V8)+SUMIF($AZ$178:$BC$178,AW$178,$AZ515:$BC515)</f>
        <v>0</v>
      </c>
      <c r="AX515" s="231">
        <f>SUMIF(DIC!$G$121:$M$121,AX$178,DIC!$P8:$V8)+SUMIF($AZ$178:$BC$178,AX$178,$AZ515:$BC515)</f>
        <v>0</v>
      </c>
      <c r="AY515" s="232">
        <f>DIC!AF8</f>
        <v>0</v>
      </c>
      <c r="AZ515" s="228">
        <f>DIC!AG8</f>
        <v>0</v>
      </c>
      <c r="BA515" s="229">
        <f>DIC!AH8</f>
        <v>0</v>
      </c>
      <c r="BB515" s="230">
        <f>DIC!AI8</f>
        <v>0</v>
      </c>
      <c r="BC515" s="231">
        <f>DIC!AJ8</f>
        <v>0</v>
      </c>
      <c r="BD515" s="228">
        <f>SUMIF(DIC!$G$120:$M$120,"&gt;0",DIC!$X8:$AD8)</f>
        <v>0</v>
      </c>
      <c r="BE515" s="696"/>
      <c r="BF515" s="254">
        <f>SUMIF(DIC!$BA$6:$BG$6,BF$177,DIC!$BA8:$BG8)</f>
        <v>0</v>
      </c>
      <c r="BG515" s="255">
        <f>SUMIF(DIC!$BA$6:$BG$6,BG$177,DIC!$BA8:$BG8)</f>
        <v>0</v>
      </c>
      <c r="BH515" s="255">
        <f>SUMIF(DIC!$BA$6:$BG$6,BH$177,DIC!$BA8:$BG8)</f>
        <v>0</v>
      </c>
      <c r="BI515" s="255">
        <f>SUMIF(DIC!$BA$6:$BG$6,BI$177,DIC!$BA8:$BG8)</f>
        <v>0</v>
      </c>
      <c r="BJ515" s="255">
        <f>SUMIF(DIC!$BA$6:$BG$6,BJ$177,DIC!$BA8:$BG8)</f>
        <v>0</v>
      </c>
      <c r="BK515" s="255">
        <f>SUMIF(DIC!$BA$6:$BG$6,BK$177,DIC!$BA8:$BG8)</f>
        <v>0</v>
      </c>
      <c r="BL515" s="255">
        <f>SUMIF(DIC!$BA$6:$BG$6,BL$177,DIC!$BA8:$BG8)</f>
        <v>0</v>
      </c>
      <c r="BM515" s="255">
        <f>SUMIF(DIC!$BA$6:$BG$6,BM$177,DIC!$BA8:$BG8)</f>
        <v>0</v>
      </c>
      <c r="BN515" s="255">
        <f>SUMIF(DIC!$BA$6:$BG$6,BN$177,DIC!$BA8:$BG8)</f>
        <v>0</v>
      </c>
      <c r="BO515" s="256">
        <f>SUMIF(DIC!$BA$6:$BG$6,BO$177,DIC!$BA8:$BG8)</f>
        <v>0</v>
      </c>
      <c r="BP515" s="256">
        <f>SUMIF(DIC!$BA$6:$BG$6,BP$177,DIC!$BA8:$BG8)</f>
        <v>0</v>
      </c>
      <c r="BQ515" s="252"/>
      <c r="BR515" s="254">
        <f>SUMIF(DIC!$BA$5:$BG$5,BR$177,DIC!$BA8:$BG8)</f>
        <v>0</v>
      </c>
      <c r="BS515" s="255">
        <f>SUMIF(DIC!$BA$5:$BG$5,BS$177,DIC!$BA8:$BG8)</f>
        <v>0</v>
      </c>
      <c r="BT515" s="255">
        <f>SUMIF(DIC!$BA$5:$BG$5,BT$177,DIC!$BA8:$BG8)</f>
        <v>0</v>
      </c>
      <c r="BU515" s="255">
        <f>SUMIF(DIC!$BA$5:$BG$5,BU$177,DIC!$BA8:$BG8)</f>
        <v>0</v>
      </c>
      <c r="BV515" s="255">
        <f>SUMIF(DIC!$BA$5:$BG$5,BV$177,DIC!$BA8:$BG8)</f>
        <v>0</v>
      </c>
      <c r="BW515" s="255">
        <f>SUMIF(DIC!$BA$5:$BG$5,BW$177,DIC!$BA8:$BG8)</f>
        <v>0</v>
      </c>
      <c r="BX515" s="996">
        <f>SUMIF(DIC!$BA$5:$BG$5,BX$177,DIC!$BA8:$BG8)</f>
        <v>0</v>
      </c>
      <c r="BY515" s="997">
        <f>SUMIF(DIC!$BA$5:$BG$5,BY$177,DIC!$BA8:$BG8)</f>
        <v>0</v>
      </c>
      <c r="CB515" s="252"/>
      <c r="CC515" s="61" t="e">
        <f t="shared" si="124"/>
        <v>#N/A</v>
      </c>
      <c r="CD515" s="61">
        <f t="shared" si="125"/>
        <v>0</v>
      </c>
      <c r="CE515" s="105" t="str">
        <f t="shared" si="118"/>
        <v/>
      </c>
      <c r="CF515" s="61" t="e">
        <f t="shared" si="126"/>
        <v>#N/A</v>
      </c>
      <c r="CG515" s="61" t="e">
        <f t="shared" si="127"/>
        <v>#N/A</v>
      </c>
      <c r="CH515" s="523">
        <f>DIC!AL8-CW515+CR515</f>
        <v>0</v>
      </c>
      <c r="CI515" s="228">
        <f>SUMIF(DIC!$G$121:$M$121,CI$178,DIC!$AM8:$AS8)+SUMIF($CS$178:$CV$178,CI$178,$CS515:$CV515)</f>
        <v>0</v>
      </c>
      <c r="CJ515" s="229">
        <f>SUMIF(DIC!$G$121:$M$121,CJ$178,DIC!$AM8:$AS8)+SUMIF($CS$178:$CV$178,CJ$178,$CS515:$CV515)</f>
        <v>0</v>
      </c>
      <c r="CK515" s="230">
        <f>SUMIF(DIC!$G$121:$M$121,CK$178,DIC!$AM8:$AS8)+SUMIF($CS$178:$CV$178,CK$178,$CS515:$CV515)</f>
        <v>0</v>
      </c>
      <c r="CL515" s="230">
        <f>SUMIF(DIC!$G$121:$M$121,CL$178,DIC!$AM8:$AS8)+SUMIF($CS$178:$CV$178,CL$178,$CS515:$CV515)</f>
        <v>0</v>
      </c>
      <c r="CM515" s="230">
        <f>SUMIF(DIC!$G$121:$M$121,CM$178,DIC!$AM8:$AS8)+SUMIF($CS$178:$CV$178,CM$178,$CS515:$CV515)</f>
        <v>0</v>
      </c>
      <c r="CN515" s="230">
        <f>SUMIF(DIC!$G$121:$M$121,CN$178,DIC!$AM8:$AS8)+SUMIF($CS$178:$CV$178,CN$178,$CS515:$CV515)</f>
        <v>0</v>
      </c>
      <c r="CO515" s="230">
        <f>SUMIF(DIC!$G$121:$M$121,CO$178,DIC!$AM8:$AS8)+SUMIF($CS$178:$CV$178,CO$178,$CS515:$CV515)</f>
        <v>0</v>
      </c>
      <c r="CP515" s="230">
        <f>SUMIF(DIC!$G$121:$M$121,CP$178,DIC!$AM8:$AS8)+SUMIF($CS$178:$CV$178,CP$178,$CS515:$CV515)</f>
        <v>0</v>
      </c>
      <c r="CQ515" s="231">
        <f>SUMIF(DIC!$G$121:$M$121,CQ$178,DIC!$AM8:$AS8)+SUMIF($CS$178:$CV$178,CQ$178,$CS515:$CV515)</f>
        <v>0</v>
      </c>
      <c r="CR515" s="523">
        <f>DIC!AU8</f>
        <v>0</v>
      </c>
      <c r="CS515" s="228">
        <f>DIC!AV8</f>
        <v>0</v>
      </c>
      <c r="CT515" s="229">
        <f>DIC!AW8</f>
        <v>0</v>
      </c>
      <c r="CU515" s="230">
        <f>DIC!AX8</f>
        <v>0</v>
      </c>
      <c r="CV515" s="231">
        <f>DIC!AY8</f>
        <v>0</v>
      </c>
      <c r="CW515" s="523">
        <f>SUM(DIC!AU8:AY8)</f>
        <v>0</v>
      </c>
      <c r="CX515" s="523">
        <f>DIC!AK8</f>
        <v>0</v>
      </c>
      <c r="CY515" s="2"/>
    </row>
    <row r="516" spans="1:103" ht="14.25" hidden="1" customHeight="1" x14ac:dyDescent="0.2">
      <c r="A516" s="2"/>
      <c r="B516" s="105">
        <f t="shared" si="128"/>
        <v>45628</v>
      </c>
      <c r="C516" s="146">
        <f>IF(AND(E516&gt;(N$562-1),E516&lt;(R$562+1)),W$551,IF(ISERROR(HLOOKUP(E516,$N$555:$U$555,1,FALSE)),HLOOKUP(WEEKDAY(E516,2),IMPOSTAZIONI!$C$52:$P$57,6,FALSE),$W$550))</f>
        <v>0</v>
      </c>
      <c r="D516" s="71" t="str">
        <f t="shared" si="129"/>
        <v/>
      </c>
      <c r="E516" s="2258">
        <f t="shared" si="134"/>
        <v>45628</v>
      </c>
      <c r="F516" s="2259"/>
      <c r="G516" s="2228" t="str">
        <f>DIC!E9</f>
        <v xml:space="preserve">disattivato  </v>
      </c>
      <c r="H516" s="2229"/>
      <c r="I516" s="2230"/>
      <c r="J516" s="262" t="str">
        <f t="shared" si="119"/>
        <v/>
      </c>
      <c r="K516" s="263"/>
      <c r="L516" s="2222">
        <f t="shared" si="135"/>
        <v>49</v>
      </c>
      <c r="M516" s="2223"/>
      <c r="N516" s="261"/>
      <c r="O516" s="261"/>
      <c r="P516" s="261"/>
      <c r="Q516" s="2219">
        <f t="shared" si="130"/>
        <v>45628</v>
      </c>
      <c r="R516" s="2219"/>
      <c r="S516" s="261"/>
      <c r="T516" s="1173">
        <f t="shared" si="120"/>
        <v>1</v>
      </c>
      <c r="U516" s="261"/>
      <c r="V516" s="261"/>
      <c r="W516" s="261"/>
      <c r="X516" s="261"/>
      <c r="Y516" s="261"/>
      <c r="Z516" s="261"/>
      <c r="AA516" s="261"/>
      <c r="AB516" s="261"/>
      <c r="AC516" s="261"/>
      <c r="AD516" s="261"/>
      <c r="AE516" s="261"/>
      <c r="AF516" s="261"/>
      <c r="AG516" s="1173">
        <f t="shared" si="131"/>
        <v>0</v>
      </c>
      <c r="AH516" s="61" t="str">
        <f t="shared" si="132"/>
        <v/>
      </c>
      <c r="AI516" s="89" t="e">
        <f t="shared" si="133"/>
        <v>#N/A</v>
      </c>
      <c r="AJ516" s="2"/>
      <c r="AK516" s="61">
        <f>IF(G516=G$547,0,IF(OR(G516&lt;&gt;0,CH516&lt;&gt;0,C516="L"),COUNTIF(AK$180:AK515,"&gt;0")+1,0))</f>
        <v>0</v>
      </c>
      <c r="AL516" s="61" t="str">
        <f t="shared" si="121"/>
        <v/>
      </c>
      <c r="AM516" s="61" t="e">
        <f t="shared" si="122"/>
        <v>#N/A</v>
      </c>
      <c r="AN516" s="89" t="e">
        <f t="shared" si="123"/>
        <v>#N/A</v>
      </c>
      <c r="AO516" s="230">
        <f>SUM(DIC!X9:AD9)-BD516+AY516</f>
        <v>0</v>
      </c>
      <c r="AP516" s="228">
        <f>SUMIF(DIC!$G$121:$M$121,AP$178,DIC!$P9:$V9)+SUMIF($AZ$178:$BC$178,AP$178,$AZ516:$BC516)</f>
        <v>0</v>
      </c>
      <c r="AQ516" s="229">
        <f>SUMIF(DIC!$G$121:$M$121,AQ$178,DIC!$P9:$V9)+SUMIF($AZ$178:$BC$178,AQ$178,$AZ516:$BC516)</f>
        <v>0</v>
      </c>
      <c r="AR516" s="230">
        <f>SUMIF(DIC!$G$121:$M$121,AR$178,DIC!$P9:$V9)+SUMIF($AZ$178:$BC$178,AR$178,$AZ516:$BC516)</f>
        <v>0</v>
      </c>
      <c r="AS516" s="230">
        <f>SUMIF(DIC!$G$121:$M$121,AS$178,DIC!$P9:$V9)+SUMIF($AZ$178:$BC$178,AS$178,$AZ516:$BC516)</f>
        <v>0</v>
      </c>
      <c r="AT516" s="230">
        <f>SUMIF(DIC!$G$121:$M$121,AT$178,DIC!$P9:$V9)+SUMIF($AZ$178:$BC$178,AT$178,$AZ516:$BC516)</f>
        <v>0</v>
      </c>
      <c r="AU516" s="230">
        <f>SUMIF(DIC!$G$121:$M$121,AU$178,DIC!$P9:$V9)+SUMIF($AZ$178:$BC$178,AU$178,$AZ516:$BC516)</f>
        <v>0</v>
      </c>
      <c r="AV516" s="230">
        <f>SUMIF(DIC!$G$121:$M$121,AV$178,DIC!$P9:$V9)+SUMIF($AZ$178:$BC$178,AV$178,$AZ516:$BC516)</f>
        <v>0</v>
      </c>
      <c r="AW516" s="230">
        <f>SUMIF(DIC!$G$121:$M$121,AW$178,DIC!$P9:$V9)+SUMIF($AZ$178:$BC$178,AW$178,$AZ516:$BC516)</f>
        <v>0</v>
      </c>
      <c r="AX516" s="231">
        <f>SUMIF(DIC!$G$121:$M$121,AX$178,DIC!$P9:$V9)+SUMIF($AZ$178:$BC$178,AX$178,$AZ516:$BC516)</f>
        <v>0</v>
      </c>
      <c r="AY516" s="232">
        <f>DIC!AF9</f>
        <v>0</v>
      </c>
      <c r="AZ516" s="228">
        <f>DIC!AG9</f>
        <v>0</v>
      </c>
      <c r="BA516" s="229">
        <f>DIC!AH9</f>
        <v>0</v>
      </c>
      <c r="BB516" s="230">
        <f>DIC!AI9</f>
        <v>0</v>
      </c>
      <c r="BC516" s="231">
        <f>DIC!AJ9</f>
        <v>0</v>
      </c>
      <c r="BD516" s="228">
        <f>SUMIF(DIC!$G$120:$M$120,"&gt;0",DIC!$X9:$AD9)</f>
        <v>0</v>
      </c>
      <c r="BE516" s="696"/>
      <c r="BF516" s="228">
        <f>SUMIF(DIC!$BA$6:$BG$6,BF$177,DIC!$BA9:$BG9)</f>
        <v>0</v>
      </c>
      <c r="BG516" s="229">
        <f>SUMIF(DIC!$BA$6:$BG$6,BG$177,DIC!$BA9:$BG9)</f>
        <v>0</v>
      </c>
      <c r="BH516" s="229">
        <f>SUMIF(DIC!$BA$6:$BG$6,BH$177,DIC!$BA9:$BG9)</f>
        <v>0</v>
      </c>
      <c r="BI516" s="229">
        <f>SUMIF(DIC!$BA$6:$BG$6,BI$177,DIC!$BA9:$BG9)</f>
        <v>0</v>
      </c>
      <c r="BJ516" s="229">
        <f>SUMIF(DIC!$BA$6:$BG$6,BJ$177,DIC!$BA9:$BG9)</f>
        <v>0</v>
      </c>
      <c r="BK516" s="229">
        <f>SUMIF(DIC!$BA$6:$BG$6,BK$177,DIC!$BA9:$BG9)</f>
        <v>0</v>
      </c>
      <c r="BL516" s="229">
        <f>SUMIF(DIC!$BA$6:$BG$6,BL$177,DIC!$BA9:$BG9)</f>
        <v>0</v>
      </c>
      <c r="BM516" s="229">
        <f>SUMIF(DIC!$BA$6:$BG$6,BM$177,DIC!$BA9:$BG9)</f>
        <v>0</v>
      </c>
      <c r="BN516" s="229">
        <f>SUMIF(DIC!$BA$6:$BG$6,BN$177,DIC!$BA9:$BG9)</f>
        <v>0</v>
      </c>
      <c r="BO516" s="231">
        <f>SUMIF(DIC!$BA$6:$BG$6,BO$177,DIC!$BA9:$BG9)</f>
        <v>0</v>
      </c>
      <c r="BP516" s="231">
        <f>SUMIF(DIC!$BA$6:$BG$6,BP$177,DIC!$BA9:$BG9)</f>
        <v>0</v>
      </c>
      <c r="BQ516" s="252"/>
      <c r="BR516" s="228">
        <f>SUMIF(DIC!$BA$5:$BG$5,BR$177,DIC!$BA9:$BG9)</f>
        <v>0</v>
      </c>
      <c r="BS516" s="229">
        <f>SUMIF(DIC!$BA$5:$BG$5,BS$177,DIC!$BA9:$BG9)</f>
        <v>0</v>
      </c>
      <c r="BT516" s="229">
        <f>SUMIF(DIC!$BA$5:$BG$5,BT$177,DIC!$BA9:$BG9)</f>
        <v>0</v>
      </c>
      <c r="BU516" s="229">
        <f>SUMIF(DIC!$BA$5:$BG$5,BU$177,DIC!$BA9:$BG9)</f>
        <v>0</v>
      </c>
      <c r="BV516" s="229">
        <f>SUMIF(DIC!$BA$5:$BG$5,BV$177,DIC!$BA9:$BG9)</f>
        <v>0</v>
      </c>
      <c r="BW516" s="229">
        <f>SUMIF(DIC!$BA$5:$BG$5,BW$177,DIC!$BA9:$BG9)</f>
        <v>0</v>
      </c>
      <c r="BX516" s="230">
        <f>SUMIF(DIC!$BA$5:$BG$5,BX$177,DIC!$BA9:$BG9)</f>
        <v>0</v>
      </c>
      <c r="BY516" s="998">
        <f>SUMIF(DIC!$BA$5:$BG$5,BY$177,DIC!$BA9:$BG9)</f>
        <v>0</v>
      </c>
      <c r="CB516" s="252"/>
      <c r="CC516" s="61" t="e">
        <f t="shared" si="124"/>
        <v>#N/A</v>
      </c>
      <c r="CD516" s="61">
        <f t="shared" si="125"/>
        <v>0</v>
      </c>
      <c r="CE516" s="105" t="str">
        <f t="shared" si="118"/>
        <v/>
      </c>
      <c r="CF516" s="61" t="e">
        <f t="shared" si="126"/>
        <v>#N/A</v>
      </c>
      <c r="CG516" s="61" t="e">
        <f t="shared" si="127"/>
        <v>#N/A</v>
      </c>
      <c r="CH516" s="521">
        <f>DIC!AL9-CW516+CR516</f>
        <v>0</v>
      </c>
      <c r="CI516" s="228">
        <f>SUMIF(DIC!$G$121:$M$121,CI$178,DIC!$AM9:$AS9)+SUMIF($CS$178:$CV$178,CI$178,$CS516:$CV516)</f>
        <v>0</v>
      </c>
      <c r="CJ516" s="229">
        <f>SUMIF(DIC!$G$121:$M$121,CJ$178,DIC!$AM9:$AS9)+SUMIF($CS$178:$CV$178,CJ$178,$CS516:$CV516)</f>
        <v>0</v>
      </c>
      <c r="CK516" s="230">
        <f>SUMIF(DIC!$G$121:$M$121,CK$178,DIC!$AM9:$AS9)+SUMIF($CS$178:$CV$178,CK$178,$CS516:$CV516)</f>
        <v>0</v>
      </c>
      <c r="CL516" s="230">
        <f>SUMIF(DIC!$G$121:$M$121,CL$178,DIC!$AM9:$AS9)+SUMIF($CS$178:$CV$178,CL$178,$CS516:$CV516)</f>
        <v>0</v>
      </c>
      <c r="CM516" s="230">
        <f>SUMIF(DIC!$G$121:$M$121,CM$178,DIC!$AM9:$AS9)+SUMIF($CS$178:$CV$178,CM$178,$CS516:$CV516)</f>
        <v>0</v>
      </c>
      <c r="CN516" s="230">
        <f>SUMIF(DIC!$G$121:$M$121,CN$178,DIC!$AM9:$AS9)+SUMIF($CS$178:$CV$178,CN$178,$CS516:$CV516)</f>
        <v>0</v>
      </c>
      <c r="CO516" s="230">
        <f>SUMIF(DIC!$G$121:$M$121,CO$178,DIC!$AM9:$AS9)+SUMIF($CS$178:$CV$178,CO$178,$CS516:$CV516)</f>
        <v>0</v>
      </c>
      <c r="CP516" s="230">
        <f>SUMIF(DIC!$G$121:$M$121,CP$178,DIC!$AM9:$AS9)+SUMIF($CS$178:$CV$178,CP$178,$CS516:$CV516)</f>
        <v>0</v>
      </c>
      <c r="CQ516" s="231">
        <f>SUMIF(DIC!$G$121:$M$121,CQ$178,DIC!$AM9:$AS9)+SUMIF($CS$178:$CV$178,CQ$178,$CS516:$CV516)</f>
        <v>0</v>
      </c>
      <c r="CR516" s="521">
        <f>DIC!AU9</f>
        <v>0</v>
      </c>
      <c r="CS516" s="228">
        <f>DIC!AV9</f>
        <v>0</v>
      </c>
      <c r="CT516" s="229">
        <f>DIC!AW9</f>
        <v>0</v>
      </c>
      <c r="CU516" s="230">
        <f>DIC!AX9</f>
        <v>0</v>
      </c>
      <c r="CV516" s="231">
        <f>DIC!AY9</f>
        <v>0</v>
      </c>
      <c r="CW516" s="521">
        <f>SUM(DIC!AU9:AY9)</f>
        <v>0</v>
      </c>
      <c r="CX516" s="521">
        <f>DIC!AK9</f>
        <v>0</v>
      </c>
      <c r="CY516" s="2"/>
    </row>
    <row r="517" spans="1:103" ht="14.25" hidden="1" customHeight="1" x14ac:dyDescent="0.2">
      <c r="A517" s="2"/>
      <c r="B517" s="105">
        <f t="shared" si="128"/>
        <v>45629</v>
      </c>
      <c r="C517" s="146">
        <f>IF(AND(E517&gt;(N$562-1),E517&lt;(R$562+1)),W$551,IF(ISERROR(HLOOKUP(E517,$N$555:$U$555,1,FALSE)),HLOOKUP(WEEKDAY(E517,2),IMPOSTAZIONI!$C$52:$P$57,6,FALSE),$W$550))</f>
        <v>0</v>
      </c>
      <c r="D517" s="71" t="str">
        <f t="shared" si="129"/>
        <v/>
      </c>
      <c r="E517" s="2258">
        <f t="shared" si="134"/>
        <v>45629</v>
      </c>
      <c r="F517" s="2259"/>
      <c r="G517" s="2228" t="str">
        <f>DIC!E10</f>
        <v xml:space="preserve">disattivato  </v>
      </c>
      <c r="H517" s="2229"/>
      <c r="I517" s="2230"/>
      <c r="J517" s="262" t="str">
        <f t="shared" si="119"/>
        <v/>
      </c>
      <c r="K517" s="263"/>
      <c r="L517" s="2217">
        <f t="shared" si="135"/>
        <v>49</v>
      </c>
      <c r="M517" s="2218"/>
      <c r="N517" s="261"/>
      <c r="O517" s="261"/>
      <c r="P517" s="261"/>
      <c r="Q517" s="2219">
        <f t="shared" si="130"/>
        <v>45629</v>
      </c>
      <c r="R517" s="2219"/>
      <c r="S517" s="261"/>
      <c r="T517" s="1173">
        <f t="shared" si="120"/>
        <v>1</v>
      </c>
      <c r="U517" s="261"/>
      <c r="V517" s="261"/>
      <c r="W517" s="261"/>
      <c r="X517" s="261"/>
      <c r="Y517" s="261"/>
      <c r="Z517" s="261"/>
      <c r="AA517" s="261"/>
      <c r="AB517" s="261"/>
      <c r="AC517" s="261"/>
      <c r="AD517" s="261"/>
      <c r="AE517" s="261"/>
      <c r="AF517" s="261"/>
      <c r="AG517" s="1173">
        <f t="shared" si="131"/>
        <v>0</v>
      </c>
      <c r="AH517" s="61" t="str">
        <f t="shared" si="132"/>
        <v/>
      </c>
      <c r="AI517" s="89" t="e">
        <f t="shared" si="133"/>
        <v>#N/A</v>
      </c>
      <c r="AJ517" s="2"/>
      <c r="AK517" s="61">
        <f>IF(G517=G$547,0,IF(OR(G517&lt;&gt;0,CH517&lt;&gt;0,C517="L"),COUNTIF(AK$180:AK516,"&gt;0")+1,0))</f>
        <v>0</v>
      </c>
      <c r="AL517" s="61" t="str">
        <f t="shared" si="121"/>
        <v/>
      </c>
      <c r="AM517" s="61" t="e">
        <f t="shared" si="122"/>
        <v>#N/A</v>
      </c>
      <c r="AN517" s="89" t="e">
        <f t="shared" si="123"/>
        <v>#N/A</v>
      </c>
      <c r="AO517" s="230">
        <f>SUM(DIC!X10:AD10)-BD517+AY517</f>
        <v>0</v>
      </c>
      <c r="AP517" s="228">
        <f>SUMIF(DIC!$G$121:$M$121,AP$178,DIC!$P10:$V10)+SUMIF($AZ$178:$BC$178,AP$178,$AZ517:$BC517)</f>
        <v>0</v>
      </c>
      <c r="AQ517" s="229">
        <f>SUMIF(DIC!$G$121:$M$121,AQ$178,DIC!$P10:$V10)+SUMIF($AZ$178:$BC$178,AQ$178,$AZ517:$BC517)</f>
        <v>0</v>
      </c>
      <c r="AR517" s="230">
        <f>SUMIF(DIC!$G$121:$M$121,AR$178,DIC!$P10:$V10)+SUMIF($AZ$178:$BC$178,AR$178,$AZ517:$BC517)</f>
        <v>0</v>
      </c>
      <c r="AS517" s="230">
        <f>SUMIF(DIC!$G$121:$M$121,AS$178,DIC!$P10:$V10)+SUMIF($AZ$178:$BC$178,AS$178,$AZ517:$BC517)</f>
        <v>0</v>
      </c>
      <c r="AT517" s="230">
        <f>SUMIF(DIC!$G$121:$M$121,AT$178,DIC!$P10:$V10)+SUMIF($AZ$178:$BC$178,AT$178,$AZ517:$BC517)</f>
        <v>0</v>
      </c>
      <c r="AU517" s="230">
        <f>SUMIF(DIC!$G$121:$M$121,AU$178,DIC!$P10:$V10)+SUMIF($AZ$178:$BC$178,AU$178,$AZ517:$BC517)</f>
        <v>0</v>
      </c>
      <c r="AV517" s="230">
        <f>SUMIF(DIC!$G$121:$M$121,AV$178,DIC!$P10:$V10)+SUMIF($AZ$178:$BC$178,AV$178,$AZ517:$BC517)</f>
        <v>0</v>
      </c>
      <c r="AW517" s="230">
        <f>SUMIF(DIC!$G$121:$M$121,AW$178,DIC!$P10:$V10)+SUMIF($AZ$178:$BC$178,AW$178,$AZ517:$BC517)</f>
        <v>0</v>
      </c>
      <c r="AX517" s="231">
        <f>SUMIF(DIC!$G$121:$M$121,AX$178,DIC!$P10:$V10)+SUMIF($AZ$178:$BC$178,AX$178,$AZ517:$BC517)</f>
        <v>0</v>
      </c>
      <c r="AY517" s="232">
        <f>DIC!AF10</f>
        <v>0</v>
      </c>
      <c r="AZ517" s="228">
        <f>DIC!AG10</f>
        <v>0</v>
      </c>
      <c r="BA517" s="229">
        <f>DIC!AH10</f>
        <v>0</v>
      </c>
      <c r="BB517" s="230">
        <f>DIC!AI10</f>
        <v>0</v>
      </c>
      <c r="BC517" s="231">
        <f>DIC!AJ10</f>
        <v>0</v>
      </c>
      <c r="BD517" s="228">
        <f>SUMIF(DIC!$G$120:$M$120,"&gt;0",DIC!$X10:$AD10)</f>
        <v>0</v>
      </c>
      <c r="BE517" s="696"/>
      <c r="BF517" s="228">
        <f>SUMIF(DIC!$BA$6:$BG$6,BF$177,DIC!$BA10:$BG10)</f>
        <v>0</v>
      </c>
      <c r="BG517" s="229">
        <f>SUMIF(DIC!$BA$6:$BG$6,BG$177,DIC!$BA10:$BG10)</f>
        <v>0</v>
      </c>
      <c r="BH517" s="229">
        <f>SUMIF(DIC!$BA$6:$BG$6,BH$177,DIC!$BA10:$BG10)</f>
        <v>0</v>
      </c>
      <c r="BI517" s="229">
        <f>SUMIF(DIC!$BA$6:$BG$6,BI$177,DIC!$BA10:$BG10)</f>
        <v>0</v>
      </c>
      <c r="BJ517" s="229">
        <f>SUMIF(DIC!$BA$6:$BG$6,BJ$177,DIC!$BA10:$BG10)</f>
        <v>0</v>
      </c>
      <c r="BK517" s="229">
        <f>SUMIF(DIC!$BA$6:$BG$6,BK$177,DIC!$BA10:$BG10)</f>
        <v>0</v>
      </c>
      <c r="BL517" s="229">
        <f>SUMIF(DIC!$BA$6:$BG$6,BL$177,DIC!$BA10:$BG10)</f>
        <v>0</v>
      </c>
      <c r="BM517" s="229">
        <f>SUMIF(DIC!$BA$6:$BG$6,BM$177,DIC!$BA10:$BG10)</f>
        <v>0</v>
      </c>
      <c r="BN517" s="229">
        <f>SUMIF(DIC!$BA$6:$BG$6,BN$177,DIC!$BA10:$BG10)</f>
        <v>0</v>
      </c>
      <c r="BO517" s="231">
        <f>SUMIF(DIC!$BA$6:$BG$6,BO$177,DIC!$BA10:$BG10)</f>
        <v>0</v>
      </c>
      <c r="BP517" s="231">
        <f>SUMIF(DIC!$BA$6:$BG$6,BP$177,DIC!$BA10:$BG10)</f>
        <v>0</v>
      </c>
      <c r="BQ517" s="252"/>
      <c r="BR517" s="228">
        <f>SUMIF(DIC!$BA$5:$BG$5,BR$177,DIC!$BA10:$BG10)</f>
        <v>0</v>
      </c>
      <c r="BS517" s="229">
        <f>SUMIF(DIC!$BA$5:$BG$5,BS$177,DIC!$BA10:$BG10)</f>
        <v>0</v>
      </c>
      <c r="BT517" s="229">
        <f>SUMIF(DIC!$BA$5:$BG$5,BT$177,DIC!$BA10:$BG10)</f>
        <v>0</v>
      </c>
      <c r="BU517" s="229">
        <f>SUMIF(DIC!$BA$5:$BG$5,BU$177,DIC!$BA10:$BG10)</f>
        <v>0</v>
      </c>
      <c r="BV517" s="229">
        <f>SUMIF(DIC!$BA$5:$BG$5,BV$177,DIC!$BA10:$BG10)</f>
        <v>0</v>
      </c>
      <c r="BW517" s="229">
        <f>SUMIF(DIC!$BA$5:$BG$5,BW$177,DIC!$BA10:$BG10)</f>
        <v>0</v>
      </c>
      <c r="BX517" s="230">
        <f>SUMIF(DIC!$BA$5:$BG$5,BX$177,DIC!$BA10:$BG10)</f>
        <v>0</v>
      </c>
      <c r="BY517" s="998">
        <f>SUMIF(DIC!$BA$5:$BG$5,BY$177,DIC!$BA10:$BG10)</f>
        <v>0</v>
      </c>
      <c r="CB517" s="252"/>
      <c r="CC517" s="61" t="e">
        <f t="shared" si="124"/>
        <v>#N/A</v>
      </c>
      <c r="CD517" s="61">
        <f t="shared" si="125"/>
        <v>0</v>
      </c>
      <c r="CE517" s="105" t="str">
        <f t="shared" si="118"/>
        <v/>
      </c>
      <c r="CF517" s="61" t="e">
        <f t="shared" si="126"/>
        <v>#N/A</v>
      </c>
      <c r="CG517" s="61" t="e">
        <f t="shared" si="127"/>
        <v>#N/A</v>
      </c>
      <c r="CH517" s="521">
        <f>DIC!AL10-CW517+CR517</f>
        <v>0</v>
      </c>
      <c r="CI517" s="228">
        <f>SUMIF(DIC!$G$121:$M$121,CI$178,DIC!$AM10:$AS10)+SUMIF($CS$178:$CV$178,CI$178,$CS517:$CV517)</f>
        <v>0</v>
      </c>
      <c r="CJ517" s="229">
        <f>SUMIF(DIC!$G$121:$M$121,CJ$178,DIC!$AM10:$AS10)+SUMIF($CS$178:$CV$178,CJ$178,$CS517:$CV517)</f>
        <v>0</v>
      </c>
      <c r="CK517" s="230">
        <f>SUMIF(DIC!$G$121:$M$121,CK$178,DIC!$AM10:$AS10)+SUMIF($CS$178:$CV$178,CK$178,$CS517:$CV517)</f>
        <v>0</v>
      </c>
      <c r="CL517" s="230">
        <f>SUMIF(DIC!$G$121:$M$121,CL$178,DIC!$AM10:$AS10)+SUMIF($CS$178:$CV$178,CL$178,$CS517:$CV517)</f>
        <v>0</v>
      </c>
      <c r="CM517" s="230">
        <f>SUMIF(DIC!$G$121:$M$121,CM$178,DIC!$AM10:$AS10)+SUMIF($CS$178:$CV$178,CM$178,$CS517:$CV517)</f>
        <v>0</v>
      </c>
      <c r="CN517" s="230">
        <f>SUMIF(DIC!$G$121:$M$121,CN$178,DIC!$AM10:$AS10)+SUMIF($CS$178:$CV$178,CN$178,$CS517:$CV517)</f>
        <v>0</v>
      </c>
      <c r="CO517" s="230">
        <f>SUMIF(DIC!$G$121:$M$121,CO$178,DIC!$AM10:$AS10)+SUMIF($CS$178:$CV$178,CO$178,$CS517:$CV517)</f>
        <v>0</v>
      </c>
      <c r="CP517" s="230">
        <f>SUMIF(DIC!$G$121:$M$121,CP$178,DIC!$AM10:$AS10)+SUMIF($CS$178:$CV$178,CP$178,$CS517:$CV517)</f>
        <v>0</v>
      </c>
      <c r="CQ517" s="231">
        <f>SUMIF(DIC!$G$121:$M$121,CQ$178,DIC!$AM10:$AS10)+SUMIF($CS$178:$CV$178,CQ$178,$CS517:$CV517)</f>
        <v>0</v>
      </c>
      <c r="CR517" s="521">
        <f>DIC!AU10</f>
        <v>0</v>
      </c>
      <c r="CS517" s="228">
        <f>DIC!AV10</f>
        <v>0</v>
      </c>
      <c r="CT517" s="229">
        <f>DIC!AW10</f>
        <v>0</v>
      </c>
      <c r="CU517" s="230">
        <f>DIC!AX10</f>
        <v>0</v>
      </c>
      <c r="CV517" s="231">
        <f>DIC!AY10</f>
        <v>0</v>
      </c>
      <c r="CW517" s="521">
        <f>SUM(DIC!AU10:AY10)</f>
        <v>0</v>
      </c>
      <c r="CX517" s="521">
        <f>DIC!AK10</f>
        <v>0</v>
      </c>
      <c r="CY517" s="2"/>
    </row>
    <row r="518" spans="1:103" ht="14.25" hidden="1" customHeight="1" x14ac:dyDescent="0.2">
      <c r="A518" s="2"/>
      <c r="B518" s="105">
        <f t="shared" si="128"/>
        <v>45630</v>
      </c>
      <c r="C518" s="146">
        <f>IF(AND(E518&gt;(N$562-1),E518&lt;(R$562+1)),W$551,IF(ISERROR(HLOOKUP(E518,$N$555:$U$555,1,FALSE)),HLOOKUP(WEEKDAY(E518,2),IMPOSTAZIONI!$C$52:$P$57,6,FALSE),$W$550))</f>
        <v>0</v>
      </c>
      <c r="D518" s="71" t="str">
        <f t="shared" si="129"/>
        <v/>
      </c>
      <c r="E518" s="2258">
        <f t="shared" si="134"/>
        <v>45630</v>
      </c>
      <c r="F518" s="2259"/>
      <c r="G518" s="2228" t="str">
        <f>DIC!E11</f>
        <v xml:space="preserve">disattivato  </v>
      </c>
      <c r="H518" s="2229"/>
      <c r="I518" s="2230"/>
      <c r="J518" s="262" t="str">
        <f t="shared" si="119"/>
        <v/>
      </c>
      <c r="K518" s="263"/>
      <c r="L518" s="2217">
        <f t="shared" si="135"/>
        <v>49</v>
      </c>
      <c r="M518" s="2218"/>
      <c r="N518" s="261"/>
      <c r="O518" s="261"/>
      <c r="P518" s="261"/>
      <c r="Q518" s="2219">
        <f t="shared" si="130"/>
        <v>45630</v>
      </c>
      <c r="R518" s="2219"/>
      <c r="S518" s="261"/>
      <c r="T518" s="1173">
        <f t="shared" si="120"/>
        <v>1</v>
      </c>
      <c r="U518" s="261"/>
      <c r="V518" s="261"/>
      <c r="W518" s="261"/>
      <c r="X518" s="261"/>
      <c r="Y518" s="261"/>
      <c r="Z518" s="261"/>
      <c r="AA518" s="261"/>
      <c r="AB518" s="261"/>
      <c r="AC518" s="261"/>
      <c r="AD518" s="261"/>
      <c r="AE518" s="261"/>
      <c r="AF518" s="261"/>
      <c r="AG518" s="1173">
        <f t="shared" si="131"/>
        <v>0</v>
      </c>
      <c r="AH518" s="61" t="str">
        <f t="shared" si="132"/>
        <v/>
      </c>
      <c r="AI518" s="89" t="e">
        <f t="shared" si="133"/>
        <v>#N/A</v>
      </c>
      <c r="AJ518" s="2"/>
      <c r="AK518" s="61">
        <f>IF(G518=G$547,0,IF(OR(G518&lt;&gt;0,CH518&lt;&gt;0,C518="L"),COUNTIF(AK$180:AK517,"&gt;0")+1,0))</f>
        <v>0</v>
      </c>
      <c r="AL518" s="61" t="str">
        <f t="shared" si="121"/>
        <v/>
      </c>
      <c r="AM518" s="61" t="e">
        <f t="shared" si="122"/>
        <v>#N/A</v>
      </c>
      <c r="AN518" s="89" t="e">
        <f t="shared" si="123"/>
        <v>#N/A</v>
      </c>
      <c r="AO518" s="230">
        <f>SUM(DIC!X11:AD11)-BD518+AY518</f>
        <v>0</v>
      </c>
      <c r="AP518" s="228">
        <f>SUMIF(DIC!$G$121:$M$121,AP$178,DIC!$P11:$V11)+SUMIF($AZ$178:$BC$178,AP$178,$AZ518:$BC518)</f>
        <v>0</v>
      </c>
      <c r="AQ518" s="229">
        <f>SUMIF(DIC!$G$121:$M$121,AQ$178,DIC!$P11:$V11)+SUMIF($AZ$178:$BC$178,AQ$178,$AZ518:$BC518)</f>
        <v>0</v>
      </c>
      <c r="AR518" s="230">
        <f>SUMIF(DIC!$G$121:$M$121,AR$178,DIC!$P11:$V11)+SUMIF($AZ$178:$BC$178,AR$178,$AZ518:$BC518)</f>
        <v>0</v>
      </c>
      <c r="AS518" s="230">
        <f>SUMIF(DIC!$G$121:$M$121,AS$178,DIC!$P11:$V11)+SUMIF($AZ$178:$BC$178,AS$178,$AZ518:$BC518)</f>
        <v>0</v>
      </c>
      <c r="AT518" s="230">
        <f>SUMIF(DIC!$G$121:$M$121,AT$178,DIC!$P11:$V11)+SUMIF($AZ$178:$BC$178,AT$178,$AZ518:$BC518)</f>
        <v>0</v>
      </c>
      <c r="AU518" s="230">
        <f>SUMIF(DIC!$G$121:$M$121,AU$178,DIC!$P11:$V11)+SUMIF($AZ$178:$BC$178,AU$178,$AZ518:$BC518)</f>
        <v>0</v>
      </c>
      <c r="AV518" s="230">
        <f>SUMIF(DIC!$G$121:$M$121,AV$178,DIC!$P11:$V11)+SUMIF($AZ$178:$BC$178,AV$178,$AZ518:$BC518)</f>
        <v>0</v>
      </c>
      <c r="AW518" s="230">
        <f>SUMIF(DIC!$G$121:$M$121,AW$178,DIC!$P11:$V11)+SUMIF($AZ$178:$BC$178,AW$178,$AZ518:$BC518)</f>
        <v>0</v>
      </c>
      <c r="AX518" s="231">
        <f>SUMIF(DIC!$G$121:$M$121,AX$178,DIC!$P11:$V11)+SUMIF($AZ$178:$BC$178,AX$178,$AZ518:$BC518)</f>
        <v>0</v>
      </c>
      <c r="AY518" s="232">
        <f>DIC!AF11</f>
        <v>0</v>
      </c>
      <c r="AZ518" s="228">
        <f>DIC!AG11</f>
        <v>0</v>
      </c>
      <c r="BA518" s="229">
        <f>DIC!AH11</f>
        <v>0</v>
      </c>
      <c r="BB518" s="230">
        <f>DIC!AI11</f>
        <v>0</v>
      </c>
      <c r="BC518" s="231">
        <f>DIC!AJ11</f>
        <v>0</v>
      </c>
      <c r="BD518" s="228">
        <f>SUMIF(DIC!$G$120:$M$120,"&gt;0",DIC!$X11:$AD11)</f>
        <v>0</v>
      </c>
      <c r="BE518" s="696"/>
      <c r="BF518" s="228">
        <f>SUMIF(DIC!$BA$6:$BG$6,BF$177,DIC!$BA11:$BG11)</f>
        <v>0</v>
      </c>
      <c r="BG518" s="229">
        <f>SUMIF(DIC!$BA$6:$BG$6,BG$177,DIC!$BA11:$BG11)</f>
        <v>0</v>
      </c>
      <c r="BH518" s="229">
        <f>SUMIF(DIC!$BA$6:$BG$6,BH$177,DIC!$BA11:$BG11)</f>
        <v>0</v>
      </c>
      <c r="BI518" s="229">
        <f>SUMIF(DIC!$BA$6:$BG$6,BI$177,DIC!$BA11:$BG11)</f>
        <v>0</v>
      </c>
      <c r="BJ518" s="229">
        <f>SUMIF(DIC!$BA$6:$BG$6,BJ$177,DIC!$BA11:$BG11)</f>
        <v>0</v>
      </c>
      <c r="BK518" s="229">
        <f>SUMIF(DIC!$BA$6:$BG$6,BK$177,DIC!$BA11:$BG11)</f>
        <v>0</v>
      </c>
      <c r="BL518" s="229">
        <f>SUMIF(DIC!$BA$6:$BG$6,BL$177,DIC!$BA11:$BG11)</f>
        <v>0</v>
      </c>
      <c r="BM518" s="229">
        <f>SUMIF(DIC!$BA$6:$BG$6,BM$177,DIC!$BA11:$BG11)</f>
        <v>0</v>
      </c>
      <c r="BN518" s="229">
        <f>SUMIF(DIC!$BA$6:$BG$6,BN$177,DIC!$BA11:$BG11)</f>
        <v>0</v>
      </c>
      <c r="BO518" s="231">
        <f>SUMIF(DIC!$BA$6:$BG$6,BO$177,DIC!$BA11:$BG11)</f>
        <v>0</v>
      </c>
      <c r="BP518" s="231">
        <f>SUMIF(DIC!$BA$6:$BG$6,BP$177,DIC!$BA11:$BG11)</f>
        <v>0</v>
      </c>
      <c r="BQ518" s="252"/>
      <c r="BR518" s="228">
        <f>SUMIF(DIC!$BA$5:$BG$5,BR$177,DIC!$BA11:$BG11)</f>
        <v>0</v>
      </c>
      <c r="BS518" s="229">
        <f>SUMIF(DIC!$BA$5:$BG$5,BS$177,DIC!$BA11:$BG11)</f>
        <v>0</v>
      </c>
      <c r="BT518" s="229">
        <f>SUMIF(DIC!$BA$5:$BG$5,BT$177,DIC!$BA11:$BG11)</f>
        <v>0</v>
      </c>
      <c r="BU518" s="229">
        <f>SUMIF(DIC!$BA$5:$BG$5,BU$177,DIC!$BA11:$BG11)</f>
        <v>0</v>
      </c>
      <c r="BV518" s="229">
        <f>SUMIF(DIC!$BA$5:$BG$5,BV$177,DIC!$BA11:$BG11)</f>
        <v>0</v>
      </c>
      <c r="BW518" s="229">
        <f>SUMIF(DIC!$BA$5:$BG$5,BW$177,DIC!$BA11:$BG11)</f>
        <v>0</v>
      </c>
      <c r="BX518" s="230">
        <f>SUMIF(DIC!$BA$5:$BG$5,BX$177,DIC!$BA11:$BG11)</f>
        <v>0</v>
      </c>
      <c r="BY518" s="998">
        <f>SUMIF(DIC!$BA$5:$BG$5,BY$177,DIC!$BA11:$BG11)</f>
        <v>0</v>
      </c>
      <c r="CB518" s="252"/>
      <c r="CC518" s="61" t="e">
        <f t="shared" si="124"/>
        <v>#N/A</v>
      </c>
      <c r="CD518" s="61">
        <f t="shared" si="125"/>
        <v>0</v>
      </c>
      <c r="CE518" s="105" t="str">
        <f t="shared" si="118"/>
        <v/>
      </c>
      <c r="CF518" s="61" t="e">
        <f t="shared" si="126"/>
        <v>#N/A</v>
      </c>
      <c r="CG518" s="61" t="e">
        <f t="shared" si="127"/>
        <v>#N/A</v>
      </c>
      <c r="CH518" s="521">
        <f>DIC!AL11-CW518+CR518</f>
        <v>0</v>
      </c>
      <c r="CI518" s="228">
        <f>SUMIF(DIC!$G$121:$M$121,CI$178,DIC!$AM11:$AS11)+SUMIF($CS$178:$CV$178,CI$178,$CS518:$CV518)</f>
        <v>0</v>
      </c>
      <c r="CJ518" s="229">
        <f>SUMIF(DIC!$G$121:$M$121,CJ$178,DIC!$AM11:$AS11)+SUMIF($CS$178:$CV$178,CJ$178,$CS518:$CV518)</f>
        <v>0</v>
      </c>
      <c r="CK518" s="230">
        <f>SUMIF(DIC!$G$121:$M$121,CK$178,DIC!$AM11:$AS11)+SUMIF($CS$178:$CV$178,CK$178,$CS518:$CV518)</f>
        <v>0</v>
      </c>
      <c r="CL518" s="230">
        <f>SUMIF(DIC!$G$121:$M$121,CL$178,DIC!$AM11:$AS11)+SUMIF($CS$178:$CV$178,CL$178,$CS518:$CV518)</f>
        <v>0</v>
      </c>
      <c r="CM518" s="230">
        <f>SUMIF(DIC!$G$121:$M$121,CM$178,DIC!$AM11:$AS11)+SUMIF($CS$178:$CV$178,CM$178,$CS518:$CV518)</f>
        <v>0</v>
      </c>
      <c r="CN518" s="230">
        <f>SUMIF(DIC!$G$121:$M$121,CN$178,DIC!$AM11:$AS11)+SUMIF($CS$178:$CV$178,CN$178,$CS518:$CV518)</f>
        <v>0</v>
      </c>
      <c r="CO518" s="230">
        <f>SUMIF(DIC!$G$121:$M$121,CO$178,DIC!$AM11:$AS11)+SUMIF($CS$178:$CV$178,CO$178,$CS518:$CV518)</f>
        <v>0</v>
      </c>
      <c r="CP518" s="230">
        <f>SUMIF(DIC!$G$121:$M$121,CP$178,DIC!$AM11:$AS11)+SUMIF($CS$178:$CV$178,CP$178,$CS518:$CV518)</f>
        <v>0</v>
      </c>
      <c r="CQ518" s="231">
        <f>SUMIF(DIC!$G$121:$M$121,CQ$178,DIC!$AM11:$AS11)+SUMIF($CS$178:$CV$178,CQ$178,$CS518:$CV518)</f>
        <v>0</v>
      </c>
      <c r="CR518" s="521">
        <f>DIC!AU11</f>
        <v>0</v>
      </c>
      <c r="CS518" s="228">
        <f>DIC!AV11</f>
        <v>0</v>
      </c>
      <c r="CT518" s="229">
        <f>DIC!AW11</f>
        <v>0</v>
      </c>
      <c r="CU518" s="230">
        <f>DIC!AX11</f>
        <v>0</v>
      </c>
      <c r="CV518" s="231">
        <f>DIC!AY11</f>
        <v>0</v>
      </c>
      <c r="CW518" s="521">
        <f>SUM(DIC!AU11:AY11)</f>
        <v>0</v>
      </c>
      <c r="CX518" s="521">
        <f>DIC!AK11</f>
        <v>0</v>
      </c>
      <c r="CY518" s="2"/>
    </row>
    <row r="519" spans="1:103" ht="14.25" hidden="1" customHeight="1" x14ac:dyDescent="0.2">
      <c r="A519" s="2"/>
      <c r="B519" s="105">
        <f t="shared" si="128"/>
        <v>45631</v>
      </c>
      <c r="C519" s="146">
        <f>IF(AND(E519&gt;(N$562-1),E519&lt;(R$562+1)),W$551,IF(ISERROR(HLOOKUP(E519,$N$555:$U$555,1,FALSE)),HLOOKUP(WEEKDAY(E519,2),IMPOSTAZIONI!$C$52:$P$57,6,FALSE),$W$550))</f>
        <v>0</v>
      </c>
      <c r="D519" s="71" t="str">
        <f t="shared" si="129"/>
        <v/>
      </c>
      <c r="E519" s="2258">
        <f t="shared" si="134"/>
        <v>45631</v>
      </c>
      <c r="F519" s="2259"/>
      <c r="G519" s="2228" t="str">
        <f>DIC!E12</f>
        <v xml:space="preserve">disattivato  </v>
      </c>
      <c r="H519" s="2229"/>
      <c r="I519" s="2230"/>
      <c r="J519" s="262" t="str">
        <f t="shared" si="119"/>
        <v/>
      </c>
      <c r="K519" s="263"/>
      <c r="L519" s="2217">
        <f t="shared" si="135"/>
        <v>49</v>
      </c>
      <c r="M519" s="2218"/>
      <c r="N519" s="261"/>
      <c r="O519" s="261"/>
      <c r="P519" s="261"/>
      <c r="Q519" s="2219">
        <f t="shared" si="130"/>
        <v>45631</v>
      </c>
      <c r="R519" s="2219"/>
      <c r="S519" s="261"/>
      <c r="T519" s="1173">
        <f t="shared" si="120"/>
        <v>1</v>
      </c>
      <c r="U519" s="261"/>
      <c r="V519" s="261"/>
      <c r="W519" s="261"/>
      <c r="X519" s="261"/>
      <c r="Y519" s="261"/>
      <c r="Z519" s="261"/>
      <c r="AA519" s="261"/>
      <c r="AB519" s="261"/>
      <c r="AC519" s="261"/>
      <c r="AD519" s="261"/>
      <c r="AE519" s="261"/>
      <c r="AF519" s="261"/>
      <c r="AG519" s="1173">
        <f t="shared" si="131"/>
        <v>0</v>
      </c>
      <c r="AH519" s="61" t="str">
        <f t="shared" si="132"/>
        <v/>
      </c>
      <c r="AI519" s="89" t="e">
        <f t="shared" si="133"/>
        <v>#N/A</v>
      </c>
      <c r="AJ519" s="2"/>
      <c r="AK519" s="61">
        <f>IF(G519=G$547,0,IF(OR(G519&lt;&gt;0,CH519&lt;&gt;0,C519="L"),COUNTIF(AK$180:AK518,"&gt;0")+1,0))</f>
        <v>0</v>
      </c>
      <c r="AL519" s="61" t="str">
        <f t="shared" si="121"/>
        <v/>
      </c>
      <c r="AM519" s="61" t="e">
        <f t="shared" si="122"/>
        <v>#N/A</v>
      </c>
      <c r="AN519" s="89" t="e">
        <f t="shared" si="123"/>
        <v>#N/A</v>
      </c>
      <c r="AO519" s="230">
        <f>SUM(DIC!X12:AD12)-BD519+AY519</f>
        <v>0</v>
      </c>
      <c r="AP519" s="228">
        <f>SUMIF(DIC!$G$121:$M$121,AP$178,DIC!$P12:$V12)+SUMIF($AZ$178:$BC$178,AP$178,$AZ519:$BC519)</f>
        <v>0</v>
      </c>
      <c r="AQ519" s="229">
        <f>SUMIF(DIC!$G$121:$M$121,AQ$178,DIC!$P12:$V12)+SUMIF($AZ$178:$BC$178,AQ$178,$AZ519:$BC519)</f>
        <v>0</v>
      </c>
      <c r="AR519" s="230">
        <f>SUMIF(DIC!$G$121:$M$121,AR$178,DIC!$P12:$V12)+SUMIF($AZ$178:$BC$178,AR$178,$AZ519:$BC519)</f>
        <v>0</v>
      </c>
      <c r="AS519" s="230">
        <f>SUMIF(DIC!$G$121:$M$121,AS$178,DIC!$P12:$V12)+SUMIF($AZ$178:$BC$178,AS$178,$AZ519:$BC519)</f>
        <v>0</v>
      </c>
      <c r="AT519" s="230">
        <f>SUMIF(DIC!$G$121:$M$121,AT$178,DIC!$P12:$V12)+SUMIF($AZ$178:$BC$178,AT$178,$AZ519:$BC519)</f>
        <v>0</v>
      </c>
      <c r="AU519" s="230">
        <f>SUMIF(DIC!$G$121:$M$121,AU$178,DIC!$P12:$V12)+SUMIF($AZ$178:$BC$178,AU$178,$AZ519:$BC519)</f>
        <v>0</v>
      </c>
      <c r="AV519" s="230">
        <f>SUMIF(DIC!$G$121:$M$121,AV$178,DIC!$P12:$V12)+SUMIF($AZ$178:$BC$178,AV$178,$AZ519:$BC519)</f>
        <v>0</v>
      </c>
      <c r="AW519" s="230">
        <f>SUMIF(DIC!$G$121:$M$121,AW$178,DIC!$P12:$V12)+SUMIF($AZ$178:$BC$178,AW$178,$AZ519:$BC519)</f>
        <v>0</v>
      </c>
      <c r="AX519" s="231">
        <f>SUMIF(DIC!$G$121:$M$121,AX$178,DIC!$P12:$V12)+SUMIF($AZ$178:$BC$178,AX$178,$AZ519:$BC519)</f>
        <v>0</v>
      </c>
      <c r="AY519" s="232">
        <f>DIC!AF12</f>
        <v>0</v>
      </c>
      <c r="AZ519" s="228">
        <f>DIC!AG12</f>
        <v>0</v>
      </c>
      <c r="BA519" s="229">
        <f>DIC!AH12</f>
        <v>0</v>
      </c>
      <c r="BB519" s="230">
        <f>DIC!AI12</f>
        <v>0</v>
      </c>
      <c r="BC519" s="231">
        <f>DIC!AJ12</f>
        <v>0</v>
      </c>
      <c r="BD519" s="228">
        <f>SUMIF(DIC!$G$120:$M$120,"&gt;0",DIC!$X12:$AD12)</f>
        <v>0</v>
      </c>
      <c r="BE519" s="696"/>
      <c r="BF519" s="228">
        <f>SUMIF(DIC!$BA$6:$BG$6,BF$177,DIC!$BA12:$BG12)</f>
        <v>0</v>
      </c>
      <c r="BG519" s="229">
        <f>SUMIF(DIC!$BA$6:$BG$6,BG$177,DIC!$BA12:$BG12)</f>
        <v>0</v>
      </c>
      <c r="BH519" s="229">
        <f>SUMIF(DIC!$BA$6:$BG$6,BH$177,DIC!$BA12:$BG12)</f>
        <v>0</v>
      </c>
      <c r="BI519" s="229">
        <f>SUMIF(DIC!$BA$6:$BG$6,BI$177,DIC!$BA12:$BG12)</f>
        <v>0</v>
      </c>
      <c r="BJ519" s="229">
        <f>SUMIF(DIC!$BA$6:$BG$6,BJ$177,DIC!$BA12:$BG12)</f>
        <v>0</v>
      </c>
      <c r="BK519" s="229">
        <f>SUMIF(DIC!$BA$6:$BG$6,BK$177,DIC!$BA12:$BG12)</f>
        <v>0</v>
      </c>
      <c r="BL519" s="229">
        <f>SUMIF(DIC!$BA$6:$BG$6,BL$177,DIC!$BA12:$BG12)</f>
        <v>0</v>
      </c>
      <c r="BM519" s="229">
        <f>SUMIF(DIC!$BA$6:$BG$6,BM$177,DIC!$BA12:$BG12)</f>
        <v>0</v>
      </c>
      <c r="BN519" s="229">
        <f>SUMIF(DIC!$BA$6:$BG$6,BN$177,DIC!$BA12:$BG12)</f>
        <v>0</v>
      </c>
      <c r="BO519" s="231">
        <f>SUMIF(DIC!$BA$6:$BG$6,BO$177,DIC!$BA12:$BG12)</f>
        <v>0</v>
      </c>
      <c r="BP519" s="231">
        <f>SUMIF(DIC!$BA$6:$BG$6,BP$177,DIC!$BA12:$BG12)</f>
        <v>0</v>
      </c>
      <c r="BQ519" s="252"/>
      <c r="BR519" s="228">
        <f>SUMIF(DIC!$BA$5:$BG$5,BR$177,DIC!$BA12:$BG12)</f>
        <v>0</v>
      </c>
      <c r="BS519" s="229">
        <f>SUMIF(DIC!$BA$5:$BG$5,BS$177,DIC!$BA12:$BG12)</f>
        <v>0</v>
      </c>
      <c r="BT519" s="229">
        <f>SUMIF(DIC!$BA$5:$BG$5,BT$177,DIC!$BA12:$BG12)</f>
        <v>0</v>
      </c>
      <c r="BU519" s="229">
        <f>SUMIF(DIC!$BA$5:$BG$5,BU$177,DIC!$BA12:$BG12)</f>
        <v>0</v>
      </c>
      <c r="BV519" s="229">
        <f>SUMIF(DIC!$BA$5:$BG$5,BV$177,DIC!$BA12:$BG12)</f>
        <v>0</v>
      </c>
      <c r="BW519" s="229">
        <f>SUMIF(DIC!$BA$5:$BG$5,BW$177,DIC!$BA12:$BG12)</f>
        <v>0</v>
      </c>
      <c r="BX519" s="230">
        <f>SUMIF(DIC!$BA$5:$BG$5,BX$177,DIC!$BA12:$BG12)</f>
        <v>0</v>
      </c>
      <c r="BY519" s="998">
        <f>SUMIF(DIC!$BA$5:$BG$5,BY$177,DIC!$BA12:$BG12)</f>
        <v>0</v>
      </c>
      <c r="CB519" s="252"/>
      <c r="CC519" s="61" t="e">
        <f t="shared" si="124"/>
        <v>#N/A</v>
      </c>
      <c r="CD519" s="61">
        <f t="shared" si="125"/>
        <v>0</v>
      </c>
      <c r="CE519" s="105" t="str">
        <f t="shared" si="118"/>
        <v/>
      </c>
      <c r="CF519" s="61" t="e">
        <f t="shared" si="126"/>
        <v>#N/A</v>
      </c>
      <c r="CG519" s="61" t="e">
        <f t="shared" si="127"/>
        <v>#N/A</v>
      </c>
      <c r="CH519" s="521">
        <f>DIC!AL12-CW519+CR519</f>
        <v>0</v>
      </c>
      <c r="CI519" s="228">
        <f>SUMIF(DIC!$G$121:$M$121,CI$178,DIC!$AM12:$AS12)+SUMIF($CS$178:$CV$178,CI$178,$CS519:$CV519)</f>
        <v>0</v>
      </c>
      <c r="CJ519" s="229">
        <f>SUMIF(DIC!$G$121:$M$121,CJ$178,DIC!$AM12:$AS12)+SUMIF($CS$178:$CV$178,CJ$178,$CS519:$CV519)</f>
        <v>0</v>
      </c>
      <c r="CK519" s="230">
        <f>SUMIF(DIC!$G$121:$M$121,CK$178,DIC!$AM12:$AS12)+SUMIF($CS$178:$CV$178,CK$178,$CS519:$CV519)</f>
        <v>0</v>
      </c>
      <c r="CL519" s="230">
        <f>SUMIF(DIC!$G$121:$M$121,CL$178,DIC!$AM12:$AS12)+SUMIF($CS$178:$CV$178,CL$178,$CS519:$CV519)</f>
        <v>0</v>
      </c>
      <c r="CM519" s="230">
        <f>SUMIF(DIC!$G$121:$M$121,CM$178,DIC!$AM12:$AS12)+SUMIF($CS$178:$CV$178,CM$178,$CS519:$CV519)</f>
        <v>0</v>
      </c>
      <c r="CN519" s="230">
        <f>SUMIF(DIC!$G$121:$M$121,CN$178,DIC!$AM12:$AS12)+SUMIF($CS$178:$CV$178,CN$178,$CS519:$CV519)</f>
        <v>0</v>
      </c>
      <c r="CO519" s="230">
        <f>SUMIF(DIC!$G$121:$M$121,CO$178,DIC!$AM12:$AS12)+SUMIF($CS$178:$CV$178,CO$178,$CS519:$CV519)</f>
        <v>0</v>
      </c>
      <c r="CP519" s="230">
        <f>SUMIF(DIC!$G$121:$M$121,CP$178,DIC!$AM12:$AS12)+SUMIF($CS$178:$CV$178,CP$178,$CS519:$CV519)</f>
        <v>0</v>
      </c>
      <c r="CQ519" s="231">
        <f>SUMIF(DIC!$G$121:$M$121,CQ$178,DIC!$AM12:$AS12)+SUMIF($CS$178:$CV$178,CQ$178,$CS519:$CV519)</f>
        <v>0</v>
      </c>
      <c r="CR519" s="521">
        <f>DIC!AU12</f>
        <v>0</v>
      </c>
      <c r="CS519" s="228">
        <f>DIC!AV12</f>
        <v>0</v>
      </c>
      <c r="CT519" s="229">
        <f>DIC!AW12</f>
        <v>0</v>
      </c>
      <c r="CU519" s="230">
        <f>DIC!AX12</f>
        <v>0</v>
      </c>
      <c r="CV519" s="231">
        <f>DIC!AY12</f>
        <v>0</v>
      </c>
      <c r="CW519" s="521">
        <f>SUM(DIC!AU12:AY12)</f>
        <v>0</v>
      </c>
      <c r="CX519" s="521">
        <f>DIC!AK12</f>
        <v>0</v>
      </c>
      <c r="CY519" s="2"/>
    </row>
    <row r="520" spans="1:103" ht="14.25" hidden="1" customHeight="1" x14ac:dyDescent="0.2">
      <c r="A520" s="2"/>
      <c r="B520" s="105">
        <f t="shared" si="128"/>
        <v>45632</v>
      </c>
      <c r="C520" s="146">
        <f>IF(AND(E520&gt;(N$562-1),E520&lt;(R$562+1)),W$551,IF(ISERROR(HLOOKUP(E520,$N$555:$U$555,1,FALSE)),HLOOKUP(WEEKDAY(E520,2),IMPOSTAZIONI!$C$52:$P$57,6,FALSE),$W$550))</f>
        <v>0</v>
      </c>
      <c r="D520" s="71" t="str">
        <f t="shared" si="129"/>
        <v/>
      </c>
      <c r="E520" s="2258">
        <f t="shared" si="134"/>
        <v>45632</v>
      </c>
      <c r="F520" s="2259"/>
      <c r="G520" s="2228" t="str">
        <f>DIC!E13</f>
        <v xml:space="preserve">disattivato  </v>
      </c>
      <c r="H520" s="2229"/>
      <c r="I520" s="2230"/>
      <c r="J520" s="262" t="str">
        <f t="shared" si="119"/>
        <v/>
      </c>
      <c r="K520" s="263"/>
      <c r="L520" s="2217">
        <f t="shared" si="135"/>
        <v>49</v>
      </c>
      <c r="M520" s="2218"/>
      <c r="N520" s="261"/>
      <c r="O520" s="261"/>
      <c r="P520" s="261"/>
      <c r="Q520" s="2219">
        <f t="shared" si="130"/>
        <v>45632</v>
      </c>
      <c r="R520" s="2219"/>
      <c r="S520" s="261"/>
      <c r="T520" s="1173">
        <f t="shared" si="120"/>
        <v>1</v>
      </c>
      <c r="U520" s="261"/>
      <c r="V520" s="261"/>
      <c r="W520" s="261"/>
      <c r="X520" s="261"/>
      <c r="Y520" s="261"/>
      <c r="Z520" s="261"/>
      <c r="AA520" s="261"/>
      <c r="AB520" s="261"/>
      <c r="AC520" s="261"/>
      <c r="AD520" s="261"/>
      <c r="AE520" s="261"/>
      <c r="AF520" s="261"/>
      <c r="AG520" s="1173">
        <f t="shared" si="131"/>
        <v>0</v>
      </c>
      <c r="AH520" s="61" t="str">
        <f t="shared" si="132"/>
        <v/>
      </c>
      <c r="AI520" s="89" t="e">
        <f t="shared" si="133"/>
        <v>#N/A</v>
      </c>
      <c r="AJ520" s="2"/>
      <c r="AK520" s="61">
        <f>IF(G520=G$547,0,IF(OR(G520&lt;&gt;0,CH520&lt;&gt;0,C520="L"),COUNTIF(AK$180:AK519,"&gt;0")+1,0))</f>
        <v>0</v>
      </c>
      <c r="AL520" s="61" t="str">
        <f t="shared" si="121"/>
        <v/>
      </c>
      <c r="AM520" s="61" t="e">
        <f t="shared" si="122"/>
        <v>#N/A</v>
      </c>
      <c r="AN520" s="89" t="e">
        <f t="shared" si="123"/>
        <v>#N/A</v>
      </c>
      <c r="AO520" s="230">
        <f>SUM(DIC!X13:AD13)-BD520+AY520</f>
        <v>0</v>
      </c>
      <c r="AP520" s="228">
        <f>SUMIF(DIC!$G$121:$M$121,AP$178,DIC!$P13:$V13)+SUMIF($AZ$178:$BC$178,AP$178,$AZ520:$BC520)</f>
        <v>0</v>
      </c>
      <c r="AQ520" s="229">
        <f>SUMIF(DIC!$G$121:$M$121,AQ$178,DIC!$P13:$V13)+SUMIF($AZ$178:$BC$178,AQ$178,$AZ520:$BC520)</f>
        <v>0</v>
      </c>
      <c r="AR520" s="230">
        <f>SUMIF(DIC!$G$121:$M$121,AR$178,DIC!$P13:$V13)+SUMIF($AZ$178:$BC$178,AR$178,$AZ520:$BC520)</f>
        <v>0</v>
      </c>
      <c r="AS520" s="230">
        <f>SUMIF(DIC!$G$121:$M$121,AS$178,DIC!$P13:$V13)+SUMIF($AZ$178:$BC$178,AS$178,$AZ520:$BC520)</f>
        <v>0</v>
      </c>
      <c r="AT520" s="230">
        <f>SUMIF(DIC!$G$121:$M$121,AT$178,DIC!$P13:$V13)+SUMIF($AZ$178:$BC$178,AT$178,$AZ520:$BC520)</f>
        <v>0</v>
      </c>
      <c r="AU520" s="230">
        <f>SUMIF(DIC!$G$121:$M$121,AU$178,DIC!$P13:$V13)+SUMIF($AZ$178:$BC$178,AU$178,$AZ520:$BC520)</f>
        <v>0</v>
      </c>
      <c r="AV520" s="230">
        <f>SUMIF(DIC!$G$121:$M$121,AV$178,DIC!$P13:$V13)+SUMIF($AZ$178:$BC$178,AV$178,$AZ520:$BC520)</f>
        <v>0</v>
      </c>
      <c r="AW520" s="230">
        <f>SUMIF(DIC!$G$121:$M$121,AW$178,DIC!$P13:$V13)+SUMIF($AZ$178:$BC$178,AW$178,$AZ520:$BC520)</f>
        <v>0</v>
      </c>
      <c r="AX520" s="231">
        <f>SUMIF(DIC!$G$121:$M$121,AX$178,DIC!$P13:$V13)+SUMIF($AZ$178:$BC$178,AX$178,$AZ520:$BC520)</f>
        <v>0</v>
      </c>
      <c r="AY520" s="232">
        <f>DIC!AF13</f>
        <v>0</v>
      </c>
      <c r="AZ520" s="228">
        <f>DIC!AG13</f>
        <v>0</v>
      </c>
      <c r="BA520" s="229">
        <f>DIC!AH13</f>
        <v>0</v>
      </c>
      <c r="BB520" s="230">
        <f>DIC!AI13</f>
        <v>0</v>
      </c>
      <c r="BC520" s="231">
        <f>DIC!AJ13</f>
        <v>0</v>
      </c>
      <c r="BD520" s="228">
        <f>SUMIF(DIC!$G$120:$M$120,"&gt;0",DIC!$X13:$AD13)</f>
        <v>0</v>
      </c>
      <c r="BE520" s="696"/>
      <c r="BF520" s="228">
        <f>SUMIF(DIC!$BA$6:$BG$6,BF$177,DIC!$BA13:$BG13)</f>
        <v>0</v>
      </c>
      <c r="BG520" s="229">
        <f>SUMIF(DIC!$BA$6:$BG$6,BG$177,DIC!$BA13:$BG13)</f>
        <v>0</v>
      </c>
      <c r="BH520" s="229">
        <f>SUMIF(DIC!$BA$6:$BG$6,BH$177,DIC!$BA13:$BG13)</f>
        <v>0</v>
      </c>
      <c r="BI520" s="229">
        <f>SUMIF(DIC!$BA$6:$BG$6,BI$177,DIC!$BA13:$BG13)</f>
        <v>0</v>
      </c>
      <c r="BJ520" s="229">
        <f>SUMIF(DIC!$BA$6:$BG$6,BJ$177,DIC!$BA13:$BG13)</f>
        <v>0</v>
      </c>
      <c r="BK520" s="229">
        <f>SUMIF(DIC!$BA$6:$BG$6,BK$177,DIC!$BA13:$BG13)</f>
        <v>0</v>
      </c>
      <c r="BL520" s="229">
        <f>SUMIF(DIC!$BA$6:$BG$6,BL$177,DIC!$BA13:$BG13)</f>
        <v>0</v>
      </c>
      <c r="BM520" s="229">
        <f>SUMIF(DIC!$BA$6:$BG$6,BM$177,DIC!$BA13:$BG13)</f>
        <v>0</v>
      </c>
      <c r="BN520" s="229">
        <f>SUMIF(DIC!$BA$6:$BG$6,BN$177,DIC!$BA13:$BG13)</f>
        <v>0</v>
      </c>
      <c r="BO520" s="231">
        <f>SUMIF(DIC!$BA$6:$BG$6,BO$177,DIC!$BA13:$BG13)</f>
        <v>0</v>
      </c>
      <c r="BP520" s="231">
        <f>SUMIF(DIC!$BA$6:$BG$6,BP$177,DIC!$BA13:$BG13)</f>
        <v>0</v>
      </c>
      <c r="BQ520" s="252"/>
      <c r="BR520" s="228">
        <f>SUMIF(DIC!$BA$5:$BG$5,BR$177,DIC!$BA13:$BG13)</f>
        <v>0</v>
      </c>
      <c r="BS520" s="229">
        <f>SUMIF(DIC!$BA$5:$BG$5,BS$177,DIC!$BA13:$BG13)</f>
        <v>0</v>
      </c>
      <c r="BT520" s="229">
        <f>SUMIF(DIC!$BA$5:$BG$5,BT$177,DIC!$BA13:$BG13)</f>
        <v>0</v>
      </c>
      <c r="BU520" s="229">
        <f>SUMIF(DIC!$BA$5:$BG$5,BU$177,DIC!$BA13:$BG13)</f>
        <v>0</v>
      </c>
      <c r="BV520" s="229">
        <f>SUMIF(DIC!$BA$5:$BG$5,BV$177,DIC!$BA13:$BG13)</f>
        <v>0</v>
      </c>
      <c r="BW520" s="229">
        <f>SUMIF(DIC!$BA$5:$BG$5,BW$177,DIC!$BA13:$BG13)</f>
        <v>0</v>
      </c>
      <c r="BX520" s="230">
        <f>SUMIF(DIC!$BA$5:$BG$5,BX$177,DIC!$BA13:$BG13)</f>
        <v>0</v>
      </c>
      <c r="BY520" s="998">
        <f>SUMIF(DIC!$BA$5:$BG$5,BY$177,DIC!$BA13:$BG13)</f>
        <v>0</v>
      </c>
      <c r="CB520" s="252"/>
      <c r="CC520" s="61" t="e">
        <f t="shared" si="124"/>
        <v>#N/A</v>
      </c>
      <c r="CD520" s="61">
        <f t="shared" si="125"/>
        <v>0</v>
      </c>
      <c r="CE520" s="105" t="str">
        <f t="shared" si="118"/>
        <v/>
      </c>
      <c r="CF520" s="61" t="e">
        <f t="shared" si="126"/>
        <v>#N/A</v>
      </c>
      <c r="CG520" s="61" t="e">
        <f t="shared" si="127"/>
        <v>#N/A</v>
      </c>
      <c r="CH520" s="521">
        <f>DIC!AL13-CW520+CR520</f>
        <v>0</v>
      </c>
      <c r="CI520" s="228">
        <f>SUMIF(DIC!$G$121:$M$121,CI$178,DIC!$AM13:$AS13)+SUMIF($CS$178:$CV$178,CI$178,$CS520:$CV520)</f>
        <v>0</v>
      </c>
      <c r="CJ520" s="229">
        <f>SUMIF(DIC!$G$121:$M$121,CJ$178,DIC!$AM13:$AS13)+SUMIF($CS$178:$CV$178,CJ$178,$CS520:$CV520)</f>
        <v>0</v>
      </c>
      <c r="CK520" s="230">
        <f>SUMIF(DIC!$G$121:$M$121,CK$178,DIC!$AM13:$AS13)+SUMIF($CS$178:$CV$178,CK$178,$CS520:$CV520)</f>
        <v>0</v>
      </c>
      <c r="CL520" s="230">
        <f>SUMIF(DIC!$G$121:$M$121,CL$178,DIC!$AM13:$AS13)+SUMIF($CS$178:$CV$178,CL$178,$CS520:$CV520)</f>
        <v>0</v>
      </c>
      <c r="CM520" s="230">
        <f>SUMIF(DIC!$G$121:$M$121,CM$178,DIC!$AM13:$AS13)+SUMIF($CS$178:$CV$178,CM$178,$CS520:$CV520)</f>
        <v>0</v>
      </c>
      <c r="CN520" s="230">
        <f>SUMIF(DIC!$G$121:$M$121,CN$178,DIC!$AM13:$AS13)+SUMIF($CS$178:$CV$178,CN$178,$CS520:$CV520)</f>
        <v>0</v>
      </c>
      <c r="CO520" s="230">
        <f>SUMIF(DIC!$G$121:$M$121,CO$178,DIC!$AM13:$AS13)+SUMIF($CS$178:$CV$178,CO$178,$CS520:$CV520)</f>
        <v>0</v>
      </c>
      <c r="CP520" s="230">
        <f>SUMIF(DIC!$G$121:$M$121,CP$178,DIC!$AM13:$AS13)+SUMIF($CS$178:$CV$178,CP$178,$CS520:$CV520)</f>
        <v>0</v>
      </c>
      <c r="CQ520" s="231">
        <f>SUMIF(DIC!$G$121:$M$121,CQ$178,DIC!$AM13:$AS13)+SUMIF($CS$178:$CV$178,CQ$178,$CS520:$CV520)</f>
        <v>0</v>
      </c>
      <c r="CR520" s="521">
        <f>DIC!AU13</f>
        <v>0</v>
      </c>
      <c r="CS520" s="228">
        <f>DIC!AV13</f>
        <v>0</v>
      </c>
      <c r="CT520" s="229">
        <f>DIC!AW13</f>
        <v>0</v>
      </c>
      <c r="CU520" s="230">
        <f>DIC!AX13</f>
        <v>0</v>
      </c>
      <c r="CV520" s="231">
        <f>DIC!AY13</f>
        <v>0</v>
      </c>
      <c r="CW520" s="521">
        <f>SUM(DIC!AU13:AY13)</f>
        <v>0</v>
      </c>
      <c r="CX520" s="521">
        <f>DIC!AK13</f>
        <v>0</v>
      </c>
      <c r="CY520" s="2"/>
    </row>
    <row r="521" spans="1:103" ht="14.25" hidden="1" customHeight="1" x14ac:dyDescent="0.2">
      <c r="A521" s="2"/>
      <c r="B521" s="105">
        <f t="shared" si="128"/>
        <v>45633</v>
      </c>
      <c r="C521" s="146">
        <f>IF(AND(E521&gt;(N$562-1),E521&lt;(R$562+1)),W$551,IF(ISERROR(HLOOKUP(E521,$N$555:$U$555,1,FALSE)),HLOOKUP(WEEKDAY(E521,2),IMPOSTAZIONI!$C$52:$P$57,6,FALSE),$W$550))</f>
        <v>0</v>
      </c>
      <c r="D521" s="71" t="str">
        <f t="shared" si="129"/>
        <v/>
      </c>
      <c r="E521" s="2258">
        <f t="shared" si="134"/>
        <v>45633</v>
      </c>
      <c r="F521" s="2259"/>
      <c r="G521" s="2228" t="str">
        <f>DIC!E14</f>
        <v xml:space="preserve">disattivato  </v>
      </c>
      <c r="H521" s="2229"/>
      <c r="I521" s="2230"/>
      <c r="J521" s="262" t="str">
        <f t="shared" si="119"/>
        <v/>
      </c>
      <c r="K521" s="263"/>
      <c r="L521" s="2217">
        <f t="shared" si="135"/>
        <v>49</v>
      </c>
      <c r="M521" s="2218"/>
      <c r="N521" s="261"/>
      <c r="O521" s="261"/>
      <c r="P521" s="261"/>
      <c r="Q521" s="2219">
        <f t="shared" si="130"/>
        <v>45633</v>
      </c>
      <c r="R521" s="2219"/>
      <c r="S521" s="261"/>
      <c r="T521" s="1173">
        <f t="shared" si="120"/>
        <v>1</v>
      </c>
      <c r="U521" s="261"/>
      <c r="V521" s="261"/>
      <c r="W521" s="261"/>
      <c r="X521" s="261"/>
      <c r="Y521" s="261"/>
      <c r="Z521" s="261"/>
      <c r="AA521" s="261"/>
      <c r="AB521" s="261"/>
      <c r="AC521" s="261"/>
      <c r="AD521" s="261"/>
      <c r="AE521" s="261"/>
      <c r="AF521" s="261"/>
      <c r="AG521" s="1173">
        <f t="shared" si="131"/>
        <v>0</v>
      </c>
      <c r="AH521" s="61" t="str">
        <f t="shared" si="132"/>
        <v/>
      </c>
      <c r="AI521" s="89" t="e">
        <f t="shared" si="133"/>
        <v>#N/A</v>
      </c>
      <c r="AJ521" s="2"/>
      <c r="AK521" s="61">
        <f>IF(G521=G$547,0,IF(OR(G521&lt;&gt;0,CH521&lt;&gt;0,C521="L"),COUNTIF(AK$180:AK520,"&gt;0")+1,0))</f>
        <v>0</v>
      </c>
      <c r="AL521" s="61" t="str">
        <f t="shared" si="121"/>
        <v/>
      </c>
      <c r="AM521" s="61" t="e">
        <f t="shared" si="122"/>
        <v>#N/A</v>
      </c>
      <c r="AN521" s="89" t="e">
        <f t="shared" si="123"/>
        <v>#N/A</v>
      </c>
      <c r="AO521" s="230">
        <f>SUM(DIC!X14:AD14)-BD521+AY521</f>
        <v>0</v>
      </c>
      <c r="AP521" s="228">
        <f>SUMIF(DIC!$G$121:$M$121,AP$178,DIC!$P14:$V14)+SUMIF($AZ$178:$BC$178,AP$178,$AZ521:$BC521)</f>
        <v>0</v>
      </c>
      <c r="AQ521" s="229">
        <f>SUMIF(DIC!$G$121:$M$121,AQ$178,DIC!$P14:$V14)+SUMIF($AZ$178:$BC$178,AQ$178,$AZ521:$BC521)</f>
        <v>0</v>
      </c>
      <c r="AR521" s="230">
        <f>SUMIF(DIC!$G$121:$M$121,AR$178,DIC!$P14:$V14)+SUMIF($AZ$178:$BC$178,AR$178,$AZ521:$BC521)</f>
        <v>0</v>
      </c>
      <c r="AS521" s="230">
        <f>SUMIF(DIC!$G$121:$M$121,AS$178,DIC!$P14:$V14)+SUMIF($AZ$178:$BC$178,AS$178,$AZ521:$BC521)</f>
        <v>0</v>
      </c>
      <c r="AT521" s="230">
        <f>SUMIF(DIC!$G$121:$M$121,AT$178,DIC!$P14:$V14)+SUMIF($AZ$178:$BC$178,AT$178,$AZ521:$BC521)</f>
        <v>0</v>
      </c>
      <c r="AU521" s="230">
        <f>SUMIF(DIC!$G$121:$M$121,AU$178,DIC!$P14:$V14)+SUMIF($AZ$178:$BC$178,AU$178,$AZ521:$BC521)</f>
        <v>0</v>
      </c>
      <c r="AV521" s="230">
        <f>SUMIF(DIC!$G$121:$M$121,AV$178,DIC!$P14:$V14)+SUMIF($AZ$178:$BC$178,AV$178,$AZ521:$BC521)</f>
        <v>0</v>
      </c>
      <c r="AW521" s="230">
        <f>SUMIF(DIC!$G$121:$M$121,AW$178,DIC!$P14:$V14)+SUMIF($AZ$178:$BC$178,AW$178,$AZ521:$BC521)</f>
        <v>0</v>
      </c>
      <c r="AX521" s="231">
        <f>SUMIF(DIC!$G$121:$M$121,AX$178,DIC!$P14:$V14)+SUMIF($AZ$178:$BC$178,AX$178,$AZ521:$BC521)</f>
        <v>0</v>
      </c>
      <c r="AY521" s="232">
        <f>DIC!AF14</f>
        <v>0</v>
      </c>
      <c r="AZ521" s="228">
        <f>DIC!AG14</f>
        <v>0</v>
      </c>
      <c r="BA521" s="229">
        <f>DIC!AH14</f>
        <v>0</v>
      </c>
      <c r="BB521" s="230">
        <f>DIC!AI14</f>
        <v>0</v>
      </c>
      <c r="BC521" s="231">
        <f>DIC!AJ14</f>
        <v>0</v>
      </c>
      <c r="BD521" s="228">
        <f>SUMIF(DIC!$G$120:$M$120,"&gt;0",DIC!$X14:$AD14)</f>
        <v>0</v>
      </c>
      <c r="BE521" s="696"/>
      <c r="BF521" s="228">
        <f>SUMIF(DIC!$BA$6:$BG$6,BF$177,DIC!$BA14:$BG14)</f>
        <v>0</v>
      </c>
      <c r="BG521" s="229">
        <f>SUMIF(DIC!$BA$6:$BG$6,BG$177,DIC!$BA14:$BG14)</f>
        <v>0</v>
      </c>
      <c r="BH521" s="229">
        <f>SUMIF(DIC!$BA$6:$BG$6,BH$177,DIC!$BA14:$BG14)</f>
        <v>0</v>
      </c>
      <c r="BI521" s="229">
        <f>SUMIF(DIC!$BA$6:$BG$6,BI$177,DIC!$BA14:$BG14)</f>
        <v>0</v>
      </c>
      <c r="BJ521" s="229">
        <f>SUMIF(DIC!$BA$6:$BG$6,BJ$177,DIC!$BA14:$BG14)</f>
        <v>0</v>
      </c>
      <c r="BK521" s="229">
        <f>SUMIF(DIC!$BA$6:$BG$6,BK$177,DIC!$BA14:$BG14)</f>
        <v>0</v>
      </c>
      <c r="BL521" s="229">
        <f>SUMIF(DIC!$BA$6:$BG$6,BL$177,DIC!$BA14:$BG14)</f>
        <v>0</v>
      </c>
      <c r="BM521" s="229">
        <f>SUMIF(DIC!$BA$6:$BG$6,BM$177,DIC!$BA14:$BG14)</f>
        <v>0</v>
      </c>
      <c r="BN521" s="229">
        <f>SUMIF(DIC!$BA$6:$BG$6,BN$177,DIC!$BA14:$BG14)</f>
        <v>0</v>
      </c>
      <c r="BO521" s="231">
        <f>SUMIF(DIC!$BA$6:$BG$6,BO$177,DIC!$BA14:$BG14)</f>
        <v>0</v>
      </c>
      <c r="BP521" s="231">
        <f>SUMIF(DIC!$BA$6:$BG$6,BP$177,DIC!$BA14:$BG14)</f>
        <v>0</v>
      </c>
      <c r="BQ521" s="252"/>
      <c r="BR521" s="228">
        <f>SUMIF(DIC!$BA$5:$BG$5,BR$177,DIC!$BA14:$BG14)</f>
        <v>0</v>
      </c>
      <c r="BS521" s="229">
        <f>SUMIF(DIC!$BA$5:$BG$5,BS$177,DIC!$BA14:$BG14)</f>
        <v>0</v>
      </c>
      <c r="BT521" s="229">
        <f>SUMIF(DIC!$BA$5:$BG$5,BT$177,DIC!$BA14:$BG14)</f>
        <v>0</v>
      </c>
      <c r="BU521" s="229">
        <f>SUMIF(DIC!$BA$5:$BG$5,BU$177,DIC!$BA14:$BG14)</f>
        <v>0</v>
      </c>
      <c r="BV521" s="229">
        <f>SUMIF(DIC!$BA$5:$BG$5,BV$177,DIC!$BA14:$BG14)</f>
        <v>0</v>
      </c>
      <c r="BW521" s="229">
        <f>SUMIF(DIC!$BA$5:$BG$5,BW$177,DIC!$BA14:$BG14)</f>
        <v>0</v>
      </c>
      <c r="BX521" s="230">
        <f>SUMIF(DIC!$BA$5:$BG$5,BX$177,DIC!$BA14:$BG14)</f>
        <v>0</v>
      </c>
      <c r="BY521" s="998">
        <f>SUMIF(DIC!$BA$5:$BG$5,BY$177,DIC!$BA14:$BG14)</f>
        <v>0</v>
      </c>
      <c r="CB521" s="252"/>
      <c r="CC521" s="61" t="e">
        <f t="shared" si="124"/>
        <v>#N/A</v>
      </c>
      <c r="CD521" s="61">
        <f t="shared" si="125"/>
        <v>0</v>
      </c>
      <c r="CE521" s="105" t="str">
        <f t="shared" si="118"/>
        <v/>
      </c>
      <c r="CF521" s="61" t="e">
        <f t="shared" si="126"/>
        <v>#N/A</v>
      </c>
      <c r="CG521" s="61" t="e">
        <f t="shared" si="127"/>
        <v>#N/A</v>
      </c>
      <c r="CH521" s="521">
        <f>DIC!AL14-CW521+CR521</f>
        <v>0</v>
      </c>
      <c r="CI521" s="228">
        <f>SUMIF(DIC!$G$121:$M$121,CI$178,DIC!$AM14:$AS14)+SUMIF($CS$178:$CV$178,CI$178,$CS521:$CV521)</f>
        <v>0</v>
      </c>
      <c r="CJ521" s="229">
        <f>SUMIF(DIC!$G$121:$M$121,CJ$178,DIC!$AM14:$AS14)+SUMIF($CS$178:$CV$178,CJ$178,$CS521:$CV521)</f>
        <v>0</v>
      </c>
      <c r="CK521" s="230">
        <f>SUMIF(DIC!$G$121:$M$121,CK$178,DIC!$AM14:$AS14)+SUMIF($CS$178:$CV$178,CK$178,$CS521:$CV521)</f>
        <v>0</v>
      </c>
      <c r="CL521" s="230">
        <f>SUMIF(DIC!$G$121:$M$121,CL$178,DIC!$AM14:$AS14)+SUMIF($CS$178:$CV$178,CL$178,$CS521:$CV521)</f>
        <v>0</v>
      </c>
      <c r="CM521" s="230">
        <f>SUMIF(DIC!$G$121:$M$121,CM$178,DIC!$AM14:$AS14)+SUMIF($CS$178:$CV$178,CM$178,$CS521:$CV521)</f>
        <v>0</v>
      </c>
      <c r="CN521" s="230">
        <f>SUMIF(DIC!$G$121:$M$121,CN$178,DIC!$AM14:$AS14)+SUMIF($CS$178:$CV$178,CN$178,$CS521:$CV521)</f>
        <v>0</v>
      </c>
      <c r="CO521" s="230">
        <f>SUMIF(DIC!$G$121:$M$121,CO$178,DIC!$AM14:$AS14)+SUMIF($CS$178:$CV$178,CO$178,$CS521:$CV521)</f>
        <v>0</v>
      </c>
      <c r="CP521" s="230">
        <f>SUMIF(DIC!$G$121:$M$121,CP$178,DIC!$AM14:$AS14)+SUMIF($CS$178:$CV$178,CP$178,$CS521:$CV521)</f>
        <v>0</v>
      </c>
      <c r="CQ521" s="231">
        <f>SUMIF(DIC!$G$121:$M$121,CQ$178,DIC!$AM14:$AS14)+SUMIF($CS$178:$CV$178,CQ$178,$CS521:$CV521)</f>
        <v>0</v>
      </c>
      <c r="CR521" s="521">
        <f>DIC!AU14</f>
        <v>0</v>
      </c>
      <c r="CS521" s="228">
        <f>DIC!AV14</f>
        <v>0</v>
      </c>
      <c r="CT521" s="229">
        <f>DIC!AW14</f>
        <v>0</v>
      </c>
      <c r="CU521" s="230">
        <f>DIC!AX14</f>
        <v>0</v>
      </c>
      <c r="CV521" s="231">
        <f>DIC!AY14</f>
        <v>0</v>
      </c>
      <c r="CW521" s="521">
        <f>SUM(DIC!AU14:AY14)</f>
        <v>0</v>
      </c>
      <c r="CX521" s="521">
        <f>DIC!AK14</f>
        <v>0</v>
      </c>
      <c r="CY521" s="2"/>
    </row>
    <row r="522" spans="1:103" ht="14.25" hidden="1" customHeight="1" x14ac:dyDescent="0.2">
      <c r="A522" s="2"/>
      <c r="B522" s="105">
        <f t="shared" si="128"/>
        <v>45634</v>
      </c>
      <c r="C522" s="146">
        <f>IF(AND(E522&gt;(N$562-1),E522&lt;(R$562+1)),W$551,IF(ISERROR(HLOOKUP(E522,$N$555:$U$555,1,FALSE)),HLOOKUP(WEEKDAY(E522,2),IMPOSTAZIONI!$C$52:$P$57,6,FALSE),$W$550))</f>
        <v>0</v>
      </c>
      <c r="D522" s="71" t="str">
        <f t="shared" si="129"/>
        <v/>
      </c>
      <c r="E522" s="2258">
        <f t="shared" si="134"/>
        <v>45634</v>
      </c>
      <c r="F522" s="2259"/>
      <c r="G522" s="2228" t="str">
        <f>DIC!E15</f>
        <v xml:space="preserve">disattivato  </v>
      </c>
      <c r="H522" s="2229"/>
      <c r="I522" s="2230"/>
      <c r="J522" s="262" t="str">
        <f t="shared" si="119"/>
        <v/>
      </c>
      <c r="K522" s="263"/>
      <c r="L522" s="2220">
        <f t="shared" si="135"/>
        <v>49</v>
      </c>
      <c r="M522" s="2221"/>
      <c r="N522" s="261"/>
      <c r="O522" s="261"/>
      <c r="P522" s="261"/>
      <c r="Q522" s="2219">
        <f t="shared" si="130"/>
        <v>45634</v>
      </c>
      <c r="R522" s="2219"/>
      <c r="S522" s="261"/>
      <c r="T522" s="1173">
        <f t="shared" si="120"/>
        <v>1</v>
      </c>
      <c r="U522" s="261"/>
      <c r="V522" s="261"/>
      <c r="W522" s="261"/>
      <c r="X522" s="261"/>
      <c r="Y522" s="261"/>
      <c r="Z522" s="261"/>
      <c r="AA522" s="261"/>
      <c r="AB522" s="261"/>
      <c r="AC522" s="261"/>
      <c r="AD522" s="261"/>
      <c r="AE522" s="261"/>
      <c r="AF522" s="261"/>
      <c r="AG522" s="1173">
        <f t="shared" si="131"/>
        <v>0</v>
      </c>
      <c r="AH522" s="61" t="str">
        <f t="shared" si="132"/>
        <v/>
      </c>
      <c r="AI522" s="89" t="e">
        <f t="shared" si="133"/>
        <v>#N/A</v>
      </c>
      <c r="AJ522" s="2"/>
      <c r="AK522" s="61">
        <f>IF(G522=G$547,0,IF(OR(G522&lt;&gt;0,CH522&lt;&gt;0,C522="L"),COUNTIF(AK$180:AK521,"&gt;0")+1,0))</f>
        <v>0</v>
      </c>
      <c r="AL522" s="61" t="str">
        <f t="shared" si="121"/>
        <v/>
      </c>
      <c r="AM522" s="61" t="e">
        <f t="shared" si="122"/>
        <v>#N/A</v>
      </c>
      <c r="AN522" s="89" t="e">
        <f t="shared" si="123"/>
        <v>#N/A</v>
      </c>
      <c r="AO522" s="230">
        <f>SUM(DIC!X15:AD15)-BD522+AY522</f>
        <v>0</v>
      </c>
      <c r="AP522" s="228">
        <f>SUMIF(DIC!$G$121:$M$121,AP$178,DIC!$P15:$V15)+SUMIF($AZ$178:$BC$178,AP$178,$AZ522:$BC522)</f>
        <v>0</v>
      </c>
      <c r="AQ522" s="229">
        <f>SUMIF(DIC!$G$121:$M$121,AQ$178,DIC!$P15:$V15)+SUMIF($AZ$178:$BC$178,AQ$178,$AZ522:$BC522)</f>
        <v>0</v>
      </c>
      <c r="AR522" s="230">
        <f>SUMIF(DIC!$G$121:$M$121,AR$178,DIC!$P15:$V15)+SUMIF($AZ$178:$BC$178,AR$178,$AZ522:$BC522)</f>
        <v>0</v>
      </c>
      <c r="AS522" s="230">
        <f>SUMIF(DIC!$G$121:$M$121,AS$178,DIC!$P15:$V15)+SUMIF($AZ$178:$BC$178,AS$178,$AZ522:$BC522)</f>
        <v>0</v>
      </c>
      <c r="AT522" s="230">
        <f>SUMIF(DIC!$G$121:$M$121,AT$178,DIC!$P15:$V15)+SUMIF($AZ$178:$BC$178,AT$178,$AZ522:$BC522)</f>
        <v>0</v>
      </c>
      <c r="AU522" s="230">
        <f>SUMIF(DIC!$G$121:$M$121,AU$178,DIC!$P15:$V15)+SUMIF($AZ$178:$BC$178,AU$178,$AZ522:$BC522)</f>
        <v>0</v>
      </c>
      <c r="AV522" s="230">
        <f>SUMIF(DIC!$G$121:$M$121,AV$178,DIC!$P15:$V15)+SUMIF($AZ$178:$BC$178,AV$178,$AZ522:$BC522)</f>
        <v>0</v>
      </c>
      <c r="AW522" s="230">
        <f>SUMIF(DIC!$G$121:$M$121,AW$178,DIC!$P15:$V15)+SUMIF($AZ$178:$BC$178,AW$178,$AZ522:$BC522)</f>
        <v>0</v>
      </c>
      <c r="AX522" s="231">
        <f>SUMIF(DIC!$G$121:$M$121,AX$178,DIC!$P15:$V15)+SUMIF($AZ$178:$BC$178,AX$178,$AZ522:$BC522)</f>
        <v>0</v>
      </c>
      <c r="AY522" s="232">
        <f>DIC!AF15</f>
        <v>0</v>
      </c>
      <c r="AZ522" s="228">
        <f>DIC!AG15</f>
        <v>0</v>
      </c>
      <c r="BA522" s="229">
        <f>DIC!AH15</f>
        <v>0</v>
      </c>
      <c r="BB522" s="230">
        <f>DIC!AI15</f>
        <v>0</v>
      </c>
      <c r="BC522" s="231">
        <f>DIC!AJ15</f>
        <v>0</v>
      </c>
      <c r="BD522" s="228">
        <f>SUMIF(DIC!$G$120:$M$120,"&gt;0",DIC!$X15:$AD15)</f>
        <v>0</v>
      </c>
      <c r="BE522" s="696"/>
      <c r="BF522" s="228">
        <f>SUMIF(DIC!$BA$6:$BG$6,BF$177,DIC!$BA15:$BG15)</f>
        <v>0</v>
      </c>
      <c r="BG522" s="229">
        <f>SUMIF(DIC!$BA$6:$BG$6,BG$177,DIC!$BA15:$BG15)</f>
        <v>0</v>
      </c>
      <c r="BH522" s="229">
        <f>SUMIF(DIC!$BA$6:$BG$6,BH$177,DIC!$BA15:$BG15)</f>
        <v>0</v>
      </c>
      <c r="BI522" s="229">
        <f>SUMIF(DIC!$BA$6:$BG$6,BI$177,DIC!$BA15:$BG15)</f>
        <v>0</v>
      </c>
      <c r="BJ522" s="229">
        <f>SUMIF(DIC!$BA$6:$BG$6,BJ$177,DIC!$BA15:$BG15)</f>
        <v>0</v>
      </c>
      <c r="BK522" s="229">
        <f>SUMIF(DIC!$BA$6:$BG$6,BK$177,DIC!$BA15:$BG15)</f>
        <v>0</v>
      </c>
      <c r="BL522" s="229">
        <f>SUMIF(DIC!$BA$6:$BG$6,BL$177,DIC!$BA15:$BG15)</f>
        <v>0</v>
      </c>
      <c r="BM522" s="229">
        <f>SUMIF(DIC!$BA$6:$BG$6,BM$177,DIC!$BA15:$BG15)</f>
        <v>0</v>
      </c>
      <c r="BN522" s="229">
        <f>SUMIF(DIC!$BA$6:$BG$6,BN$177,DIC!$BA15:$BG15)</f>
        <v>0</v>
      </c>
      <c r="BO522" s="231">
        <f>SUMIF(DIC!$BA$6:$BG$6,BO$177,DIC!$BA15:$BG15)</f>
        <v>0</v>
      </c>
      <c r="BP522" s="231">
        <f>SUMIF(DIC!$BA$6:$BG$6,BP$177,DIC!$BA15:$BG15)</f>
        <v>0</v>
      </c>
      <c r="BQ522" s="252"/>
      <c r="BR522" s="228">
        <f>SUMIF(DIC!$BA$5:$BG$5,BR$177,DIC!$BA15:$BG15)</f>
        <v>0</v>
      </c>
      <c r="BS522" s="229">
        <f>SUMIF(DIC!$BA$5:$BG$5,BS$177,DIC!$BA15:$BG15)</f>
        <v>0</v>
      </c>
      <c r="BT522" s="229">
        <f>SUMIF(DIC!$BA$5:$BG$5,BT$177,DIC!$BA15:$BG15)</f>
        <v>0</v>
      </c>
      <c r="BU522" s="229">
        <f>SUMIF(DIC!$BA$5:$BG$5,BU$177,DIC!$BA15:$BG15)</f>
        <v>0</v>
      </c>
      <c r="BV522" s="229">
        <f>SUMIF(DIC!$BA$5:$BG$5,BV$177,DIC!$BA15:$BG15)</f>
        <v>0</v>
      </c>
      <c r="BW522" s="229">
        <f>SUMIF(DIC!$BA$5:$BG$5,BW$177,DIC!$BA15:$BG15)</f>
        <v>0</v>
      </c>
      <c r="BX522" s="230">
        <f>SUMIF(DIC!$BA$5:$BG$5,BX$177,DIC!$BA15:$BG15)</f>
        <v>0</v>
      </c>
      <c r="BY522" s="998">
        <f>SUMIF(DIC!$BA$5:$BG$5,BY$177,DIC!$BA15:$BG15)</f>
        <v>0</v>
      </c>
      <c r="CB522" s="252"/>
      <c r="CC522" s="61" t="e">
        <f t="shared" si="124"/>
        <v>#N/A</v>
      </c>
      <c r="CD522" s="61">
        <f t="shared" si="125"/>
        <v>0</v>
      </c>
      <c r="CE522" s="105" t="str">
        <f t="shared" si="118"/>
        <v/>
      </c>
      <c r="CF522" s="61" t="e">
        <f t="shared" si="126"/>
        <v>#N/A</v>
      </c>
      <c r="CG522" s="61" t="e">
        <f t="shared" si="127"/>
        <v>#N/A</v>
      </c>
      <c r="CH522" s="521">
        <f>DIC!AL15-CW522+CR522</f>
        <v>0</v>
      </c>
      <c r="CI522" s="228">
        <f>SUMIF(DIC!$G$121:$M$121,CI$178,DIC!$AM15:$AS15)+SUMIF($CS$178:$CV$178,CI$178,$CS522:$CV522)</f>
        <v>0</v>
      </c>
      <c r="CJ522" s="229">
        <f>SUMIF(DIC!$G$121:$M$121,CJ$178,DIC!$AM15:$AS15)+SUMIF($CS$178:$CV$178,CJ$178,$CS522:$CV522)</f>
        <v>0</v>
      </c>
      <c r="CK522" s="230">
        <f>SUMIF(DIC!$G$121:$M$121,CK$178,DIC!$AM15:$AS15)+SUMIF($CS$178:$CV$178,CK$178,$CS522:$CV522)</f>
        <v>0</v>
      </c>
      <c r="CL522" s="230">
        <f>SUMIF(DIC!$G$121:$M$121,CL$178,DIC!$AM15:$AS15)+SUMIF($CS$178:$CV$178,CL$178,$CS522:$CV522)</f>
        <v>0</v>
      </c>
      <c r="CM522" s="230">
        <f>SUMIF(DIC!$G$121:$M$121,CM$178,DIC!$AM15:$AS15)+SUMIF($CS$178:$CV$178,CM$178,$CS522:$CV522)</f>
        <v>0</v>
      </c>
      <c r="CN522" s="230">
        <f>SUMIF(DIC!$G$121:$M$121,CN$178,DIC!$AM15:$AS15)+SUMIF($CS$178:$CV$178,CN$178,$CS522:$CV522)</f>
        <v>0</v>
      </c>
      <c r="CO522" s="230">
        <f>SUMIF(DIC!$G$121:$M$121,CO$178,DIC!$AM15:$AS15)+SUMIF($CS$178:$CV$178,CO$178,$CS522:$CV522)</f>
        <v>0</v>
      </c>
      <c r="CP522" s="230">
        <f>SUMIF(DIC!$G$121:$M$121,CP$178,DIC!$AM15:$AS15)+SUMIF($CS$178:$CV$178,CP$178,$CS522:$CV522)</f>
        <v>0</v>
      </c>
      <c r="CQ522" s="231">
        <f>SUMIF(DIC!$G$121:$M$121,CQ$178,DIC!$AM15:$AS15)+SUMIF($CS$178:$CV$178,CQ$178,$CS522:$CV522)</f>
        <v>0</v>
      </c>
      <c r="CR522" s="521">
        <f>DIC!AU15</f>
        <v>0</v>
      </c>
      <c r="CS522" s="228">
        <f>DIC!AV15</f>
        <v>0</v>
      </c>
      <c r="CT522" s="229">
        <f>DIC!AW15</f>
        <v>0</v>
      </c>
      <c r="CU522" s="230">
        <f>DIC!AX15</f>
        <v>0</v>
      </c>
      <c r="CV522" s="231">
        <f>DIC!AY15</f>
        <v>0</v>
      </c>
      <c r="CW522" s="521">
        <f>SUM(DIC!AU15:AY15)</f>
        <v>0</v>
      </c>
      <c r="CX522" s="521">
        <f>DIC!AK15</f>
        <v>0</v>
      </c>
      <c r="CY522" s="2"/>
    </row>
    <row r="523" spans="1:103" ht="14.25" hidden="1" customHeight="1" x14ac:dyDescent="0.2">
      <c r="A523" s="2"/>
      <c r="B523" s="105">
        <f t="shared" si="128"/>
        <v>45635</v>
      </c>
      <c r="C523" s="146">
        <f>IF(AND(E523&gt;(N$562-1),E523&lt;(R$562+1)),W$551,IF(ISERROR(HLOOKUP(E523,$N$555:$U$555,1,FALSE)),HLOOKUP(WEEKDAY(E523,2),IMPOSTAZIONI!$C$52:$P$57,6,FALSE),$W$550))</f>
        <v>0</v>
      </c>
      <c r="D523" s="71" t="str">
        <f t="shared" si="129"/>
        <v/>
      </c>
      <c r="E523" s="2258">
        <f t="shared" si="134"/>
        <v>45635</v>
      </c>
      <c r="F523" s="2259"/>
      <c r="G523" s="2228" t="str">
        <f>DIC!E16</f>
        <v xml:space="preserve">disattivato  </v>
      </c>
      <c r="H523" s="2229"/>
      <c r="I523" s="2230"/>
      <c r="J523" s="262" t="str">
        <f t="shared" si="119"/>
        <v/>
      </c>
      <c r="K523" s="263"/>
      <c r="L523" s="2222">
        <f t="shared" si="135"/>
        <v>50</v>
      </c>
      <c r="M523" s="2223"/>
      <c r="N523" s="261"/>
      <c r="O523" s="261"/>
      <c r="P523" s="261"/>
      <c r="Q523" s="2219">
        <f t="shared" si="130"/>
        <v>45635</v>
      </c>
      <c r="R523" s="2219"/>
      <c r="S523" s="261"/>
      <c r="T523" s="1173">
        <f t="shared" si="120"/>
        <v>1</v>
      </c>
      <c r="U523" s="261"/>
      <c r="V523" s="261"/>
      <c r="W523" s="261"/>
      <c r="X523" s="261"/>
      <c r="Y523" s="261"/>
      <c r="Z523" s="261"/>
      <c r="AA523" s="261"/>
      <c r="AB523" s="261"/>
      <c r="AC523" s="261"/>
      <c r="AD523" s="261"/>
      <c r="AE523" s="261"/>
      <c r="AF523" s="261"/>
      <c r="AG523" s="1173">
        <f t="shared" si="131"/>
        <v>0</v>
      </c>
      <c r="AH523" s="61" t="str">
        <f t="shared" si="132"/>
        <v/>
      </c>
      <c r="AI523" s="89" t="e">
        <f t="shared" si="133"/>
        <v>#N/A</v>
      </c>
      <c r="AJ523" s="2"/>
      <c r="AK523" s="61">
        <f>IF(G523=G$547,0,IF(OR(G523&lt;&gt;0,CH523&lt;&gt;0,C523="L"),COUNTIF(AK$180:AK522,"&gt;0")+1,0))</f>
        <v>0</v>
      </c>
      <c r="AL523" s="61" t="str">
        <f t="shared" si="121"/>
        <v/>
      </c>
      <c r="AM523" s="61" t="e">
        <f t="shared" si="122"/>
        <v>#N/A</v>
      </c>
      <c r="AN523" s="89" t="e">
        <f t="shared" si="123"/>
        <v>#N/A</v>
      </c>
      <c r="AO523" s="230">
        <f>SUM(DIC!X16:AD16)-BD523+AY523</f>
        <v>0</v>
      </c>
      <c r="AP523" s="228">
        <f>SUMIF(DIC!$G$121:$M$121,AP$178,DIC!$P16:$V16)+SUMIF($AZ$178:$BC$178,AP$178,$AZ523:$BC523)</f>
        <v>0</v>
      </c>
      <c r="AQ523" s="229">
        <f>SUMIF(DIC!$G$121:$M$121,AQ$178,DIC!$P16:$V16)+SUMIF($AZ$178:$BC$178,AQ$178,$AZ523:$BC523)</f>
        <v>0</v>
      </c>
      <c r="AR523" s="230">
        <f>SUMIF(DIC!$G$121:$M$121,AR$178,DIC!$P16:$V16)+SUMIF($AZ$178:$BC$178,AR$178,$AZ523:$BC523)</f>
        <v>0</v>
      </c>
      <c r="AS523" s="230">
        <f>SUMIF(DIC!$G$121:$M$121,AS$178,DIC!$P16:$V16)+SUMIF($AZ$178:$BC$178,AS$178,$AZ523:$BC523)</f>
        <v>0</v>
      </c>
      <c r="AT523" s="230">
        <f>SUMIF(DIC!$G$121:$M$121,AT$178,DIC!$P16:$V16)+SUMIF($AZ$178:$BC$178,AT$178,$AZ523:$BC523)</f>
        <v>0</v>
      </c>
      <c r="AU523" s="230">
        <f>SUMIF(DIC!$G$121:$M$121,AU$178,DIC!$P16:$V16)+SUMIF($AZ$178:$BC$178,AU$178,$AZ523:$BC523)</f>
        <v>0</v>
      </c>
      <c r="AV523" s="230">
        <f>SUMIF(DIC!$G$121:$M$121,AV$178,DIC!$P16:$V16)+SUMIF($AZ$178:$BC$178,AV$178,$AZ523:$BC523)</f>
        <v>0</v>
      </c>
      <c r="AW523" s="230">
        <f>SUMIF(DIC!$G$121:$M$121,AW$178,DIC!$P16:$V16)+SUMIF($AZ$178:$BC$178,AW$178,$AZ523:$BC523)</f>
        <v>0</v>
      </c>
      <c r="AX523" s="231">
        <f>SUMIF(DIC!$G$121:$M$121,AX$178,DIC!$P16:$V16)+SUMIF($AZ$178:$BC$178,AX$178,$AZ523:$BC523)</f>
        <v>0</v>
      </c>
      <c r="AY523" s="232">
        <f>DIC!AF16</f>
        <v>0</v>
      </c>
      <c r="AZ523" s="228">
        <f>DIC!AG16</f>
        <v>0</v>
      </c>
      <c r="BA523" s="229">
        <f>DIC!AH16</f>
        <v>0</v>
      </c>
      <c r="BB523" s="230">
        <f>DIC!AI16</f>
        <v>0</v>
      </c>
      <c r="BC523" s="231">
        <f>DIC!AJ16</f>
        <v>0</v>
      </c>
      <c r="BD523" s="228">
        <f>SUMIF(DIC!$G$120:$M$120,"&gt;0",DIC!$X16:$AD16)</f>
        <v>0</v>
      </c>
      <c r="BE523" s="696"/>
      <c r="BF523" s="228">
        <f>SUMIF(DIC!$BA$6:$BG$6,BF$177,DIC!$BA16:$BG16)</f>
        <v>0</v>
      </c>
      <c r="BG523" s="229">
        <f>SUMIF(DIC!$BA$6:$BG$6,BG$177,DIC!$BA16:$BG16)</f>
        <v>0</v>
      </c>
      <c r="BH523" s="229">
        <f>SUMIF(DIC!$BA$6:$BG$6,BH$177,DIC!$BA16:$BG16)</f>
        <v>0</v>
      </c>
      <c r="BI523" s="229">
        <f>SUMIF(DIC!$BA$6:$BG$6,BI$177,DIC!$BA16:$BG16)</f>
        <v>0</v>
      </c>
      <c r="BJ523" s="229">
        <f>SUMIF(DIC!$BA$6:$BG$6,BJ$177,DIC!$BA16:$BG16)</f>
        <v>0</v>
      </c>
      <c r="BK523" s="229">
        <f>SUMIF(DIC!$BA$6:$BG$6,BK$177,DIC!$BA16:$BG16)</f>
        <v>0</v>
      </c>
      <c r="BL523" s="229">
        <f>SUMIF(DIC!$BA$6:$BG$6,BL$177,DIC!$BA16:$BG16)</f>
        <v>0</v>
      </c>
      <c r="BM523" s="229">
        <f>SUMIF(DIC!$BA$6:$BG$6,BM$177,DIC!$BA16:$BG16)</f>
        <v>0</v>
      </c>
      <c r="BN523" s="229">
        <f>SUMIF(DIC!$BA$6:$BG$6,BN$177,DIC!$BA16:$BG16)</f>
        <v>0</v>
      </c>
      <c r="BO523" s="231">
        <f>SUMIF(DIC!$BA$6:$BG$6,BO$177,DIC!$BA16:$BG16)</f>
        <v>0</v>
      </c>
      <c r="BP523" s="231">
        <f>SUMIF(DIC!$BA$6:$BG$6,BP$177,DIC!$BA16:$BG16)</f>
        <v>0</v>
      </c>
      <c r="BQ523" s="252"/>
      <c r="BR523" s="228">
        <f>SUMIF(DIC!$BA$5:$BG$5,BR$177,DIC!$BA16:$BG16)</f>
        <v>0</v>
      </c>
      <c r="BS523" s="229">
        <f>SUMIF(DIC!$BA$5:$BG$5,BS$177,DIC!$BA16:$BG16)</f>
        <v>0</v>
      </c>
      <c r="BT523" s="229">
        <f>SUMIF(DIC!$BA$5:$BG$5,BT$177,DIC!$BA16:$BG16)</f>
        <v>0</v>
      </c>
      <c r="BU523" s="229">
        <f>SUMIF(DIC!$BA$5:$BG$5,BU$177,DIC!$BA16:$BG16)</f>
        <v>0</v>
      </c>
      <c r="BV523" s="229">
        <f>SUMIF(DIC!$BA$5:$BG$5,BV$177,DIC!$BA16:$BG16)</f>
        <v>0</v>
      </c>
      <c r="BW523" s="229">
        <f>SUMIF(DIC!$BA$5:$BG$5,BW$177,DIC!$BA16:$BG16)</f>
        <v>0</v>
      </c>
      <c r="BX523" s="230">
        <f>SUMIF(DIC!$BA$5:$BG$5,BX$177,DIC!$BA16:$BG16)</f>
        <v>0</v>
      </c>
      <c r="BY523" s="998">
        <f>SUMIF(DIC!$BA$5:$BG$5,BY$177,DIC!$BA16:$BG16)</f>
        <v>0</v>
      </c>
      <c r="CB523" s="252"/>
      <c r="CC523" s="61" t="e">
        <f t="shared" si="124"/>
        <v>#N/A</v>
      </c>
      <c r="CD523" s="61">
        <f t="shared" si="125"/>
        <v>0</v>
      </c>
      <c r="CE523" s="105" t="str">
        <f t="shared" si="118"/>
        <v/>
      </c>
      <c r="CF523" s="61" t="e">
        <f t="shared" si="126"/>
        <v>#N/A</v>
      </c>
      <c r="CG523" s="61" t="e">
        <f t="shared" si="127"/>
        <v>#N/A</v>
      </c>
      <c r="CH523" s="521">
        <f>DIC!AL16-CW523+CR523</f>
        <v>0</v>
      </c>
      <c r="CI523" s="228">
        <f>SUMIF(DIC!$G$121:$M$121,CI$178,DIC!$AM16:$AS16)+SUMIF($CS$178:$CV$178,CI$178,$CS523:$CV523)</f>
        <v>0</v>
      </c>
      <c r="CJ523" s="229">
        <f>SUMIF(DIC!$G$121:$M$121,CJ$178,DIC!$AM16:$AS16)+SUMIF($CS$178:$CV$178,CJ$178,$CS523:$CV523)</f>
        <v>0</v>
      </c>
      <c r="CK523" s="230">
        <f>SUMIF(DIC!$G$121:$M$121,CK$178,DIC!$AM16:$AS16)+SUMIF($CS$178:$CV$178,CK$178,$CS523:$CV523)</f>
        <v>0</v>
      </c>
      <c r="CL523" s="230">
        <f>SUMIF(DIC!$G$121:$M$121,CL$178,DIC!$AM16:$AS16)+SUMIF($CS$178:$CV$178,CL$178,$CS523:$CV523)</f>
        <v>0</v>
      </c>
      <c r="CM523" s="230">
        <f>SUMIF(DIC!$G$121:$M$121,CM$178,DIC!$AM16:$AS16)+SUMIF($CS$178:$CV$178,CM$178,$CS523:$CV523)</f>
        <v>0</v>
      </c>
      <c r="CN523" s="230">
        <f>SUMIF(DIC!$G$121:$M$121,CN$178,DIC!$AM16:$AS16)+SUMIF($CS$178:$CV$178,CN$178,$CS523:$CV523)</f>
        <v>0</v>
      </c>
      <c r="CO523" s="230">
        <f>SUMIF(DIC!$G$121:$M$121,CO$178,DIC!$AM16:$AS16)+SUMIF($CS$178:$CV$178,CO$178,$CS523:$CV523)</f>
        <v>0</v>
      </c>
      <c r="CP523" s="230">
        <f>SUMIF(DIC!$G$121:$M$121,CP$178,DIC!$AM16:$AS16)+SUMIF($CS$178:$CV$178,CP$178,$CS523:$CV523)</f>
        <v>0</v>
      </c>
      <c r="CQ523" s="231">
        <f>SUMIF(DIC!$G$121:$M$121,CQ$178,DIC!$AM16:$AS16)+SUMIF($CS$178:$CV$178,CQ$178,$CS523:$CV523)</f>
        <v>0</v>
      </c>
      <c r="CR523" s="521">
        <f>DIC!AU16</f>
        <v>0</v>
      </c>
      <c r="CS523" s="228">
        <f>DIC!AV16</f>
        <v>0</v>
      </c>
      <c r="CT523" s="229">
        <f>DIC!AW16</f>
        <v>0</v>
      </c>
      <c r="CU523" s="230">
        <f>DIC!AX16</f>
        <v>0</v>
      </c>
      <c r="CV523" s="231">
        <f>DIC!AY16</f>
        <v>0</v>
      </c>
      <c r="CW523" s="521">
        <f>SUM(DIC!AU16:AY16)</f>
        <v>0</v>
      </c>
      <c r="CX523" s="521">
        <f>DIC!AK16</f>
        <v>0</v>
      </c>
      <c r="CY523" s="2"/>
    </row>
    <row r="524" spans="1:103" ht="14.25" hidden="1" customHeight="1" x14ac:dyDescent="0.2">
      <c r="A524" s="2"/>
      <c r="B524" s="105">
        <f t="shared" si="128"/>
        <v>45636</v>
      </c>
      <c r="C524" s="146">
        <f>IF(AND(E524&gt;(N$562-1),E524&lt;(R$562+1)),W$551,IF(ISERROR(HLOOKUP(E524,$N$555:$U$555,1,FALSE)),HLOOKUP(WEEKDAY(E524,2),IMPOSTAZIONI!$C$52:$P$57,6,FALSE),$W$550))</f>
        <v>0</v>
      </c>
      <c r="D524" s="71" t="str">
        <f t="shared" si="129"/>
        <v/>
      </c>
      <c r="E524" s="2258">
        <f t="shared" si="134"/>
        <v>45636</v>
      </c>
      <c r="F524" s="2259"/>
      <c r="G524" s="2228" t="str">
        <f>DIC!E17</f>
        <v xml:space="preserve">disattivato  </v>
      </c>
      <c r="H524" s="2229"/>
      <c r="I524" s="2230"/>
      <c r="J524" s="262" t="str">
        <f t="shared" si="119"/>
        <v/>
      </c>
      <c r="K524" s="263"/>
      <c r="L524" s="2217">
        <f t="shared" si="135"/>
        <v>50</v>
      </c>
      <c r="M524" s="2218"/>
      <c r="N524" s="261"/>
      <c r="O524" s="261"/>
      <c r="P524" s="261"/>
      <c r="Q524" s="2219">
        <f t="shared" si="130"/>
        <v>45636</v>
      </c>
      <c r="R524" s="2219"/>
      <c r="S524" s="261"/>
      <c r="T524" s="1173">
        <f t="shared" si="120"/>
        <v>1</v>
      </c>
      <c r="U524" s="261"/>
      <c r="V524" s="261"/>
      <c r="W524" s="261"/>
      <c r="X524" s="261"/>
      <c r="Y524" s="261"/>
      <c r="Z524" s="261"/>
      <c r="AA524" s="261"/>
      <c r="AB524" s="261"/>
      <c r="AC524" s="261"/>
      <c r="AD524" s="261"/>
      <c r="AE524" s="261"/>
      <c r="AF524" s="261"/>
      <c r="AG524" s="1173">
        <f t="shared" si="131"/>
        <v>0</v>
      </c>
      <c r="AH524" s="61" t="str">
        <f t="shared" si="132"/>
        <v/>
      </c>
      <c r="AI524" s="89" t="e">
        <f t="shared" si="133"/>
        <v>#N/A</v>
      </c>
      <c r="AJ524" s="2"/>
      <c r="AK524" s="61">
        <f>IF(G524=G$547,0,IF(OR(G524&lt;&gt;0,CH524&lt;&gt;0,C524="L"),COUNTIF(AK$180:AK523,"&gt;0")+1,0))</f>
        <v>0</v>
      </c>
      <c r="AL524" s="61" t="str">
        <f t="shared" si="121"/>
        <v/>
      </c>
      <c r="AM524" s="61" t="e">
        <f t="shared" si="122"/>
        <v>#N/A</v>
      </c>
      <c r="AN524" s="89" t="e">
        <f t="shared" si="123"/>
        <v>#N/A</v>
      </c>
      <c r="AO524" s="230">
        <f>SUM(DIC!X17:AD17)-BD524+AY524</f>
        <v>0</v>
      </c>
      <c r="AP524" s="228">
        <f>SUMIF(DIC!$G$121:$M$121,AP$178,DIC!$P17:$V17)+SUMIF($AZ$178:$BC$178,AP$178,$AZ524:$BC524)</f>
        <v>0</v>
      </c>
      <c r="AQ524" s="229">
        <f>SUMIF(DIC!$G$121:$M$121,AQ$178,DIC!$P17:$V17)+SUMIF($AZ$178:$BC$178,AQ$178,$AZ524:$BC524)</f>
        <v>0</v>
      </c>
      <c r="AR524" s="230">
        <f>SUMIF(DIC!$G$121:$M$121,AR$178,DIC!$P17:$V17)+SUMIF($AZ$178:$BC$178,AR$178,$AZ524:$BC524)</f>
        <v>0</v>
      </c>
      <c r="AS524" s="230">
        <f>SUMIF(DIC!$G$121:$M$121,AS$178,DIC!$P17:$V17)+SUMIF($AZ$178:$BC$178,AS$178,$AZ524:$BC524)</f>
        <v>0</v>
      </c>
      <c r="AT524" s="230">
        <f>SUMIF(DIC!$G$121:$M$121,AT$178,DIC!$P17:$V17)+SUMIF($AZ$178:$BC$178,AT$178,$AZ524:$BC524)</f>
        <v>0</v>
      </c>
      <c r="AU524" s="230">
        <f>SUMIF(DIC!$G$121:$M$121,AU$178,DIC!$P17:$V17)+SUMIF($AZ$178:$BC$178,AU$178,$AZ524:$BC524)</f>
        <v>0</v>
      </c>
      <c r="AV524" s="230">
        <f>SUMIF(DIC!$G$121:$M$121,AV$178,DIC!$P17:$V17)+SUMIF($AZ$178:$BC$178,AV$178,$AZ524:$BC524)</f>
        <v>0</v>
      </c>
      <c r="AW524" s="230">
        <f>SUMIF(DIC!$G$121:$M$121,AW$178,DIC!$P17:$V17)+SUMIF($AZ$178:$BC$178,AW$178,$AZ524:$BC524)</f>
        <v>0</v>
      </c>
      <c r="AX524" s="231">
        <f>SUMIF(DIC!$G$121:$M$121,AX$178,DIC!$P17:$V17)+SUMIF($AZ$178:$BC$178,AX$178,$AZ524:$BC524)</f>
        <v>0</v>
      </c>
      <c r="AY524" s="232">
        <f>DIC!AF17</f>
        <v>0</v>
      </c>
      <c r="AZ524" s="228">
        <f>DIC!AG17</f>
        <v>0</v>
      </c>
      <c r="BA524" s="229">
        <f>DIC!AH17</f>
        <v>0</v>
      </c>
      <c r="BB524" s="230">
        <f>DIC!AI17</f>
        <v>0</v>
      </c>
      <c r="BC524" s="231">
        <f>DIC!AJ17</f>
        <v>0</v>
      </c>
      <c r="BD524" s="228">
        <f>SUMIF(DIC!$G$120:$M$120,"&gt;0",DIC!$X17:$AD17)</f>
        <v>0</v>
      </c>
      <c r="BE524" s="696"/>
      <c r="BF524" s="228">
        <f>SUMIF(DIC!$BA$6:$BG$6,BF$177,DIC!$BA17:$BG17)</f>
        <v>0</v>
      </c>
      <c r="BG524" s="229">
        <f>SUMIF(DIC!$BA$6:$BG$6,BG$177,DIC!$BA17:$BG17)</f>
        <v>0</v>
      </c>
      <c r="BH524" s="229">
        <f>SUMIF(DIC!$BA$6:$BG$6,BH$177,DIC!$BA17:$BG17)</f>
        <v>0</v>
      </c>
      <c r="BI524" s="229">
        <f>SUMIF(DIC!$BA$6:$BG$6,BI$177,DIC!$BA17:$BG17)</f>
        <v>0</v>
      </c>
      <c r="BJ524" s="229">
        <f>SUMIF(DIC!$BA$6:$BG$6,BJ$177,DIC!$BA17:$BG17)</f>
        <v>0</v>
      </c>
      <c r="BK524" s="229">
        <f>SUMIF(DIC!$BA$6:$BG$6,BK$177,DIC!$BA17:$BG17)</f>
        <v>0</v>
      </c>
      <c r="BL524" s="229">
        <f>SUMIF(DIC!$BA$6:$BG$6,BL$177,DIC!$BA17:$BG17)</f>
        <v>0</v>
      </c>
      <c r="BM524" s="229">
        <f>SUMIF(DIC!$BA$6:$BG$6,BM$177,DIC!$BA17:$BG17)</f>
        <v>0</v>
      </c>
      <c r="BN524" s="229">
        <f>SUMIF(DIC!$BA$6:$BG$6,BN$177,DIC!$BA17:$BG17)</f>
        <v>0</v>
      </c>
      <c r="BO524" s="231">
        <f>SUMIF(DIC!$BA$6:$BG$6,BO$177,DIC!$BA17:$BG17)</f>
        <v>0</v>
      </c>
      <c r="BP524" s="231">
        <f>SUMIF(DIC!$BA$6:$BG$6,BP$177,DIC!$BA17:$BG17)</f>
        <v>0</v>
      </c>
      <c r="BQ524" s="252"/>
      <c r="BR524" s="228">
        <f>SUMIF(DIC!$BA$5:$BG$5,BR$177,DIC!$BA17:$BG17)</f>
        <v>0</v>
      </c>
      <c r="BS524" s="229">
        <f>SUMIF(DIC!$BA$5:$BG$5,BS$177,DIC!$BA17:$BG17)</f>
        <v>0</v>
      </c>
      <c r="BT524" s="229">
        <f>SUMIF(DIC!$BA$5:$BG$5,BT$177,DIC!$BA17:$BG17)</f>
        <v>0</v>
      </c>
      <c r="BU524" s="229">
        <f>SUMIF(DIC!$BA$5:$BG$5,BU$177,DIC!$BA17:$BG17)</f>
        <v>0</v>
      </c>
      <c r="BV524" s="229">
        <f>SUMIF(DIC!$BA$5:$BG$5,BV$177,DIC!$BA17:$BG17)</f>
        <v>0</v>
      </c>
      <c r="BW524" s="229">
        <f>SUMIF(DIC!$BA$5:$BG$5,BW$177,DIC!$BA17:$BG17)</f>
        <v>0</v>
      </c>
      <c r="BX524" s="230">
        <f>SUMIF(DIC!$BA$5:$BG$5,BX$177,DIC!$BA17:$BG17)</f>
        <v>0</v>
      </c>
      <c r="BY524" s="998">
        <f>SUMIF(DIC!$BA$5:$BG$5,BY$177,DIC!$BA17:$BG17)</f>
        <v>0</v>
      </c>
      <c r="CB524" s="252"/>
      <c r="CC524" s="61" t="e">
        <f t="shared" si="124"/>
        <v>#N/A</v>
      </c>
      <c r="CD524" s="61">
        <f t="shared" si="125"/>
        <v>0</v>
      </c>
      <c r="CE524" s="105" t="str">
        <f t="shared" si="118"/>
        <v/>
      </c>
      <c r="CF524" s="61" t="e">
        <f t="shared" si="126"/>
        <v>#N/A</v>
      </c>
      <c r="CG524" s="61" t="e">
        <f t="shared" si="127"/>
        <v>#N/A</v>
      </c>
      <c r="CH524" s="521">
        <f>DIC!AL17-CW524+CR524</f>
        <v>0</v>
      </c>
      <c r="CI524" s="228">
        <f>SUMIF(DIC!$G$121:$M$121,CI$178,DIC!$AM17:$AS17)+SUMIF($CS$178:$CV$178,CI$178,$CS524:$CV524)</f>
        <v>0</v>
      </c>
      <c r="CJ524" s="229">
        <f>SUMIF(DIC!$G$121:$M$121,CJ$178,DIC!$AM17:$AS17)+SUMIF($CS$178:$CV$178,CJ$178,$CS524:$CV524)</f>
        <v>0</v>
      </c>
      <c r="CK524" s="230">
        <f>SUMIF(DIC!$G$121:$M$121,CK$178,DIC!$AM17:$AS17)+SUMIF($CS$178:$CV$178,CK$178,$CS524:$CV524)</f>
        <v>0</v>
      </c>
      <c r="CL524" s="230">
        <f>SUMIF(DIC!$G$121:$M$121,CL$178,DIC!$AM17:$AS17)+SUMIF($CS$178:$CV$178,CL$178,$CS524:$CV524)</f>
        <v>0</v>
      </c>
      <c r="CM524" s="230">
        <f>SUMIF(DIC!$G$121:$M$121,CM$178,DIC!$AM17:$AS17)+SUMIF($CS$178:$CV$178,CM$178,$CS524:$CV524)</f>
        <v>0</v>
      </c>
      <c r="CN524" s="230">
        <f>SUMIF(DIC!$G$121:$M$121,CN$178,DIC!$AM17:$AS17)+SUMIF($CS$178:$CV$178,CN$178,$CS524:$CV524)</f>
        <v>0</v>
      </c>
      <c r="CO524" s="230">
        <f>SUMIF(DIC!$G$121:$M$121,CO$178,DIC!$AM17:$AS17)+SUMIF($CS$178:$CV$178,CO$178,$CS524:$CV524)</f>
        <v>0</v>
      </c>
      <c r="CP524" s="230">
        <f>SUMIF(DIC!$G$121:$M$121,CP$178,DIC!$AM17:$AS17)+SUMIF($CS$178:$CV$178,CP$178,$CS524:$CV524)</f>
        <v>0</v>
      </c>
      <c r="CQ524" s="231">
        <f>SUMIF(DIC!$G$121:$M$121,CQ$178,DIC!$AM17:$AS17)+SUMIF($CS$178:$CV$178,CQ$178,$CS524:$CV524)</f>
        <v>0</v>
      </c>
      <c r="CR524" s="521">
        <f>DIC!AU17</f>
        <v>0</v>
      </c>
      <c r="CS524" s="228">
        <f>DIC!AV17</f>
        <v>0</v>
      </c>
      <c r="CT524" s="229">
        <f>DIC!AW17</f>
        <v>0</v>
      </c>
      <c r="CU524" s="230">
        <f>DIC!AX17</f>
        <v>0</v>
      </c>
      <c r="CV524" s="231">
        <f>DIC!AY17</f>
        <v>0</v>
      </c>
      <c r="CW524" s="521">
        <f>SUM(DIC!AU17:AY17)</f>
        <v>0</v>
      </c>
      <c r="CX524" s="521">
        <f>DIC!AK17</f>
        <v>0</v>
      </c>
      <c r="CY524" s="2"/>
    </row>
    <row r="525" spans="1:103" ht="14.25" hidden="1" customHeight="1" x14ac:dyDescent="0.2">
      <c r="A525" s="2"/>
      <c r="B525" s="105">
        <f t="shared" si="128"/>
        <v>45637</v>
      </c>
      <c r="C525" s="146">
        <f>IF(AND(E525&gt;(N$562-1),E525&lt;(R$562+1)),W$551,IF(ISERROR(HLOOKUP(E525,$N$555:$U$555,1,FALSE)),HLOOKUP(WEEKDAY(E525,2),IMPOSTAZIONI!$C$52:$P$57,6,FALSE),$W$550))</f>
        <v>0</v>
      </c>
      <c r="D525" s="71" t="str">
        <f t="shared" si="129"/>
        <v/>
      </c>
      <c r="E525" s="2258">
        <f t="shared" si="134"/>
        <v>45637</v>
      </c>
      <c r="F525" s="2259"/>
      <c r="G525" s="2228" t="str">
        <f>DIC!E18</f>
        <v xml:space="preserve">disattivato  </v>
      </c>
      <c r="H525" s="2229"/>
      <c r="I525" s="2230"/>
      <c r="J525" s="262" t="str">
        <f t="shared" si="119"/>
        <v/>
      </c>
      <c r="K525" s="263"/>
      <c r="L525" s="2217">
        <f t="shared" si="135"/>
        <v>50</v>
      </c>
      <c r="M525" s="2218"/>
      <c r="N525" s="261"/>
      <c r="O525" s="261"/>
      <c r="P525" s="261"/>
      <c r="Q525" s="2219">
        <f t="shared" si="130"/>
        <v>45637</v>
      </c>
      <c r="R525" s="2219"/>
      <c r="S525" s="261"/>
      <c r="T525" s="1173">
        <f t="shared" si="120"/>
        <v>1</v>
      </c>
      <c r="U525" s="261"/>
      <c r="V525" s="261"/>
      <c r="W525" s="261"/>
      <c r="X525" s="261"/>
      <c r="Y525" s="261"/>
      <c r="Z525" s="261"/>
      <c r="AA525" s="261"/>
      <c r="AB525" s="261"/>
      <c r="AC525" s="261"/>
      <c r="AD525" s="261"/>
      <c r="AE525" s="261"/>
      <c r="AF525" s="261"/>
      <c r="AG525" s="1173">
        <f t="shared" si="131"/>
        <v>0</v>
      </c>
      <c r="AH525" s="61" t="str">
        <f t="shared" si="132"/>
        <v/>
      </c>
      <c r="AI525" s="89" t="e">
        <f t="shared" si="133"/>
        <v>#N/A</v>
      </c>
      <c r="AJ525" s="2"/>
      <c r="AK525" s="61">
        <f>IF(G525=G$547,0,IF(OR(G525&lt;&gt;0,CH525&lt;&gt;0,C525="L"),COUNTIF(AK$180:AK524,"&gt;0")+1,0))</f>
        <v>0</v>
      </c>
      <c r="AL525" s="61" t="str">
        <f t="shared" si="121"/>
        <v/>
      </c>
      <c r="AM525" s="61" t="e">
        <f t="shared" si="122"/>
        <v>#N/A</v>
      </c>
      <c r="AN525" s="89" t="e">
        <f t="shared" si="123"/>
        <v>#N/A</v>
      </c>
      <c r="AO525" s="230">
        <f>SUM(DIC!X18:AD18)-BD525+AY525</f>
        <v>0</v>
      </c>
      <c r="AP525" s="228">
        <f>SUMIF(DIC!$G$121:$M$121,AP$178,DIC!$P18:$V18)+SUMIF($AZ$178:$BC$178,AP$178,$AZ525:$BC525)</f>
        <v>0</v>
      </c>
      <c r="AQ525" s="229">
        <f>SUMIF(DIC!$G$121:$M$121,AQ$178,DIC!$P18:$V18)+SUMIF($AZ$178:$BC$178,AQ$178,$AZ525:$BC525)</f>
        <v>0</v>
      </c>
      <c r="AR525" s="230">
        <f>SUMIF(DIC!$G$121:$M$121,AR$178,DIC!$P18:$V18)+SUMIF($AZ$178:$BC$178,AR$178,$AZ525:$BC525)</f>
        <v>0</v>
      </c>
      <c r="AS525" s="230">
        <f>SUMIF(DIC!$G$121:$M$121,AS$178,DIC!$P18:$V18)+SUMIF($AZ$178:$BC$178,AS$178,$AZ525:$BC525)</f>
        <v>0</v>
      </c>
      <c r="AT525" s="230">
        <f>SUMIF(DIC!$G$121:$M$121,AT$178,DIC!$P18:$V18)+SUMIF($AZ$178:$BC$178,AT$178,$AZ525:$BC525)</f>
        <v>0</v>
      </c>
      <c r="AU525" s="230">
        <f>SUMIF(DIC!$G$121:$M$121,AU$178,DIC!$P18:$V18)+SUMIF($AZ$178:$BC$178,AU$178,$AZ525:$BC525)</f>
        <v>0</v>
      </c>
      <c r="AV525" s="230">
        <f>SUMIF(DIC!$G$121:$M$121,AV$178,DIC!$P18:$V18)+SUMIF($AZ$178:$BC$178,AV$178,$AZ525:$BC525)</f>
        <v>0</v>
      </c>
      <c r="AW525" s="230">
        <f>SUMIF(DIC!$G$121:$M$121,AW$178,DIC!$P18:$V18)+SUMIF($AZ$178:$BC$178,AW$178,$AZ525:$BC525)</f>
        <v>0</v>
      </c>
      <c r="AX525" s="231">
        <f>SUMIF(DIC!$G$121:$M$121,AX$178,DIC!$P18:$V18)+SUMIF($AZ$178:$BC$178,AX$178,$AZ525:$BC525)</f>
        <v>0</v>
      </c>
      <c r="AY525" s="232">
        <f>DIC!AF18</f>
        <v>0</v>
      </c>
      <c r="AZ525" s="228">
        <f>DIC!AG18</f>
        <v>0</v>
      </c>
      <c r="BA525" s="229">
        <f>DIC!AH18</f>
        <v>0</v>
      </c>
      <c r="BB525" s="230">
        <f>DIC!AI18</f>
        <v>0</v>
      </c>
      <c r="BC525" s="231">
        <f>DIC!AJ18</f>
        <v>0</v>
      </c>
      <c r="BD525" s="228">
        <f>SUMIF(DIC!$G$120:$M$120,"&gt;0",DIC!$X18:$AD18)</f>
        <v>0</v>
      </c>
      <c r="BE525" s="696"/>
      <c r="BF525" s="228">
        <f>SUMIF(DIC!$BA$6:$BG$6,BF$177,DIC!$BA18:$BG18)</f>
        <v>0</v>
      </c>
      <c r="BG525" s="229">
        <f>SUMIF(DIC!$BA$6:$BG$6,BG$177,DIC!$BA18:$BG18)</f>
        <v>0</v>
      </c>
      <c r="BH525" s="229">
        <f>SUMIF(DIC!$BA$6:$BG$6,BH$177,DIC!$BA18:$BG18)</f>
        <v>0</v>
      </c>
      <c r="BI525" s="229">
        <f>SUMIF(DIC!$BA$6:$BG$6,BI$177,DIC!$BA18:$BG18)</f>
        <v>0</v>
      </c>
      <c r="BJ525" s="229">
        <f>SUMIF(DIC!$BA$6:$BG$6,BJ$177,DIC!$BA18:$BG18)</f>
        <v>0</v>
      </c>
      <c r="BK525" s="229">
        <f>SUMIF(DIC!$BA$6:$BG$6,BK$177,DIC!$BA18:$BG18)</f>
        <v>0</v>
      </c>
      <c r="BL525" s="229">
        <f>SUMIF(DIC!$BA$6:$BG$6,BL$177,DIC!$BA18:$BG18)</f>
        <v>0</v>
      </c>
      <c r="BM525" s="229">
        <f>SUMIF(DIC!$BA$6:$BG$6,BM$177,DIC!$BA18:$BG18)</f>
        <v>0</v>
      </c>
      <c r="BN525" s="229">
        <f>SUMIF(DIC!$BA$6:$BG$6,BN$177,DIC!$BA18:$BG18)</f>
        <v>0</v>
      </c>
      <c r="BO525" s="231">
        <f>SUMIF(DIC!$BA$6:$BG$6,BO$177,DIC!$BA18:$BG18)</f>
        <v>0</v>
      </c>
      <c r="BP525" s="231">
        <f>SUMIF(DIC!$BA$6:$BG$6,BP$177,DIC!$BA18:$BG18)</f>
        <v>0</v>
      </c>
      <c r="BQ525" s="252"/>
      <c r="BR525" s="228">
        <f>SUMIF(DIC!$BA$5:$BG$5,BR$177,DIC!$BA18:$BG18)</f>
        <v>0</v>
      </c>
      <c r="BS525" s="229">
        <f>SUMIF(DIC!$BA$5:$BG$5,BS$177,DIC!$BA18:$BG18)</f>
        <v>0</v>
      </c>
      <c r="BT525" s="229">
        <f>SUMIF(DIC!$BA$5:$BG$5,BT$177,DIC!$BA18:$BG18)</f>
        <v>0</v>
      </c>
      <c r="BU525" s="229">
        <f>SUMIF(DIC!$BA$5:$BG$5,BU$177,DIC!$BA18:$BG18)</f>
        <v>0</v>
      </c>
      <c r="BV525" s="229">
        <f>SUMIF(DIC!$BA$5:$BG$5,BV$177,DIC!$BA18:$BG18)</f>
        <v>0</v>
      </c>
      <c r="BW525" s="229">
        <f>SUMIF(DIC!$BA$5:$BG$5,BW$177,DIC!$BA18:$BG18)</f>
        <v>0</v>
      </c>
      <c r="BX525" s="230">
        <f>SUMIF(DIC!$BA$5:$BG$5,BX$177,DIC!$BA18:$BG18)</f>
        <v>0</v>
      </c>
      <c r="BY525" s="998">
        <f>SUMIF(DIC!$BA$5:$BG$5,BY$177,DIC!$BA18:$BG18)</f>
        <v>0</v>
      </c>
      <c r="CB525" s="252"/>
      <c r="CC525" s="61" t="e">
        <f t="shared" si="124"/>
        <v>#N/A</v>
      </c>
      <c r="CD525" s="61">
        <f t="shared" si="125"/>
        <v>0</v>
      </c>
      <c r="CE525" s="105" t="str">
        <f t="shared" si="118"/>
        <v/>
      </c>
      <c r="CF525" s="61" t="e">
        <f t="shared" si="126"/>
        <v>#N/A</v>
      </c>
      <c r="CG525" s="61" t="e">
        <f t="shared" si="127"/>
        <v>#N/A</v>
      </c>
      <c r="CH525" s="521">
        <f>DIC!AL18-CW525+CR525</f>
        <v>0</v>
      </c>
      <c r="CI525" s="228">
        <f>SUMIF(DIC!$G$121:$M$121,CI$178,DIC!$AM18:$AS18)+SUMIF($CS$178:$CV$178,CI$178,$CS525:$CV525)</f>
        <v>0</v>
      </c>
      <c r="CJ525" s="229">
        <f>SUMIF(DIC!$G$121:$M$121,CJ$178,DIC!$AM18:$AS18)+SUMIF($CS$178:$CV$178,CJ$178,$CS525:$CV525)</f>
        <v>0</v>
      </c>
      <c r="CK525" s="230">
        <f>SUMIF(DIC!$G$121:$M$121,CK$178,DIC!$AM18:$AS18)+SUMIF($CS$178:$CV$178,CK$178,$CS525:$CV525)</f>
        <v>0</v>
      </c>
      <c r="CL525" s="230">
        <f>SUMIF(DIC!$G$121:$M$121,CL$178,DIC!$AM18:$AS18)+SUMIF($CS$178:$CV$178,CL$178,$CS525:$CV525)</f>
        <v>0</v>
      </c>
      <c r="CM525" s="230">
        <f>SUMIF(DIC!$G$121:$M$121,CM$178,DIC!$AM18:$AS18)+SUMIF($CS$178:$CV$178,CM$178,$CS525:$CV525)</f>
        <v>0</v>
      </c>
      <c r="CN525" s="230">
        <f>SUMIF(DIC!$G$121:$M$121,CN$178,DIC!$AM18:$AS18)+SUMIF($CS$178:$CV$178,CN$178,$CS525:$CV525)</f>
        <v>0</v>
      </c>
      <c r="CO525" s="230">
        <f>SUMIF(DIC!$G$121:$M$121,CO$178,DIC!$AM18:$AS18)+SUMIF($CS$178:$CV$178,CO$178,$CS525:$CV525)</f>
        <v>0</v>
      </c>
      <c r="CP525" s="230">
        <f>SUMIF(DIC!$G$121:$M$121,CP$178,DIC!$AM18:$AS18)+SUMIF($CS$178:$CV$178,CP$178,$CS525:$CV525)</f>
        <v>0</v>
      </c>
      <c r="CQ525" s="231">
        <f>SUMIF(DIC!$G$121:$M$121,CQ$178,DIC!$AM18:$AS18)+SUMIF($CS$178:$CV$178,CQ$178,$CS525:$CV525)</f>
        <v>0</v>
      </c>
      <c r="CR525" s="521">
        <f>DIC!AU18</f>
        <v>0</v>
      </c>
      <c r="CS525" s="228">
        <f>DIC!AV18</f>
        <v>0</v>
      </c>
      <c r="CT525" s="229">
        <f>DIC!AW18</f>
        <v>0</v>
      </c>
      <c r="CU525" s="230">
        <f>DIC!AX18</f>
        <v>0</v>
      </c>
      <c r="CV525" s="231">
        <f>DIC!AY18</f>
        <v>0</v>
      </c>
      <c r="CW525" s="521">
        <f>SUM(DIC!AU18:AY18)</f>
        <v>0</v>
      </c>
      <c r="CX525" s="521">
        <f>DIC!AK18</f>
        <v>0</v>
      </c>
      <c r="CY525" s="2"/>
    </row>
    <row r="526" spans="1:103" ht="14.25" hidden="1" customHeight="1" x14ac:dyDescent="0.2">
      <c r="A526" s="2"/>
      <c r="B526" s="105">
        <f t="shared" si="128"/>
        <v>45638</v>
      </c>
      <c r="C526" s="146">
        <f>IF(AND(E526&gt;(N$562-1),E526&lt;(R$562+1)),W$551,IF(ISERROR(HLOOKUP(E526,$N$555:$U$555,1,FALSE)),HLOOKUP(WEEKDAY(E526,2),IMPOSTAZIONI!$C$52:$P$57,6,FALSE),$W$550))</f>
        <v>0</v>
      </c>
      <c r="D526" s="71" t="str">
        <f t="shared" si="129"/>
        <v/>
      </c>
      <c r="E526" s="2258">
        <f t="shared" si="134"/>
        <v>45638</v>
      </c>
      <c r="F526" s="2259"/>
      <c r="G526" s="2228" t="str">
        <f>DIC!E19</f>
        <v xml:space="preserve">disattivato  </v>
      </c>
      <c r="H526" s="2229"/>
      <c r="I526" s="2230"/>
      <c r="J526" s="262" t="str">
        <f t="shared" si="119"/>
        <v/>
      </c>
      <c r="K526" s="263"/>
      <c r="L526" s="2217">
        <f t="shared" si="135"/>
        <v>50</v>
      </c>
      <c r="M526" s="2218"/>
      <c r="N526" s="261"/>
      <c r="O526" s="261"/>
      <c r="P526" s="261"/>
      <c r="Q526" s="2219">
        <f t="shared" si="130"/>
        <v>45638</v>
      </c>
      <c r="R526" s="2219"/>
      <c r="S526" s="261"/>
      <c r="T526" s="1173">
        <f t="shared" si="120"/>
        <v>1</v>
      </c>
      <c r="U526" s="261"/>
      <c r="V526" s="261"/>
      <c r="W526" s="261"/>
      <c r="X526" s="261"/>
      <c r="Y526" s="261"/>
      <c r="Z526" s="261"/>
      <c r="AA526" s="261"/>
      <c r="AB526" s="261"/>
      <c r="AC526" s="261"/>
      <c r="AD526" s="261"/>
      <c r="AE526" s="261"/>
      <c r="AF526" s="261"/>
      <c r="AG526" s="1173">
        <f t="shared" si="131"/>
        <v>0</v>
      </c>
      <c r="AH526" s="61" t="str">
        <f t="shared" si="132"/>
        <v/>
      </c>
      <c r="AI526" s="89" t="e">
        <f t="shared" si="133"/>
        <v>#N/A</v>
      </c>
      <c r="AJ526" s="2"/>
      <c r="AK526" s="61">
        <f>IF(G526=G$547,0,IF(OR(G526&lt;&gt;0,CH526&lt;&gt;0,C526="L"),COUNTIF(AK$180:AK525,"&gt;0")+1,0))</f>
        <v>0</v>
      </c>
      <c r="AL526" s="61" t="str">
        <f t="shared" si="121"/>
        <v/>
      </c>
      <c r="AM526" s="61" t="e">
        <f t="shared" si="122"/>
        <v>#N/A</v>
      </c>
      <c r="AN526" s="89" t="e">
        <f t="shared" si="123"/>
        <v>#N/A</v>
      </c>
      <c r="AO526" s="230">
        <f>SUM(DIC!X19:AD19)-BD526+AY526</f>
        <v>0</v>
      </c>
      <c r="AP526" s="228">
        <f>SUMIF(DIC!$G$121:$M$121,AP$178,DIC!$P19:$V19)+SUMIF($AZ$178:$BC$178,AP$178,$AZ526:$BC526)</f>
        <v>0</v>
      </c>
      <c r="AQ526" s="229">
        <f>SUMIF(DIC!$G$121:$M$121,AQ$178,DIC!$P19:$V19)+SUMIF($AZ$178:$BC$178,AQ$178,$AZ526:$BC526)</f>
        <v>0</v>
      </c>
      <c r="AR526" s="230">
        <f>SUMIF(DIC!$G$121:$M$121,AR$178,DIC!$P19:$V19)+SUMIF($AZ$178:$BC$178,AR$178,$AZ526:$BC526)</f>
        <v>0</v>
      </c>
      <c r="AS526" s="230">
        <f>SUMIF(DIC!$G$121:$M$121,AS$178,DIC!$P19:$V19)+SUMIF($AZ$178:$BC$178,AS$178,$AZ526:$BC526)</f>
        <v>0</v>
      </c>
      <c r="AT526" s="230">
        <f>SUMIF(DIC!$G$121:$M$121,AT$178,DIC!$P19:$V19)+SUMIF($AZ$178:$BC$178,AT$178,$AZ526:$BC526)</f>
        <v>0</v>
      </c>
      <c r="AU526" s="230">
        <f>SUMIF(DIC!$G$121:$M$121,AU$178,DIC!$P19:$V19)+SUMIF($AZ$178:$BC$178,AU$178,$AZ526:$BC526)</f>
        <v>0</v>
      </c>
      <c r="AV526" s="230">
        <f>SUMIF(DIC!$G$121:$M$121,AV$178,DIC!$P19:$V19)+SUMIF($AZ$178:$BC$178,AV$178,$AZ526:$BC526)</f>
        <v>0</v>
      </c>
      <c r="AW526" s="230">
        <f>SUMIF(DIC!$G$121:$M$121,AW$178,DIC!$P19:$V19)+SUMIF($AZ$178:$BC$178,AW$178,$AZ526:$BC526)</f>
        <v>0</v>
      </c>
      <c r="AX526" s="231">
        <f>SUMIF(DIC!$G$121:$M$121,AX$178,DIC!$P19:$V19)+SUMIF($AZ$178:$BC$178,AX$178,$AZ526:$BC526)</f>
        <v>0</v>
      </c>
      <c r="AY526" s="232">
        <f>DIC!AF19</f>
        <v>0</v>
      </c>
      <c r="AZ526" s="228">
        <f>DIC!AG19</f>
        <v>0</v>
      </c>
      <c r="BA526" s="229">
        <f>DIC!AH19</f>
        <v>0</v>
      </c>
      <c r="BB526" s="230">
        <f>DIC!AI19</f>
        <v>0</v>
      </c>
      <c r="BC526" s="231">
        <f>DIC!AJ19</f>
        <v>0</v>
      </c>
      <c r="BD526" s="228">
        <f>SUMIF(DIC!$G$120:$M$120,"&gt;0",DIC!$X19:$AD19)</f>
        <v>0</v>
      </c>
      <c r="BE526" s="696"/>
      <c r="BF526" s="228">
        <f>SUMIF(DIC!$BA$6:$BG$6,BF$177,DIC!$BA19:$BG19)</f>
        <v>0</v>
      </c>
      <c r="BG526" s="229">
        <f>SUMIF(DIC!$BA$6:$BG$6,BG$177,DIC!$BA19:$BG19)</f>
        <v>0</v>
      </c>
      <c r="BH526" s="229">
        <f>SUMIF(DIC!$BA$6:$BG$6,BH$177,DIC!$BA19:$BG19)</f>
        <v>0</v>
      </c>
      <c r="BI526" s="229">
        <f>SUMIF(DIC!$BA$6:$BG$6,BI$177,DIC!$BA19:$BG19)</f>
        <v>0</v>
      </c>
      <c r="BJ526" s="229">
        <f>SUMIF(DIC!$BA$6:$BG$6,BJ$177,DIC!$BA19:$BG19)</f>
        <v>0</v>
      </c>
      <c r="BK526" s="229">
        <f>SUMIF(DIC!$BA$6:$BG$6,BK$177,DIC!$BA19:$BG19)</f>
        <v>0</v>
      </c>
      <c r="BL526" s="229">
        <f>SUMIF(DIC!$BA$6:$BG$6,BL$177,DIC!$BA19:$BG19)</f>
        <v>0</v>
      </c>
      <c r="BM526" s="229">
        <f>SUMIF(DIC!$BA$6:$BG$6,BM$177,DIC!$BA19:$BG19)</f>
        <v>0</v>
      </c>
      <c r="BN526" s="229">
        <f>SUMIF(DIC!$BA$6:$BG$6,BN$177,DIC!$BA19:$BG19)</f>
        <v>0</v>
      </c>
      <c r="BO526" s="231">
        <f>SUMIF(DIC!$BA$6:$BG$6,BO$177,DIC!$BA19:$BG19)</f>
        <v>0</v>
      </c>
      <c r="BP526" s="231">
        <f>SUMIF(DIC!$BA$6:$BG$6,BP$177,DIC!$BA19:$BG19)</f>
        <v>0</v>
      </c>
      <c r="BQ526" s="252"/>
      <c r="BR526" s="228">
        <f>SUMIF(DIC!$BA$5:$BG$5,BR$177,DIC!$BA19:$BG19)</f>
        <v>0</v>
      </c>
      <c r="BS526" s="229">
        <f>SUMIF(DIC!$BA$5:$BG$5,BS$177,DIC!$BA19:$BG19)</f>
        <v>0</v>
      </c>
      <c r="BT526" s="229">
        <f>SUMIF(DIC!$BA$5:$BG$5,BT$177,DIC!$BA19:$BG19)</f>
        <v>0</v>
      </c>
      <c r="BU526" s="229">
        <f>SUMIF(DIC!$BA$5:$BG$5,BU$177,DIC!$BA19:$BG19)</f>
        <v>0</v>
      </c>
      <c r="BV526" s="229">
        <f>SUMIF(DIC!$BA$5:$BG$5,BV$177,DIC!$BA19:$BG19)</f>
        <v>0</v>
      </c>
      <c r="BW526" s="229">
        <f>SUMIF(DIC!$BA$5:$BG$5,BW$177,DIC!$BA19:$BG19)</f>
        <v>0</v>
      </c>
      <c r="BX526" s="230">
        <f>SUMIF(DIC!$BA$5:$BG$5,BX$177,DIC!$BA19:$BG19)</f>
        <v>0</v>
      </c>
      <c r="BY526" s="998">
        <f>SUMIF(DIC!$BA$5:$BG$5,BY$177,DIC!$BA19:$BG19)</f>
        <v>0</v>
      </c>
      <c r="CB526" s="252"/>
      <c r="CC526" s="61" t="e">
        <f t="shared" si="124"/>
        <v>#N/A</v>
      </c>
      <c r="CD526" s="61">
        <f t="shared" si="125"/>
        <v>0</v>
      </c>
      <c r="CE526" s="105" t="str">
        <f t="shared" si="118"/>
        <v/>
      </c>
      <c r="CF526" s="61" t="e">
        <f t="shared" si="126"/>
        <v>#N/A</v>
      </c>
      <c r="CG526" s="61" t="e">
        <f t="shared" si="127"/>
        <v>#N/A</v>
      </c>
      <c r="CH526" s="521">
        <f>DIC!AL19-CW526+CR526</f>
        <v>0</v>
      </c>
      <c r="CI526" s="228">
        <f>SUMIF(DIC!$G$121:$M$121,CI$178,DIC!$AM19:$AS19)+SUMIF($CS$178:$CV$178,CI$178,$CS526:$CV526)</f>
        <v>0</v>
      </c>
      <c r="CJ526" s="229">
        <f>SUMIF(DIC!$G$121:$M$121,CJ$178,DIC!$AM19:$AS19)+SUMIF($CS$178:$CV$178,CJ$178,$CS526:$CV526)</f>
        <v>0</v>
      </c>
      <c r="CK526" s="230">
        <f>SUMIF(DIC!$G$121:$M$121,CK$178,DIC!$AM19:$AS19)+SUMIF($CS$178:$CV$178,CK$178,$CS526:$CV526)</f>
        <v>0</v>
      </c>
      <c r="CL526" s="230">
        <f>SUMIF(DIC!$G$121:$M$121,CL$178,DIC!$AM19:$AS19)+SUMIF($CS$178:$CV$178,CL$178,$CS526:$CV526)</f>
        <v>0</v>
      </c>
      <c r="CM526" s="230">
        <f>SUMIF(DIC!$G$121:$M$121,CM$178,DIC!$AM19:$AS19)+SUMIF($CS$178:$CV$178,CM$178,$CS526:$CV526)</f>
        <v>0</v>
      </c>
      <c r="CN526" s="230">
        <f>SUMIF(DIC!$G$121:$M$121,CN$178,DIC!$AM19:$AS19)+SUMIF($CS$178:$CV$178,CN$178,$CS526:$CV526)</f>
        <v>0</v>
      </c>
      <c r="CO526" s="230">
        <f>SUMIF(DIC!$G$121:$M$121,CO$178,DIC!$AM19:$AS19)+SUMIF($CS$178:$CV$178,CO$178,$CS526:$CV526)</f>
        <v>0</v>
      </c>
      <c r="CP526" s="230">
        <f>SUMIF(DIC!$G$121:$M$121,CP$178,DIC!$AM19:$AS19)+SUMIF($CS$178:$CV$178,CP$178,$CS526:$CV526)</f>
        <v>0</v>
      </c>
      <c r="CQ526" s="231">
        <f>SUMIF(DIC!$G$121:$M$121,CQ$178,DIC!$AM19:$AS19)+SUMIF($CS$178:$CV$178,CQ$178,$CS526:$CV526)</f>
        <v>0</v>
      </c>
      <c r="CR526" s="521">
        <f>DIC!AU19</f>
        <v>0</v>
      </c>
      <c r="CS526" s="228">
        <f>DIC!AV19</f>
        <v>0</v>
      </c>
      <c r="CT526" s="229">
        <f>DIC!AW19</f>
        <v>0</v>
      </c>
      <c r="CU526" s="230">
        <f>DIC!AX19</f>
        <v>0</v>
      </c>
      <c r="CV526" s="231">
        <f>DIC!AY19</f>
        <v>0</v>
      </c>
      <c r="CW526" s="521">
        <f>SUM(DIC!AU19:AY19)</f>
        <v>0</v>
      </c>
      <c r="CX526" s="521">
        <f>DIC!AK19</f>
        <v>0</v>
      </c>
      <c r="CY526" s="2"/>
    </row>
    <row r="527" spans="1:103" ht="14.25" hidden="1" customHeight="1" x14ac:dyDescent="0.2">
      <c r="A527" s="2"/>
      <c r="B527" s="105">
        <f t="shared" si="128"/>
        <v>45639</v>
      </c>
      <c r="C527" s="146">
        <f>IF(AND(E527&gt;(N$562-1),E527&lt;(R$562+1)),W$551,IF(ISERROR(HLOOKUP(E527,$N$555:$U$555,1,FALSE)),HLOOKUP(WEEKDAY(E527,2),IMPOSTAZIONI!$C$52:$P$57,6,FALSE),$W$550))</f>
        <v>0</v>
      </c>
      <c r="D527" s="71" t="str">
        <f t="shared" si="129"/>
        <v/>
      </c>
      <c r="E527" s="2258">
        <f t="shared" si="134"/>
        <v>45639</v>
      </c>
      <c r="F527" s="2259"/>
      <c r="G527" s="2228" t="str">
        <f>DIC!E20</f>
        <v xml:space="preserve">disattivato  </v>
      </c>
      <c r="H527" s="2229"/>
      <c r="I527" s="2230"/>
      <c r="J527" s="262" t="str">
        <f t="shared" si="119"/>
        <v/>
      </c>
      <c r="K527" s="263"/>
      <c r="L527" s="2217">
        <f t="shared" si="135"/>
        <v>50</v>
      </c>
      <c r="M527" s="2218"/>
      <c r="N527" s="261"/>
      <c r="O527" s="261"/>
      <c r="P527" s="261"/>
      <c r="Q527" s="2219">
        <f t="shared" si="130"/>
        <v>45639</v>
      </c>
      <c r="R527" s="2219"/>
      <c r="S527" s="261"/>
      <c r="T527" s="1173">
        <f t="shared" si="120"/>
        <v>1</v>
      </c>
      <c r="U527" s="261"/>
      <c r="V527" s="261"/>
      <c r="W527" s="261"/>
      <c r="X527" s="261"/>
      <c r="Y527" s="261"/>
      <c r="Z527" s="261"/>
      <c r="AA527" s="261"/>
      <c r="AB527" s="261"/>
      <c r="AC527" s="261"/>
      <c r="AD527" s="261"/>
      <c r="AE527" s="261"/>
      <c r="AF527" s="261"/>
      <c r="AG527" s="1173">
        <f t="shared" si="131"/>
        <v>0</v>
      </c>
      <c r="AH527" s="61" t="str">
        <f t="shared" si="132"/>
        <v/>
      </c>
      <c r="AI527" s="89" t="e">
        <f t="shared" si="133"/>
        <v>#N/A</v>
      </c>
      <c r="AJ527" s="2"/>
      <c r="AK527" s="61">
        <f>IF(G527=G$547,0,IF(OR(G527&lt;&gt;0,CH527&lt;&gt;0,C527="L"),COUNTIF(AK$180:AK526,"&gt;0")+1,0))</f>
        <v>0</v>
      </c>
      <c r="AL527" s="61" t="str">
        <f t="shared" si="121"/>
        <v/>
      </c>
      <c r="AM527" s="61" t="e">
        <f t="shared" si="122"/>
        <v>#N/A</v>
      </c>
      <c r="AN527" s="89" t="e">
        <f t="shared" si="123"/>
        <v>#N/A</v>
      </c>
      <c r="AO527" s="230">
        <f>SUM(DIC!X20:AD20)-BD527+AY527</f>
        <v>0</v>
      </c>
      <c r="AP527" s="228">
        <f>SUMIF(DIC!$G$121:$M$121,AP$178,DIC!$P20:$V20)+SUMIF($AZ$178:$BC$178,AP$178,$AZ527:$BC527)</f>
        <v>0</v>
      </c>
      <c r="AQ527" s="229">
        <f>SUMIF(DIC!$G$121:$M$121,AQ$178,DIC!$P20:$V20)+SUMIF($AZ$178:$BC$178,AQ$178,$AZ527:$BC527)</f>
        <v>0</v>
      </c>
      <c r="AR527" s="230">
        <f>SUMIF(DIC!$G$121:$M$121,AR$178,DIC!$P20:$V20)+SUMIF($AZ$178:$BC$178,AR$178,$AZ527:$BC527)</f>
        <v>0</v>
      </c>
      <c r="AS527" s="230">
        <f>SUMIF(DIC!$G$121:$M$121,AS$178,DIC!$P20:$V20)+SUMIF($AZ$178:$BC$178,AS$178,$AZ527:$BC527)</f>
        <v>0</v>
      </c>
      <c r="AT527" s="230">
        <f>SUMIF(DIC!$G$121:$M$121,AT$178,DIC!$P20:$V20)+SUMIF($AZ$178:$BC$178,AT$178,$AZ527:$BC527)</f>
        <v>0</v>
      </c>
      <c r="AU527" s="230">
        <f>SUMIF(DIC!$G$121:$M$121,AU$178,DIC!$P20:$V20)+SUMIF($AZ$178:$BC$178,AU$178,$AZ527:$BC527)</f>
        <v>0</v>
      </c>
      <c r="AV527" s="230">
        <f>SUMIF(DIC!$G$121:$M$121,AV$178,DIC!$P20:$V20)+SUMIF($AZ$178:$BC$178,AV$178,$AZ527:$BC527)</f>
        <v>0</v>
      </c>
      <c r="AW527" s="230">
        <f>SUMIF(DIC!$G$121:$M$121,AW$178,DIC!$P20:$V20)+SUMIF($AZ$178:$BC$178,AW$178,$AZ527:$BC527)</f>
        <v>0</v>
      </c>
      <c r="AX527" s="231">
        <f>SUMIF(DIC!$G$121:$M$121,AX$178,DIC!$P20:$V20)+SUMIF($AZ$178:$BC$178,AX$178,$AZ527:$BC527)</f>
        <v>0</v>
      </c>
      <c r="AY527" s="232">
        <f>DIC!AF20</f>
        <v>0</v>
      </c>
      <c r="AZ527" s="228">
        <f>DIC!AG20</f>
        <v>0</v>
      </c>
      <c r="BA527" s="229">
        <f>DIC!AH20</f>
        <v>0</v>
      </c>
      <c r="BB527" s="230">
        <f>DIC!AI20</f>
        <v>0</v>
      </c>
      <c r="BC527" s="231">
        <f>DIC!AJ20</f>
        <v>0</v>
      </c>
      <c r="BD527" s="228">
        <f>SUMIF(DIC!$G$120:$M$120,"&gt;0",DIC!$X20:$AD20)</f>
        <v>0</v>
      </c>
      <c r="BE527" s="696"/>
      <c r="BF527" s="228">
        <f>SUMIF(DIC!$BA$6:$BG$6,BF$177,DIC!$BA20:$BG20)</f>
        <v>0</v>
      </c>
      <c r="BG527" s="229">
        <f>SUMIF(DIC!$BA$6:$BG$6,BG$177,DIC!$BA20:$BG20)</f>
        <v>0</v>
      </c>
      <c r="BH527" s="229">
        <f>SUMIF(DIC!$BA$6:$BG$6,BH$177,DIC!$BA20:$BG20)</f>
        <v>0</v>
      </c>
      <c r="BI527" s="229">
        <f>SUMIF(DIC!$BA$6:$BG$6,BI$177,DIC!$BA20:$BG20)</f>
        <v>0</v>
      </c>
      <c r="BJ527" s="229">
        <f>SUMIF(DIC!$BA$6:$BG$6,BJ$177,DIC!$BA20:$BG20)</f>
        <v>0</v>
      </c>
      <c r="BK527" s="229">
        <f>SUMIF(DIC!$BA$6:$BG$6,BK$177,DIC!$BA20:$BG20)</f>
        <v>0</v>
      </c>
      <c r="BL527" s="229">
        <f>SUMIF(DIC!$BA$6:$BG$6,BL$177,DIC!$BA20:$BG20)</f>
        <v>0</v>
      </c>
      <c r="BM527" s="229">
        <f>SUMIF(DIC!$BA$6:$BG$6,BM$177,DIC!$BA20:$BG20)</f>
        <v>0</v>
      </c>
      <c r="BN527" s="229">
        <f>SUMIF(DIC!$BA$6:$BG$6,BN$177,DIC!$BA20:$BG20)</f>
        <v>0</v>
      </c>
      <c r="BO527" s="231">
        <f>SUMIF(DIC!$BA$6:$BG$6,BO$177,DIC!$BA20:$BG20)</f>
        <v>0</v>
      </c>
      <c r="BP527" s="231">
        <f>SUMIF(DIC!$BA$6:$BG$6,BP$177,DIC!$BA20:$BG20)</f>
        <v>0</v>
      </c>
      <c r="BQ527" s="252"/>
      <c r="BR527" s="228">
        <f>SUMIF(DIC!$BA$5:$BG$5,BR$177,DIC!$BA20:$BG20)</f>
        <v>0</v>
      </c>
      <c r="BS527" s="229">
        <f>SUMIF(DIC!$BA$5:$BG$5,BS$177,DIC!$BA20:$BG20)</f>
        <v>0</v>
      </c>
      <c r="BT527" s="229">
        <f>SUMIF(DIC!$BA$5:$BG$5,BT$177,DIC!$BA20:$BG20)</f>
        <v>0</v>
      </c>
      <c r="BU527" s="229">
        <f>SUMIF(DIC!$BA$5:$BG$5,BU$177,DIC!$BA20:$BG20)</f>
        <v>0</v>
      </c>
      <c r="BV527" s="229">
        <f>SUMIF(DIC!$BA$5:$BG$5,BV$177,DIC!$BA20:$BG20)</f>
        <v>0</v>
      </c>
      <c r="BW527" s="229">
        <f>SUMIF(DIC!$BA$5:$BG$5,BW$177,DIC!$BA20:$BG20)</f>
        <v>0</v>
      </c>
      <c r="BX527" s="230">
        <f>SUMIF(DIC!$BA$5:$BG$5,BX$177,DIC!$BA20:$BG20)</f>
        <v>0</v>
      </c>
      <c r="BY527" s="998">
        <f>SUMIF(DIC!$BA$5:$BG$5,BY$177,DIC!$BA20:$BG20)</f>
        <v>0</v>
      </c>
      <c r="CB527" s="252"/>
      <c r="CC527" s="61" t="e">
        <f t="shared" si="124"/>
        <v>#N/A</v>
      </c>
      <c r="CD527" s="61">
        <f t="shared" si="125"/>
        <v>0</v>
      </c>
      <c r="CE527" s="105" t="str">
        <f t="shared" si="118"/>
        <v/>
      </c>
      <c r="CF527" s="61" t="e">
        <f t="shared" si="126"/>
        <v>#N/A</v>
      </c>
      <c r="CG527" s="61" t="e">
        <f t="shared" si="127"/>
        <v>#N/A</v>
      </c>
      <c r="CH527" s="521">
        <f>DIC!AL20-CW527+CR527</f>
        <v>0</v>
      </c>
      <c r="CI527" s="228">
        <f>SUMIF(DIC!$G$121:$M$121,CI$178,DIC!$AM20:$AS20)+SUMIF($CS$178:$CV$178,CI$178,$CS527:$CV527)</f>
        <v>0</v>
      </c>
      <c r="CJ527" s="229">
        <f>SUMIF(DIC!$G$121:$M$121,CJ$178,DIC!$AM20:$AS20)+SUMIF($CS$178:$CV$178,CJ$178,$CS527:$CV527)</f>
        <v>0</v>
      </c>
      <c r="CK527" s="230">
        <f>SUMIF(DIC!$G$121:$M$121,CK$178,DIC!$AM20:$AS20)+SUMIF($CS$178:$CV$178,CK$178,$CS527:$CV527)</f>
        <v>0</v>
      </c>
      <c r="CL527" s="230">
        <f>SUMIF(DIC!$G$121:$M$121,CL$178,DIC!$AM20:$AS20)+SUMIF($CS$178:$CV$178,CL$178,$CS527:$CV527)</f>
        <v>0</v>
      </c>
      <c r="CM527" s="230">
        <f>SUMIF(DIC!$G$121:$M$121,CM$178,DIC!$AM20:$AS20)+SUMIF($CS$178:$CV$178,CM$178,$CS527:$CV527)</f>
        <v>0</v>
      </c>
      <c r="CN527" s="230">
        <f>SUMIF(DIC!$G$121:$M$121,CN$178,DIC!$AM20:$AS20)+SUMIF($CS$178:$CV$178,CN$178,$CS527:$CV527)</f>
        <v>0</v>
      </c>
      <c r="CO527" s="230">
        <f>SUMIF(DIC!$G$121:$M$121,CO$178,DIC!$AM20:$AS20)+SUMIF($CS$178:$CV$178,CO$178,$CS527:$CV527)</f>
        <v>0</v>
      </c>
      <c r="CP527" s="230">
        <f>SUMIF(DIC!$G$121:$M$121,CP$178,DIC!$AM20:$AS20)+SUMIF($CS$178:$CV$178,CP$178,$CS527:$CV527)</f>
        <v>0</v>
      </c>
      <c r="CQ527" s="231">
        <f>SUMIF(DIC!$G$121:$M$121,CQ$178,DIC!$AM20:$AS20)+SUMIF($CS$178:$CV$178,CQ$178,$CS527:$CV527)</f>
        <v>0</v>
      </c>
      <c r="CR527" s="521">
        <f>DIC!AU20</f>
        <v>0</v>
      </c>
      <c r="CS527" s="228">
        <f>DIC!AV20</f>
        <v>0</v>
      </c>
      <c r="CT527" s="229">
        <f>DIC!AW20</f>
        <v>0</v>
      </c>
      <c r="CU527" s="230">
        <f>DIC!AX20</f>
        <v>0</v>
      </c>
      <c r="CV527" s="231">
        <f>DIC!AY20</f>
        <v>0</v>
      </c>
      <c r="CW527" s="521">
        <f>SUM(DIC!AU20:AY20)</f>
        <v>0</v>
      </c>
      <c r="CX527" s="521">
        <f>DIC!AK20</f>
        <v>0</v>
      </c>
      <c r="CY527" s="2"/>
    </row>
    <row r="528" spans="1:103" ht="14.25" hidden="1" customHeight="1" x14ac:dyDescent="0.2">
      <c r="A528" s="2"/>
      <c r="B528" s="105">
        <f t="shared" si="128"/>
        <v>45640</v>
      </c>
      <c r="C528" s="146">
        <f>IF(AND(E528&gt;(N$562-1),E528&lt;(R$562+1)),W$551,IF(ISERROR(HLOOKUP(E528,$N$555:$U$555,1,FALSE)),HLOOKUP(WEEKDAY(E528,2),IMPOSTAZIONI!$C$52:$P$57,6,FALSE),$W$550))</f>
        <v>0</v>
      </c>
      <c r="D528" s="71" t="str">
        <f t="shared" si="129"/>
        <v/>
      </c>
      <c r="E528" s="2258">
        <f t="shared" si="134"/>
        <v>45640</v>
      </c>
      <c r="F528" s="2259"/>
      <c r="G528" s="2228" t="str">
        <f>DIC!E21</f>
        <v xml:space="preserve">disattivato  </v>
      </c>
      <c r="H528" s="2229"/>
      <c r="I528" s="2230"/>
      <c r="J528" s="262" t="str">
        <f t="shared" si="119"/>
        <v/>
      </c>
      <c r="K528" s="263"/>
      <c r="L528" s="2217">
        <f t="shared" si="135"/>
        <v>50</v>
      </c>
      <c r="M528" s="2218"/>
      <c r="N528" s="261"/>
      <c r="O528" s="261"/>
      <c r="P528" s="261"/>
      <c r="Q528" s="2219">
        <f t="shared" si="130"/>
        <v>45640</v>
      </c>
      <c r="R528" s="2219"/>
      <c r="S528" s="261"/>
      <c r="T528" s="1173">
        <f t="shared" si="120"/>
        <v>1</v>
      </c>
      <c r="U528" s="261"/>
      <c r="V528" s="261"/>
      <c r="W528" s="261"/>
      <c r="X528" s="261"/>
      <c r="Y528" s="261"/>
      <c r="Z528" s="261"/>
      <c r="AA528" s="261"/>
      <c r="AB528" s="261"/>
      <c r="AC528" s="261"/>
      <c r="AD528" s="261"/>
      <c r="AE528" s="261"/>
      <c r="AF528" s="261"/>
      <c r="AG528" s="1173">
        <f t="shared" si="131"/>
        <v>0</v>
      </c>
      <c r="AH528" s="61" t="str">
        <f t="shared" si="132"/>
        <v/>
      </c>
      <c r="AI528" s="89" t="e">
        <f t="shared" si="133"/>
        <v>#N/A</v>
      </c>
      <c r="AJ528" s="2"/>
      <c r="AK528" s="61">
        <f>IF(G528=G$547,0,IF(OR(G528&lt;&gt;0,CH528&lt;&gt;0,C528="L"),COUNTIF(AK$180:AK527,"&gt;0")+1,0))</f>
        <v>0</v>
      </c>
      <c r="AL528" s="61" t="str">
        <f t="shared" si="121"/>
        <v/>
      </c>
      <c r="AM528" s="61" t="e">
        <f t="shared" si="122"/>
        <v>#N/A</v>
      </c>
      <c r="AN528" s="89" t="e">
        <f t="shared" si="123"/>
        <v>#N/A</v>
      </c>
      <c r="AO528" s="230">
        <f>SUM(DIC!X21:AD21)-BD528+AY528</f>
        <v>0</v>
      </c>
      <c r="AP528" s="228">
        <f>SUMIF(DIC!$G$121:$M$121,AP$178,DIC!$P21:$V21)+SUMIF($AZ$178:$BC$178,AP$178,$AZ528:$BC528)</f>
        <v>0</v>
      </c>
      <c r="AQ528" s="229">
        <f>SUMIF(DIC!$G$121:$M$121,AQ$178,DIC!$P21:$V21)+SUMIF($AZ$178:$BC$178,AQ$178,$AZ528:$BC528)</f>
        <v>0</v>
      </c>
      <c r="AR528" s="230">
        <f>SUMIF(DIC!$G$121:$M$121,AR$178,DIC!$P21:$V21)+SUMIF($AZ$178:$BC$178,AR$178,$AZ528:$BC528)</f>
        <v>0</v>
      </c>
      <c r="AS528" s="230">
        <f>SUMIF(DIC!$G$121:$M$121,AS$178,DIC!$P21:$V21)+SUMIF($AZ$178:$BC$178,AS$178,$AZ528:$BC528)</f>
        <v>0</v>
      </c>
      <c r="AT528" s="230">
        <f>SUMIF(DIC!$G$121:$M$121,AT$178,DIC!$P21:$V21)+SUMIF($AZ$178:$BC$178,AT$178,$AZ528:$BC528)</f>
        <v>0</v>
      </c>
      <c r="AU528" s="230">
        <f>SUMIF(DIC!$G$121:$M$121,AU$178,DIC!$P21:$V21)+SUMIF($AZ$178:$BC$178,AU$178,$AZ528:$BC528)</f>
        <v>0</v>
      </c>
      <c r="AV528" s="230">
        <f>SUMIF(DIC!$G$121:$M$121,AV$178,DIC!$P21:$V21)+SUMIF($AZ$178:$BC$178,AV$178,$AZ528:$BC528)</f>
        <v>0</v>
      </c>
      <c r="AW528" s="230">
        <f>SUMIF(DIC!$G$121:$M$121,AW$178,DIC!$P21:$V21)+SUMIF($AZ$178:$BC$178,AW$178,$AZ528:$BC528)</f>
        <v>0</v>
      </c>
      <c r="AX528" s="231">
        <f>SUMIF(DIC!$G$121:$M$121,AX$178,DIC!$P21:$V21)+SUMIF($AZ$178:$BC$178,AX$178,$AZ528:$BC528)</f>
        <v>0</v>
      </c>
      <c r="AY528" s="232">
        <f>DIC!AF21</f>
        <v>0</v>
      </c>
      <c r="AZ528" s="228">
        <f>DIC!AG21</f>
        <v>0</v>
      </c>
      <c r="BA528" s="229">
        <f>DIC!AH21</f>
        <v>0</v>
      </c>
      <c r="BB528" s="230">
        <f>DIC!AI21</f>
        <v>0</v>
      </c>
      <c r="BC528" s="231">
        <f>DIC!AJ21</f>
        <v>0</v>
      </c>
      <c r="BD528" s="228">
        <f>SUMIF(DIC!$G$120:$M$120,"&gt;0",DIC!$X21:$AD21)</f>
        <v>0</v>
      </c>
      <c r="BE528" s="696"/>
      <c r="BF528" s="228">
        <f>SUMIF(DIC!$BA$6:$BG$6,BF$177,DIC!$BA21:$BG21)</f>
        <v>0</v>
      </c>
      <c r="BG528" s="229">
        <f>SUMIF(DIC!$BA$6:$BG$6,BG$177,DIC!$BA21:$BG21)</f>
        <v>0</v>
      </c>
      <c r="BH528" s="229">
        <f>SUMIF(DIC!$BA$6:$BG$6,BH$177,DIC!$BA21:$BG21)</f>
        <v>0</v>
      </c>
      <c r="BI528" s="229">
        <f>SUMIF(DIC!$BA$6:$BG$6,BI$177,DIC!$BA21:$BG21)</f>
        <v>0</v>
      </c>
      <c r="BJ528" s="229">
        <f>SUMIF(DIC!$BA$6:$BG$6,BJ$177,DIC!$BA21:$BG21)</f>
        <v>0</v>
      </c>
      <c r="BK528" s="229">
        <f>SUMIF(DIC!$BA$6:$BG$6,BK$177,DIC!$BA21:$BG21)</f>
        <v>0</v>
      </c>
      <c r="BL528" s="229">
        <f>SUMIF(DIC!$BA$6:$BG$6,BL$177,DIC!$BA21:$BG21)</f>
        <v>0</v>
      </c>
      <c r="BM528" s="229">
        <f>SUMIF(DIC!$BA$6:$BG$6,BM$177,DIC!$BA21:$BG21)</f>
        <v>0</v>
      </c>
      <c r="BN528" s="229">
        <f>SUMIF(DIC!$BA$6:$BG$6,BN$177,DIC!$BA21:$BG21)</f>
        <v>0</v>
      </c>
      <c r="BO528" s="231">
        <f>SUMIF(DIC!$BA$6:$BG$6,BO$177,DIC!$BA21:$BG21)</f>
        <v>0</v>
      </c>
      <c r="BP528" s="231">
        <f>SUMIF(DIC!$BA$6:$BG$6,BP$177,DIC!$BA21:$BG21)</f>
        <v>0</v>
      </c>
      <c r="BQ528" s="252"/>
      <c r="BR528" s="228">
        <f>SUMIF(DIC!$BA$5:$BG$5,BR$177,DIC!$BA21:$BG21)</f>
        <v>0</v>
      </c>
      <c r="BS528" s="229">
        <f>SUMIF(DIC!$BA$5:$BG$5,BS$177,DIC!$BA21:$BG21)</f>
        <v>0</v>
      </c>
      <c r="BT528" s="229">
        <f>SUMIF(DIC!$BA$5:$BG$5,BT$177,DIC!$BA21:$BG21)</f>
        <v>0</v>
      </c>
      <c r="BU528" s="229">
        <f>SUMIF(DIC!$BA$5:$BG$5,BU$177,DIC!$BA21:$BG21)</f>
        <v>0</v>
      </c>
      <c r="BV528" s="229">
        <f>SUMIF(DIC!$BA$5:$BG$5,BV$177,DIC!$BA21:$BG21)</f>
        <v>0</v>
      </c>
      <c r="BW528" s="229">
        <f>SUMIF(DIC!$BA$5:$BG$5,BW$177,DIC!$BA21:$BG21)</f>
        <v>0</v>
      </c>
      <c r="BX528" s="230">
        <f>SUMIF(DIC!$BA$5:$BG$5,BX$177,DIC!$BA21:$BG21)</f>
        <v>0</v>
      </c>
      <c r="BY528" s="998">
        <f>SUMIF(DIC!$BA$5:$BG$5,BY$177,DIC!$BA21:$BG21)</f>
        <v>0</v>
      </c>
      <c r="CB528" s="252"/>
      <c r="CC528" s="61" t="e">
        <f t="shared" si="124"/>
        <v>#N/A</v>
      </c>
      <c r="CD528" s="61">
        <f t="shared" si="125"/>
        <v>0</v>
      </c>
      <c r="CE528" s="105" t="str">
        <f t="shared" si="118"/>
        <v/>
      </c>
      <c r="CF528" s="61" t="e">
        <f t="shared" si="126"/>
        <v>#N/A</v>
      </c>
      <c r="CG528" s="61" t="e">
        <f t="shared" si="127"/>
        <v>#N/A</v>
      </c>
      <c r="CH528" s="521">
        <f>DIC!AL21-CW528+CR528</f>
        <v>0</v>
      </c>
      <c r="CI528" s="228">
        <f>SUMIF(DIC!$G$121:$M$121,CI$178,DIC!$AM21:$AS21)+SUMIF($CS$178:$CV$178,CI$178,$CS528:$CV528)</f>
        <v>0</v>
      </c>
      <c r="CJ528" s="229">
        <f>SUMIF(DIC!$G$121:$M$121,CJ$178,DIC!$AM21:$AS21)+SUMIF($CS$178:$CV$178,CJ$178,$CS528:$CV528)</f>
        <v>0</v>
      </c>
      <c r="CK528" s="230">
        <f>SUMIF(DIC!$G$121:$M$121,CK$178,DIC!$AM21:$AS21)+SUMIF($CS$178:$CV$178,CK$178,$CS528:$CV528)</f>
        <v>0</v>
      </c>
      <c r="CL528" s="230">
        <f>SUMIF(DIC!$G$121:$M$121,CL$178,DIC!$AM21:$AS21)+SUMIF($CS$178:$CV$178,CL$178,$CS528:$CV528)</f>
        <v>0</v>
      </c>
      <c r="CM528" s="230">
        <f>SUMIF(DIC!$G$121:$M$121,CM$178,DIC!$AM21:$AS21)+SUMIF($CS$178:$CV$178,CM$178,$CS528:$CV528)</f>
        <v>0</v>
      </c>
      <c r="CN528" s="230">
        <f>SUMIF(DIC!$G$121:$M$121,CN$178,DIC!$AM21:$AS21)+SUMIF($CS$178:$CV$178,CN$178,$CS528:$CV528)</f>
        <v>0</v>
      </c>
      <c r="CO528" s="230">
        <f>SUMIF(DIC!$G$121:$M$121,CO$178,DIC!$AM21:$AS21)+SUMIF($CS$178:$CV$178,CO$178,$CS528:$CV528)</f>
        <v>0</v>
      </c>
      <c r="CP528" s="230">
        <f>SUMIF(DIC!$G$121:$M$121,CP$178,DIC!$AM21:$AS21)+SUMIF($CS$178:$CV$178,CP$178,$CS528:$CV528)</f>
        <v>0</v>
      </c>
      <c r="CQ528" s="231">
        <f>SUMIF(DIC!$G$121:$M$121,CQ$178,DIC!$AM21:$AS21)+SUMIF($CS$178:$CV$178,CQ$178,$CS528:$CV528)</f>
        <v>0</v>
      </c>
      <c r="CR528" s="521">
        <f>DIC!AU21</f>
        <v>0</v>
      </c>
      <c r="CS528" s="228">
        <f>DIC!AV21</f>
        <v>0</v>
      </c>
      <c r="CT528" s="229">
        <f>DIC!AW21</f>
        <v>0</v>
      </c>
      <c r="CU528" s="230">
        <f>DIC!AX21</f>
        <v>0</v>
      </c>
      <c r="CV528" s="231">
        <f>DIC!AY21</f>
        <v>0</v>
      </c>
      <c r="CW528" s="521">
        <f>SUM(DIC!AU21:AY21)</f>
        <v>0</v>
      </c>
      <c r="CX528" s="521">
        <f>DIC!AK21</f>
        <v>0</v>
      </c>
      <c r="CY528" s="2"/>
    </row>
    <row r="529" spans="1:103" ht="14.25" hidden="1" customHeight="1" x14ac:dyDescent="0.2">
      <c r="A529" s="2"/>
      <c r="B529" s="105">
        <f t="shared" si="128"/>
        <v>45641</v>
      </c>
      <c r="C529" s="146">
        <f>IF(AND(E529&gt;(N$562-1),E529&lt;(R$562+1)),W$551,IF(ISERROR(HLOOKUP(E529,$N$555:$U$555,1,FALSE)),HLOOKUP(WEEKDAY(E529,2),IMPOSTAZIONI!$C$52:$P$57,6,FALSE),$W$550))</f>
        <v>0</v>
      </c>
      <c r="D529" s="71" t="str">
        <f t="shared" si="129"/>
        <v/>
      </c>
      <c r="E529" s="2258">
        <f t="shared" si="134"/>
        <v>45641</v>
      </c>
      <c r="F529" s="2259"/>
      <c r="G529" s="2228" t="str">
        <f>DIC!E22</f>
        <v xml:space="preserve">disattivato  </v>
      </c>
      <c r="H529" s="2229"/>
      <c r="I529" s="2230"/>
      <c r="J529" s="262" t="str">
        <f t="shared" si="119"/>
        <v/>
      </c>
      <c r="K529" s="263"/>
      <c r="L529" s="2220">
        <f t="shared" si="135"/>
        <v>50</v>
      </c>
      <c r="M529" s="2221"/>
      <c r="N529" s="261"/>
      <c r="O529" s="261"/>
      <c r="P529" s="261"/>
      <c r="Q529" s="2219">
        <f t="shared" si="130"/>
        <v>45641</v>
      </c>
      <c r="R529" s="2219"/>
      <c r="S529" s="261"/>
      <c r="T529" s="1173">
        <f t="shared" si="120"/>
        <v>1</v>
      </c>
      <c r="U529" s="261"/>
      <c r="V529" s="261"/>
      <c r="W529" s="261"/>
      <c r="X529" s="261"/>
      <c r="Y529" s="261"/>
      <c r="Z529" s="261"/>
      <c r="AA529" s="261"/>
      <c r="AB529" s="261"/>
      <c r="AC529" s="261"/>
      <c r="AD529" s="261"/>
      <c r="AE529" s="261"/>
      <c r="AF529" s="261"/>
      <c r="AG529" s="1173">
        <f t="shared" si="131"/>
        <v>0</v>
      </c>
      <c r="AH529" s="61" t="str">
        <f t="shared" si="132"/>
        <v/>
      </c>
      <c r="AI529" s="89" t="e">
        <f t="shared" si="133"/>
        <v>#N/A</v>
      </c>
      <c r="AJ529" s="2"/>
      <c r="AK529" s="61">
        <f>IF(G529=G$547,0,IF(OR(G529&lt;&gt;0,CH529&lt;&gt;0,C529="L"),COUNTIF(AK$180:AK528,"&gt;0")+1,0))</f>
        <v>0</v>
      </c>
      <c r="AL529" s="61" t="str">
        <f t="shared" si="121"/>
        <v/>
      </c>
      <c r="AM529" s="61" t="e">
        <f t="shared" si="122"/>
        <v>#N/A</v>
      </c>
      <c r="AN529" s="89" t="e">
        <f t="shared" si="123"/>
        <v>#N/A</v>
      </c>
      <c r="AO529" s="230">
        <f>SUM(DIC!X22:AD22)-BD529+AY529</f>
        <v>0</v>
      </c>
      <c r="AP529" s="228">
        <f>SUMIF(DIC!$G$121:$M$121,AP$178,DIC!$P22:$V22)+SUMIF($AZ$178:$BC$178,AP$178,$AZ529:$BC529)</f>
        <v>0</v>
      </c>
      <c r="AQ529" s="229">
        <f>SUMIF(DIC!$G$121:$M$121,AQ$178,DIC!$P22:$V22)+SUMIF($AZ$178:$BC$178,AQ$178,$AZ529:$BC529)</f>
        <v>0</v>
      </c>
      <c r="AR529" s="230">
        <f>SUMIF(DIC!$G$121:$M$121,AR$178,DIC!$P22:$V22)+SUMIF($AZ$178:$BC$178,AR$178,$AZ529:$BC529)</f>
        <v>0</v>
      </c>
      <c r="AS529" s="230">
        <f>SUMIF(DIC!$G$121:$M$121,AS$178,DIC!$P22:$V22)+SUMIF($AZ$178:$BC$178,AS$178,$AZ529:$BC529)</f>
        <v>0</v>
      </c>
      <c r="AT529" s="230">
        <f>SUMIF(DIC!$G$121:$M$121,AT$178,DIC!$P22:$V22)+SUMIF($AZ$178:$BC$178,AT$178,$AZ529:$BC529)</f>
        <v>0</v>
      </c>
      <c r="AU529" s="230">
        <f>SUMIF(DIC!$G$121:$M$121,AU$178,DIC!$P22:$V22)+SUMIF($AZ$178:$BC$178,AU$178,$AZ529:$BC529)</f>
        <v>0</v>
      </c>
      <c r="AV529" s="230">
        <f>SUMIF(DIC!$G$121:$M$121,AV$178,DIC!$P22:$V22)+SUMIF($AZ$178:$BC$178,AV$178,$AZ529:$BC529)</f>
        <v>0</v>
      </c>
      <c r="AW529" s="230">
        <f>SUMIF(DIC!$G$121:$M$121,AW$178,DIC!$P22:$V22)+SUMIF($AZ$178:$BC$178,AW$178,$AZ529:$BC529)</f>
        <v>0</v>
      </c>
      <c r="AX529" s="231">
        <f>SUMIF(DIC!$G$121:$M$121,AX$178,DIC!$P22:$V22)+SUMIF($AZ$178:$BC$178,AX$178,$AZ529:$BC529)</f>
        <v>0</v>
      </c>
      <c r="AY529" s="232">
        <f>DIC!AF22</f>
        <v>0</v>
      </c>
      <c r="AZ529" s="228">
        <f>DIC!AG22</f>
        <v>0</v>
      </c>
      <c r="BA529" s="229">
        <f>DIC!AH22</f>
        <v>0</v>
      </c>
      <c r="BB529" s="230">
        <f>DIC!AI22</f>
        <v>0</v>
      </c>
      <c r="BC529" s="231">
        <f>DIC!AJ22</f>
        <v>0</v>
      </c>
      <c r="BD529" s="228">
        <f>SUMIF(DIC!$G$120:$M$120,"&gt;0",DIC!$X22:$AD22)</f>
        <v>0</v>
      </c>
      <c r="BE529" s="696"/>
      <c r="BF529" s="228">
        <f>SUMIF(DIC!$BA$6:$BG$6,BF$177,DIC!$BA22:$BG22)</f>
        <v>0</v>
      </c>
      <c r="BG529" s="229">
        <f>SUMIF(DIC!$BA$6:$BG$6,BG$177,DIC!$BA22:$BG22)</f>
        <v>0</v>
      </c>
      <c r="BH529" s="229">
        <f>SUMIF(DIC!$BA$6:$BG$6,BH$177,DIC!$BA22:$BG22)</f>
        <v>0</v>
      </c>
      <c r="BI529" s="229">
        <f>SUMIF(DIC!$BA$6:$BG$6,BI$177,DIC!$BA22:$BG22)</f>
        <v>0</v>
      </c>
      <c r="BJ529" s="229">
        <f>SUMIF(DIC!$BA$6:$BG$6,BJ$177,DIC!$BA22:$BG22)</f>
        <v>0</v>
      </c>
      <c r="BK529" s="229">
        <f>SUMIF(DIC!$BA$6:$BG$6,BK$177,DIC!$BA22:$BG22)</f>
        <v>0</v>
      </c>
      <c r="BL529" s="229">
        <f>SUMIF(DIC!$BA$6:$BG$6,BL$177,DIC!$BA22:$BG22)</f>
        <v>0</v>
      </c>
      <c r="BM529" s="229">
        <f>SUMIF(DIC!$BA$6:$BG$6,BM$177,DIC!$BA22:$BG22)</f>
        <v>0</v>
      </c>
      <c r="BN529" s="229">
        <f>SUMIF(DIC!$BA$6:$BG$6,BN$177,DIC!$BA22:$BG22)</f>
        <v>0</v>
      </c>
      <c r="BO529" s="231">
        <f>SUMIF(DIC!$BA$6:$BG$6,BO$177,DIC!$BA22:$BG22)</f>
        <v>0</v>
      </c>
      <c r="BP529" s="231">
        <f>SUMIF(DIC!$BA$6:$BG$6,BP$177,DIC!$BA22:$BG22)</f>
        <v>0</v>
      </c>
      <c r="BQ529" s="252"/>
      <c r="BR529" s="228">
        <f>SUMIF(DIC!$BA$5:$BG$5,BR$177,DIC!$BA22:$BG22)</f>
        <v>0</v>
      </c>
      <c r="BS529" s="229">
        <f>SUMIF(DIC!$BA$5:$BG$5,BS$177,DIC!$BA22:$BG22)</f>
        <v>0</v>
      </c>
      <c r="BT529" s="229">
        <f>SUMIF(DIC!$BA$5:$BG$5,BT$177,DIC!$BA22:$BG22)</f>
        <v>0</v>
      </c>
      <c r="BU529" s="229">
        <f>SUMIF(DIC!$BA$5:$BG$5,BU$177,DIC!$BA22:$BG22)</f>
        <v>0</v>
      </c>
      <c r="BV529" s="229">
        <f>SUMIF(DIC!$BA$5:$BG$5,BV$177,DIC!$BA22:$BG22)</f>
        <v>0</v>
      </c>
      <c r="BW529" s="229">
        <f>SUMIF(DIC!$BA$5:$BG$5,BW$177,DIC!$BA22:$BG22)</f>
        <v>0</v>
      </c>
      <c r="BX529" s="230">
        <f>SUMIF(DIC!$BA$5:$BG$5,BX$177,DIC!$BA22:$BG22)</f>
        <v>0</v>
      </c>
      <c r="BY529" s="998">
        <f>SUMIF(DIC!$BA$5:$BG$5,BY$177,DIC!$BA22:$BG22)</f>
        <v>0</v>
      </c>
      <c r="CB529" s="252"/>
      <c r="CC529" s="61" t="e">
        <f t="shared" si="124"/>
        <v>#N/A</v>
      </c>
      <c r="CD529" s="61">
        <f t="shared" si="125"/>
        <v>0</v>
      </c>
      <c r="CE529" s="105" t="str">
        <f t="shared" si="118"/>
        <v/>
      </c>
      <c r="CF529" s="61" t="e">
        <f t="shared" si="126"/>
        <v>#N/A</v>
      </c>
      <c r="CG529" s="61" t="e">
        <f t="shared" si="127"/>
        <v>#N/A</v>
      </c>
      <c r="CH529" s="521">
        <f>DIC!AL22-CW529+CR529</f>
        <v>0</v>
      </c>
      <c r="CI529" s="228">
        <f>SUMIF(DIC!$G$121:$M$121,CI$178,DIC!$AM22:$AS22)+SUMIF($CS$178:$CV$178,CI$178,$CS529:$CV529)</f>
        <v>0</v>
      </c>
      <c r="CJ529" s="229">
        <f>SUMIF(DIC!$G$121:$M$121,CJ$178,DIC!$AM22:$AS22)+SUMIF($CS$178:$CV$178,CJ$178,$CS529:$CV529)</f>
        <v>0</v>
      </c>
      <c r="CK529" s="230">
        <f>SUMIF(DIC!$G$121:$M$121,CK$178,DIC!$AM22:$AS22)+SUMIF($CS$178:$CV$178,CK$178,$CS529:$CV529)</f>
        <v>0</v>
      </c>
      <c r="CL529" s="230">
        <f>SUMIF(DIC!$G$121:$M$121,CL$178,DIC!$AM22:$AS22)+SUMIF($CS$178:$CV$178,CL$178,$CS529:$CV529)</f>
        <v>0</v>
      </c>
      <c r="CM529" s="230">
        <f>SUMIF(DIC!$G$121:$M$121,CM$178,DIC!$AM22:$AS22)+SUMIF($CS$178:$CV$178,CM$178,$CS529:$CV529)</f>
        <v>0</v>
      </c>
      <c r="CN529" s="230">
        <f>SUMIF(DIC!$G$121:$M$121,CN$178,DIC!$AM22:$AS22)+SUMIF($CS$178:$CV$178,CN$178,$CS529:$CV529)</f>
        <v>0</v>
      </c>
      <c r="CO529" s="230">
        <f>SUMIF(DIC!$G$121:$M$121,CO$178,DIC!$AM22:$AS22)+SUMIF($CS$178:$CV$178,CO$178,$CS529:$CV529)</f>
        <v>0</v>
      </c>
      <c r="CP529" s="230">
        <f>SUMIF(DIC!$G$121:$M$121,CP$178,DIC!$AM22:$AS22)+SUMIF($CS$178:$CV$178,CP$178,$CS529:$CV529)</f>
        <v>0</v>
      </c>
      <c r="CQ529" s="231">
        <f>SUMIF(DIC!$G$121:$M$121,CQ$178,DIC!$AM22:$AS22)+SUMIF($CS$178:$CV$178,CQ$178,$CS529:$CV529)</f>
        <v>0</v>
      </c>
      <c r="CR529" s="521">
        <f>DIC!AU22</f>
        <v>0</v>
      </c>
      <c r="CS529" s="228">
        <f>DIC!AV22</f>
        <v>0</v>
      </c>
      <c r="CT529" s="229">
        <f>DIC!AW22</f>
        <v>0</v>
      </c>
      <c r="CU529" s="230">
        <f>DIC!AX22</f>
        <v>0</v>
      </c>
      <c r="CV529" s="231">
        <f>DIC!AY22</f>
        <v>0</v>
      </c>
      <c r="CW529" s="521">
        <f>SUM(DIC!AU22:AY22)</f>
        <v>0</v>
      </c>
      <c r="CX529" s="521">
        <f>DIC!AK22</f>
        <v>0</v>
      </c>
      <c r="CY529" s="2"/>
    </row>
    <row r="530" spans="1:103" ht="14.25" hidden="1" customHeight="1" x14ac:dyDescent="0.2">
      <c r="A530" s="2"/>
      <c r="B530" s="105">
        <f t="shared" si="128"/>
        <v>45642</v>
      </c>
      <c r="C530" s="146">
        <f>IF(AND(E530&gt;(N$562-1),E530&lt;(R$562+1)),W$551,IF(ISERROR(HLOOKUP(E530,$N$555:$U$555,1,FALSE)),HLOOKUP(WEEKDAY(E530,2),IMPOSTAZIONI!$C$52:$P$57,6,FALSE),$W$550))</f>
        <v>0</v>
      </c>
      <c r="D530" s="71" t="str">
        <f t="shared" si="129"/>
        <v/>
      </c>
      <c r="E530" s="2258">
        <f t="shared" si="134"/>
        <v>45642</v>
      </c>
      <c r="F530" s="2259"/>
      <c r="G530" s="2228" t="str">
        <f>DIC!E23</f>
        <v xml:space="preserve">disattivato  </v>
      </c>
      <c r="H530" s="2229"/>
      <c r="I530" s="2230"/>
      <c r="J530" s="262" t="str">
        <f t="shared" si="119"/>
        <v/>
      </c>
      <c r="K530" s="263"/>
      <c r="L530" s="2222">
        <f t="shared" si="135"/>
        <v>51</v>
      </c>
      <c r="M530" s="2223"/>
      <c r="N530" s="261"/>
      <c r="O530" s="261"/>
      <c r="P530" s="261"/>
      <c r="Q530" s="2219">
        <f t="shared" si="130"/>
        <v>45642</v>
      </c>
      <c r="R530" s="2219"/>
      <c r="S530" s="261"/>
      <c r="T530" s="1173">
        <f t="shared" si="120"/>
        <v>1</v>
      </c>
      <c r="U530" s="261"/>
      <c r="V530" s="261"/>
      <c r="W530" s="261"/>
      <c r="X530" s="261"/>
      <c r="Y530" s="261"/>
      <c r="Z530" s="261"/>
      <c r="AA530" s="261"/>
      <c r="AB530" s="261"/>
      <c r="AC530" s="261"/>
      <c r="AD530" s="261"/>
      <c r="AE530" s="261"/>
      <c r="AF530" s="261"/>
      <c r="AG530" s="1173">
        <f t="shared" si="131"/>
        <v>0</v>
      </c>
      <c r="AH530" s="61" t="str">
        <f t="shared" si="132"/>
        <v/>
      </c>
      <c r="AI530" s="89" t="e">
        <f t="shared" si="133"/>
        <v>#N/A</v>
      </c>
      <c r="AJ530" s="2"/>
      <c r="AK530" s="61">
        <f>IF(G530=G$547,0,IF(OR(G530&lt;&gt;0,CH530&lt;&gt;0,C530="L"),COUNTIF(AK$180:AK529,"&gt;0")+1,0))</f>
        <v>0</v>
      </c>
      <c r="AL530" s="61" t="str">
        <f t="shared" si="121"/>
        <v/>
      </c>
      <c r="AM530" s="61" t="e">
        <f t="shared" si="122"/>
        <v>#N/A</v>
      </c>
      <c r="AN530" s="89" t="e">
        <f t="shared" si="123"/>
        <v>#N/A</v>
      </c>
      <c r="AO530" s="230">
        <f>SUM(DIC!X23:AD23)-BD530+AY530</f>
        <v>0</v>
      </c>
      <c r="AP530" s="228">
        <f>SUMIF(DIC!$G$121:$M$121,AP$178,DIC!$P23:$V23)+SUMIF($AZ$178:$BC$178,AP$178,$AZ530:$BC530)</f>
        <v>0</v>
      </c>
      <c r="AQ530" s="229">
        <f>SUMIF(DIC!$G$121:$M$121,AQ$178,DIC!$P23:$V23)+SUMIF($AZ$178:$BC$178,AQ$178,$AZ530:$BC530)</f>
        <v>0</v>
      </c>
      <c r="AR530" s="230">
        <f>SUMIF(DIC!$G$121:$M$121,AR$178,DIC!$P23:$V23)+SUMIF($AZ$178:$BC$178,AR$178,$AZ530:$BC530)</f>
        <v>0</v>
      </c>
      <c r="AS530" s="230">
        <f>SUMIF(DIC!$G$121:$M$121,AS$178,DIC!$P23:$V23)+SUMIF($AZ$178:$BC$178,AS$178,$AZ530:$BC530)</f>
        <v>0</v>
      </c>
      <c r="AT530" s="230">
        <f>SUMIF(DIC!$G$121:$M$121,AT$178,DIC!$P23:$V23)+SUMIF($AZ$178:$BC$178,AT$178,$AZ530:$BC530)</f>
        <v>0</v>
      </c>
      <c r="AU530" s="230">
        <f>SUMIF(DIC!$G$121:$M$121,AU$178,DIC!$P23:$V23)+SUMIF($AZ$178:$BC$178,AU$178,$AZ530:$BC530)</f>
        <v>0</v>
      </c>
      <c r="AV530" s="230">
        <f>SUMIF(DIC!$G$121:$M$121,AV$178,DIC!$P23:$V23)+SUMIF($AZ$178:$BC$178,AV$178,$AZ530:$BC530)</f>
        <v>0</v>
      </c>
      <c r="AW530" s="230">
        <f>SUMIF(DIC!$G$121:$M$121,AW$178,DIC!$P23:$V23)+SUMIF($AZ$178:$BC$178,AW$178,$AZ530:$BC530)</f>
        <v>0</v>
      </c>
      <c r="AX530" s="231">
        <f>SUMIF(DIC!$G$121:$M$121,AX$178,DIC!$P23:$V23)+SUMIF($AZ$178:$BC$178,AX$178,$AZ530:$BC530)</f>
        <v>0</v>
      </c>
      <c r="AY530" s="232">
        <f>DIC!AF23</f>
        <v>0</v>
      </c>
      <c r="AZ530" s="228">
        <f>DIC!AG23</f>
        <v>0</v>
      </c>
      <c r="BA530" s="229">
        <f>DIC!AH23</f>
        <v>0</v>
      </c>
      <c r="BB530" s="230">
        <f>DIC!AI23</f>
        <v>0</v>
      </c>
      <c r="BC530" s="231">
        <f>DIC!AJ23</f>
        <v>0</v>
      </c>
      <c r="BD530" s="228">
        <f>SUMIF(DIC!$G$120:$M$120,"&gt;0",DIC!$X23:$AD23)</f>
        <v>0</v>
      </c>
      <c r="BE530" s="696"/>
      <c r="BF530" s="228">
        <f>SUMIF(DIC!$BA$6:$BG$6,BF$177,DIC!$BA23:$BG23)</f>
        <v>0</v>
      </c>
      <c r="BG530" s="229">
        <f>SUMIF(DIC!$BA$6:$BG$6,BG$177,DIC!$BA23:$BG23)</f>
        <v>0</v>
      </c>
      <c r="BH530" s="229">
        <f>SUMIF(DIC!$BA$6:$BG$6,BH$177,DIC!$BA23:$BG23)</f>
        <v>0</v>
      </c>
      <c r="BI530" s="229">
        <f>SUMIF(DIC!$BA$6:$BG$6,BI$177,DIC!$BA23:$BG23)</f>
        <v>0</v>
      </c>
      <c r="BJ530" s="229">
        <f>SUMIF(DIC!$BA$6:$BG$6,BJ$177,DIC!$BA23:$BG23)</f>
        <v>0</v>
      </c>
      <c r="BK530" s="229">
        <f>SUMIF(DIC!$BA$6:$BG$6,BK$177,DIC!$BA23:$BG23)</f>
        <v>0</v>
      </c>
      <c r="BL530" s="229">
        <f>SUMIF(DIC!$BA$6:$BG$6,BL$177,DIC!$BA23:$BG23)</f>
        <v>0</v>
      </c>
      <c r="BM530" s="229">
        <f>SUMIF(DIC!$BA$6:$BG$6,BM$177,DIC!$BA23:$BG23)</f>
        <v>0</v>
      </c>
      <c r="BN530" s="229">
        <f>SUMIF(DIC!$BA$6:$BG$6,BN$177,DIC!$BA23:$BG23)</f>
        <v>0</v>
      </c>
      <c r="BO530" s="231">
        <f>SUMIF(DIC!$BA$6:$BG$6,BO$177,DIC!$BA23:$BG23)</f>
        <v>0</v>
      </c>
      <c r="BP530" s="231">
        <f>SUMIF(DIC!$BA$6:$BG$6,BP$177,DIC!$BA23:$BG23)</f>
        <v>0</v>
      </c>
      <c r="BQ530" s="252"/>
      <c r="BR530" s="228">
        <f>SUMIF(DIC!$BA$5:$BG$5,BR$177,DIC!$BA23:$BG23)</f>
        <v>0</v>
      </c>
      <c r="BS530" s="229">
        <f>SUMIF(DIC!$BA$5:$BG$5,BS$177,DIC!$BA23:$BG23)</f>
        <v>0</v>
      </c>
      <c r="BT530" s="229">
        <f>SUMIF(DIC!$BA$5:$BG$5,BT$177,DIC!$BA23:$BG23)</f>
        <v>0</v>
      </c>
      <c r="BU530" s="229">
        <f>SUMIF(DIC!$BA$5:$BG$5,BU$177,DIC!$BA23:$BG23)</f>
        <v>0</v>
      </c>
      <c r="BV530" s="229">
        <f>SUMIF(DIC!$BA$5:$BG$5,BV$177,DIC!$BA23:$BG23)</f>
        <v>0</v>
      </c>
      <c r="BW530" s="229">
        <f>SUMIF(DIC!$BA$5:$BG$5,BW$177,DIC!$BA23:$BG23)</f>
        <v>0</v>
      </c>
      <c r="BX530" s="230">
        <f>SUMIF(DIC!$BA$5:$BG$5,BX$177,DIC!$BA23:$BG23)</f>
        <v>0</v>
      </c>
      <c r="BY530" s="998">
        <f>SUMIF(DIC!$BA$5:$BG$5,BY$177,DIC!$BA23:$BG23)</f>
        <v>0</v>
      </c>
      <c r="CB530" s="252"/>
      <c r="CC530" s="61" t="e">
        <f t="shared" si="124"/>
        <v>#N/A</v>
      </c>
      <c r="CD530" s="61">
        <f t="shared" si="125"/>
        <v>0</v>
      </c>
      <c r="CE530" s="105" t="str">
        <f t="shared" si="118"/>
        <v/>
      </c>
      <c r="CF530" s="61" t="e">
        <f t="shared" si="126"/>
        <v>#N/A</v>
      </c>
      <c r="CG530" s="61" t="e">
        <f t="shared" si="127"/>
        <v>#N/A</v>
      </c>
      <c r="CH530" s="521">
        <f>DIC!AL23-CW530+CR530</f>
        <v>0</v>
      </c>
      <c r="CI530" s="228">
        <f>SUMIF(DIC!$G$121:$M$121,CI$178,DIC!$AM23:$AS23)+SUMIF($CS$178:$CV$178,CI$178,$CS530:$CV530)</f>
        <v>0</v>
      </c>
      <c r="CJ530" s="229">
        <f>SUMIF(DIC!$G$121:$M$121,CJ$178,DIC!$AM23:$AS23)+SUMIF($CS$178:$CV$178,CJ$178,$CS530:$CV530)</f>
        <v>0</v>
      </c>
      <c r="CK530" s="230">
        <f>SUMIF(DIC!$G$121:$M$121,CK$178,DIC!$AM23:$AS23)+SUMIF($CS$178:$CV$178,CK$178,$CS530:$CV530)</f>
        <v>0</v>
      </c>
      <c r="CL530" s="230">
        <f>SUMIF(DIC!$G$121:$M$121,CL$178,DIC!$AM23:$AS23)+SUMIF($CS$178:$CV$178,CL$178,$CS530:$CV530)</f>
        <v>0</v>
      </c>
      <c r="CM530" s="230">
        <f>SUMIF(DIC!$G$121:$M$121,CM$178,DIC!$AM23:$AS23)+SUMIF($CS$178:$CV$178,CM$178,$CS530:$CV530)</f>
        <v>0</v>
      </c>
      <c r="CN530" s="230">
        <f>SUMIF(DIC!$G$121:$M$121,CN$178,DIC!$AM23:$AS23)+SUMIF($CS$178:$CV$178,CN$178,$CS530:$CV530)</f>
        <v>0</v>
      </c>
      <c r="CO530" s="230">
        <f>SUMIF(DIC!$G$121:$M$121,CO$178,DIC!$AM23:$AS23)+SUMIF($CS$178:$CV$178,CO$178,$CS530:$CV530)</f>
        <v>0</v>
      </c>
      <c r="CP530" s="230">
        <f>SUMIF(DIC!$G$121:$M$121,CP$178,DIC!$AM23:$AS23)+SUMIF($CS$178:$CV$178,CP$178,$CS530:$CV530)</f>
        <v>0</v>
      </c>
      <c r="CQ530" s="231">
        <f>SUMIF(DIC!$G$121:$M$121,CQ$178,DIC!$AM23:$AS23)+SUMIF($CS$178:$CV$178,CQ$178,$CS530:$CV530)</f>
        <v>0</v>
      </c>
      <c r="CR530" s="521">
        <f>DIC!AU23</f>
        <v>0</v>
      </c>
      <c r="CS530" s="228">
        <f>DIC!AV23</f>
        <v>0</v>
      </c>
      <c r="CT530" s="229">
        <f>DIC!AW23</f>
        <v>0</v>
      </c>
      <c r="CU530" s="230">
        <f>DIC!AX23</f>
        <v>0</v>
      </c>
      <c r="CV530" s="231">
        <f>DIC!AY23</f>
        <v>0</v>
      </c>
      <c r="CW530" s="521">
        <f>SUM(DIC!AU23:AY23)</f>
        <v>0</v>
      </c>
      <c r="CX530" s="521">
        <f>DIC!AK23</f>
        <v>0</v>
      </c>
      <c r="CY530" s="2"/>
    </row>
    <row r="531" spans="1:103" ht="14.25" hidden="1" customHeight="1" x14ac:dyDescent="0.2">
      <c r="A531" s="2"/>
      <c r="B531" s="105">
        <f t="shared" si="128"/>
        <v>45643</v>
      </c>
      <c r="C531" s="146">
        <f>IF(AND(E531&gt;(N$562-1),E531&lt;(R$562+1)),W$551,IF(ISERROR(HLOOKUP(E531,$N$555:$U$555,1,FALSE)),HLOOKUP(WEEKDAY(E531,2),IMPOSTAZIONI!$C$52:$P$57,6,FALSE),$W$550))</f>
        <v>0</v>
      </c>
      <c r="D531" s="71" t="str">
        <f t="shared" si="129"/>
        <v/>
      </c>
      <c r="E531" s="2258">
        <f t="shared" si="134"/>
        <v>45643</v>
      </c>
      <c r="F531" s="2259"/>
      <c r="G531" s="2228" t="str">
        <f>DIC!E24</f>
        <v xml:space="preserve">disattivato  </v>
      </c>
      <c r="H531" s="2229"/>
      <c r="I531" s="2230"/>
      <c r="J531" s="262" t="str">
        <f t="shared" si="119"/>
        <v/>
      </c>
      <c r="K531" s="263"/>
      <c r="L531" s="2217">
        <f t="shared" si="135"/>
        <v>51</v>
      </c>
      <c r="M531" s="2218"/>
      <c r="N531" s="261"/>
      <c r="O531" s="261"/>
      <c r="P531" s="261"/>
      <c r="Q531" s="2219">
        <f t="shared" si="130"/>
        <v>45643</v>
      </c>
      <c r="R531" s="2219"/>
      <c r="S531" s="261"/>
      <c r="T531" s="1173">
        <f t="shared" si="120"/>
        <v>1</v>
      </c>
      <c r="U531" s="261"/>
      <c r="V531" s="261"/>
      <c r="W531" s="261"/>
      <c r="X531" s="261"/>
      <c r="Y531" s="261"/>
      <c r="Z531" s="261"/>
      <c r="AA531" s="261"/>
      <c r="AB531" s="261"/>
      <c r="AC531" s="261"/>
      <c r="AD531" s="261"/>
      <c r="AE531" s="261"/>
      <c r="AF531" s="261"/>
      <c r="AG531" s="1173">
        <f t="shared" si="131"/>
        <v>0</v>
      </c>
      <c r="AH531" s="61" t="str">
        <f t="shared" si="132"/>
        <v/>
      </c>
      <c r="AI531" s="89" t="e">
        <f t="shared" si="133"/>
        <v>#N/A</v>
      </c>
      <c r="AJ531" s="2"/>
      <c r="AK531" s="61">
        <f>IF(G531=G$547,0,IF(OR(G531&lt;&gt;0,CH531&lt;&gt;0,C531="L"),COUNTIF(AK$180:AK530,"&gt;0")+1,0))</f>
        <v>0</v>
      </c>
      <c r="AL531" s="61" t="str">
        <f t="shared" si="121"/>
        <v/>
      </c>
      <c r="AM531" s="61" t="e">
        <f t="shared" si="122"/>
        <v>#N/A</v>
      </c>
      <c r="AN531" s="89" t="e">
        <f t="shared" si="123"/>
        <v>#N/A</v>
      </c>
      <c r="AO531" s="230">
        <f>SUM(DIC!X24:AD24)-BD531+AY531</f>
        <v>0</v>
      </c>
      <c r="AP531" s="228">
        <f>SUMIF(DIC!$G$121:$M$121,AP$178,DIC!$P24:$V24)+SUMIF($AZ$178:$BC$178,AP$178,$AZ531:$BC531)</f>
        <v>0</v>
      </c>
      <c r="AQ531" s="229">
        <f>SUMIF(DIC!$G$121:$M$121,AQ$178,DIC!$P24:$V24)+SUMIF($AZ$178:$BC$178,AQ$178,$AZ531:$BC531)</f>
        <v>0</v>
      </c>
      <c r="AR531" s="230">
        <f>SUMIF(DIC!$G$121:$M$121,AR$178,DIC!$P24:$V24)+SUMIF($AZ$178:$BC$178,AR$178,$AZ531:$BC531)</f>
        <v>0</v>
      </c>
      <c r="AS531" s="230">
        <f>SUMIF(DIC!$G$121:$M$121,AS$178,DIC!$P24:$V24)+SUMIF($AZ$178:$BC$178,AS$178,$AZ531:$BC531)</f>
        <v>0</v>
      </c>
      <c r="AT531" s="230">
        <f>SUMIF(DIC!$G$121:$M$121,AT$178,DIC!$P24:$V24)+SUMIF($AZ$178:$BC$178,AT$178,$AZ531:$BC531)</f>
        <v>0</v>
      </c>
      <c r="AU531" s="230">
        <f>SUMIF(DIC!$G$121:$M$121,AU$178,DIC!$P24:$V24)+SUMIF($AZ$178:$BC$178,AU$178,$AZ531:$BC531)</f>
        <v>0</v>
      </c>
      <c r="AV531" s="230">
        <f>SUMIF(DIC!$G$121:$M$121,AV$178,DIC!$P24:$V24)+SUMIF($AZ$178:$BC$178,AV$178,$AZ531:$BC531)</f>
        <v>0</v>
      </c>
      <c r="AW531" s="230">
        <f>SUMIF(DIC!$G$121:$M$121,AW$178,DIC!$P24:$V24)+SUMIF($AZ$178:$BC$178,AW$178,$AZ531:$BC531)</f>
        <v>0</v>
      </c>
      <c r="AX531" s="231">
        <f>SUMIF(DIC!$G$121:$M$121,AX$178,DIC!$P24:$V24)+SUMIF($AZ$178:$BC$178,AX$178,$AZ531:$BC531)</f>
        <v>0</v>
      </c>
      <c r="AY531" s="232">
        <f>DIC!AF24</f>
        <v>0</v>
      </c>
      <c r="AZ531" s="228">
        <f>DIC!AG24</f>
        <v>0</v>
      </c>
      <c r="BA531" s="229">
        <f>DIC!AH24</f>
        <v>0</v>
      </c>
      <c r="BB531" s="230">
        <f>DIC!AI24</f>
        <v>0</v>
      </c>
      <c r="BC531" s="231">
        <f>DIC!AJ24</f>
        <v>0</v>
      </c>
      <c r="BD531" s="228">
        <f>SUMIF(DIC!$G$120:$M$120,"&gt;0",DIC!$X24:$AD24)</f>
        <v>0</v>
      </c>
      <c r="BE531" s="696"/>
      <c r="BF531" s="228">
        <f>SUMIF(DIC!$BA$6:$BG$6,BF$177,DIC!$BA24:$BG24)</f>
        <v>0</v>
      </c>
      <c r="BG531" s="229">
        <f>SUMIF(DIC!$BA$6:$BG$6,BG$177,DIC!$BA24:$BG24)</f>
        <v>0</v>
      </c>
      <c r="BH531" s="229">
        <f>SUMIF(DIC!$BA$6:$BG$6,BH$177,DIC!$BA24:$BG24)</f>
        <v>0</v>
      </c>
      <c r="BI531" s="229">
        <f>SUMIF(DIC!$BA$6:$BG$6,BI$177,DIC!$BA24:$BG24)</f>
        <v>0</v>
      </c>
      <c r="BJ531" s="229">
        <f>SUMIF(DIC!$BA$6:$BG$6,BJ$177,DIC!$BA24:$BG24)</f>
        <v>0</v>
      </c>
      <c r="BK531" s="229">
        <f>SUMIF(DIC!$BA$6:$BG$6,BK$177,DIC!$BA24:$BG24)</f>
        <v>0</v>
      </c>
      <c r="BL531" s="229">
        <f>SUMIF(DIC!$BA$6:$BG$6,BL$177,DIC!$BA24:$BG24)</f>
        <v>0</v>
      </c>
      <c r="BM531" s="229">
        <f>SUMIF(DIC!$BA$6:$BG$6,BM$177,DIC!$BA24:$BG24)</f>
        <v>0</v>
      </c>
      <c r="BN531" s="229">
        <f>SUMIF(DIC!$BA$6:$BG$6,BN$177,DIC!$BA24:$BG24)</f>
        <v>0</v>
      </c>
      <c r="BO531" s="231">
        <f>SUMIF(DIC!$BA$6:$BG$6,BO$177,DIC!$BA24:$BG24)</f>
        <v>0</v>
      </c>
      <c r="BP531" s="231">
        <f>SUMIF(DIC!$BA$6:$BG$6,BP$177,DIC!$BA24:$BG24)</f>
        <v>0</v>
      </c>
      <c r="BQ531" s="252"/>
      <c r="BR531" s="228">
        <f>SUMIF(DIC!$BA$5:$BG$5,BR$177,DIC!$BA24:$BG24)</f>
        <v>0</v>
      </c>
      <c r="BS531" s="229">
        <f>SUMIF(DIC!$BA$5:$BG$5,BS$177,DIC!$BA24:$BG24)</f>
        <v>0</v>
      </c>
      <c r="BT531" s="229">
        <f>SUMIF(DIC!$BA$5:$BG$5,BT$177,DIC!$BA24:$BG24)</f>
        <v>0</v>
      </c>
      <c r="BU531" s="229">
        <f>SUMIF(DIC!$BA$5:$BG$5,BU$177,DIC!$BA24:$BG24)</f>
        <v>0</v>
      </c>
      <c r="BV531" s="229">
        <f>SUMIF(DIC!$BA$5:$BG$5,BV$177,DIC!$BA24:$BG24)</f>
        <v>0</v>
      </c>
      <c r="BW531" s="229">
        <f>SUMIF(DIC!$BA$5:$BG$5,BW$177,DIC!$BA24:$BG24)</f>
        <v>0</v>
      </c>
      <c r="BX531" s="230">
        <f>SUMIF(DIC!$BA$5:$BG$5,BX$177,DIC!$BA24:$BG24)</f>
        <v>0</v>
      </c>
      <c r="BY531" s="998">
        <f>SUMIF(DIC!$BA$5:$BG$5,BY$177,DIC!$BA24:$BG24)</f>
        <v>0</v>
      </c>
      <c r="CB531" s="252"/>
      <c r="CC531" s="61" t="e">
        <f t="shared" si="124"/>
        <v>#N/A</v>
      </c>
      <c r="CD531" s="61">
        <f t="shared" si="125"/>
        <v>0</v>
      </c>
      <c r="CE531" s="105" t="str">
        <f t="shared" si="118"/>
        <v/>
      </c>
      <c r="CF531" s="61" t="e">
        <f t="shared" si="126"/>
        <v>#N/A</v>
      </c>
      <c r="CG531" s="61" t="e">
        <f t="shared" si="127"/>
        <v>#N/A</v>
      </c>
      <c r="CH531" s="521">
        <f>DIC!AL24-CW531+CR531</f>
        <v>0</v>
      </c>
      <c r="CI531" s="228">
        <f>SUMIF(DIC!$G$121:$M$121,CI$178,DIC!$AM24:$AS24)+SUMIF($CS$178:$CV$178,CI$178,$CS531:$CV531)</f>
        <v>0</v>
      </c>
      <c r="CJ531" s="229">
        <f>SUMIF(DIC!$G$121:$M$121,CJ$178,DIC!$AM24:$AS24)+SUMIF($CS$178:$CV$178,CJ$178,$CS531:$CV531)</f>
        <v>0</v>
      </c>
      <c r="CK531" s="230">
        <f>SUMIF(DIC!$G$121:$M$121,CK$178,DIC!$AM24:$AS24)+SUMIF($CS$178:$CV$178,CK$178,$CS531:$CV531)</f>
        <v>0</v>
      </c>
      <c r="CL531" s="230">
        <f>SUMIF(DIC!$G$121:$M$121,CL$178,DIC!$AM24:$AS24)+SUMIF($CS$178:$CV$178,CL$178,$CS531:$CV531)</f>
        <v>0</v>
      </c>
      <c r="CM531" s="230">
        <f>SUMIF(DIC!$G$121:$M$121,CM$178,DIC!$AM24:$AS24)+SUMIF($CS$178:$CV$178,CM$178,$CS531:$CV531)</f>
        <v>0</v>
      </c>
      <c r="CN531" s="230">
        <f>SUMIF(DIC!$G$121:$M$121,CN$178,DIC!$AM24:$AS24)+SUMIF($CS$178:$CV$178,CN$178,$CS531:$CV531)</f>
        <v>0</v>
      </c>
      <c r="CO531" s="230">
        <f>SUMIF(DIC!$G$121:$M$121,CO$178,DIC!$AM24:$AS24)+SUMIF($CS$178:$CV$178,CO$178,$CS531:$CV531)</f>
        <v>0</v>
      </c>
      <c r="CP531" s="230">
        <f>SUMIF(DIC!$G$121:$M$121,CP$178,DIC!$AM24:$AS24)+SUMIF($CS$178:$CV$178,CP$178,$CS531:$CV531)</f>
        <v>0</v>
      </c>
      <c r="CQ531" s="231">
        <f>SUMIF(DIC!$G$121:$M$121,CQ$178,DIC!$AM24:$AS24)+SUMIF($CS$178:$CV$178,CQ$178,$CS531:$CV531)</f>
        <v>0</v>
      </c>
      <c r="CR531" s="521">
        <f>DIC!AU24</f>
        <v>0</v>
      </c>
      <c r="CS531" s="228">
        <f>DIC!AV24</f>
        <v>0</v>
      </c>
      <c r="CT531" s="229">
        <f>DIC!AW24</f>
        <v>0</v>
      </c>
      <c r="CU531" s="230">
        <f>DIC!AX24</f>
        <v>0</v>
      </c>
      <c r="CV531" s="231">
        <f>DIC!AY24</f>
        <v>0</v>
      </c>
      <c r="CW531" s="521">
        <f>SUM(DIC!AU24:AY24)</f>
        <v>0</v>
      </c>
      <c r="CX531" s="521">
        <f>DIC!AK24</f>
        <v>0</v>
      </c>
      <c r="CY531" s="2"/>
    </row>
    <row r="532" spans="1:103" ht="14.25" hidden="1" customHeight="1" x14ac:dyDescent="0.2">
      <c r="A532" s="2"/>
      <c r="B532" s="105">
        <f t="shared" si="128"/>
        <v>45644</v>
      </c>
      <c r="C532" s="146">
        <f>IF(AND(E532&gt;(N$562-1),E532&lt;(R$562+1)),W$551,IF(ISERROR(HLOOKUP(E532,$N$555:$U$555,1,FALSE)),HLOOKUP(WEEKDAY(E532,2),IMPOSTAZIONI!$C$52:$P$57,6,FALSE),$W$550))</f>
        <v>0</v>
      </c>
      <c r="D532" s="71" t="str">
        <f t="shared" si="129"/>
        <v/>
      </c>
      <c r="E532" s="2258">
        <f t="shared" si="134"/>
        <v>45644</v>
      </c>
      <c r="F532" s="2259"/>
      <c r="G532" s="2228" t="str">
        <f>DIC!E25</f>
        <v xml:space="preserve">disattivato  </v>
      </c>
      <c r="H532" s="2229"/>
      <c r="I532" s="2230"/>
      <c r="J532" s="262" t="str">
        <f t="shared" si="119"/>
        <v/>
      </c>
      <c r="K532" s="263"/>
      <c r="L532" s="2217">
        <f t="shared" si="135"/>
        <v>51</v>
      </c>
      <c r="M532" s="2218"/>
      <c r="N532" s="261"/>
      <c r="O532" s="261"/>
      <c r="P532" s="261"/>
      <c r="Q532" s="2219">
        <f t="shared" si="130"/>
        <v>45644</v>
      </c>
      <c r="R532" s="2219"/>
      <c r="S532" s="261"/>
      <c r="T532" s="1173">
        <f t="shared" si="120"/>
        <v>1</v>
      </c>
      <c r="U532" s="261"/>
      <c r="V532" s="261"/>
      <c r="W532" s="261"/>
      <c r="X532" s="261"/>
      <c r="Y532" s="261"/>
      <c r="Z532" s="261"/>
      <c r="AA532" s="261"/>
      <c r="AB532" s="261"/>
      <c r="AC532" s="261"/>
      <c r="AD532" s="261"/>
      <c r="AE532" s="261"/>
      <c r="AF532" s="261"/>
      <c r="AG532" s="1173">
        <f t="shared" si="131"/>
        <v>0</v>
      </c>
      <c r="AH532" s="61" t="str">
        <f t="shared" si="132"/>
        <v/>
      </c>
      <c r="AI532" s="89" t="e">
        <f t="shared" si="133"/>
        <v>#N/A</v>
      </c>
      <c r="AJ532" s="2"/>
      <c r="AK532" s="61">
        <f>IF(G532=G$547,0,IF(OR(G532&lt;&gt;0,CH532&lt;&gt;0,C532="L"),COUNTIF(AK$180:AK531,"&gt;0")+1,0))</f>
        <v>0</v>
      </c>
      <c r="AL532" s="61" t="str">
        <f t="shared" si="121"/>
        <v/>
      </c>
      <c r="AM532" s="61" t="e">
        <f t="shared" si="122"/>
        <v>#N/A</v>
      </c>
      <c r="AN532" s="89" t="e">
        <f t="shared" si="123"/>
        <v>#N/A</v>
      </c>
      <c r="AO532" s="230">
        <f>SUM(DIC!X25:AD25)-BD532+AY532</f>
        <v>0</v>
      </c>
      <c r="AP532" s="228">
        <f>SUMIF(DIC!$G$121:$M$121,AP$178,DIC!$P25:$V25)+SUMIF($AZ$178:$BC$178,AP$178,$AZ532:$BC532)</f>
        <v>0</v>
      </c>
      <c r="AQ532" s="229">
        <f>SUMIF(DIC!$G$121:$M$121,AQ$178,DIC!$P25:$V25)+SUMIF($AZ$178:$BC$178,AQ$178,$AZ532:$BC532)</f>
        <v>0</v>
      </c>
      <c r="AR532" s="230">
        <f>SUMIF(DIC!$G$121:$M$121,AR$178,DIC!$P25:$V25)+SUMIF($AZ$178:$BC$178,AR$178,$AZ532:$BC532)</f>
        <v>0</v>
      </c>
      <c r="AS532" s="230">
        <f>SUMIF(DIC!$G$121:$M$121,AS$178,DIC!$P25:$V25)+SUMIF($AZ$178:$BC$178,AS$178,$AZ532:$BC532)</f>
        <v>0</v>
      </c>
      <c r="AT532" s="230">
        <f>SUMIF(DIC!$G$121:$M$121,AT$178,DIC!$P25:$V25)+SUMIF($AZ$178:$BC$178,AT$178,$AZ532:$BC532)</f>
        <v>0</v>
      </c>
      <c r="AU532" s="230">
        <f>SUMIF(DIC!$G$121:$M$121,AU$178,DIC!$P25:$V25)+SUMIF($AZ$178:$BC$178,AU$178,$AZ532:$BC532)</f>
        <v>0</v>
      </c>
      <c r="AV532" s="230">
        <f>SUMIF(DIC!$G$121:$M$121,AV$178,DIC!$P25:$V25)+SUMIF($AZ$178:$BC$178,AV$178,$AZ532:$BC532)</f>
        <v>0</v>
      </c>
      <c r="AW532" s="230">
        <f>SUMIF(DIC!$G$121:$M$121,AW$178,DIC!$P25:$V25)+SUMIF($AZ$178:$BC$178,AW$178,$AZ532:$BC532)</f>
        <v>0</v>
      </c>
      <c r="AX532" s="231">
        <f>SUMIF(DIC!$G$121:$M$121,AX$178,DIC!$P25:$V25)+SUMIF($AZ$178:$BC$178,AX$178,$AZ532:$BC532)</f>
        <v>0</v>
      </c>
      <c r="AY532" s="232">
        <f>DIC!AF25</f>
        <v>0</v>
      </c>
      <c r="AZ532" s="228">
        <f>DIC!AG25</f>
        <v>0</v>
      </c>
      <c r="BA532" s="229">
        <f>DIC!AH25</f>
        <v>0</v>
      </c>
      <c r="BB532" s="230">
        <f>DIC!AI25</f>
        <v>0</v>
      </c>
      <c r="BC532" s="231">
        <f>DIC!AJ25</f>
        <v>0</v>
      </c>
      <c r="BD532" s="228">
        <f>SUMIF(DIC!$G$120:$M$120,"&gt;0",DIC!$X25:$AD25)</f>
        <v>0</v>
      </c>
      <c r="BE532" s="696"/>
      <c r="BF532" s="228">
        <f>SUMIF(DIC!$BA$6:$BG$6,BF$177,DIC!$BA25:$BG25)</f>
        <v>0</v>
      </c>
      <c r="BG532" s="229">
        <f>SUMIF(DIC!$BA$6:$BG$6,BG$177,DIC!$BA25:$BG25)</f>
        <v>0</v>
      </c>
      <c r="BH532" s="229">
        <f>SUMIF(DIC!$BA$6:$BG$6,BH$177,DIC!$BA25:$BG25)</f>
        <v>0</v>
      </c>
      <c r="BI532" s="229">
        <f>SUMIF(DIC!$BA$6:$BG$6,BI$177,DIC!$BA25:$BG25)</f>
        <v>0</v>
      </c>
      <c r="BJ532" s="229">
        <f>SUMIF(DIC!$BA$6:$BG$6,BJ$177,DIC!$BA25:$BG25)</f>
        <v>0</v>
      </c>
      <c r="BK532" s="229">
        <f>SUMIF(DIC!$BA$6:$BG$6,BK$177,DIC!$BA25:$BG25)</f>
        <v>0</v>
      </c>
      <c r="BL532" s="229">
        <f>SUMIF(DIC!$BA$6:$BG$6,BL$177,DIC!$BA25:$BG25)</f>
        <v>0</v>
      </c>
      <c r="BM532" s="229">
        <f>SUMIF(DIC!$BA$6:$BG$6,BM$177,DIC!$BA25:$BG25)</f>
        <v>0</v>
      </c>
      <c r="BN532" s="229">
        <f>SUMIF(DIC!$BA$6:$BG$6,BN$177,DIC!$BA25:$BG25)</f>
        <v>0</v>
      </c>
      <c r="BO532" s="231">
        <f>SUMIF(DIC!$BA$6:$BG$6,BO$177,DIC!$BA25:$BG25)</f>
        <v>0</v>
      </c>
      <c r="BP532" s="231">
        <f>SUMIF(DIC!$BA$6:$BG$6,BP$177,DIC!$BA25:$BG25)</f>
        <v>0</v>
      </c>
      <c r="BQ532" s="252"/>
      <c r="BR532" s="228">
        <f>SUMIF(DIC!$BA$5:$BG$5,BR$177,DIC!$BA25:$BG25)</f>
        <v>0</v>
      </c>
      <c r="BS532" s="229">
        <f>SUMIF(DIC!$BA$5:$BG$5,BS$177,DIC!$BA25:$BG25)</f>
        <v>0</v>
      </c>
      <c r="BT532" s="229">
        <f>SUMIF(DIC!$BA$5:$BG$5,BT$177,DIC!$BA25:$BG25)</f>
        <v>0</v>
      </c>
      <c r="BU532" s="229">
        <f>SUMIF(DIC!$BA$5:$BG$5,BU$177,DIC!$BA25:$BG25)</f>
        <v>0</v>
      </c>
      <c r="BV532" s="229">
        <f>SUMIF(DIC!$BA$5:$BG$5,BV$177,DIC!$BA25:$BG25)</f>
        <v>0</v>
      </c>
      <c r="BW532" s="229">
        <f>SUMIF(DIC!$BA$5:$BG$5,BW$177,DIC!$BA25:$BG25)</f>
        <v>0</v>
      </c>
      <c r="BX532" s="230">
        <f>SUMIF(DIC!$BA$5:$BG$5,BX$177,DIC!$BA25:$BG25)</f>
        <v>0</v>
      </c>
      <c r="BY532" s="998">
        <f>SUMIF(DIC!$BA$5:$BG$5,BY$177,DIC!$BA25:$BG25)</f>
        <v>0</v>
      </c>
      <c r="CB532" s="252"/>
      <c r="CC532" s="61" t="e">
        <f t="shared" si="124"/>
        <v>#N/A</v>
      </c>
      <c r="CD532" s="61">
        <f t="shared" si="125"/>
        <v>0</v>
      </c>
      <c r="CE532" s="105" t="str">
        <f t="shared" si="118"/>
        <v/>
      </c>
      <c r="CF532" s="61" t="e">
        <f t="shared" si="126"/>
        <v>#N/A</v>
      </c>
      <c r="CG532" s="61" t="e">
        <f t="shared" si="127"/>
        <v>#N/A</v>
      </c>
      <c r="CH532" s="521">
        <f>DIC!AL25-CW532+CR532</f>
        <v>0</v>
      </c>
      <c r="CI532" s="228">
        <f>SUMIF(DIC!$G$121:$M$121,CI$178,DIC!$AM25:$AS25)+SUMIF($CS$178:$CV$178,CI$178,$CS532:$CV532)</f>
        <v>0</v>
      </c>
      <c r="CJ532" s="229">
        <f>SUMIF(DIC!$G$121:$M$121,CJ$178,DIC!$AM25:$AS25)+SUMIF($CS$178:$CV$178,CJ$178,$CS532:$CV532)</f>
        <v>0</v>
      </c>
      <c r="CK532" s="230">
        <f>SUMIF(DIC!$G$121:$M$121,CK$178,DIC!$AM25:$AS25)+SUMIF($CS$178:$CV$178,CK$178,$CS532:$CV532)</f>
        <v>0</v>
      </c>
      <c r="CL532" s="230">
        <f>SUMIF(DIC!$G$121:$M$121,CL$178,DIC!$AM25:$AS25)+SUMIF($CS$178:$CV$178,CL$178,$CS532:$CV532)</f>
        <v>0</v>
      </c>
      <c r="CM532" s="230">
        <f>SUMIF(DIC!$G$121:$M$121,CM$178,DIC!$AM25:$AS25)+SUMIF($CS$178:$CV$178,CM$178,$CS532:$CV532)</f>
        <v>0</v>
      </c>
      <c r="CN532" s="230">
        <f>SUMIF(DIC!$G$121:$M$121,CN$178,DIC!$AM25:$AS25)+SUMIF($CS$178:$CV$178,CN$178,$CS532:$CV532)</f>
        <v>0</v>
      </c>
      <c r="CO532" s="230">
        <f>SUMIF(DIC!$G$121:$M$121,CO$178,DIC!$AM25:$AS25)+SUMIF($CS$178:$CV$178,CO$178,$CS532:$CV532)</f>
        <v>0</v>
      </c>
      <c r="CP532" s="230">
        <f>SUMIF(DIC!$G$121:$M$121,CP$178,DIC!$AM25:$AS25)+SUMIF($CS$178:$CV$178,CP$178,$CS532:$CV532)</f>
        <v>0</v>
      </c>
      <c r="CQ532" s="231">
        <f>SUMIF(DIC!$G$121:$M$121,CQ$178,DIC!$AM25:$AS25)+SUMIF($CS$178:$CV$178,CQ$178,$CS532:$CV532)</f>
        <v>0</v>
      </c>
      <c r="CR532" s="521">
        <f>DIC!AU25</f>
        <v>0</v>
      </c>
      <c r="CS532" s="228">
        <f>DIC!AV25</f>
        <v>0</v>
      </c>
      <c r="CT532" s="229">
        <f>DIC!AW25</f>
        <v>0</v>
      </c>
      <c r="CU532" s="230">
        <f>DIC!AX25</f>
        <v>0</v>
      </c>
      <c r="CV532" s="231">
        <f>DIC!AY25</f>
        <v>0</v>
      </c>
      <c r="CW532" s="521">
        <f>SUM(DIC!AU25:AY25)</f>
        <v>0</v>
      </c>
      <c r="CX532" s="521">
        <f>DIC!AK25</f>
        <v>0</v>
      </c>
      <c r="CY532" s="2"/>
    </row>
    <row r="533" spans="1:103" ht="14.25" hidden="1" customHeight="1" x14ac:dyDescent="0.2">
      <c r="A533" s="2"/>
      <c r="B533" s="105">
        <f t="shared" si="128"/>
        <v>45645</v>
      </c>
      <c r="C533" s="146">
        <f>IF(AND(E533&gt;(N$562-1),E533&lt;(R$562+1)),W$551,IF(ISERROR(HLOOKUP(E533,$N$555:$U$555,1,FALSE)),HLOOKUP(WEEKDAY(E533,2),IMPOSTAZIONI!$C$52:$P$57,6,FALSE),$W$550))</f>
        <v>0</v>
      </c>
      <c r="D533" s="71" t="str">
        <f t="shared" si="129"/>
        <v/>
      </c>
      <c r="E533" s="2258">
        <f t="shared" si="134"/>
        <v>45645</v>
      </c>
      <c r="F533" s="2259"/>
      <c r="G533" s="2228" t="str">
        <f>DIC!E26</f>
        <v xml:space="preserve">disattivato  </v>
      </c>
      <c r="H533" s="2229"/>
      <c r="I533" s="2230"/>
      <c r="J533" s="262" t="str">
        <f t="shared" si="119"/>
        <v/>
      </c>
      <c r="K533" s="263"/>
      <c r="L533" s="2217">
        <f t="shared" si="135"/>
        <v>51</v>
      </c>
      <c r="M533" s="2218"/>
      <c r="N533" s="261"/>
      <c r="O533" s="261"/>
      <c r="P533" s="261"/>
      <c r="Q533" s="2219">
        <f t="shared" si="130"/>
        <v>45645</v>
      </c>
      <c r="R533" s="2219"/>
      <c r="S533" s="261"/>
      <c r="T533" s="1173">
        <f t="shared" si="120"/>
        <v>1</v>
      </c>
      <c r="U533" s="261"/>
      <c r="V533" s="261"/>
      <c r="W533" s="261"/>
      <c r="X533" s="261"/>
      <c r="Y533" s="261"/>
      <c r="Z533" s="261"/>
      <c r="AA533" s="261"/>
      <c r="AB533" s="261"/>
      <c r="AC533" s="261"/>
      <c r="AD533" s="261"/>
      <c r="AE533" s="261"/>
      <c r="AF533" s="261"/>
      <c r="AG533" s="1173">
        <f t="shared" si="131"/>
        <v>0</v>
      </c>
      <c r="AH533" s="61" t="str">
        <f t="shared" si="132"/>
        <v/>
      </c>
      <c r="AI533" s="89" t="e">
        <f t="shared" si="133"/>
        <v>#N/A</v>
      </c>
      <c r="AJ533" s="2"/>
      <c r="AK533" s="61">
        <f>IF(G533=G$547,0,IF(OR(G533&lt;&gt;0,CH533&lt;&gt;0,C533="L"),COUNTIF(AK$180:AK532,"&gt;0")+1,0))</f>
        <v>0</v>
      </c>
      <c r="AL533" s="61" t="str">
        <f t="shared" si="121"/>
        <v/>
      </c>
      <c r="AM533" s="61" t="e">
        <f t="shared" si="122"/>
        <v>#N/A</v>
      </c>
      <c r="AN533" s="89" t="e">
        <f t="shared" si="123"/>
        <v>#N/A</v>
      </c>
      <c r="AO533" s="230">
        <f>SUM(DIC!X26:AD26)-BD533+AY533</f>
        <v>0</v>
      </c>
      <c r="AP533" s="228">
        <f>SUMIF(DIC!$G$121:$M$121,AP$178,DIC!$P26:$V26)+SUMIF($AZ$178:$BC$178,AP$178,$AZ533:$BC533)</f>
        <v>0</v>
      </c>
      <c r="AQ533" s="229">
        <f>SUMIF(DIC!$G$121:$M$121,AQ$178,DIC!$P26:$V26)+SUMIF($AZ$178:$BC$178,AQ$178,$AZ533:$BC533)</f>
        <v>0</v>
      </c>
      <c r="AR533" s="230">
        <f>SUMIF(DIC!$G$121:$M$121,AR$178,DIC!$P26:$V26)+SUMIF($AZ$178:$BC$178,AR$178,$AZ533:$BC533)</f>
        <v>0</v>
      </c>
      <c r="AS533" s="230">
        <f>SUMIF(DIC!$G$121:$M$121,AS$178,DIC!$P26:$V26)+SUMIF($AZ$178:$BC$178,AS$178,$AZ533:$BC533)</f>
        <v>0</v>
      </c>
      <c r="AT533" s="230">
        <f>SUMIF(DIC!$G$121:$M$121,AT$178,DIC!$P26:$V26)+SUMIF($AZ$178:$BC$178,AT$178,$AZ533:$BC533)</f>
        <v>0</v>
      </c>
      <c r="AU533" s="230">
        <f>SUMIF(DIC!$G$121:$M$121,AU$178,DIC!$P26:$V26)+SUMIF($AZ$178:$BC$178,AU$178,$AZ533:$BC533)</f>
        <v>0</v>
      </c>
      <c r="AV533" s="230">
        <f>SUMIF(DIC!$G$121:$M$121,AV$178,DIC!$P26:$V26)+SUMIF($AZ$178:$BC$178,AV$178,$AZ533:$BC533)</f>
        <v>0</v>
      </c>
      <c r="AW533" s="230">
        <f>SUMIF(DIC!$G$121:$M$121,AW$178,DIC!$P26:$V26)+SUMIF($AZ$178:$BC$178,AW$178,$AZ533:$BC533)</f>
        <v>0</v>
      </c>
      <c r="AX533" s="231">
        <f>SUMIF(DIC!$G$121:$M$121,AX$178,DIC!$P26:$V26)+SUMIF($AZ$178:$BC$178,AX$178,$AZ533:$BC533)</f>
        <v>0</v>
      </c>
      <c r="AY533" s="232">
        <f>DIC!AF26</f>
        <v>0</v>
      </c>
      <c r="AZ533" s="228">
        <f>DIC!AG26</f>
        <v>0</v>
      </c>
      <c r="BA533" s="229">
        <f>DIC!AH26</f>
        <v>0</v>
      </c>
      <c r="BB533" s="230">
        <f>DIC!AI26</f>
        <v>0</v>
      </c>
      <c r="BC533" s="231">
        <f>DIC!AJ26</f>
        <v>0</v>
      </c>
      <c r="BD533" s="228">
        <f>SUMIF(DIC!$G$120:$M$120,"&gt;0",DIC!$X26:$AD26)</f>
        <v>0</v>
      </c>
      <c r="BE533" s="696"/>
      <c r="BF533" s="228">
        <f>SUMIF(DIC!$BA$6:$BG$6,BF$177,DIC!$BA26:$BG26)</f>
        <v>0</v>
      </c>
      <c r="BG533" s="229">
        <f>SUMIF(DIC!$BA$6:$BG$6,BG$177,DIC!$BA26:$BG26)</f>
        <v>0</v>
      </c>
      <c r="BH533" s="229">
        <f>SUMIF(DIC!$BA$6:$BG$6,BH$177,DIC!$BA26:$BG26)</f>
        <v>0</v>
      </c>
      <c r="BI533" s="229">
        <f>SUMIF(DIC!$BA$6:$BG$6,BI$177,DIC!$BA26:$BG26)</f>
        <v>0</v>
      </c>
      <c r="BJ533" s="229">
        <f>SUMIF(DIC!$BA$6:$BG$6,BJ$177,DIC!$BA26:$BG26)</f>
        <v>0</v>
      </c>
      <c r="BK533" s="229">
        <f>SUMIF(DIC!$BA$6:$BG$6,BK$177,DIC!$BA26:$BG26)</f>
        <v>0</v>
      </c>
      <c r="BL533" s="229">
        <f>SUMIF(DIC!$BA$6:$BG$6,BL$177,DIC!$BA26:$BG26)</f>
        <v>0</v>
      </c>
      <c r="BM533" s="229">
        <f>SUMIF(DIC!$BA$6:$BG$6,BM$177,DIC!$BA26:$BG26)</f>
        <v>0</v>
      </c>
      <c r="BN533" s="229">
        <f>SUMIF(DIC!$BA$6:$BG$6,BN$177,DIC!$BA26:$BG26)</f>
        <v>0</v>
      </c>
      <c r="BO533" s="231">
        <f>SUMIF(DIC!$BA$6:$BG$6,BO$177,DIC!$BA26:$BG26)</f>
        <v>0</v>
      </c>
      <c r="BP533" s="231">
        <f>SUMIF(DIC!$BA$6:$BG$6,BP$177,DIC!$BA26:$BG26)</f>
        <v>0</v>
      </c>
      <c r="BQ533" s="252"/>
      <c r="BR533" s="228">
        <f>SUMIF(DIC!$BA$5:$BG$5,BR$177,DIC!$BA26:$BG26)</f>
        <v>0</v>
      </c>
      <c r="BS533" s="229">
        <f>SUMIF(DIC!$BA$5:$BG$5,BS$177,DIC!$BA26:$BG26)</f>
        <v>0</v>
      </c>
      <c r="BT533" s="229">
        <f>SUMIF(DIC!$BA$5:$BG$5,BT$177,DIC!$BA26:$BG26)</f>
        <v>0</v>
      </c>
      <c r="BU533" s="229">
        <f>SUMIF(DIC!$BA$5:$BG$5,BU$177,DIC!$BA26:$BG26)</f>
        <v>0</v>
      </c>
      <c r="BV533" s="229">
        <f>SUMIF(DIC!$BA$5:$BG$5,BV$177,DIC!$BA26:$BG26)</f>
        <v>0</v>
      </c>
      <c r="BW533" s="229">
        <f>SUMIF(DIC!$BA$5:$BG$5,BW$177,DIC!$BA26:$BG26)</f>
        <v>0</v>
      </c>
      <c r="BX533" s="230">
        <f>SUMIF(DIC!$BA$5:$BG$5,BX$177,DIC!$BA26:$BG26)</f>
        <v>0</v>
      </c>
      <c r="BY533" s="998">
        <f>SUMIF(DIC!$BA$5:$BG$5,BY$177,DIC!$BA26:$BG26)</f>
        <v>0</v>
      </c>
      <c r="CB533" s="252"/>
      <c r="CC533" s="61" t="e">
        <f t="shared" si="124"/>
        <v>#N/A</v>
      </c>
      <c r="CD533" s="61">
        <f t="shared" si="125"/>
        <v>0</v>
      </c>
      <c r="CE533" s="105" t="str">
        <f t="shared" si="118"/>
        <v/>
      </c>
      <c r="CF533" s="61" t="e">
        <f t="shared" si="126"/>
        <v>#N/A</v>
      </c>
      <c r="CG533" s="61" t="e">
        <f t="shared" si="127"/>
        <v>#N/A</v>
      </c>
      <c r="CH533" s="521">
        <f>DIC!AL26-CW533+CR533</f>
        <v>0</v>
      </c>
      <c r="CI533" s="228">
        <f>SUMIF(DIC!$G$121:$M$121,CI$178,DIC!$AM26:$AS26)+SUMIF($CS$178:$CV$178,CI$178,$CS533:$CV533)</f>
        <v>0</v>
      </c>
      <c r="CJ533" s="229">
        <f>SUMIF(DIC!$G$121:$M$121,CJ$178,DIC!$AM26:$AS26)+SUMIF($CS$178:$CV$178,CJ$178,$CS533:$CV533)</f>
        <v>0</v>
      </c>
      <c r="CK533" s="230">
        <f>SUMIF(DIC!$G$121:$M$121,CK$178,DIC!$AM26:$AS26)+SUMIF($CS$178:$CV$178,CK$178,$CS533:$CV533)</f>
        <v>0</v>
      </c>
      <c r="CL533" s="230">
        <f>SUMIF(DIC!$G$121:$M$121,CL$178,DIC!$AM26:$AS26)+SUMIF($CS$178:$CV$178,CL$178,$CS533:$CV533)</f>
        <v>0</v>
      </c>
      <c r="CM533" s="230">
        <f>SUMIF(DIC!$G$121:$M$121,CM$178,DIC!$AM26:$AS26)+SUMIF($CS$178:$CV$178,CM$178,$CS533:$CV533)</f>
        <v>0</v>
      </c>
      <c r="CN533" s="230">
        <f>SUMIF(DIC!$G$121:$M$121,CN$178,DIC!$AM26:$AS26)+SUMIF($CS$178:$CV$178,CN$178,$CS533:$CV533)</f>
        <v>0</v>
      </c>
      <c r="CO533" s="230">
        <f>SUMIF(DIC!$G$121:$M$121,CO$178,DIC!$AM26:$AS26)+SUMIF($CS$178:$CV$178,CO$178,$CS533:$CV533)</f>
        <v>0</v>
      </c>
      <c r="CP533" s="230">
        <f>SUMIF(DIC!$G$121:$M$121,CP$178,DIC!$AM26:$AS26)+SUMIF($CS$178:$CV$178,CP$178,$CS533:$CV533)</f>
        <v>0</v>
      </c>
      <c r="CQ533" s="231">
        <f>SUMIF(DIC!$G$121:$M$121,CQ$178,DIC!$AM26:$AS26)+SUMIF($CS$178:$CV$178,CQ$178,$CS533:$CV533)</f>
        <v>0</v>
      </c>
      <c r="CR533" s="521">
        <f>DIC!AU26</f>
        <v>0</v>
      </c>
      <c r="CS533" s="228">
        <f>DIC!AV26</f>
        <v>0</v>
      </c>
      <c r="CT533" s="229">
        <f>DIC!AW26</f>
        <v>0</v>
      </c>
      <c r="CU533" s="230">
        <f>DIC!AX26</f>
        <v>0</v>
      </c>
      <c r="CV533" s="231">
        <f>DIC!AY26</f>
        <v>0</v>
      </c>
      <c r="CW533" s="521">
        <f>SUM(DIC!AU26:AY26)</f>
        <v>0</v>
      </c>
      <c r="CX533" s="521">
        <f>DIC!AK26</f>
        <v>0</v>
      </c>
      <c r="CY533" s="2"/>
    </row>
    <row r="534" spans="1:103" ht="14.25" hidden="1" customHeight="1" x14ac:dyDescent="0.2">
      <c r="A534" s="2"/>
      <c r="B534" s="105">
        <f t="shared" si="128"/>
        <v>45646</v>
      </c>
      <c r="C534" s="146">
        <f>IF(AND(E534&gt;(N$562-1),E534&lt;(R$562+1)),W$551,IF(ISERROR(HLOOKUP(E534,$N$555:$U$555,1,FALSE)),HLOOKUP(WEEKDAY(E534,2),IMPOSTAZIONI!$C$52:$P$57,6,FALSE),$W$550))</f>
        <v>0</v>
      </c>
      <c r="D534" s="71" t="str">
        <f t="shared" si="129"/>
        <v/>
      </c>
      <c r="E534" s="2258">
        <f t="shared" si="134"/>
        <v>45646</v>
      </c>
      <c r="F534" s="2259"/>
      <c r="G534" s="2228" t="str">
        <f>DIC!E27</f>
        <v xml:space="preserve">disattivato  </v>
      </c>
      <c r="H534" s="2229"/>
      <c r="I534" s="2230"/>
      <c r="J534" s="262" t="str">
        <f t="shared" si="119"/>
        <v/>
      </c>
      <c r="K534" s="263"/>
      <c r="L534" s="2217">
        <f t="shared" si="135"/>
        <v>51</v>
      </c>
      <c r="M534" s="2218"/>
      <c r="N534" s="261"/>
      <c r="O534" s="261"/>
      <c r="P534" s="261"/>
      <c r="Q534" s="2219">
        <f t="shared" si="130"/>
        <v>45646</v>
      </c>
      <c r="R534" s="2219"/>
      <c r="S534" s="261"/>
      <c r="T534" s="1173">
        <f t="shared" si="120"/>
        <v>1</v>
      </c>
      <c r="U534" s="261"/>
      <c r="V534" s="261"/>
      <c r="W534" s="261"/>
      <c r="X534" s="261"/>
      <c r="Y534" s="261"/>
      <c r="Z534" s="261"/>
      <c r="AA534" s="261"/>
      <c r="AB534" s="261"/>
      <c r="AC534" s="261"/>
      <c r="AD534" s="261"/>
      <c r="AE534" s="261"/>
      <c r="AF534" s="261"/>
      <c r="AG534" s="1173">
        <f t="shared" si="131"/>
        <v>0</v>
      </c>
      <c r="AH534" s="61" t="str">
        <f t="shared" si="132"/>
        <v/>
      </c>
      <c r="AI534" s="89" t="e">
        <f t="shared" si="133"/>
        <v>#N/A</v>
      </c>
      <c r="AJ534" s="2"/>
      <c r="AK534" s="61">
        <f>IF(G534=G$547,0,IF(OR(G534&lt;&gt;0,CH534&lt;&gt;0,C534="L"),COUNTIF(AK$180:AK533,"&gt;0")+1,0))</f>
        <v>0</v>
      </c>
      <c r="AL534" s="61" t="str">
        <f t="shared" si="121"/>
        <v/>
      </c>
      <c r="AM534" s="61" t="e">
        <f t="shared" si="122"/>
        <v>#N/A</v>
      </c>
      <c r="AN534" s="89" t="e">
        <f t="shared" si="123"/>
        <v>#N/A</v>
      </c>
      <c r="AO534" s="230">
        <f>SUM(DIC!X27:AD27)-BD534+AY534</f>
        <v>0</v>
      </c>
      <c r="AP534" s="228">
        <f>SUMIF(DIC!$G$121:$M$121,AP$178,DIC!$P27:$V27)+SUMIF($AZ$178:$BC$178,AP$178,$AZ534:$BC534)</f>
        <v>0</v>
      </c>
      <c r="AQ534" s="229">
        <f>SUMIF(DIC!$G$121:$M$121,AQ$178,DIC!$P27:$V27)+SUMIF($AZ$178:$BC$178,AQ$178,$AZ534:$BC534)</f>
        <v>0</v>
      </c>
      <c r="AR534" s="230">
        <f>SUMIF(DIC!$G$121:$M$121,AR$178,DIC!$P27:$V27)+SUMIF($AZ$178:$BC$178,AR$178,$AZ534:$BC534)</f>
        <v>0</v>
      </c>
      <c r="AS534" s="230">
        <f>SUMIF(DIC!$G$121:$M$121,AS$178,DIC!$P27:$V27)+SUMIF($AZ$178:$BC$178,AS$178,$AZ534:$BC534)</f>
        <v>0</v>
      </c>
      <c r="AT534" s="230">
        <f>SUMIF(DIC!$G$121:$M$121,AT$178,DIC!$P27:$V27)+SUMIF($AZ$178:$BC$178,AT$178,$AZ534:$BC534)</f>
        <v>0</v>
      </c>
      <c r="AU534" s="230">
        <f>SUMIF(DIC!$G$121:$M$121,AU$178,DIC!$P27:$V27)+SUMIF($AZ$178:$BC$178,AU$178,$AZ534:$BC534)</f>
        <v>0</v>
      </c>
      <c r="AV534" s="230">
        <f>SUMIF(DIC!$G$121:$M$121,AV$178,DIC!$P27:$V27)+SUMIF($AZ$178:$BC$178,AV$178,$AZ534:$BC534)</f>
        <v>0</v>
      </c>
      <c r="AW534" s="230">
        <f>SUMIF(DIC!$G$121:$M$121,AW$178,DIC!$P27:$V27)+SUMIF($AZ$178:$BC$178,AW$178,$AZ534:$BC534)</f>
        <v>0</v>
      </c>
      <c r="AX534" s="231">
        <f>SUMIF(DIC!$G$121:$M$121,AX$178,DIC!$P27:$V27)+SUMIF($AZ$178:$BC$178,AX$178,$AZ534:$BC534)</f>
        <v>0</v>
      </c>
      <c r="AY534" s="232">
        <f>DIC!AF27</f>
        <v>0</v>
      </c>
      <c r="AZ534" s="228">
        <f>DIC!AG27</f>
        <v>0</v>
      </c>
      <c r="BA534" s="229">
        <f>DIC!AH27</f>
        <v>0</v>
      </c>
      <c r="BB534" s="230">
        <f>DIC!AI27</f>
        <v>0</v>
      </c>
      <c r="BC534" s="231">
        <f>DIC!AJ27</f>
        <v>0</v>
      </c>
      <c r="BD534" s="228">
        <f>SUMIF(DIC!$G$120:$M$120,"&gt;0",DIC!$X27:$AD27)</f>
        <v>0</v>
      </c>
      <c r="BE534" s="696"/>
      <c r="BF534" s="228">
        <f>SUMIF(DIC!$BA$6:$BG$6,BF$177,DIC!$BA27:$BG27)</f>
        <v>0</v>
      </c>
      <c r="BG534" s="229">
        <f>SUMIF(DIC!$BA$6:$BG$6,BG$177,DIC!$BA27:$BG27)</f>
        <v>0</v>
      </c>
      <c r="BH534" s="229">
        <f>SUMIF(DIC!$BA$6:$BG$6,BH$177,DIC!$BA27:$BG27)</f>
        <v>0</v>
      </c>
      <c r="BI534" s="229">
        <f>SUMIF(DIC!$BA$6:$BG$6,BI$177,DIC!$BA27:$BG27)</f>
        <v>0</v>
      </c>
      <c r="BJ534" s="229">
        <f>SUMIF(DIC!$BA$6:$BG$6,BJ$177,DIC!$BA27:$BG27)</f>
        <v>0</v>
      </c>
      <c r="BK534" s="229">
        <f>SUMIF(DIC!$BA$6:$BG$6,BK$177,DIC!$BA27:$BG27)</f>
        <v>0</v>
      </c>
      <c r="BL534" s="229">
        <f>SUMIF(DIC!$BA$6:$BG$6,BL$177,DIC!$BA27:$BG27)</f>
        <v>0</v>
      </c>
      <c r="BM534" s="229">
        <f>SUMIF(DIC!$BA$6:$BG$6,BM$177,DIC!$BA27:$BG27)</f>
        <v>0</v>
      </c>
      <c r="BN534" s="229">
        <f>SUMIF(DIC!$BA$6:$BG$6,BN$177,DIC!$BA27:$BG27)</f>
        <v>0</v>
      </c>
      <c r="BO534" s="231">
        <f>SUMIF(DIC!$BA$6:$BG$6,BO$177,DIC!$BA27:$BG27)</f>
        <v>0</v>
      </c>
      <c r="BP534" s="231">
        <f>SUMIF(DIC!$BA$6:$BG$6,BP$177,DIC!$BA27:$BG27)</f>
        <v>0</v>
      </c>
      <c r="BQ534" s="252"/>
      <c r="BR534" s="228">
        <f>SUMIF(DIC!$BA$5:$BG$5,BR$177,DIC!$BA27:$BG27)</f>
        <v>0</v>
      </c>
      <c r="BS534" s="229">
        <f>SUMIF(DIC!$BA$5:$BG$5,BS$177,DIC!$BA27:$BG27)</f>
        <v>0</v>
      </c>
      <c r="BT534" s="229">
        <f>SUMIF(DIC!$BA$5:$BG$5,BT$177,DIC!$BA27:$BG27)</f>
        <v>0</v>
      </c>
      <c r="BU534" s="229">
        <f>SUMIF(DIC!$BA$5:$BG$5,BU$177,DIC!$BA27:$BG27)</f>
        <v>0</v>
      </c>
      <c r="BV534" s="229">
        <f>SUMIF(DIC!$BA$5:$BG$5,BV$177,DIC!$BA27:$BG27)</f>
        <v>0</v>
      </c>
      <c r="BW534" s="229">
        <f>SUMIF(DIC!$BA$5:$BG$5,BW$177,DIC!$BA27:$BG27)</f>
        <v>0</v>
      </c>
      <c r="BX534" s="230">
        <f>SUMIF(DIC!$BA$5:$BG$5,BX$177,DIC!$BA27:$BG27)</f>
        <v>0</v>
      </c>
      <c r="BY534" s="998">
        <f>SUMIF(DIC!$BA$5:$BG$5,BY$177,DIC!$BA27:$BG27)</f>
        <v>0</v>
      </c>
      <c r="CB534" s="252"/>
      <c r="CC534" s="61" t="e">
        <f t="shared" si="124"/>
        <v>#N/A</v>
      </c>
      <c r="CD534" s="61">
        <f t="shared" si="125"/>
        <v>0</v>
      </c>
      <c r="CE534" s="105" t="str">
        <f t="shared" si="118"/>
        <v/>
      </c>
      <c r="CF534" s="61" t="e">
        <f t="shared" si="126"/>
        <v>#N/A</v>
      </c>
      <c r="CG534" s="61" t="e">
        <f t="shared" si="127"/>
        <v>#N/A</v>
      </c>
      <c r="CH534" s="521">
        <f>DIC!AL27-CW534+CR534</f>
        <v>0</v>
      </c>
      <c r="CI534" s="228">
        <f>SUMIF(DIC!$G$121:$M$121,CI$178,DIC!$AM27:$AS27)+SUMIF($CS$178:$CV$178,CI$178,$CS534:$CV534)</f>
        <v>0</v>
      </c>
      <c r="CJ534" s="229">
        <f>SUMIF(DIC!$G$121:$M$121,CJ$178,DIC!$AM27:$AS27)+SUMIF($CS$178:$CV$178,CJ$178,$CS534:$CV534)</f>
        <v>0</v>
      </c>
      <c r="CK534" s="230">
        <f>SUMIF(DIC!$G$121:$M$121,CK$178,DIC!$AM27:$AS27)+SUMIF($CS$178:$CV$178,CK$178,$CS534:$CV534)</f>
        <v>0</v>
      </c>
      <c r="CL534" s="230">
        <f>SUMIF(DIC!$G$121:$M$121,CL$178,DIC!$AM27:$AS27)+SUMIF($CS$178:$CV$178,CL$178,$CS534:$CV534)</f>
        <v>0</v>
      </c>
      <c r="CM534" s="230">
        <f>SUMIF(DIC!$G$121:$M$121,CM$178,DIC!$AM27:$AS27)+SUMIF($CS$178:$CV$178,CM$178,$CS534:$CV534)</f>
        <v>0</v>
      </c>
      <c r="CN534" s="230">
        <f>SUMIF(DIC!$G$121:$M$121,CN$178,DIC!$AM27:$AS27)+SUMIF($CS$178:$CV$178,CN$178,$CS534:$CV534)</f>
        <v>0</v>
      </c>
      <c r="CO534" s="230">
        <f>SUMIF(DIC!$G$121:$M$121,CO$178,DIC!$AM27:$AS27)+SUMIF($CS$178:$CV$178,CO$178,$CS534:$CV534)</f>
        <v>0</v>
      </c>
      <c r="CP534" s="230">
        <f>SUMIF(DIC!$G$121:$M$121,CP$178,DIC!$AM27:$AS27)+SUMIF($CS$178:$CV$178,CP$178,$CS534:$CV534)</f>
        <v>0</v>
      </c>
      <c r="CQ534" s="231">
        <f>SUMIF(DIC!$G$121:$M$121,CQ$178,DIC!$AM27:$AS27)+SUMIF($CS$178:$CV$178,CQ$178,$CS534:$CV534)</f>
        <v>0</v>
      </c>
      <c r="CR534" s="521">
        <f>DIC!AU27</f>
        <v>0</v>
      </c>
      <c r="CS534" s="228">
        <f>DIC!AV27</f>
        <v>0</v>
      </c>
      <c r="CT534" s="229">
        <f>DIC!AW27</f>
        <v>0</v>
      </c>
      <c r="CU534" s="230">
        <f>DIC!AX27</f>
        <v>0</v>
      </c>
      <c r="CV534" s="231">
        <f>DIC!AY27</f>
        <v>0</v>
      </c>
      <c r="CW534" s="521">
        <f>SUM(DIC!AU27:AY27)</f>
        <v>0</v>
      </c>
      <c r="CX534" s="521">
        <f>DIC!AK27</f>
        <v>0</v>
      </c>
      <c r="CY534" s="2"/>
    </row>
    <row r="535" spans="1:103" ht="14.25" hidden="1" customHeight="1" x14ac:dyDescent="0.2">
      <c r="A535" s="2"/>
      <c r="B535" s="105">
        <f t="shared" si="128"/>
        <v>45647</v>
      </c>
      <c r="C535" s="146">
        <f>IF(AND(E535&gt;(N$562-1),E535&lt;(R$562+1)),W$551,IF(ISERROR(HLOOKUP(E535,$N$555:$U$555,1,FALSE)),HLOOKUP(WEEKDAY(E535,2),IMPOSTAZIONI!$C$52:$P$57,6,FALSE),$W$550))</f>
        <v>0</v>
      </c>
      <c r="D535" s="71" t="str">
        <f t="shared" si="129"/>
        <v/>
      </c>
      <c r="E535" s="2258">
        <f t="shared" si="134"/>
        <v>45647</v>
      </c>
      <c r="F535" s="2259"/>
      <c r="G535" s="2228" t="str">
        <f>DIC!E28</f>
        <v xml:space="preserve">disattivato  </v>
      </c>
      <c r="H535" s="2229"/>
      <c r="I535" s="2230"/>
      <c r="J535" s="262" t="str">
        <f t="shared" si="119"/>
        <v/>
      </c>
      <c r="K535" s="263"/>
      <c r="L535" s="2217">
        <f t="shared" si="135"/>
        <v>51</v>
      </c>
      <c r="M535" s="2218"/>
      <c r="N535" s="261"/>
      <c r="O535" s="261"/>
      <c r="P535" s="261"/>
      <c r="Q535" s="2219">
        <f t="shared" si="130"/>
        <v>45647</v>
      </c>
      <c r="R535" s="2219"/>
      <c r="S535" s="261"/>
      <c r="T535" s="1173">
        <f t="shared" si="120"/>
        <v>1</v>
      </c>
      <c r="U535" s="261"/>
      <c r="V535" s="261"/>
      <c r="W535" s="261"/>
      <c r="X535" s="261"/>
      <c r="Y535" s="261"/>
      <c r="Z535" s="261"/>
      <c r="AA535" s="261"/>
      <c r="AB535" s="261"/>
      <c r="AC535" s="261"/>
      <c r="AD535" s="261"/>
      <c r="AE535" s="261"/>
      <c r="AF535" s="261"/>
      <c r="AG535" s="1173">
        <f t="shared" si="131"/>
        <v>0</v>
      </c>
      <c r="AH535" s="61" t="str">
        <f t="shared" si="132"/>
        <v/>
      </c>
      <c r="AI535" s="89" t="e">
        <f t="shared" si="133"/>
        <v>#N/A</v>
      </c>
      <c r="AJ535" s="2"/>
      <c r="AK535" s="61">
        <f>IF(G535=G$547,0,IF(OR(G535&lt;&gt;0,CH535&lt;&gt;0,C535="L"),COUNTIF(AK$180:AK534,"&gt;0")+1,0))</f>
        <v>0</v>
      </c>
      <c r="AL535" s="61" t="str">
        <f t="shared" si="121"/>
        <v/>
      </c>
      <c r="AM535" s="61" t="e">
        <f t="shared" si="122"/>
        <v>#N/A</v>
      </c>
      <c r="AN535" s="89" t="e">
        <f t="shared" si="123"/>
        <v>#N/A</v>
      </c>
      <c r="AO535" s="230">
        <f>SUM(DIC!X28:AD28)-BD535+AY535</f>
        <v>0</v>
      </c>
      <c r="AP535" s="228">
        <f>SUMIF(DIC!$G$121:$M$121,AP$178,DIC!$P28:$V28)+SUMIF($AZ$178:$BC$178,AP$178,$AZ535:$BC535)</f>
        <v>0</v>
      </c>
      <c r="AQ535" s="229">
        <f>SUMIF(DIC!$G$121:$M$121,AQ$178,DIC!$P28:$V28)+SUMIF($AZ$178:$BC$178,AQ$178,$AZ535:$BC535)</f>
        <v>0</v>
      </c>
      <c r="AR535" s="230">
        <f>SUMIF(DIC!$G$121:$M$121,AR$178,DIC!$P28:$V28)+SUMIF($AZ$178:$BC$178,AR$178,$AZ535:$BC535)</f>
        <v>0</v>
      </c>
      <c r="AS535" s="230">
        <f>SUMIF(DIC!$G$121:$M$121,AS$178,DIC!$P28:$V28)+SUMIF($AZ$178:$BC$178,AS$178,$AZ535:$BC535)</f>
        <v>0</v>
      </c>
      <c r="AT535" s="230">
        <f>SUMIF(DIC!$G$121:$M$121,AT$178,DIC!$P28:$V28)+SUMIF($AZ$178:$BC$178,AT$178,$AZ535:$BC535)</f>
        <v>0</v>
      </c>
      <c r="AU535" s="230">
        <f>SUMIF(DIC!$G$121:$M$121,AU$178,DIC!$P28:$V28)+SUMIF($AZ$178:$BC$178,AU$178,$AZ535:$BC535)</f>
        <v>0</v>
      </c>
      <c r="AV535" s="230">
        <f>SUMIF(DIC!$G$121:$M$121,AV$178,DIC!$P28:$V28)+SUMIF($AZ$178:$BC$178,AV$178,$AZ535:$BC535)</f>
        <v>0</v>
      </c>
      <c r="AW535" s="230">
        <f>SUMIF(DIC!$G$121:$M$121,AW$178,DIC!$P28:$V28)+SUMIF($AZ$178:$BC$178,AW$178,$AZ535:$BC535)</f>
        <v>0</v>
      </c>
      <c r="AX535" s="231">
        <f>SUMIF(DIC!$G$121:$M$121,AX$178,DIC!$P28:$V28)+SUMIF($AZ$178:$BC$178,AX$178,$AZ535:$BC535)</f>
        <v>0</v>
      </c>
      <c r="AY535" s="232">
        <f>DIC!AF28</f>
        <v>0</v>
      </c>
      <c r="AZ535" s="228">
        <f>DIC!AG28</f>
        <v>0</v>
      </c>
      <c r="BA535" s="229">
        <f>DIC!AH28</f>
        <v>0</v>
      </c>
      <c r="BB535" s="230">
        <f>DIC!AI28</f>
        <v>0</v>
      </c>
      <c r="BC535" s="231">
        <f>DIC!AJ28</f>
        <v>0</v>
      </c>
      <c r="BD535" s="228">
        <f>SUMIF(DIC!$G$120:$M$120,"&gt;0",DIC!$X28:$AD28)</f>
        <v>0</v>
      </c>
      <c r="BE535" s="696"/>
      <c r="BF535" s="228">
        <f>SUMIF(DIC!$BA$6:$BG$6,BF$177,DIC!$BA28:$BG28)</f>
        <v>0</v>
      </c>
      <c r="BG535" s="229">
        <f>SUMIF(DIC!$BA$6:$BG$6,BG$177,DIC!$BA28:$BG28)</f>
        <v>0</v>
      </c>
      <c r="BH535" s="229">
        <f>SUMIF(DIC!$BA$6:$BG$6,BH$177,DIC!$BA28:$BG28)</f>
        <v>0</v>
      </c>
      <c r="BI535" s="229">
        <f>SUMIF(DIC!$BA$6:$BG$6,BI$177,DIC!$BA28:$BG28)</f>
        <v>0</v>
      </c>
      <c r="BJ535" s="229">
        <f>SUMIF(DIC!$BA$6:$BG$6,BJ$177,DIC!$BA28:$BG28)</f>
        <v>0</v>
      </c>
      <c r="BK535" s="229">
        <f>SUMIF(DIC!$BA$6:$BG$6,BK$177,DIC!$BA28:$BG28)</f>
        <v>0</v>
      </c>
      <c r="BL535" s="229">
        <f>SUMIF(DIC!$BA$6:$BG$6,BL$177,DIC!$BA28:$BG28)</f>
        <v>0</v>
      </c>
      <c r="BM535" s="229">
        <f>SUMIF(DIC!$BA$6:$BG$6,BM$177,DIC!$BA28:$BG28)</f>
        <v>0</v>
      </c>
      <c r="BN535" s="229">
        <f>SUMIF(DIC!$BA$6:$BG$6,BN$177,DIC!$BA28:$BG28)</f>
        <v>0</v>
      </c>
      <c r="BO535" s="231">
        <f>SUMIF(DIC!$BA$6:$BG$6,BO$177,DIC!$BA28:$BG28)</f>
        <v>0</v>
      </c>
      <c r="BP535" s="231">
        <f>SUMIF(DIC!$BA$6:$BG$6,BP$177,DIC!$BA28:$BG28)</f>
        <v>0</v>
      </c>
      <c r="BQ535" s="252"/>
      <c r="BR535" s="228">
        <f>SUMIF(DIC!$BA$5:$BG$5,BR$177,DIC!$BA28:$BG28)</f>
        <v>0</v>
      </c>
      <c r="BS535" s="229">
        <f>SUMIF(DIC!$BA$5:$BG$5,BS$177,DIC!$BA28:$BG28)</f>
        <v>0</v>
      </c>
      <c r="BT535" s="229">
        <f>SUMIF(DIC!$BA$5:$BG$5,BT$177,DIC!$BA28:$BG28)</f>
        <v>0</v>
      </c>
      <c r="BU535" s="229">
        <f>SUMIF(DIC!$BA$5:$BG$5,BU$177,DIC!$BA28:$BG28)</f>
        <v>0</v>
      </c>
      <c r="BV535" s="229">
        <f>SUMIF(DIC!$BA$5:$BG$5,BV$177,DIC!$BA28:$BG28)</f>
        <v>0</v>
      </c>
      <c r="BW535" s="229">
        <f>SUMIF(DIC!$BA$5:$BG$5,BW$177,DIC!$BA28:$BG28)</f>
        <v>0</v>
      </c>
      <c r="BX535" s="230">
        <f>SUMIF(DIC!$BA$5:$BG$5,BX$177,DIC!$BA28:$BG28)</f>
        <v>0</v>
      </c>
      <c r="BY535" s="998">
        <f>SUMIF(DIC!$BA$5:$BG$5,BY$177,DIC!$BA28:$BG28)</f>
        <v>0</v>
      </c>
      <c r="CB535" s="252"/>
      <c r="CC535" s="61" t="e">
        <f t="shared" si="124"/>
        <v>#N/A</v>
      </c>
      <c r="CD535" s="61">
        <f t="shared" si="125"/>
        <v>0</v>
      </c>
      <c r="CE535" s="105" t="str">
        <f t="shared" si="118"/>
        <v/>
      </c>
      <c r="CF535" s="61" t="e">
        <f t="shared" si="126"/>
        <v>#N/A</v>
      </c>
      <c r="CG535" s="61" t="e">
        <f t="shared" si="127"/>
        <v>#N/A</v>
      </c>
      <c r="CH535" s="521">
        <f>DIC!AL28-CW535+CR535</f>
        <v>0</v>
      </c>
      <c r="CI535" s="228">
        <f>SUMIF(DIC!$G$121:$M$121,CI$178,DIC!$AM28:$AS28)+SUMIF($CS$178:$CV$178,CI$178,$CS535:$CV535)</f>
        <v>0</v>
      </c>
      <c r="CJ535" s="229">
        <f>SUMIF(DIC!$G$121:$M$121,CJ$178,DIC!$AM28:$AS28)+SUMIF($CS$178:$CV$178,CJ$178,$CS535:$CV535)</f>
        <v>0</v>
      </c>
      <c r="CK535" s="230">
        <f>SUMIF(DIC!$G$121:$M$121,CK$178,DIC!$AM28:$AS28)+SUMIF($CS$178:$CV$178,CK$178,$CS535:$CV535)</f>
        <v>0</v>
      </c>
      <c r="CL535" s="230">
        <f>SUMIF(DIC!$G$121:$M$121,CL$178,DIC!$AM28:$AS28)+SUMIF($CS$178:$CV$178,CL$178,$CS535:$CV535)</f>
        <v>0</v>
      </c>
      <c r="CM535" s="230">
        <f>SUMIF(DIC!$G$121:$M$121,CM$178,DIC!$AM28:$AS28)+SUMIF($CS$178:$CV$178,CM$178,$CS535:$CV535)</f>
        <v>0</v>
      </c>
      <c r="CN535" s="230">
        <f>SUMIF(DIC!$G$121:$M$121,CN$178,DIC!$AM28:$AS28)+SUMIF($CS$178:$CV$178,CN$178,$CS535:$CV535)</f>
        <v>0</v>
      </c>
      <c r="CO535" s="230">
        <f>SUMIF(DIC!$G$121:$M$121,CO$178,DIC!$AM28:$AS28)+SUMIF($CS$178:$CV$178,CO$178,$CS535:$CV535)</f>
        <v>0</v>
      </c>
      <c r="CP535" s="230">
        <f>SUMIF(DIC!$G$121:$M$121,CP$178,DIC!$AM28:$AS28)+SUMIF($CS$178:$CV$178,CP$178,$CS535:$CV535)</f>
        <v>0</v>
      </c>
      <c r="CQ535" s="231">
        <f>SUMIF(DIC!$G$121:$M$121,CQ$178,DIC!$AM28:$AS28)+SUMIF($CS$178:$CV$178,CQ$178,$CS535:$CV535)</f>
        <v>0</v>
      </c>
      <c r="CR535" s="521">
        <f>DIC!AU28</f>
        <v>0</v>
      </c>
      <c r="CS535" s="228">
        <f>DIC!AV28</f>
        <v>0</v>
      </c>
      <c r="CT535" s="229">
        <f>DIC!AW28</f>
        <v>0</v>
      </c>
      <c r="CU535" s="230">
        <f>DIC!AX28</f>
        <v>0</v>
      </c>
      <c r="CV535" s="231">
        <f>DIC!AY28</f>
        <v>0</v>
      </c>
      <c r="CW535" s="521">
        <f>SUM(DIC!AU28:AY28)</f>
        <v>0</v>
      </c>
      <c r="CX535" s="521">
        <f>DIC!AK28</f>
        <v>0</v>
      </c>
      <c r="CY535" s="2"/>
    </row>
    <row r="536" spans="1:103" ht="14.25" hidden="1" customHeight="1" x14ac:dyDescent="0.2">
      <c r="A536" s="2"/>
      <c r="B536" s="105">
        <f t="shared" si="128"/>
        <v>45648</v>
      </c>
      <c r="C536" s="146">
        <f>IF(AND(E536&gt;(N$562-1),E536&lt;(R$562+1)),W$551,IF(ISERROR(HLOOKUP(E536,$N$555:$U$555,1,FALSE)),HLOOKUP(WEEKDAY(E536,2),IMPOSTAZIONI!$C$52:$P$57,6,FALSE),$W$550))</f>
        <v>0</v>
      </c>
      <c r="D536" s="71" t="str">
        <f t="shared" si="129"/>
        <v/>
      </c>
      <c r="E536" s="2258">
        <f t="shared" si="134"/>
        <v>45648</v>
      </c>
      <c r="F536" s="2259"/>
      <c r="G536" s="2228" t="str">
        <f>DIC!E29</f>
        <v xml:space="preserve">disattivato  </v>
      </c>
      <c r="H536" s="2229"/>
      <c r="I536" s="2230"/>
      <c r="J536" s="262" t="str">
        <f t="shared" si="119"/>
        <v/>
      </c>
      <c r="K536" s="263"/>
      <c r="L536" s="2220">
        <f t="shared" si="135"/>
        <v>51</v>
      </c>
      <c r="M536" s="2221"/>
      <c r="N536" s="261"/>
      <c r="O536" s="261"/>
      <c r="P536" s="261"/>
      <c r="Q536" s="2219">
        <f t="shared" si="130"/>
        <v>45648</v>
      </c>
      <c r="R536" s="2219"/>
      <c r="S536" s="261"/>
      <c r="T536" s="1173">
        <f t="shared" si="120"/>
        <v>1</v>
      </c>
      <c r="U536" s="261"/>
      <c r="V536" s="261"/>
      <c r="W536" s="261"/>
      <c r="X536" s="261"/>
      <c r="Y536" s="261"/>
      <c r="Z536" s="261"/>
      <c r="AA536" s="261"/>
      <c r="AB536" s="261"/>
      <c r="AC536" s="261"/>
      <c r="AD536" s="261"/>
      <c r="AE536" s="261"/>
      <c r="AF536" s="261"/>
      <c r="AG536" s="1173">
        <f t="shared" si="131"/>
        <v>0</v>
      </c>
      <c r="AH536" s="61" t="str">
        <f t="shared" si="132"/>
        <v/>
      </c>
      <c r="AI536" s="89" t="e">
        <f t="shared" si="133"/>
        <v>#N/A</v>
      </c>
      <c r="AJ536" s="2"/>
      <c r="AK536" s="61">
        <f>IF(G536=G$547,0,IF(OR(G536&lt;&gt;0,CH536&lt;&gt;0,C536="L"),COUNTIF(AK$180:AK535,"&gt;0")+1,0))</f>
        <v>0</v>
      </c>
      <c r="AL536" s="61" t="str">
        <f t="shared" si="121"/>
        <v/>
      </c>
      <c r="AM536" s="61" t="e">
        <f t="shared" si="122"/>
        <v>#N/A</v>
      </c>
      <c r="AN536" s="89" t="e">
        <f t="shared" si="123"/>
        <v>#N/A</v>
      </c>
      <c r="AO536" s="230">
        <f>SUM(DIC!X29:AD29)-BD536+AY536</f>
        <v>0</v>
      </c>
      <c r="AP536" s="228">
        <f>SUMIF(DIC!$G$121:$M$121,AP$178,DIC!$P29:$V29)+SUMIF($AZ$178:$BC$178,AP$178,$AZ536:$BC536)</f>
        <v>0</v>
      </c>
      <c r="AQ536" s="229">
        <f>SUMIF(DIC!$G$121:$M$121,AQ$178,DIC!$P29:$V29)+SUMIF($AZ$178:$BC$178,AQ$178,$AZ536:$BC536)</f>
        <v>0</v>
      </c>
      <c r="AR536" s="230">
        <f>SUMIF(DIC!$G$121:$M$121,AR$178,DIC!$P29:$V29)+SUMIF($AZ$178:$BC$178,AR$178,$AZ536:$BC536)</f>
        <v>0</v>
      </c>
      <c r="AS536" s="230">
        <f>SUMIF(DIC!$G$121:$M$121,AS$178,DIC!$P29:$V29)+SUMIF($AZ$178:$BC$178,AS$178,$AZ536:$BC536)</f>
        <v>0</v>
      </c>
      <c r="AT536" s="230">
        <f>SUMIF(DIC!$G$121:$M$121,AT$178,DIC!$P29:$V29)+SUMIF($AZ$178:$BC$178,AT$178,$AZ536:$BC536)</f>
        <v>0</v>
      </c>
      <c r="AU536" s="230">
        <f>SUMIF(DIC!$G$121:$M$121,AU$178,DIC!$P29:$V29)+SUMIF($AZ$178:$BC$178,AU$178,$AZ536:$BC536)</f>
        <v>0</v>
      </c>
      <c r="AV536" s="230">
        <f>SUMIF(DIC!$G$121:$M$121,AV$178,DIC!$P29:$V29)+SUMIF($AZ$178:$BC$178,AV$178,$AZ536:$BC536)</f>
        <v>0</v>
      </c>
      <c r="AW536" s="230">
        <f>SUMIF(DIC!$G$121:$M$121,AW$178,DIC!$P29:$V29)+SUMIF($AZ$178:$BC$178,AW$178,$AZ536:$BC536)</f>
        <v>0</v>
      </c>
      <c r="AX536" s="231">
        <f>SUMIF(DIC!$G$121:$M$121,AX$178,DIC!$P29:$V29)+SUMIF($AZ$178:$BC$178,AX$178,$AZ536:$BC536)</f>
        <v>0</v>
      </c>
      <c r="AY536" s="232">
        <f>DIC!AF29</f>
        <v>0</v>
      </c>
      <c r="AZ536" s="228">
        <f>DIC!AG29</f>
        <v>0</v>
      </c>
      <c r="BA536" s="229">
        <f>DIC!AH29</f>
        <v>0</v>
      </c>
      <c r="BB536" s="230">
        <f>DIC!AI29</f>
        <v>0</v>
      </c>
      <c r="BC536" s="231">
        <f>DIC!AJ29</f>
        <v>0</v>
      </c>
      <c r="BD536" s="228">
        <f>SUMIF(DIC!$G$120:$M$120,"&gt;0",DIC!$X29:$AD29)</f>
        <v>0</v>
      </c>
      <c r="BE536" s="696"/>
      <c r="BF536" s="228">
        <f>SUMIF(DIC!$BA$6:$BG$6,BF$177,DIC!$BA29:$BG29)</f>
        <v>0</v>
      </c>
      <c r="BG536" s="229">
        <f>SUMIF(DIC!$BA$6:$BG$6,BG$177,DIC!$BA29:$BG29)</f>
        <v>0</v>
      </c>
      <c r="BH536" s="229">
        <f>SUMIF(DIC!$BA$6:$BG$6,BH$177,DIC!$BA29:$BG29)</f>
        <v>0</v>
      </c>
      <c r="BI536" s="229">
        <f>SUMIF(DIC!$BA$6:$BG$6,BI$177,DIC!$BA29:$BG29)</f>
        <v>0</v>
      </c>
      <c r="BJ536" s="229">
        <f>SUMIF(DIC!$BA$6:$BG$6,BJ$177,DIC!$BA29:$BG29)</f>
        <v>0</v>
      </c>
      <c r="BK536" s="229">
        <f>SUMIF(DIC!$BA$6:$BG$6,BK$177,DIC!$BA29:$BG29)</f>
        <v>0</v>
      </c>
      <c r="BL536" s="229">
        <f>SUMIF(DIC!$BA$6:$BG$6,BL$177,DIC!$BA29:$BG29)</f>
        <v>0</v>
      </c>
      <c r="BM536" s="229">
        <f>SUMIF(DIC!$BA$6:$BG$6,BM$177,DIC!$BA29:$BG29)</f>
        <v>0</v>
      </c>
      <c r="BN536" s="229">
        <f>SUMIF(DIC!$BA$6:$BG$6,BN$177,DIC!$BA29:$BG29)</f>
        <v>0</v>
      </c>
      <c r="BO536" s="231">
        <f>SUMIF(DIC!$BA$6:$BG$6,BO$177,DIC!$BA29:$BG29)</f>
        <v>0</v>
      </c>
      <c r="BP536" s="231">
        <f>SUMIF(DIC!$BA$6:$BG$6,BP$177,DIC!$BA29:$BG29)</f>
        <v>0</v>
      </c>
      <c r="BQ536" s="252"/>
      <c r="BR536" s="228">
        <f>SUMIF(DIC!$BA$5:$BG$5,BR$177,DIC!$BA29:$BG29)</f>
        <v>0</v>
      </c>
      <c r="BS536" s="229">
        <f>SUMIF(DIC!$BA$5:$BG$5,BS$177,DIC!$BA29:$BG29)</f>
        <v>0</v>
      </c>
      <c r="BT536" s="229">
        <f>SUMIF(DIC!$BA$5:$BG$5,BT$177,DIC!$BA29:$BG29)</f>
        <v>0</v>
      </c>
      <c r="BU536" s="229">
        <f>SUMIF(DIC!$BA$5:$BG$5,BU$177,DIC!$BA29:$BG29)</f>
        <v>0</v>
      </c>
      <c r="BV536" s="229">
        <f>SUMIF(DIC!$BA$5:$BG$5,BV$177,DIC!$BA29:$BG29)</f>
        <v>0</v>
      </c>
      <c r="BW536" s="229">
        <f>SUMIF(DIC!$BA$5:$BG$5,BW$177,DIC!$BA29:$BG29)</f>
        <v>0</v>
      </c>
      <c r="BX536" s="230">
        <f>SUMIF(DIC!$BA$5:$BG$5,BX$177,DIC!$BA29:$BG29)</f>
        <v>0</v>
      </c>
      <c r="BY536" s="998">
        <f>SUMIF(DIC!$BA$5:$BG$5,BY$177,DIC!$BA29:$BG29)</f>
        <v>0</v>
      </c>
      <c r="CB536" s="252"/>
      <c r="CC536" s="61" t="e">
        <f t="shared" si="124"/>
        <v>#N/A</v>
      </c>
      <c r="CD536" s="61">
        <f t="shared" si="125"/>
        <v>0</v>
      </c>
      <c r="CE536" s="105" t="str">
        <f t="shared" si="118"/>
        <v/>
      </c>
      <c r="CF536" s="61" t="e">
        <f t="shared" si="126"/>
        <v>#N/A</v>
      </c>
      <c r="CG536" s="61" t="e">
        <f t="shared" si="127"/>
        <v>#N/A</v>
      </c>
      <c r="CH536" s="521">
        <f>DIC!AL29-CW536+CR536</f>
        <v>0</v>
      </c>
      <c r="CI536" s="228">
        <f>SUMIF(DIC!$G$121:$M$121,CI$178,DIC!$AM29:$AS29)+SUMIF($CS$178:$CV$178,CI$178,$CS536:$CV536)</f>
        <v>0</v>
      </c>
      <c r="CJ536" s="229">
        <f>SUMIF(DIC!$G$121:$M$121,CJ$178,DIC!$AM29:$AS29)+SUMIF($CS$178:$CV$178,CJ$178,$CS536:$CV536)</f>
        <v>0</v>
      </c>
      <c r="CK536" s="230">
        <f>SUMIF(DIC!$G$121:$M$121,CK$178,DIC!$AM29:$AS29)+SUMIF($CS$178:$CV$178,CK$178,$CS536:$CV536)</f>
        <v>0</v>
      </c>
      <c r="CL536" s="230">
        <f>SUMIF(DIC!$G$121:$M$121,CL$178,DIC!$AM29:$AS29)+SUMIF($CS$178:$CV$178,CL$178,$CS536:$CV536)</f>
        <v>0</v>
      </c>
      <c r="CM536" s="230">
        <f>SUMIF(DIC!$G$121:$M$121,CM$178,DIC!$AM29:$AS29)+SUMIF($CS$178:$CV$178,CM$178,$CS536:$CV536)</f>
        <v>0</v>
      </c>
      <c r="CN536" s="230">
        <f>SUMIF(DIC!$G$121:$M$121,CN$178,DIC!$AM29:$AS29)+SUMIF($CS$178:$CV$178,CN$178,$CS536:$CV536)</f>
        <v>0</v>
      </c>
      <c r="CO536" s="230">
        <f>SUMIF(DIC!$G$121:$M$121,CO$178,DIC!$AM29:$AS29)+SUMIF($CS$178:$CV$178,CO$178,$CS536:$CV536)</f>
        <v>0</v>
      </c>
      <c r="CP536" s="230">
        <f>SUMIF(DIC!$G$121:$M$121,CP$178,DIC!$AM29:$AS29)+SUMIF($CS$178:$CV$178,CP$178,$CS536:$CV536)</f>
        <v>0</v>
      </c>
      <c r="CQ536" s="231">
        <f>SUMIF(DIC!$G$121:$M$121,CQ$178,DIC!$AM29:$AS29)+SUMIF($CS$178:$CV$178,CQ$178,$CS536:$CV536)</f>
        <v>0</v>
      </c>
      <c r="CR536" s="521">
        <f>DIC!AU29</f>
        <v>0</v>
      </c>
      <c r="CS536" s="228">
        <f>DIC!AV29</f>
        <v>0</v>
      </c>
      <c r="CT536" s="229">
        <f>DIC!AW29</f>
        <v>0</v>
      </c>
      <c r="CU536" s="230">
        <f>DIC!AX29</f>
        <v>0</v>
      </c>
      <c r="CV536" s="231">
        <f>DIC!AY29</f>
        <v>0</v>
      </c>
      <c r="CW536" s="521">
        <f>SUM(DIC!AU29:AY29)</f>
        <v>0</v>
      </c>
      <c r="CX536" s="521">
        <f>DIC!AK29</f>
        <v>0</v>
      </c>
      <c r="CY536" s="2"/>
    </row>
    <row r="537" spans="1:103" ht="14.25" hidden="1" customHeight="1" x14ac:dyDescent="0.2">
      <c r="A537" s="2"/>
      <c r="B537" s="105">
        <f t="shared" si="128"/>
        <v>45649</v>
      </c>
      <c r="C537" s="146">
        <f>IF(AND(E537&gt;(N$562-1),E537&lt;(R$562+1)),W$551,IF(ISERROR(HLOOKUP(E537,$N$555:$U$555,1,FALSE)),HLOOKUP(WEEKDAY(E537,2),IMPOSTAZIONI!$C$52:$P$57,6,FALSE),$W$550))</f>
        <v>0</v>
      </c>
      <c r="D537" s="71" t="str">
        <f t="shared" si="129"/>
        <v/>
      </c>
      <c r="E537" s="2258">
        <f t="shared" si="134"/>
        <v>45649</v>
      </c>
      <c r="F537" s="2259"/>
      <c r="G537" s="2228" t="str">
        <f>DIC!E30</f>
        <v xml:space="preserve">disattivato  </v>
      </c>
      <c r="H537" s="2229"/>
      <c r="I537" s="2230"/>
      <c r="J537" s="262" t="str">
        <f t="shared" si="119"/>
        <v/>
      </c>
      <c r="K537" s="263"/>
      <c r="L537" s="2222">
        <f t="shared" si="135"/>
        <v>52</v>
      </c>
      <c r="M537" s="2223"/>
      <c r="N537" s="261"/>
      <c r="O537" s="261"/>
      <c r="P537" s="261"/>
      <c r="Q537" s="2219">
        <f t="shared" si="130"/>
        <v>45649</v>
      </c>
      <c r="R537" s="2219"/>
      <c r="S537" s="261"/>
      <c r="T537" s="1173">
        <f t="shared" si="120"/>
        <v>1</v>
      </c>
      <c r="U537" s="261"/>
      <c r="V537" s="261"/>
      <c r="W537" s="261"/>
      <c r="X537" s="261"/>
      <c r="Y537" s="261"/>
      <c r="Z537" s="261"/>
      <c r="AA537" s="261"/>
      <c r="AB537" s="261"/>
      <c r="AC537" s="261"/>
      <c r="AD537" s="261"/>
      <c r="AE537" s="261"/>
      <c r="AF537" s="261"/>
      <c r="AG537" s="1173">
        <f t="shared" si="131"/>
        <v>0</v>
      </c>
      <c r="AH537" s="61" t="str">
        <f t="shared" si="132"/>
        <v/>
      </c>
      <c r="AI537" s="89" t="e">
        <f t="shared" si="133"/>
        <v>#N/A</v>
      </c>
      <c r="AJ537" s="2"/>
      <c r="AK537" s="61">
        <f>IF(G537=G$547,0,IF(OR(G537&lt;&gt;0,CH537&lt;&gt;0,C537="L"),COUNTIF(AK$180:AK536,"&gt;0")+1,0))</f>
        <v>0</v>
      </c>
      <c r="AL537" s="61" t="str">
        <f t="shared" si="121"/>
        <v/>
      </c>
      <c r="AM537" s="61" t="e">
        <f t="shared" si="122"/>
        <v>#N/A</v>
      </c>
      <c r="AN537" s="89" t="e">
        <f t="shared" si="123"/>
        <v>#N/A</v>
      </c>
      <c r="AO537" s="230">
        <f>SUM(DIC!X30:AD30)-BD537+AY537</f>
        <v>0</v>
      </c>
      <c r="AP537" s="228">
        <f>SUMIF(DIC!$G$121:$M$121,AP$178,DIC!$P30:$V30)+SUMIF($AZ$178:$BC$178,AP$178,$AZ537:$BC537)</f>
        <v>0</v>
      </c>
      <c r="AQ537" s="229">
        <f>SUMIF(DIC!$G$121:$M$121,AQ$178,DIC!$P30:$V30)+SUMIF($AZ$178:$BC$178,AQ$178,$AZ537:$BC537)</f>
        <v>0</v>
      </c>
      <c r="AR537" s="230">
        <f>SUMIF(DIC!$G$121:$M$121,AR$178,DIC!$P30:$V30)+SUMIF($AZ$178:$BC$178,AR$178,$AZ537:$BC537)</f>
        <v>0</v>
      </c>
      <c r="AS537" s="230">
        <f>SUMIF(DIC!$G$121:$M$121,AS$178,DIC!$P30:$V30)+SUMIF($AZ$178:$BC$178,AS$178,$AZ537:$BC537)</f>
        <v>0</v>
      </c>
      <c r="AT537" s="230">
        <f>SUMIF(DIC!$G$121:$M$121,AT$178,DIC!$P30:$V30)+SUMIF($AZ$178:$BC$178,AT$178,$AZ537:$BC537)</f>
        <v>0</v>
      </c>
      <c r="AU537" s="230">
        <f>SUMIF(DIC!$G$121:$M$121,AU$178,DIC!$P30:$V30)+SUMIF($AZ$178:$BC$178,AU$178,$AZ537:$BC537)</f>
        <v>0</v>
      </c>
      <c r="AV537" s="230">
        <f>SUMIF(DIC!$G$121:$M$121,AV$178,DIC!$P30:$V30)+SUMIF($AZ$178:$BC$178,AV$178,$AZ537:$BC537)</f>
        <v>0</v>
      </c>
      <c r="AW537" s="230">
        <f>SUMIF(DIC!$G$121:$M$121,AW$178,DIC!$P30:$V30)+SUMIF($AZ$178:$BC$178,AW$178,$AZ537:$BC537)</f>
        <v>0</v>
      </c>
      <c r="AX537" s="231">
        <f>SUMIF(DIC!$G$121:$M$121,AX$178,DIC!$P30:$V30)+SUMIF($AZ$178:$BC$178,AX$178,$AZ537:$BC537)</f>
        <v>0</v>
      </c>
      <c r="AY537" s="232">
        <f>DIC!AF30</f>
        <v>0</v>
      </c>
      <c r="AZ537" s="228">
        <f>DIC!AG30</f>
        <v>0</v>
      </c>
      <c r="BA537" s="229">
        <f>DIC!AH30</f>
        <v>0</v>
      </c>
      <c r="BB537" s="230">
        <f>DIC!AI30</f>
        <v>0</v>
      </c>
      <c r="BC537" s="231">
        <f>DIC!AJ30</f>
        <v>0</v>
      </c>
      <c r="BD537" s="228">
        <f>SUMIF(DIC!$G$120:$M$120,"&gt;0",DIC!$X30:$AD30)</f>
        <v>0</v>
      </c>
      <c r="BE537" s="696"/>
      <c r="BF537" s="228">
        <f>SUMIF(DIC!$BA$6:$BG$6,BF$177,DIC!$BA30:$BG30)</f>
        <v>0</v>
      </c>
      <c r="BG537" s="229">
        <f>SUMIF(DIC!$BA$6:$BG$6,BG$177,DIC!$BA30:$BG30)</f>
        <v>0</v>
      </c>
      <c r="BH537" s="229">
        <f>SUMIF(DIC!$BA$6:$BG$6,BH$177,DIC!$BA30:$BG30)</f>
        <v>0</v>
      </c>
      <c r="BI537" s="229">
        <f>SUMIF(DIC!$BA$6:$BG$6,BI$177,DIC!$BA30:$BG30)</f>
        <v>0</v>
      </c>
      <c r="BJ537" s="229">
        <f>SUMIF(DIC!$BA$6:$BG$6,BJ$177,DIC!$BA30:$BG30)</f>
        <v>0</v>
      </c>
      <c r="BK537" s="229">
        <f>SUMIF(DIC!$BA$6:$BG$6,BK$177,DIC!$BA30:$BG30)</f>
        <v>0</v>
      </c>
      <c r="BL537" s="229">
        <f>SUMIF(DIC!$BA$6:$BG$6,BL$177,DIC!$BA30:$BG30)</f>
        <v>0</v>
      </c>
      <c r="BM537" s="229">
        <f>SUMIF(DIC!$BA$6:$BG$6,BM$177,DIC!$BA30:$BG30)</f>
        <v>0</v>
      </c>
      <c r="BN537" s="229">
        <f>SUMIF(DIC!$BA$6:$BG$6,BN$177,DIC!$BA30:$BG30)</f>
        <v>0</v>
      </c>
      <c r="BO537" s="231">
        <f>SUMIF(DIC!$BA$6:$BG$6,BO$177,DIC!$BA30:$BG30)</f>
        <v>0</v>
      </c>
      <c r="BP537" s="231">
        <f>SUMIF(DIC!$BA$6:$BG$6,BP$177,DIC!$BA30:$BG30)</f>
        <v>0</v>
      </c>
      <c r="BQ537" s="252"/>
      <c r="BR537" s="228">
        <f>SUMIF(DIC!$BA$5:$BG$5,BR$177,DIC!$BA30:$BG30)</f>
        <v>0</v>
      </c>
      <c r="BS537" s="229">
        <f>SUMIF(DIC!$BA$5:$BG$5,BS$177,DIC!$BA30:$BG30)</f>
        <v>0</v>
      </c>
      <c r="BT537" s="229">
        <f>SUMIF(DIC!$BA$5:$BG$5,BT$177,DIC!$BA30:$BG30)</f>
        <v>0</v>
      </c>
      <c r="BU537" s="229">
        <f>SUMIF(DIC!$BA$5:$BG$5,BU$177,DIC!$BA30:$BG30)</f>
        <v>0</v>
      </c>
      <c r="BV537" s="229">
        <f>SUMIF(DIC!$BA$5:$BG$5,BV$177,DIC!$BA30:$BG30)</f>
        <v>0</v>
      </c>
      <c r="BW537" s="229">
        <f>SUMIF(DIC!$BA$5:$BG$5,BW$177,DIC!$BA30:$BG30)</f>
        <v>0</v>
      </c>
      <c r="BX537" s="230">
        <f>SUMIF(DIC!$BA$5:$BG$5,BX$177,DIC!$BA30:$BG30)</f>
        <v>0</v>
      </c>
      <c r="BY537" s="998">
        <f>SUMIF(DIC!$BA$5:$BG$5,BY$177,DIC!$BA30:$BG30)</f>
        <v>0</v>
      </c>
      <c r="CB537" s="252"/>
      <c r="CC537" s="61" t="e">
        <f t="shared" si="124"/>
        <v>#N/A</v>
      </c>
      <c r="CD537" s="61">
        <f t="shared" si="125"/>
        <v>0</v>
      </c>
      <c r="CE537" s="105" t="str">
        <f t="shared" si="118"/>
        <v/>
      </c>
      <c r="CF537" s="61" t="e">
        <f t="shared" si="126"/>
        <v>#N/A</v>
      </c>
      <c r="CG537" s="61" t="e">
        <f t="shared" si="127"/>
        <v>#N/A</v>
      </c>
      <c r="CH537" s="521">
        <f>DIC!AL30-CW537+CR537</f>
        <v>0</v>
      </c>
      <c r="CI537" s="228">
        <f>SUMIF(DIC!$G$121:$M$121,CI$178,DIC!$AM30:$AS30)+SUMIF($CS$178:$CV$178,CI$178,$CS537:$CV537)</f>
        <v>0</v>
      </c>
      <c r="CJ537" s="229">
        <f>SUMIF(DIC!$G$121:$M$121,CJ$178,DIC!$AM30:$AS30)+SUMIF($CS$178:$CV$178,CJ$178,$CS537:$CV537)</f>
        <v>0</v>
      </c>
      <c r="CK537" s="230">
        <f>SUMIF(DIC!$G$121:$M$121,CK$178,DIC!$AM30:$AS30)+SUMIF($CS$178:$CV$178,CK$178,$CS537:$CV537)</f>
        <v>0</v>
      </c>
      <c r="CL537" s="230">
        <f>SUMIF(DIC!$G$121:$M$121,CL$178,DIC!$AM30:$AS30)+SUMIF($CS$178:$CV$178,CL$178,$CS537:$CV537)</f>
        <v>0</v>
      </c>
      <c r="CM537" s="230">
        <f>SUMIF(DIC!$G$121:$M$121,CM$178,DIC!$AM30:$AS30)+SUMIF($CS$178:$CV$178,CM$178,$CS537:$CV537)</f>
        <v>0</v>
      </c>
      <c r="CN537" s="230">
        <f>SUMIF(DIC!$G$121:$M$121,CN$178,DIC!$AM30:$AS30)+SUMIF($CS$178:$CV$178,CN$178,$CS537:$CV537)</f>
        <v>0</v>
      </c>
      <c r="CO537" s="230">
        <f>SUMIF(DIC!$G$121:$M$121,CO$178,DIC!$AM30:$AS30)+SUMIF($CS$178:$CV$178,CO$178,$CS537:$CV537)</f>
        <v>0</v>
      </c>
      <c r="CP537" s="230">
        <f>SUMIF(DIC!$G$121:$M$121,CP$178,DIC!$AM30:$AS30)+SUMIF($CS$178:$CV$178,CP$178,$CS537:$CV537)</f>
        <v>0</v>
      </c>
      <c r="CQ537" s="231">
        <f>SUMIF(DIC!$G$121:$M$121,CQ$178,DIC!$AM30:$AS30)+SUMIF($CS$178:$CV$178,CQ$178,$CS537:$CV537)</f>
        <v>0</v>
      </c>
      <c r="CR537" s="521">
        <f>DIC!AU30</f>
        <v>0</v>
      </c>
      <c r="CS537" s="228">
        <f>DIC!AV30</f>
        <v>0</v>
      </c>
      <c r="CT537" s="229">
        <f>DIC!AW30</f>
        <v>0</v>
      </c>
      <c r="CU537" s="230">
        <f>DIC!AX30</f>
        <v>0</v>
      </c>
      <c r="CV537" s="231">
        <f>DIC!AY30</f>
        <v>0</v>
      </c>
      <c r="CW537" s="521">
        <f>SUM(DIC!AU30:AY30)</f>
        <v>0</v>
      </c>
      <c r="CX537" s="521">
        <f>DIC!AK30</f>
        <v>0</v>
      </c>
      <c r="CY537" s="2"/>
    </row>
    <row r="538" spans="1:103" ht="14.25" hidden="1" customHeight="1" x14ac:dyDescent="0.2">
      <c r="A538" s="2"/>
      <c r="B538" s="105">
        <f t="shared" si="128"/>
        <v>45650</v>
      </c>
      <c r="C538" s="146">
        <f>IF(AND(E538&gt;(N$562-1),E538&lt;(R$562+1)),W$551,IF(ISERROR(HLOOKUP(E538,$N$555:$U$555,1,FALSE)),HLOOKUP(WEEKDAY(E538,2),IMPOSTAZIONI!$C$52:$P$57,6,FALSE),$W$550))</f>
        <v>0</v>
      </c>
      <c r="D538" s="71" t="str">
        <f t="shared" si="129"/>
        <v/>
      </c>
      <c r="E538" s="2258">
        <f t="shared" si="134"/>
        <v>45650</v>
      </c>
      <c r="F538" s="2259"/>
      <c r="G538" s="2228" t="str">
        <f>DIC!E31</f>
        <v xml:space="preserve">disattivato  </v>
      </c>
      <c r="H538" s="2229"/>
      <c r="I538" s="2230"/>
      <c r="J538" s="262" t="str">
        <f t="shared" si="119"/>
        <v/>
      </c>
      <c r="K538" s="263"/>
      <c r="L538" s="2217">
        <f t="shared" si="135"/>
        <v>52</v>
      </c>
      <c r="M538" s="2218"/>
      <c r="N538" s="261"/>
      <c r="O538" s="261"/>
      <c r="P538" s="261"/>
      <c r="Q538" s="2219">
        <f t="shared" si="130"/>
        <v>45650</v>
      </c>
      <c r="R538" s="2219"/>
      <c r="S538" s="261"/>
      <c r="T538" s="1173">
        <f t="shared" si="120"/>
        <v>1</v>
      </c>
      <c r="U538" s="261"/>
      <c r="V538" s="261"/>
      <c r="W538" s="261"/>
      <c r="X538" s="261"/>
      <c r="Y538" s="261"/>
      <c r="Z538" s="261"/>
      <c r="AA538" s="261"/>
      <c r="AB538" s="261"/>
      <c r="AC538" s="261"/>
      <c r="AD538" s="261"/>
      <c r="AE538" s="261"/>
      <c r="AF538" s="261"/>
      <c r="AG538" s="1173">
        <f t="shared" si="131"/>
        <v>0</v>
      </c>
      <c r="AH538" s="61" t="str">
        <f t="shared" si="132"/>
        <v/>
      </c>
      <c r="AI538" s="89" t="e">
        <f t="shared" si="133"/>
        <v>#N/A</v>
      </c>
      <c r="AJ538" s="2"/>
      <c r="AK538" s="61">
        <f>IF(G538=G$547,0,IF(OR(G538&lt;&gt;0,CH538&lt;&gt;0,C538="L"),COUNTIF(AK$180:AK537,"&gt;0")+1,0))</f>
        <v>0</v>
      </c>
      <c r="AL538" s="61" t="str">
        <f t="shared" si="121"/>
        <v/>
      </c>
      <c r="AM538" s="61" t="e">
        <f t="shared" si="122"/>
        <v>#N/A</v>
      </c>
      <c r="AN538" s="89" t="e">
        <f t="shared" si="123"/>
        <v>#N/A</v>
      </c>
      <c r="AO538" s="230">
        <f>SUM(DIC!X31:AD31)-BD538+AY538</f>
        <v>0</v>
      </c>
      <c r="AP538" s="228">
        <f>SUMIF(DIC!$G$121:$M$121,AP$178,DIC!$P31:$V31)+SUMIF($AZ$178:$BC$178,AP$178,$AZ538:$BC538)</f>
        <v>0</v>
      </c>
      <c r="AQ538" s="229">
        <f>SUMIF(DIC!$G$121:$M$121,AQ$178,DIC!$P31:$V31)+SUMIF($AZ$178:$BC$178,AQ$178,$AZ538:$BC538)</f>
        <v>0</v>
      </c>
      <c r="AR538" s="230">
        <f>SUMIF(DIC!$G$121:$M$121,AR$178,DIC!$P31:$V31)+SUMIF($AZ$178:$BC$178,AR$178,$AZ538:$BC538)</f>
        <v>0</v>
      </c>
      <c r="AS538" s="230">
        <f>SUMIF(DIC!$G$121:$M$121,AS$178,DIC!$P31:$V31)+SUMIF($AZ$178:$BC$178,AS$178,$AZ538:$BC538)</f>
        <v>0</v>
      </c>
      <c r="AT538" s="230">
        <f>SUMIF(DIC!$G$121:$M$121,AT$178,DIC!$P31:$V31)+SUMIF($AZ$178:$BC$178,AT$178,$AZ538:$BC538)</f>
        <v>0</v>
      </c>
      <c r="AU538" s="230">
        <f>SUMIF(DIC!$G$121:$M$121,AU$178,DIC!$P31:$V31)+SUMIF($AZ$178:$BC$178,AU$178,$AZ538:$BC538)</f>
        <v>0</v>
      </c>
      <c r="AV538" s="230">
        <f>SUMIF(DIC!$G$121:$M$121,AV$178,DIC!$P31:$V31)+SUMIF($AZ$178:$BC$178,AV$178,$AZ538:$BC538)</f>
        <v>0</v>
      </c>
      <c r="AW538" s="230">
        <f>SUMIF(DIC!$G$121:$M$121,AW$178,DIC!$P31:$V31)+SUMIF($AZ$178:$BC$178,AW$178,$AZ538:$BC538)</f>
        <v>0</v>
      </c>
      <c r="AX538" s="231">
        <f>SUMIF(DIC!$G$121:$M$121,AX$178,DIC!$P31:$V31)+SUMIF($AZ$178:$BC$178,AX$178,$AZ538:$BC538)</f>
        <v>0</v>
      </c>
      <c r="AY538" s="232">
        <f>DIC!AF31</f>
        <v>0</v>
      </c>
      <c r="AZ538" s="228">
        <f>DIC!AG31</f>
        <v>0</v>
      </c>
      <c r="BA538" s="229">
        <f>DIC!AH31</f>
        <v>0</v>
      </c>
      <c r="BB538" s="230">
        <f>DIC!AI31</f>
        <v>0</v>
      </c>
      <c r="BC538" s="231">
        <f>DIC!AJ31</f>
        <v>0</v>
      </c>
      <c r="BD538" s="228">
        <f>SUMIF(DIC!$G$120:$M$120,"&gt;0",DIC!$X31:$AD31)</f>
        <v>0</v>
      </c>
      <c r="BE538" s="696"/>
      <c r="BF538" s="228">
        <f>SUMIF(DIC!$BA$6:$BG$6,BF$177,DIC!$BA31:$BG31)</f>
        <v>0</v>
      </c>
      <c r="BG538" s="229">
        <f>SUMIF(DIC!$BA$6:$BG$6,BG$177,DIC!$BA31:$BG31)</f>
        <v>0</v>
      </c>
      <c r="BH538" s="229">
        <f>SUMIF(DIC!$BA$6:$BG$6,BH$177,DIC!$BA31:$BG31)</f>
        <v>0</v>
      </c>
      <c r="BI538" s="229">
        <f>SUMIF(DIC!$BA$6:$BG$6,BI$177,DIC!$BA31:$BG31)</f>
        <v>0</v>
      </c>
      <c r="BJ538" s="229">
        <f>SUMIF(DIC!$BA$6:$BG$6,BJ$177,DIC!$BA31:$BG31)</f>
        <v>0</v>
      </c>
      <c r="BK538" s="229">
        <f>SUMIF(DIC!$BA$6:$BG$6,BK$177,DIC!$BA31:$BG31)</f>
        <v>0</v>
      </c>
      <c r="BL538" s="229">
        <f>SUMIF(DIC!$BA$6:$BG$6,BL$177,DIC!$BA31:$BG31)</f>
        <v>0</v>
      </c>
      <c r="BM538" s="229">
        <f>SUMIF(DIC!$BA$6:$BG$6,BM$177,DIC!$BA31:$BG31)</f>
        <v>0</v>
      </c>
      <c r="BN538" s="229">
        <f>SUMIF(DIC!$BA$6:$BG$6,BN$177,DIC!$BA31:$BG31)</f>
        <v>0</v>
      </c>
      <c r="BO538" s="231">
        <f>SUMIF(DIC!$BA$6:$BG$6,BO$177,DIC!$BA31:$BG31)</f>
        <v>0</v>
      </c>
      <c r="BP538" s="231">
        <f>SUMIF(DIC!$BA$6:$BG$6,BP$177,DIC!$BA31:$BG31)</f>
        <v>0</v>
      </c>
      <c r="BQ538" s="252"/>
      <c r="BR538" s="228">
        <f>SUMIF(DIC!$BA$5:$BG$5,BR$177,DIC!$BA31:$BG31)</f>
        <v>0</v>
      </c>
      <c r="BS538" s="229">
        <f>SUMIF(DIC!$BA$5:$BG$5,BS$177,DIC!$BA31:$BG31)</f>
        <v>0</v>
      </c>
      <c r="BT538" s="229">
        <f>SUMIF(DIC!$BA$5:$BG$5,BT$177,DIC!$BA31:$BG31)</f>
        <v>0</v>
      </c>
      <c r="BU538" s="229">
        <f>SUMIF(DIC!$BA$5:$BG$5,BU$177,DIC!$BA31:$BG31)</f>
        <v>0</v>
      </c>
      <c r="BV538" s="229">
        <f>SUMIF(DIC!$BA$5:$BG$5,BV$177,DIC!$BA31:$BG31)</f>
        <v>0</v>
      </c>
      <c r="BW538" s="229">
        <f>SUMIF(DIC!$BA$5:$BG$5,BW$177,DIC!$BA31:$BG31)</f>
        <v>0</v>
      </c>
      <c r="BX538" s="230">
        <f>SUMIF(DIC!$BA$5:$BG$5,BX$177,DIC!$BA31:$BG31)</f>
        <v>0</v>
      </c>
      <c r="BY538" s="998">
        <f>SUMIF(DIC!$BA$5:$BG$5,BY$177,DIC!$BA31:$BG31)</f>
        <v>0</v>
      </c>
      <c r="CB538" s="252"/>
      <c r="CC538" s="61" t="e">
        <f t="shared" si="124"/>
        <v>#N/A</v>
      </c>
      <c r="CD538" s="61">
        <f t="shared" si="125"/>
        <v>0</v>
      </c>
      <c r="CE538" s="105" t="str">
        <f t="shared" si="118"/>
        <v/>
      </c>
      <c r="CF538" s="61" t="e">
        <f t="shared" si="126"/>
        <v>#N/A</v>
      </c>
      <c r="CG538" s="61" t="e">
        <f t="shared" si="127"/>
        <v>#N/A</v>
      </c>
      <c r="CH538" s="521">
        <f>DIC!AL31-CW538+CR538</f>
        <v>0</v>
      </c>
      <c r="CI538" s="228">
        <f>SUMIF(DIC!$G$121:$M$121,CI$178,DIC!$AM31:$AS31)+SUMIF($CS$178:$CV$178,CI$178,$CS538:$CV538)</f>
        <v>0</v>
      </c>
      <c r="CJ538" s="229">
        <f>SUMIF(DIC!$G$121:$M$121,CJ$178,DIC!$AM31:$AS31)+SUMIF($CS$178:$CV$178,CJ$178,$CS538:$CV538)</f>
        <v>0</v>
      </c>
      <c r="CK538" s="230">
        <f>SUMIF(DIC!$G$121:$M$121,CK$178,DIC!$AM31:$AS31)+SUMIF($CS$178:$CV$178,CK$178,$CS538:$CV538)</f>
        <v>0</v>
      </c>
      <c r="CL538" s="230">
        <f>SUMIF(DIC!$G$121:$M$121,CL$178,DIC!$AM31:$AS31)+SUMIF($CS$178:$CV$178,CL$178,$CS538:$CV538)</f>
        <v>0</v>
      </c>
      <c r="CM538" s="230">
        <f>SUMIF(DIC!$G$121:$M$121,CM$178,DIC!$AM31:$AS31)+SUMIF($CS$178:$CV$178,CM$178,$CS538:$CV538)</f>
        <v>0</v>
      </c>
      <c r="CN538" s="230">
        <f>SUMIF(DIC!$G$121:$M$121,CN$178,DIC!$AM31:$AS31)+SUMIF($CS$178:$CV$178,CN$178,$CS538:$CV538)</f>
        <v>0</v>
      </c>
      <c r="CO538" s="230">
        <f>SUMIF(DIC!$G$121:$M$121,CO$178,DIC!$AM31:$AS31)+SUMIF($CS$178:$CV$178,CO$178,$CS538:$CV538)</f>
        <v>0</v>
      </c>
      <c r="CP538" s="230">
        <f>SUMIF(DIC!$G$121:$M$121,CP$178,DIC!$AM31:$AS31)+SUMIF($CS$178:$CV$178,CP$178,$CS538:$CV538)</f>
        <v>0</v>
      </c>
      <c r="CQ538" s="231">
        <f>SUMIF(DIC!$G$121:$M$121,CQ$178,DIC!$AM31:$AS31)+SUMIF($CS$178:$CV$178,CQ$178,$CS538:$CV538)</f>
        <v>0</v>
      </c>
      <c r="CR538" s="521">
        <f>DIC!AU31</f>
        <v>0</v>
      </c>
      <c r="CS538" s="228">
        <f>DIC!AV31</f>
        <v>0</v>
      </c>
      <c r="CT538" s="229">
        <f>DIC!AW31</f>
        <v>0</v>
      </c>
      <c r="CU538" s="230">
        <f>DIC!AX31</f>
        <v>0</v>
      </c>
      <c r="CV538" s="231">
        <f>DIC!AY31</f>
        <v>0</v>
      </c>
      <c r="CW538" s="521">
        <f>SUM(DIC!AU31:AY31)</f>
        <v>0</v>
      </c>
      <c r="CX538" s="521">
        <f>DIC!AK31</f>
        <v>0</v>
      </c>
      <c r="CY538" s="2"/>
    </row>
    <row r="539" spans="1:103" ht="14.25" hidden="1" customHeight="1" x14ac:dyDescent="0.2">
      <c r="A539" s="2"/>
      <c r="B539" s="105">
        <f t="shared" si="128"/>
        <v>45651</v>
      </c>
      <c r="C539" s="146">
        <f>IF(AND(E539&gt;(N$562-1),E539&lt;(R$562+1)),W$551,IF(ISERROR(HLOOKUP(E539,$N$555:$U$555,1,FALSE)),HLOOKUP(WEEKDAY(E539,2),IMPOSTAZIONI!$C$52:$P$57,6,FALSE),$W$550))</f>
        <v>0</v>
      </c>
      <c r="D539" s="71" t="str">
        <f t="shared" si="129"/>
        <v/>
      </c>
      <c r="E539" s="2258">
        <f t="shared" si="134"/>
        <v>45651</v>
      </c>
      <c r="F539" s="2259"/>
      <c r="G539" s="2228" t="str">
        <f>DIC!E32</f>
        <v xml:space="preserve">disattivato  </v>
      </c>
      <c r="H539" s="2229"/>
      <c r="I539" s="2230"/>
      <c r="J539" s="262" t="str">
        <f t="shared" si="119"/>
        <v/>
      </c>
      <c r="K539" s="263"/>
      <c r="L539" s="2238">
        <f t="shared" si="135"/>
        <v>52</v>
      </c>
      <c r="M539" s="2239"/>
      <c r="N539" s="261"/>
      <c r="O539" s="261"/>
      <c r="P539" s="261"/>
      <c r="Q539" s="2219">
        <f t="shared" si="130"/>
        <v>45651</v>
      </c>
      <c r="R539" s="2219"/>
      <c r="S539" s="261"/>
      <c r="T539" s="1173">
        <f t="shared" si="120"/>
        <v>1</v>
      </c>
      <c r="U539" s="261"/>
      <c r="V539" s="261"/>
      <c r="W539" s="261"/>
      <c r="X539" s="261"/>
      <c r="Y539" s="261"/>
      <c r="Z539" s="261"/>
      <c r="AA539" s="261"/>
      <c r="AB539" s="261"/>
      <c r="AC539" s="261"/>
      <c r="AD539" s="261"/>
      <c r="AE539" s="261"/>
      <c r="AF539" s="261"/>
      <c r="AG539" s="1173">
        <f t="shared" si="131"/>
        <v>0</v>
      </c>
      <c r="AH539" s="61" t="str">
        <f t="shared" si="132"/>
        <v/>
      </c>
      <c r="AI539" s="89" t="e">
        <f t="shared" si="133"/>
        <v>#N/A</v>
      </c>
      <c r="AJ539" s="2"/>
      <c r="AK539" s="61">
        <f>IF(G539=G$547,0,IF(OR(G539&lt;&gt;0,CH539&lt;&gt;0,C539="L"),COUNTIF(AK$180:AK538,"&gt;0")+1,0))</f>
        <v>0</v>
      </c>
      <c r="AL539" s="61" t="str">
        <f t="shared" si="121"/>
        <v/>
      </c>
      <c r="AM539" s="61" t="e">
        <f t="shared" si="122"/>
        <v>#N/A</v>
      </c>
      <c r="AN539" s="89" t="e">
        <f t="shared" si="123"/>
        <v>#N/A</v>
      </c>
      <c r="AO539" s="230">
        <f>SUM(DIC!X32:AD32)-BD539+AY539</f>
        <v>0</v>
      </c>
      <c r="AP539" s="228">
        <f>SUMIF(DIC!$G$121:$M$121,AP$178,DIC!$P32:$V32)+SUMIF($AZ$178:$BC$178,AP$178,$AZ539:$BC539)</f>
        <v>0</v>
      </c>
      <c r="AQ539" s="229">
        <f>SUMIF(DIC!$G$121:$M$121,AQ$178,DIC!$P32:$V32)+SUMIF($AZ$178:$BC$178,AQ$178,$AZ539:$BC539)</f>
        <v>0</v>
      </c>
      <c r="AR539" s="230">
        <f>SUMIF(DIC!$G$121:$M$121,AR$178,DIC!$P32:$V32)+SUMIF($AZ$178:$BC$178,AR$178,$AZ539:$BC539)</f>
        <v>0</v>
      </c>
      <c r="AS539" s="230">
        <f>SUMIF(DIC!$G$121:$M$121,AS$178,DIC!$P32:$V32)+SUMIF($AZ$178:$BC$178,AS$178,$AZ539:$BC539)</f>
        <v>0</v>
      </c>
      <c r="AT539" s="230">
        <f>SUMIF(DIC!$G$121:$M$121,AT$178,DIC!$P32:$V32)+SUMIF($AZ$178:$BC$178,AT$178,$AZ539:$BC539)</f>
        <v>0</v>
      </c>
      <c r="AU539" s="230">
        <f>SUMIF(DIC!$G$121:$M$121,AU$178,DIC!$P32:$V32)+SUMIF($AZ$178:$BC$178,AU$178,$AZ539:$BC539)</f>
        <v>0</v>
      </c>
      <c r="AV539" s="230">
        <f>SUMIF(DIC!$G$121:$M$121,AV$178,DIC!$P32:$V32)+SUMIF($AZ$178:$BC$178,AV$178,$AZ539:$BC539)</f>
        <v>0</v>
      </c>
      <c r="AW539" s="230">
        <f>SUMIF(DIC!$G$121:$M$121,AW$178,DIC!$P32:$V32)+SUMIF($AZ$178:$BC$178,AW$178,$AZ539:$BC539)</f>
        <v>0</v>
      </c>
      <c r="AX539" s="231">
        <f>SUMIF(DIC!$G$121:$M$121,AX$178,DIC!$P32:$V32)+SUMIF($AZ$178:$BC$178,AX$178,$AZ539:$BC539)</f>
        <v>0</v>
      </c>
      <c r="AY539" s="232">
        <f>DIC!AF32</f>
        <v>0</v>
      </c>
      <c r="AZ539" s="228">
        <f>DIC!AG32</f>
        <v>0</v>
      </c>
      <c r="BA539" s="229">
        <f>DIC!AH32</f>
        <v>0</v>
      </c>
      <c r="BB539" s="230">
        <f>DIC!AI32</f>
        <v>0</v>
      </c>
      <c r="BC539" s="231">
        <f>DIC!AJ32</f>
        <v>0</v>
      </c>
      <c r="BD539" s="228">
        <f>SUMIF(DIC!$G$120:$M$120,"&gt;0",DIC!$X32:$AD32)</f>
        <v>0</v>
      </c>
      <c r="BE539" s="696"/>
      <c r="BF539" s="228">
        <f>SUMIF(DIC!$BA$6:$BG$6,BF$177,DIC!$BA32:$BG32)</f>
        <v>0</v>
      </c>
      <c r="BG539" s="229">
        <f>SUMIF(DIC!$BA$6:$BG$6,BG$177,DIC!$BA32:$BG32)</f>
        <v>0</v>
      </c>
      <c r="BH539" s="229">
        <f>SUMIF(DIC!$BA$6:$BG$6,BH$177,DIC!$BA32:$BG32)</f>
        <v>0</v>
      </c>
      <c r="BI539" s="229">
        <f>SUMIF(DIC!$BA$6:$BG$6,BI$177,DIC!$BA32:$BG32)</f>
        <v>0</v>
      </c>
      <c r="BJ539" s="229">
        <f>SUMIF(DIC!$BA$6:$BG$6,BJ$177,DIC!$BA32:$BG32)</f>
        <v>0</v>
      </c>
      <c r="BK539" s="229">
        <f>SUMIF(DIC!$BA$6:$BG$6,BK$177,DIC!$BA32:$BG32)</f>
        <v>0</v>
      </c>
      <c r="BL539" s="229">
        <f>SUMIF(DIC!$BA$6:$BG$6,BL$177,DIC!$BA32:$BG32)</f>
        <v>0</v>
      </c>
      <c r="BM539" s="229">
        <f>SUMIF(DIC!$BA$6:$BG$6,BM$177,DIC!$BA32:$BG32)</f>
        <v>0</v>
      </c>
      <c r="BN539" s="229">
        <f>SUMIF(DIC!$BA$6:$BG$6,BN$177,DIC!$BA32:$BG32)</f>
        <v>0</v>
      </c>
      <c r="BO539" s="231">
        <f>SUMIF(DIC!$BA$6:$BG$6,BO$177,DIC!$BA32:$BG32)</f>
        <v>0</v>
      </c>
      <c r="BP539" s="231">
        <f>SUMIF(DIC!$BA$6:$BG$6,BP$177,DIC!$BA32:$BG32)</f>
        <v>0</v>
      </c>
      <c r="BQ539" s="252"/>
      <c r="BR539" s="228">
        <f>SUMIF(DIC!$BA$5:$BG$5,BR$177,DIC!$BA32:$BG32)</f>
        <v>0</v>
      </c>
      <c r="BS539" s="229">
        <f>SUMIF(DIC!$BA$5:$BG$5,BS$177,DIC!$BA32:$BG32)</f>
        <v>0</v>
      </c>
      <c r="BT539" s="229">
        <f>SUMIF(DIC!$BA$5:$BG$5,BT$177,DIC!$BA32:$BG32)</f>
        <v>0</v>
      </c>
      <c r="BU539" s="229">
        <f>SUMIF(DIC!$BA$5:$BG$5,BU$177,DIC!$BA32:$BG32)</f>
        <v>0</v>
      </c>
      <c r="BV539" s="229">
        <f>SUMIF(DIC!$BA$5:$BG$5,BV$177,DIC!$BA32:$BG32)</f>
        <v>0</v>
      </c>
      <c r="BW539" s="229">
        <f>SUMIF(DIC!$BA$5:$BG$5,BW$177,DIC!$BA32:$BG32)</f>
        <v>0</v>
      </c>
      <c r="BX539" s="230">
        <f>SUMIF(DIC!$BA$5:$BG$5,BX$177,DIC!$BA32:$BG32)</f>
        <v>0</v>
      </c>
      <c r="BY539" s="998">
        <f>SUMIF(DIC!$BA$5:$BG$5,BY$177,DIC!$BA32:$BG32)</f>
        <v>0</v>
      </c>
      <c r="CB539" s="252"/>
      <c r="CC539" s="61" t="e">
        <f t="shared" si="124"/>
        <v>#N/A</v>
      </c>
      <c r="CD539" s="61">
        <f t="shared" si="125"/>
        <v>0</v>
      </c>
      <c r="CE539" s="105" t="str">
        <f t="shared" si="118"/>
        <v/>
      </c>
      <c r="CF539" s="61" t="e">
        <f t="shared" si="126"/>
        <v>#N/A</v>
      </c>
      <c r="CG539" s="61" t="e">
        <f t="shared" si="127"/>
        <v>#N/A</v>
      </c>
      <c r="CH539" s="521">
        <f>DIC!AL32-CW539+CR539</f>
        <v>0</v>
      </c>
      <c r="CI539" s="228">
        <f>SUMIF(DIC!$G$121:$M$121,CI$178,DIC!$AM32:$AS32)+SUMIF($CS$178:$CV$178,CI$178,$CS539:$CV539)</f>
        <v>0</v>
      </c>
      <c r="CJ539" s="229">
        <f>SUMIF(DIC!$G$121:$M$121,CJ$178,DIC!$AM32:$AS32)+SUMIF($CS$178:$CV$178,CJ$178,$CS539:$CV539)</f>
        <v>0</v>
      </c>
      <c r="CK539" s="230">
        <f>SUMIF(DIC!$G$121:$M$121,CK$178,DIC!$AM32:$AS32)+SUMIF($CS$178:$CV$178,CK$178,$CS539:$CV539)</f>
        <v>0</v>
      </c>
      <c r="CL539" s="230">
        <f>SUMIF(DIC!$G$121:$M$121,CL$178,DIC!$AM32:$AS32)+SUMIF($CS$178:$CV$178,CL$178,$CS539:$CV539)</f>
        <v>0</v>
      </c>
      <c r="CM539" s="230">
        <f>SUMIF(DIC!$G$121:$M$121,CM$178,DIC!$AM32:$AS32)+SUMIF($CS$178:$CV$178,CM$178,$CS539:$CV539)</f>
        <v>0</v>
      </c>
      <c r="CN539" s="230">
        <f>SUMIF(DIC!$G$121:$M$121,CN$178,DIC!$AM32:$AS32)+SUMIF($CS$178:$CV$178,CN$178,$CS539:$CV539)</f>
        <v>0</v>
      </c>
      <c r="CO539" s="230">
        <f>SUMIF(DIC!$G$121:$M$121,CO$178,DIC!$AM32:$AS32)+SUMIF($CS$178:$CV$178,CO$178,$CS539:$CV539)</f>
        <v>0</v>
      </c>
      <c r="CP539" s="230">
        <f>SUMIF(DIC!$G$121:$M$121,CP$178,DIC!$AM32:$AS32)+SUMIF($CS$178:$CV$178,CP$178,$CS539:$CV539)</f>
        <v>0</v>
      </c>
      <c r="CQ539" s="231">
        <f>SUMIF(DIC!$G$121:$M$121,CQ$178,DIC!$AM32:$AS32)+SUMIF($CS$178:$CV$178,CQ$178,$CS539:$CV539)</f>
        <v>0</v>
      </c>
      <c r="CR539" s="521">
        <f>DIC!AU32</f>
        <v>0</v>
      </c>
      <c r="CS539" s="228">
        <f>DIC!AV32</f>
        <v>0</v>
      </c>
      <c r="CT539" s="229">
        <f>DIC!AW32</f>
        <v>0</v>
      </c>
      <c r="CU539" s="230">
        <f>DIC!AX32</f>
        <v>0</v>
      </c>
      <c r="CV539" s="231">
        <f>DIC!AY32</f>
        <v>0</v>
      </c>
      <c r="CW539" s="521">
        <f>SUM(DIC!AU32:AY32)</f>
        <v>0</v>
      </c>
      <c r="CX539" s="521">
        <f>DIC!AK32</f>
        <v>0</v>
      </c>
      <c r="CY539" s="2"/>
    </row>
    <row r="540" spans="1:103" ht="14.25" hidden="1" customHeight="1" x14ac:dyDescent="0.2">
      <c r="A540" s="2"/>
      <c r="B540" s="105">
        <f t="shared" si="128"/>
        <v>45652</v>
      </c>
      <c r="C540" s="146">
        <f>IF(AND(E540&gt;(N$562-1),E540&lt;(R$562+1)),W$551,IF(ISERROR(HLOOKUP(E540,$N$555:$U$555,1,FALSE)),HLOOKUP(WEEKDAY(E540,2),IMPOSTAZIONI!$C$52:$P$57,6,FALSE),$W$550))</f>
        <v>0</v>
      </c>
      <c r="D540" s="71" t="str">
        <f t="shared" si="129"/>
        <v/>
      </c>
      <c r="E540" s="2258">
        <f t="shared" si="134"/>
        <v>45652</v>
      </c>
      <c r="F540" s="2259"/>
      <c r="G540" s="2228" t="str">
        <f>DIC!E33</f>
        <v xml:space="preserve">disattivato  </v>
      </c>
      <c r="H540" s="2229"/>
      <c r="I540" s="2230"/>
      <c r="J540" s="262" t="str">
        <f t="shared" si="119"/>
        <v/>
      </c>
      <c r="K540" s="263"/>
      <c r="L540" s="2233">
        <f t="shared" si="135"/>
        <v>52</v>
      </c>
      <c r="M540" s="2234"/>
      <c r="N540" s="261"/>
      <c r="O540" s="261"/>
      <c r="P540" s="261"/>
      <c r="Q540" s="2219">
        <f t="shared" si="130"/>
        <v>45652</v>
      </c>
      <c r="R540" s="2219"/>
      <c r="S540" s="261"/>
      <c r="T540" s="1173">
        <f t="shared" si="120"/>
        <v>1</v>
      </c>
      <c r="U540" s="261"/>
      <c r="V540" s="261"/>
      <c r="W540" s="261"/>
      <c r="X540" s="261"/>
      <c r="Y540" s="261"/>
      <c r="Z540" s="261"/>
      <c r="AA540" s="261"/>
      <c r="AB540" s="261"/>
      <c r="AC540" s="261"/>
      <c r="AD540" s="261"/>
      <c r="AE540" s="261"/>
      <c r="AF540" s="261"/>
      <c r="AG540" s="1173">
        <f t="shared" si="131"/>
        <v>0</v>
      </c>
      <c r="AH540" s="61" t="str">
        <f t="shared" si="132"/>
        <v/>
      </c>
      <c r="AI540" s="89" t="e">
        <f t="shared" si="133"/>
        <v>#N/A</v>
      </c>
      <c r="AJ540" s="2"/>
      <c r="AK540" s="61">
        <f>IF(G540=G$547,0,IF(OR(G540&lt;&gt;0,CH540&lt;&gt;0,C540="L"),COUNTIF(AK$180:AK539,"&gt;0")+1,0))</f>
        <v>0</v>
      </c>
      <c r="AL540" s="61" t="str">
        <f t="shared" si="121"/>
        <v/>
      </c>
      <c r="AM540" s="61" t="e">
        <f t="shared" si="122"/>
        <v>#N/A</v>
      </c>
      <c r="AN540" s="89" t="e">
        <f t="shared" si="123"/>
        <v>#N/A</v>
      </c>
      <c r="AO540" s="230">
        <f>SUM(DIC!X33:AD33)-BD540+AY540</f>
        <v>0</v>
      </c>
      <c r="AP540" s="228">
        <f>SUMIF(DIC!$G$121:$M$121,AP$178,DIC!$P33:$V33)+SUMIF($AZ$178:$BC$178,AP$178,$AZ540:$BC540)</f>
        <v>0</v>
      </c>
      <c r="AQ540" s="229">
        <f>SUMIF(DIC!$G$121:$M$121,AQ$178,DIC!$P33:$V33)+SUMIF($AZ$178:$BC$178,AQ$178,$AZ540:$BC540)</f>
        <v>0</v>
      </c>
      <c r="AR540" s="230">
        <f>SUMIF(DIC!$G$121:$M$121,AR$178,DIC!$P33:$V33)+SUMIF($AZ$178:$BC$178,AR$178,$AZ540:$BC540)</f>
        <v>0</v>
      </c>
      <c r="AS540" s="230">
        <f>SUMIF(DIC!$G$121:$M$121,AS$178,DIC!$P33:$V33)+SUMIF($AZ$178:$BC$178,AS$178,$AZ540:$BC540)</f>
        <v>0</v>
      </c>
      <c r="AT540" s="230">
        <f>SUMIF(DIC!$G$121:$M$121,AT$178,DIC!$P33:$V33)+SUMIF($AZ$178:$BC$178,AT$178,$AZ540:$BC540)</f>
        <v>0</v>
      </c>
      <c r="AU540" s="230">
        <f>SUMIF(DIC!$G$121:$M$121,AU$178,DIC!$P33:$V33)+SUMIF($AZ$178:$BC$178,AU$178,$AZ540:$BC540)</f>
        <v>0</v>
      </c>
      <c r="AV540" s="230">
        <f>SUMIF(DIC!$G$121:$M$121,AV$178,DIC!$P33:$V33)+SUMIF($AZ$178:$BC$178,AV$178,$AZ540:$BC540)</f>
        <v>0</v>
      </c>
      <c r="AW540" s="230">
        <f>SUMIF(DIC!$G$121:$M$121,AW$178,DIC!$P33:$V33)+SUMIF($AZ$178:$BC$178,AW$178,$AZ540:$BC540)</f>
        <v>0</v>
      </c>
      <c r="AX540" s="231">
        <f>SUMIF(DIC!$G$121:$M$121,AX$178,DIC!$P33:$V33)+SUMIF($AZ$178:$BC$178,AX$178,$AZ540:$BC540)</f>
        <v>0</v>
      </c>
      <c r="AY540" s="232">
        <f>DIC!AF33</f>
        <v>0</v>
      </c>
      <c r="AZ540" s="228">
        <f>DIC!AG33</f>
        <v>0</v>
      </c>
      <c r="BA540" s="229">
        <f>DIC!AH33</f>
        <v>0</v>
      </c>
      <c r="BB540" s="230">
        <f>DIC!AI33</f>
        <v>0</v>
      </c>
      <c r="BC540" s="231">
        <f>DIC!AJ33</f>
        <v>0</v>
      </c>
      <c r="BD540" s="228">
        <f>SUMIF(DIC!$G$120:$M$120,"&gt;0",DIC!$X33:$AD33)</f>
        <v>0</v>
      </c>
      <c r="BE540" s="696"/>
      <c r="BF540" s="228">
        <f>SUMIF(DIC!$BA$6:$BG$6,BF$177,DIC!$BA33:$BG33)</f>
        <v>0</v>
      </c>
      <c r="BG540" s="229">
        <f>SUMIF(DIC!$BA$6:$BG$6,BG$177,DIC!$BA33:$BG33)</f>
        <v>0</v>
      </c>
      <c r="BH540" s="229">
        <f>SUMIF(DIC!$BA$6:$BG$6,BH$177,DIC!$BA33:$BG33)</f>
        <v>0</v>
      </c>
      <c r="BI540" s="229">
        <f>SUMIF(DIC!$BA$6:$BG$6,BI$177,DIC!$BA33:$BG33)</f>
        <v>0</v>
      </c>
      <c r="BJ540" s="229">
        <f>SUMIF(DIC!$BA$6:$BG$6,BJ$177,DIC!$BA33:$BG33)</f>
        <v>0</v>
      </c>
      <c r="BK540" s="229">
        <f>SUMIF(DIC!$BA$6:$BG$6,BK$177,DIC!$BA33:$BG33)</f>
        <v>0</v>
      </c>
      <c r="BL540" s="229">
        <f>SUMIF(DIC!$BA$6:$BG$6,BL$177,DIC!$BA33:$BG33)</f>
        <v>0</v>
      </c>
      <c r="BM540" s="229">
        <f>SUMIF(DIC!$BA$6:$BG$6,BM$177,DIC!$BA33:$BG33)</f>
        <v>0</v>
      </c>
      <c r="BN540" s="229">
        <f>SUMIF(DIC!$BA$6:$BG$6,BN$177,DIC!$BA33:$BG33)</f>
        <v>0</v>
      </c>
      <c r="BO540" s="231">
        <f>SUMIF(DIC!$BA$6:$BG$6,BO$177,DIC!$BA33:$BG33)</f>
        <v>0</v>
      </c>
      <c r="BP540" s="231">
        <f>SUMIF(DIC!$BA$6:$BG$6,BP$177,DIC!$BA33:$BG33)</f>
        <v>0</v>
      </c>
      <c r="BQ540" s="252"/>
      <c r="BR540" s="228">
        <f>SUMIF(DIC!$BA$5:$BG$5,BR$177,DIC!$BA33:$BG33)</f>
        <v>0</v>
      </c>
      <c r="BS540" s="229">
        <f>SUMIF(DIC!$BA$5:$BG$5,BS$177,DIC!$BA33:$BG33)</f>
        <v>0</v>
      </c>
      <c r="BT540" s="229">
        <f>SUMIF(DIC!$BA$5:$BG$5,BT$177,DIC!$BA33:$BG33)</f>
        <v>0</v>
      </c>
      <c r="BU540" s="229">
        <f>SUMIF(DIC!$BA$5:$BG$5,BU$177,DIC!$BA33:$BG33)</f>
        <v>0</v>
      </c>
      <c r="BV540" s="229">
        <f>SUMIF(DIC!$BA$5:$BG$5,BV$177,DIC!$BA33:$BG33)</f>
        <v>0</v>
      </c>
      <c r="BW540" s="229">
        <f>SUMIF(DIC!$BA$5:$BG$5,BW$177,DIC!$BA33:$BG33)</f>
        <v>0</v>
      </c>
      <c r="BX540" s="230">
        <f>SUMIF(DIC!$BA$5:$BG$5,BX$177,DIC!$BA33:$BG33)</f>
        <v>0</v>
      </c>
      <c r="BY540" s="998">
        <f>SUMIF(DIC!$BA$5:$BG$5,BY$177,DIC!$BA33:$BG33)</f>
        <v>0</v>
      </c>
      <c r="CB540" s="252"/>
      <c r="CC540" s="61" t="e">
        <f t="shared" si="124"/>
        <v>#N/A</v>
      </c>
      <c r="CD540" s="61">
        <f t="shared" si="125"/>
        <v>0</v>
      </c>
      <c r="CE540" s="105" t="str">
        <f t="shared" si="118"/>
        <v/>
      </c>
      <c r="CF540" s="61" t="e">
        <f t="shared" si="126"/>
        <v>#N/A</v>
      </c>
      <c r="CG540" s="61" t="e">
        <f t="shared" si="127"/>
        <v>#N/A</v>
      </c>
      <c r="CH540" s="521">
        <f>DIC!AL33-CW540+CR540</f>
        <v>0</v>
      </c>
      <c r="CI540" s="228">
        <f>SUMIF(DIC!$G$121:$M$121,CI$178,DIC!$AM33:$AS33)+SUMIF($CS$178:$CV$178,CI$178,$CS540:$CV540)</f>
        <v>0</v>
      </c>
      <c r="CJ540" s="229">
        <f>SUMIF(DIC!$G$121:$M$121,CJ$178,DIC!$AM33:$AS33)+SUMIF($CS$178:$CV$178,CJ$178,$CS540:$CV540)</f>
        <v>0</v>
      </c>
      <c r="CK540" s="230">
        <f>SUMIF(DIC!$G$121:$M$121,CK$178,DIC!$AM33:$AS33)+SUMIF($CS$178:$CV$178,CK$178,$CS540:$CV540)</f>
        <v>0</v>
      </c>
      <c r="CL540" s="230">
        <f>SUMIF(DIC!$G$121:$M$121,CL$178,DIC!$AM33:$AS33)+SUMIF($CS$178:$CV$178,CL$178,$CS540:$CV540)</f>
        <v>0</v>
      </c>
      <c r="CM540" s="230">
        <f>SUMIF(DIC!$G$121:$M$121,CM$178,DIC!$AM33:$AS33)+SUMIF($CS$178:$CV$178,CM$178,$CS540:$CV540)</f>
        <v>0</v>
      </c>
      <c r="CN540" s="230">
        <f>SUMIF(DIC!$G$121:$M$121,CN$178,DIC!$AM33:$AS33)+SUMIF($CS$178:$CV$178,CN$178,$CS540:$CV540)</f>
        <v>0</v>
      </c>
      <c r="CO540" s="230">
        <f>SUMIF(DIC!$G$121:$M$121,CO$178,DIC!$AM33:$AS33)+SUMIF($CS$178:$CV$178,CO$178,$CS540:$CV540)</f>
        <v>0</v>
      </c>
      <c r="CP540" s="230">
        <f>SUMIF(DIC!$G$121:$M$121,CP$178,DIC!$AM33:$AS33)+SUMIF($CS$178:$CV$178,CP$178,$CS540:$CV540)</f>
        <v>0</v>
      </c>
      <c r="CQ540" s="231">
        <f>SUMIF(DIC!$G$121:$M$121,CQ$178,DIC!$AM33:$AS33)+SUMIF($CS$178:$CV$178,CQ$178,$CS540:$CV540)</f>
        <v>0</v>
      </c>
      <c r="CR540" s="521">
        <f>DIC!AU33</f>
        <v>0</v>
      </c>
      <c r="CS540" s="228">
        <f>DIC!AV33</f>
        <v>0</v>
      </c>
      <c r="CT540" s="229">
        <f>DIC!AW33</f>
        <v>0</v>
      </c>
      <c r="CU540" s="230">
        <f>DIC!AX33</f>
        <v>0</v>
      </c>
      <c r="CV540" s="231">
        <f>DIC!AY33</f>
        <v>0</v>
      </c>
      <c r="CW540" s="521">
        <f>SUM(DIC!AU33:AY33)</f>
        <v>0</v>
      </c>
      <c r="CX540" s="521">
        <f>DIC!AK33</f>
        <v>0</v>
      </c>
      <c r="CY540" s="2"/>
    </row>
    <row r="541" spans="1:103" ht="14.25" hidden="1" customHeight="1" x14ac:dyDescent="0.2">
      <c r="A541" s="2"/>
      <c r="B541" s="105">
        <f t="shared" si="128"/>
        <v>45653</v>
      </c>
      <c r="C541" s="146">
        <f>IF(AND(E541&gt;(N$562-1),E541&lt;(R$562+1)),W$551,IF(ISERROR(HLOOKUP(E541,$N$555:$U$555,1,FALSE)),HLOOKUP(WEEKDAY(E541,2),IMPOSTAZIONI!$C$52:$P$57,6,FALSE),$W$550))</f>
        <v>0</v>
      </c>
      <c r="D541" s="71" t="str">
        <f t="shared" si="129"/>
        <v/>
      </c>
      <c r="E541" s="2258">
        <f t="shared" si="134"/>
        <v>45653</v>
      </c>
      <c r="F541" s="2259"/>
      <c r="G541" s="2228" t="str">
        <f>DIC!E34</f>
        <v xml:space="preserve">disattivato  </v>
      </c>
      <c r="H541" s="2229"/>
      <c r="I541" s="2230"/>
      <c r="J541" s="262" t="str">
        <f t="shared" si="119"/>
        <v/>
      </c>
      <c r="K541" s="263"/>
      <c r="L541" s="2233">
        <f t="shared" si="135"/>
        <v>52</v>
      </c>
      <c r="M541" s="2234"/>
      <c r="N541" s="261"/>
      <c r="O541" s="261"/>
      <c r="P541" s="261"/>
      <c r="Q541" s="2219">
        <f t="shared" si="130"/>
        <v>45653</v>
      </c>
      <c r="R541" s="2219"/>
      <c r="S541" s="261"/>
      <c r="T541" s="1173">
        <f t="shared" si="120"/>
        <v>1</v>
      </c>
      <c r="U541" s="261"/>
      <c r="V541" s="261"/>
      <c r="W541" s="261"/>
      <c r="X541" s="261"/>
      <c r="Y541" s="261"/>
      <c r="Z541" s="261"/>
      <c r="AA541" s="261"/>
      <c r="AB541" s="261"/>
      <c r="AC541" s="261"/>
      <c r="AD541" s="261"/>
      <c r="AE541" s="261"/>
      <c r="AF541" s="261"/>
      <c r="AG541" s="1173">
        <f t="shared" si="131"/>
        <v>0</v>
      </c>
      <c r="AH541" s="61" t="str">
        <f t="shared" si="132"/>
        <v/>
      </c>
      <c r="AI541" s="89" t="e">
        <f t="shared" si="133"/>
        <v>#N/A</v>
      </c>
      <c r="AJ541" s="2"/>
      <c r="AK541" s="61">
        <f>IF(G541=G$547,0,IF(OR(G541&lt;&gt;0,CH541&lt;&gt;0,C541="L"),COUNTIF(AK$180:AK540,"&gt;0")+1,0))</f>
        <v>0</v>
      </c>
      <c r="AL541" s="61" t="str">
        <f t="shared" si="121"/>
        <v/>
      </c>
      <c r="AM541" s="61" t="e">
        <f t="shared" si="122"/>
        <v>#N/A</v>
      </c>
      <c r="AN541" s="89" t="e">
        <f t="shared" si="123"/>
        <v>#N/A</v>
      </c>
      <c r="AO541" s="230">
        <f>SUM(DIC!X34:AD34)-BD541+AY541</f>
        <v>0</v>
      </c>
      <c r="AP541" s="228">
        <f>SUMIF(DIC!$G$121:$M$121,AP$178,DIC!$P34:$V34)+SUMIF($AZ$178:$BC$178,AP$178,$AZ541:$BC541)</f>
        <v>0</v>
      </c>
      <c r="AQ541" s="229">
        <f>SUMIF(DIC!$G$121:$M$121,AQ$178,DIC!$P34:$V34)+SUMIF($AZ$178:$BC$178,AQ$178,$AZ541:$BC541)</f>
        <v>0</v>
      </c>
      <c r="AR541" s="230">
        <f>SUMIF(DIC!$G$121:$M$121,AR$178,DIC!$P34:$V34)+SUMIF($AZ$178:$BC$178,AR$178,$AZ541:$BC541)</f>
        <v>0</v>
      </c>
      <c r="AS541" s="230">
        <f>SUMIF(DIC!$G$121:$M$121,AS$178,DIC!$P34:$V34)+SUMIF($AZ$178:$BC$178,AS$178,$AZ541:$BC541)</f>
        <v>0</v>
      </c>
      <c r="AT541" s="230">
        <f>SUMIF(DIC!$G$121:$M$121,AT$178,DIC!$P34:$V34)+SUMIF($AZ$178:$BC$178,AT$178,$AZ541:$BC541)</f>
        <v>0</v>
      </c>
      <c r="AU541" s="230">
        <f>SUMIF(DIC!$G$121:$M$121,AU$178,DIC!$P34:$V34)+SUMIF($AZ$178:$BC$178,AU$178,$AZ541:$BC541)</f>
        <v>0</v>
      </c>
      <c r="AV541" s="230">
        <f>SUMIF(DIC!$G$121:$M$121,AV$178,DIC!$P34:$V34)+SUMIF($AZ$178:$BC$178,AV$178,$AZ541:$BC541)</f>
        <v>0</v>
      </c>
      <c r="AW541" s="230">
        <f>SUMIF(DIC!$G$121:$M$121,AW$178,DIC!$P34:$V34)+SUMIF($AZ$178:$BC$178,AW$178,$AZ541:$BC541)</f>
        <v>0</v>
      </c>
      <c r="AX541" s="231">
        <f>SUMIF(DIC!$G$121:$M$121,AX$178,DIC!$P34:$V34)+SUMIF($AZ$178:$BC$178,AX$178,$AZ541:$BC541)</f>
        <v>0</v>
      </c>
      <c r="AY541" s="232">
        <f>DIC!AF34</f>
        <v>0</v>
      </c>
      <c r="AZ541" s="228">
        <f>DIC!AG34</f>
        <v>0</v>
      </c>
      <c r="BA541" s="229">
        <f>DIC!AH34</f>
        <v>0</v>
      </c>
      <c r="BB541" s="230">
        <f>DIC!AI34</f>
        <v>0</v>
      </c>
      <c r="BC541" s="231">
        <f>DIC!AJ34</f>
        <v>0</v>
      </c>
      <c r="BD541" s="228">
        <f>SUMIF(DIC!$G$120:$M$120,"&gt;0",DIC!$X34:$AD34)</f>
        <v>0</v>
      </c>
      <c r="BE541" s="696"/>
      <c r="BF541" s="228">
        <f>SUMIF(DIC!$BA$6:$BG$6,BF$177,DIC!$BA34:$BG34)</f>
        <v>0</v>
      </c>
      <c r="BG541" s="229">
        <f>SUMIF(DIC!$BA$6:$BG$6,BG$177,DIC!$BA34:$BG34)</f>
        <v>0</v>
      </c>
      <c r="BH541" s="229">
        <f>SUMIF(DIC!$BA$6:$BG$6,BH$177,DIC!$BA34:$BG34)</f>
        <v>0</v>
      </c>
      <c r="BI541" s="229">
        <f>SUMIF(DIC!$BA$6:$BG$6,BI$177,DIC!$BA34:$BG34)</f>
        <v>0</v>
      </c>
      <c r="BJ541" s="229">
        <f>SUMIF(DIC!$BA$6:$BG$6,BJ$177,DIC!$BA34:$BG34)</f>
        <v>0</v>
      </c>
      <c r="BK541" s="229">
        <f>SUMIF(DIC!$BA$6:$BG$6,BK$177,DIC!$BA34:$BG34)</f>
        <v>0</v>
      </c>
      <c r="BL541" s="229">
        <f>SUMIF(DIC!$BA$6:$BG$6,BL$177,DIC!$BA34:$BG34)</f>
        <v>0</v>
      </c>
      <c r="BM541" s="229">
        <f>SUMIF(DIC!$BA$6:$BG$6,BM$177,DIC!$BA34:$BG34)</f>
        <v>0</v>
      </c>
      <c r="BN541" s="229">
        <f>SUMIF(DIC!$BA$6:$BG$6,BN$177,DIC!$BA34:$BG34)</f>
        <v>0</v>
      </c>
      <c r="BO541" s="231">
        <f>SUMIF(DIC!$BA$6:$BG$6,BO$177,DIC!$BA34:$BG34)</f>
        <v>0</v>
      </c>
      <c r="BP541" s="231">
        <f>SUMIF(DIC!$BA$6:$BG$6,BP$177,DIC!$BA34:$BG34)</f>
        <v>0</v>
      </c>
      <c r="BQ541" s="252"/>
      <c r="BR541" s="228">
        <f>SUMIF(DIC!$BA$5:$BG$5,BR$177,DIC!$BA34:$BG34)</f>
        <v>0</v>
      </c>
      <c r="BS541" s="229">
        <f>SUMIF(DIC!$BA$5:$BG$5,BS$177,DIC!$BA34:$BG34)</f>
        <v>0</v>
      </c>
      <c r="BT541" s="229">
        <f>SUMIF(DIC!$BA$5:$BG$5,BT$177,DIC!$BA34:$BG34)</f>
        <v>0</v>
      </c>
      <c r="BU541" s="229">
        <f>SUMIF(DIC!$BA$5:$BG$5,BU$177,DIC!$BA34:$BG34)</f>
        <v>0</v>
      </c>
      <c r="BV541" s="229">
        <f>SUMIF(DIC!$BA$5:$BG$5,BV$177,DIC!$BA34:$BG34)</f>
        <v>0</v>
      </c>
      <c r="BW541" s="229">
        <f>SUMIF(DIC!$BA$5:$BG$5,BW$177,DIC!$BA34:$BG34)</f>
        <v>0</v>
      </c>
      <c r="BX541" s="230">
        <f>SUMIF(DIC!$BA$5:$BG$5,BX$177,DIC!$BA34:$BG34)</f>
        <v>0</v>
      </c>
      <c r="BY541" s="998">
        <f>SUMIF(DIC!$BA$5:$BG$5,BY$177,DIC!$BA34:$BG34)</f>
        <v>0</v>
      </c>
      <c r="CB541" s="252"/>
      <c r="CC541" s="61" t="e">
        <f t="shared" si="124"/>
        <v>#N/A</v>
      </c>
      <c r="CD541" s="61">
        <f t="shared" si="125"/>
        <v>0</v>
      </c>
      <c r="CE541" s="105" t="str">
        <f t="shared" si="118"/>
        <v/>
      </c>
      <c r="CF541" s="61" t="e">
        <f t="shared" si="126"/>
        <v>#N/A</v>
      </c>
      <c r="CG541" s="61" t="e">
        <f t="shared" si="127"/>
        <v>#N/A</v>
      </c>
      <c r="CH541" s="521">
        <f>DIC!AL34-CW541+CR541</f>
        <v>0</v>
      </c>
      <c r="CI541" s="228">
        <f>SUMIF(DIC!$G$121:$M$121,CI$178,DIC!$AM34:$AS34)+SUMIF($CS$178:$CV$178,CI$178,$CS541:$CV541)</f>
        <v>0</v>
      </c>
      <c r="CJ541" s="229">
        <f>SUMIF(DIC!$G$121:$M$121,CJ$178,DIC!$AM34:$AS34)+SUMIF($CS$178:$CV$178,CJ$178,$CS541:$CV541)</f>
        <v>0</v>
      </c>
      <c r="CK541" s="230">
        <f>SUMIF(DIC!$G$121:$M$121,CK$178,DIC!$AM34:$AS34)+SUMIF($CS$178:$CV$178,CK$178,$CS541:$CV541)</f>
        <v>0</v>
      </c>
      <c r="CL541" s="230">
        <f>SUMIF(DIC!$G$121:$M$121,CL$178,DIC!$AM34:$AS34)+SUMIF($CS$178:$CV$178,CL$178,$CS541:$CV541)</f>
        <v>0</v>
      </c>
      <c r="CM541" s="230">
        <f>SUMIF(DIC!$G$121:$M$121,CM$178,DIC!$AM34:$AS34)+SUMIF($CS$178:$CV$178,CM$178,$CS541:$CV541)</f>
        <v>0</v>
      </c>
      <c r="CN541" s="230">
        <f>SUMIF(DIC!$G$121:$M$121,CN$178,DIC!$AM34:$AS34)+SUMIF($CS$178:$CV$178,CN$178,$CS541:$CV541)</f>
        <v>0</v>
      </c>
      <c r="CO541" s="230">
        <f>SUMIF(DIC!$G$121:$M$121,CO$178,DIC!$AM34:$AS34)+SUMIF($CS$178:$CV$178,CO$178,$CS541:$CV541)</f>
        <v>0</v>
      </c>
      <c r="CP541" s="230">
        <f>SUMIF(DIC!$G$121:$M$121,CP$178,DIC!$AM34:$AS34)+SUMIF($CS$178:$CV$178,CP$178,$CS541:$CV541)</f>
        <v>0</v>
      </c>
      <c r="CQ541" s="231">
        <f>SUMIF(DIC!$G$121:$M$121,CQ$178,DIC!$AM34:$AS34)+SUMIF($CS$178:$CV$178,CQ$178,$CS541:$CV541)</f>
        <v>0</v>
      </c>
      <c r="CR541" s="521">
        <f>DIC!AU34</f>
        <v>0</v>
      </c>
      <c r="CS541" s="228">
        <f>DIC!AV34</f>
        <v>0</v>
      </c>
      <c r="CT541" s="229">
        <f>DIC!AW34</f>
        <v>0</v>
      </c>
      <c r="CU541" s="230">
        <f>DIC!AX34</f>
        <v>0</v>
      </c>
      <c r="CV541" s="231">
        <f>DIC!AY34</f>
        <v>0</v>
      </c>
      <c r="CW541" s="521">
        <f>SUM(DIC!AU34:AY34)</f>
        <v>0</v>
      </c>
      <c r="CX541" s="521">
        <f>DIC!AK34</f>
        <v>0</v>
      </c>
      <c r="CY541" s="2"/>
    </row>
    <row r="542" spans="1:103" ht="14.25" hidden="1" customHeight="1" x14ac:dyDescent="0.2">
      <c r="A542" s="2"/>
      <c r="B542" s="105">
        <f t="shared" si="128"/>
        <v>45654</v>
      </c>
      <c r="C542" s="146">
        <f>IF(AND(E542&gt;(N$562-1),E542&lt;(R$562+1)),W$551,IF(ISERROR(HLOOKUP(E542,$N$555:$U$555,1,FALSE)),HLOOKUP(WEEKDAY(E542,2),IMPOSTAZIONI!$C$52:$P$57,6,FALSE),$W$550))</f>
        <v>0</v>
      </c>
      <c r="D542" s="71" t="str">
        <f t="shared" si="129"/>
        <v/>
      </c>
      <c r="E542" s="2258">
        <f t="shared" si="134"/>
        <v>45654</v>
      </c>
      <c r="F542" s="2259"/>
      <c r="G542" s="2228" t="str">
        <f>DIC!E35</f>
        <v xml:space="preserve">disattivato  </v>
      </c>
      <c r="H542" s="2229"/>
      <c r="I542" s="2230"/>
      <c r="J542" s="262" t="str">
        <f t="shared" si="119"/>
        <v/>
      </c>
      <c r="K542" s="263"/>
      <c r="L542" s="2233">
        <f t="shared" si="135"/>
        <v>52</v>
      </c>
      <c r="M542" s="2234"/>
      <c r="N542" s="261"/>
      <c r="O542" s="261"/>
      <c r="P542" s="261"/>
      <c r="Q542" s="2219">
        <f t="shared" si="130"/>
        <v>45654</v>
      </c>
      <c r="R542" s="2219"/>
      <c r="S542" s="261"/>
      <c r="T542" s="1173">
        <f t="shared" si="120"/>
        <v>1</v>
      </c>
      <c r="U542" s="261"/>
      <c r="V542" s="261"/>
      <c r="W542" s="261"/>
      <c r="X542" s="261"/>
      <c r="Y542" s="261"/>
      <c r="Z542" s="261"/>
      <c r="AA542" s="261"/>
      <c r="AB542" s="261"/>
      <c r="AC542" s="261"/>
      <c r="AD542" s="261"/>
      <c r="AE542" s="261"/>
      <c r="AF542" s="261"/>
      <c r="AG542" s="1173">
        <f t="shared" si="131"/>
        <v>0</v>
      </c>
      <c r="AH542" s="61" t="str">
        <f t="shared" si="132"/>
        <v/>
      </c>
      <c r="AI542" s="89" t="e">
        <f t="shared" si="133"/>
        <v>#N/A</v>
      </c>
      <c r="AJ542" s="2"/>
      <c r="AK542" s="61">
        <f>IF(G542=G$547,0,IF(OR(G542&lt;&gt;0,CH542&lt;&gt;0,C542="L"),COUNTIF(AK$180:AK541,"&gt;0")+1,0))</f>
        <v>0</v>
      </c>
      <c r="AL542" s="61" t="str">
        <f t="shared" si="121"/>
        <v/>
      </c>
      <c r="AM542" s="61" t="e">
        <f t="shared" si="122"/>
        <v>#N/A</v>
      </c>
      <c r="AN542" s="89" t="e">
        <f t="shared" si="123"/>
        <v>#N/A</v>
      </c>
      <c r="AO542" s="230">
        <f>SUM(DIC!X35:AD35)-BD542+AY542</f>
        <v>0</v>
      </c>
      <c r="AP542" s="228">
        <f>SUMIF(DIC!$G$121:$M$121,AP$178,DIC!$P35:$V35)+SUMIF($AZ$178:$BC$178,AP$178,$AZ542:$BC542)</f>
        <v>0</v>
      </c>
      <c r="AQ542" s="229">
        <f>SUMIF(DIC!$G$121:$M$121,AQ$178,DIC!$P35:$V35)+SUMIF($AZ$178:$BC$178,AQ$178,$AZ542:$BC542)</f>
        <v>0</v>
      </c>
      <c r="AR542" s="230">
        <f>SUMIF(DIC!$G$121:$M$121,AR$178,DIC!$P35:$V35)+SUMIF($AZ$178:$BC$178,AR$178,$AZ542:$BC542)</f>
        <v>0</v>
      </c>
      <c r="AS542" s="230">
        <f>SUMIF(DIC!$G$121:$M$121,AS$178,DIC!$P35:$V35)+SUMIF($AZ$178:$BC$178,AS$178,$AZ542:$BC542)</f>
        <v>0</v>
      </c>
      <c r="AT542" s="230">
        <f>SUMIF(DIC!$G$121:$M$121,AT$178,DIC!$P35:$V35)+SUMIF($AZ$178:$BC$178,AT$178,$AZ542:$BC542)</f>
        <v>0</v>
      </c>
      <c r="AU542" s="230">
        <f>SUMIF(DIC!$G$121:$M$121,AU$178,DIC!$P35:$V35)+SUMIF($AZ$178:$BC$178,AU$178,$AZ542:$BC542)</f>
        <v>0</v>
      </c>
      <c r="AV542" s="230">
        <f>SUMIF(DIC!$G$121:$M$121,AV$178,DIC!$P35:$V35)+SUMIF($AZ$178:$BC$178,AV$178,$AZ542:$BC542)</f>
        <v>0</v>
      </c>
      <c r="AW542" s="230">
        <f>SUMIF(DIC!$G$121:$M$121,AW$178,DIC!$P35:$V35)+SUMIF($AZ$178:$BC$178,AW$178,$AZ542:$BC542)</f>
        <v>0</v>
      </c>
      <c r="AX542" s="231">
        <f>SUMIF(DIC!$G$121:$M$121,AX$178,DIC!$P35:$V35)+SUMIF($AZ$178:$BC$178,AX$178,$AZ542:$BC542)</f>
        <v>0</v>
      </c>
      <c r="AY542" s="232">
        <f>DIC!AF35</f>
        <v>0</v>
      </c>
      <c r="AZ542" s="228">
        <f>DIC!AG35</f>
        <v>0</v>
      </c>
      <c r="BA542" s="229">
        <f>DIC!AH35</f>
        <v>0</v>
      </c>
      <c r="BB542" s="230">
        <f>DIC!AI35</f>
        <v>0</v>
      </c>
      <c r="BC542" s="231">
        <f>DIC!AJ35</f>
        <v>0</v>
      </c>
      <c r="BD542" s="228">
        <f>SUMIF(DIC!$G$120:$M$120,"&gt;0",DIC!$X35:$AD35)</f>
        <v>0</v>
      </c>
      <c r="BE542" s="696"/>
      <c r="BF542" s="228">
        <f>SUMIF(DIC!$BA$6:$BG$6,BF$177,DIC!$BA35:$BG35)</f>
        <v>0</v>
      </c>
      <c r="BG542" s="229">
        <f>SUMIF(DIC!$BA$6:$BG$6,BG$177,DIC!$BA35:$BG35)</f>
        <v>0</v>
      </c>
      <c r="BH542" s="229">
        <f>SUMIF(DIC!$BA$6:$BG$6,BH$177,DIC!$BA35:$BG35)</f>
        <v>0</v>
      </c>
      <c r="BI542" s="229">
        <f>SUMIF(DIC!$BA$6:$BG$6,BI$177,DIC!$BA35:$BG35)</f>
        <v>0</v>
      </c>
      <c r="BJ542" s="229">
        <f>SUMIF(DIC!$BA$6:$BG$6,BJ$177,DIC!$BA35:$BG35)</f>
        <v>0</v>
      </c>
      <c r="BK542" s="229">
        <f>SUMIF(DIC!$BA$6:$BG$6,BK$177,DIC!$BA35:$BG35)</f>
        <v>0</v>
      </c>
      <c r="BL542" s="229">
        <f>SUMIF(DIC!$BA$6:$BG$6,BL$177,DIC!$BA35:$BG35)</f>
        <v>0</v>
      </c>
      <c r="BM542" s="229">
        <f>SUMIF(DIC!$BA$6:$BG$6,BM$177,DIC!$BA35:$BG35)</f>
        <v>0</v>
      </c>
      <c r="BN542" s="229">
        <f>SUMIF(DIC!$BA$6:$BG$6,BN$177,DIC!$BA35:$BG35)</f>
        <v>0</v>
      </c>
      <c r="BO542" s="231">
        <f>SUMIF(DIC!$BA$6:$BG$6,BO$177,DIC!$BA35:$BG35)</f>
        <v>0</v>
      </c>
      <c r="BP542" s="231">
        <f>SUMIF(DIC!$BA$6:$BG$6,BP$177,DIC!$BA35:$BG35)</f>
        <v>0</v>
      </c>
      <c r="BQ542" s="252"/>
      <c r="BR542" s="228">
        <f>SUMIF(DIC!$BA$5:$BG$5,BR$177,DIC!$BA35:$BG35)</f>
        <v>0</v>
      </c>
      <c r="BS542" s="229">
        <f>SUMIF(DIC!$BA$5:$BG$5,BS$177,DIC!$BA35:$BG35)</f>
        <v>0</v>
      </c>
      <c r="BT542" s="229">
        <f>SUMIF(DIC!$BA$5:$BG$5,BT$177,DIC!$BA35:$BG35)</f>
        <v>0</v>
      </c>
      <c r="BU542" s="229">
        <f>SUMIF(DIC!$BA$5:$BG$5,BU$177,DIC!$BA35:$BG35)</f>
        <v>0</v>
      </c>
      <c r="BV542" s="229">
        <f>SUMIF(DIC!$BA$5:$BG$5,BV$177,DIC!$BA35:$BG35)</f>
        <v>0</v>
      </c>
      <c r="BW542" s="229">
        <f>SUMIF(DIC!$BA$5:$BG$5,BW$177,DIC!$BA35:$BG35)</f>
        <v>0</v>
      </c>
      <c r="BX542" s="230">
        <f>SUMIF(DIC!$BA$5:$BG$5,BX$177,DIC!$BA35:$BG35)</f>
        <v>0</v>
      </c>
      <c r="BY542" s="998">
        <f>SUMIF(DIC!$BA$5:$BG$5,BY$177,DIC!$BA35:$BG35)</f>
        <v>0</v>
      </c>
      <c r="CB542" s="252"/>
      <c r="CC542" s="61" t="e">
        <f t="shared" si="124"/>
        <v>#N/A</v>
      </c>
      <c r="CD542" s="61">
        <f t="shared" si="125"/>
        <v>0</v>
      </c>
      <c r="CE542" s="105" t="str">
        <f t="shared" si="118"/>
        <v/>
      </c>
      <c r="CF542" s="61" t="e">
        <f t="shared" si="126"/>
        <v>#N/A</v>
      </c>
      <c r="CG542" s="61" t="e">
        <f t="shared" si="127"/>
        <v>#N/A</v>
      </c>
      <c r="CH542" s="521">
        <f>DIC!AL35-CW542+CR542</f>
        <v>0</v>
      </c>
      <c r="CI542" s="228">
        <f>SUMIF(DIC!$G$121:$M$121,CI$178,DIC!$AM35:$AS35)+SUMIF($CS$178:$CV$178,CI$178,$CS542:$CV542)</f>
        <v>0</v>
      </c>
      <c r="CJ542" s="229">
        <f>SUMIF(DIC!$G$121:$M$121,CJ$178,DIC!$AM35:$AS35)+SUMIF($CS$178:$CV$178,CJ$178,$CS542:$CV542)</f>
        <v>0</v>
      </c>
      <c r="CK542" s="230">
        <f>SUMIF(DIC!$G$121:$M$121,CK$178,DIC!$AM35:$AS35)+SUMIF($CS$178:$CV$178,CK$178,$CS542:$CV542)</f>
        <v>0</v>
      </c>
      <c r="CL542" s="230">
        <f>SUMIF(DIC!$G$121:$M$121,CL$178,DIC!$AM35:$AS35)+SUMIF($CS$178:$CV$178,CL$178,$CS542:$CV542)</f>
        <v>0</v>
      </c>
      <c r="CM542" s="230">
        <f>SUMIF(DIC!$G$121:$M$121,CM$178,DIC!$AM35:$AS35)+SUMIF($CS$178:$CV$178,CM$178,$CS542:$CV542)</f>
        <v>0</v>
      </c>
      <c r="CN542" s="230">
        <f>SUMIF(DIC!$G$121:$M$121,CN$178,DIC!$AM35:$AS35)+SUMIF($CS$178:$CV$178,CN$178,$CS542:$CV542)</f>
        <v>0</v>
      </c>
      <c r="CO542" s="230">
        <f>SUMIF(DIC!$G$121:$M$121,CO$178,DIC!$AM35:$AS35)+SUMIF($CS$178:$CV$178,CO$178,$CS542:$CV542)</f>
        <v>0</v>
      </c>
      <c r="CP542" s="230">
        <f>SUMIF(DIC!$G$121:$M$121,CP$178,DIC!$AM35:$AS35)+SUMIF($CS$178:$CV$178,CP$178,$CS542:$CV542)</f>
        <v>0</v>
      </c>
      <c r="CQ542" s="231">
        <f>SUMIF(DIC!$G$121:$M$121,CQ$178,DIC!$AM35:$AS35)+SUMIF($CS$178:$CV$178,CQ$178,$CS542:$CV542)</f>
        <v>0</v>
      </c>
      <c r="CR542" s="521">
        <f>DIC!AU35</f>
        <v>0</v>
      </c>
      <c r="CS542" s="228">
        <f>DIC!AV35</f>
        <v>0</v>
      </c>
      <c r="CT542" s="229">
        <f>DIC!AW35</f>
        <v>0</v>
      </c>
      <c r="CU542" s="230">
        <f>DIC!AX35</f>
        <v>0</v>
      </c>
      <c r="CV542" s="231">
        <f>DIC!AY35</f>
        <v>0</v>
      </c>
      <c r="CW542" s="521">
        <f>SUM(DIC!AU35:AY35)</f>
        <v>0</v>
      </c>
      <c r="CX542" s="521">
        <f>DIC!AK35</f>
        <v>0</v>
      </c>
      <c r="CY542" s="2"/>
    </row>
    <row r="543" spans="1:103" ht="14.25" hidden="1" customHeight="1" x14ac:dyDescent="0.2">
      <c r="A543" s="2"/>
      <c r="B543" s="105">
        <f t="shared" si="128"/>
        <v>45655</v>
      </c>
      <c r="C543" s="146">
        <f>IF(AND(E543&gt;(N$562-1),E543&lt;(R$562+1)),W$551,IF(ISERROR(HLOOKUP(E543,$N$555:$U$555,1,FALSE)),HLOOKUP(WEEKDAY(E543,2),IMPOSTAZIONI!$C$52:$P$57,6,FALSE),$W$550))</f>
        <v>0</v>
      </c>
      <c r="D543" s="71" t="str">
        <f t="shared" si="129"/>
        <v/>
      </c>
      <c r="E543" s="2258">
        <f t="shared" si="134"/>
        <v>45655</v>
      </c>
      <c r="F543" s="2259"/>
      <c r="G543" s="2228" t="str">
        <f>DIC!E36</f>
        <v xml:space="preserve">disattivato  </v>
      </c>
      <c r="H543" s="2229"/>
      <c r="I543" s="2230"/>
      <c r="J543" s="262" t="str">
        <f t="shared" si="119"/>
        <v/>
      </c>
      <c r="K543" s="263"/>
      <c r="L543" s="2231">
        <f t="shared" si="135"/>
        <v>52</v>
      </c>
      <c r="M543" s="2235"/>
      <c r="N543" s="261"/>
      <c r="O543" s="261"/>
      <c r="P543" s="261"/>
      <c r="Q543" s="2219">
        <f t="shared" si="130"/>
        <v>45655</v>
      </c>
      <c r="R543" s="2219"/>
      <c r="S543" s="261"/>
      <c r="T543" s="1173">
        <f t="shared" si="120"/>
        <v>1</v>
      </c>
      <c r="U543" s="261"/>
      <c r="V543" s="261"/>
      <c r="W543" s="261"/>
      <c r="X543" s="261"/>
      <c r="Y543" s="261"/>
      <c r="Z543" s="261"/>
      <c r="AA543" s="261"/>
      <c r="AB543" s="261"/>
      <c r="AC543" s="261"/>
      <c r="AD543" s="261"/>
      <c r="AE543" s="261"/>
      <c r="AF543" s="261"/>
      <c r="AG543" s="1173">
        <f t="shared" si="131"/>
        <v>0</v>
      </c>
      <c r="AH543" s="61" t="str">
        <f t="shared" si="132"/>
        <v/>
      </c>
      <c r="AI543" s="89" t="e">
        <f t="shared" si="133"/>
        <v>#N/A</v>
      </c>
      <c r="AJ543" s="2"/>
      <c r="AK543" s="61">
        <f>IF(G543=G$547,0,IF(OR(G543&lt;&gt;0,CH543&lt;&gt;0,C543="L"),COUNTIF(AK$180:AK542,"&gt;0")+1,0))</f>
        <v>0</v>
      </c>
      <c r="AL543" s="61" t="str">
        <f t="shared" si="121"/>
        <v/>
      </c>
      <c r="AM543" s="61" t="e">
        <f t="shared" si="122"/>
        <v>#N/A</v>
      </c>
      <c r="AN543" s="89" t="e">
        <f t="shared" si="123"/>
        <v>#N/A</v>
      </c>
      <c r="AO543" s="230">
        <f>SUM(DIC!X36:AD36)-BD543+AY543</f>
        <v>0</v>
      </c>
      <c r="AP543" s="228">
        <f>SUMIF(DIC!$G$121:$M$121,AP$178,DIC!$P36:$V36)+SUMIF($AZ$178:$BC$178,AP$178,$AZ543:$BC543)</f>
        <v>0</v>
      </c>
      <c r="AQ543" s="229">
        <f>SUMIF(DIC!$G$121:$M$121,AQ$178,DIC!$P36:$V36)+SUMIF($AZ$178:$BC$178,AQ$178,$AZ543:$BC543)</f>
        <v>0</v>
      </c>
      <c r="AR543" s="230">
        <f>SUMIF(DIC!$G$121:$M$121,AR$178,DIC!$P36:$V36)+SUMIF($AZ$178:$BC$178,AR$178,$AZ543:$BC543)</f>
        <v>0</v>
      </c>
      <c r="AS543" s="230">
        <f>SUMIF(DIC!$G$121:$M$121,AS$178,DIC!$P36:$V36)+SUMIF($AZ$178:$BC$178,AS$178,$AZ543:$BC543)</f>
        <v>0</v>
      </c>
      <c r="AT543" s="230">
        <f>SUMIF(DIC!$G$121:$M$121,AT$178,DIC!$P36:$V36)+SUMIF($AZ$178:$BC$178,AT$178,$AZ543:$BC543)</f>
        <v>0</v>
      </c>
      <c r="AU543" s="230">
        <f>SUMIF(DIC!$G$121:$M$121,AU$178,DIC!$P36:$V36)+SUMIF($AZ$178:$BC$178,AU$178,$AZ543:$BC543)</f>
        <v>0</v>
      </c>
      <c r="AV543" s="230">
        <f>SUMIF(DIC!$G$121:$M$121,AV$178,DIC!$P36:$V36)+SUMIF($AZ$178:$BC$178,AV$178,$AZ543:$BC543)</f>
        <v>0</v>
      </c>
      <c r="AW543" s="230">
        <f>SUMIF(DIC!$G$121:$M$121,AW$178,DIC!$P36:$V36)+SUMIF($AZ$178:$BC$178,AW$178,$AZ543:$BC543)</f>
        <v>0</v>
      </c>
      <c r="AX543" s="231">
        <f>SUMIF(DIC!$G$121:$M$121,AX$178,DIC!$P36:$V36)+SUMIF($AZ$178:$BC$178,AX$178,$AZ543:$BC543)</f>
        <v>0</v>
      </c>
      <c r="AY543" s="232">
        <f>DIC!AF36</f>
        <v>0</v>
      </c>
      <c r="AZ543" s="228">
        <f>DIC!AG36</f>
        <v>0</v>
      </c>
      <c r="BA543" s="229">
        <f>DIC!AH36</f>
        <v>0</v>
      </c>
      <c r="BB543" s="230">
        <f>DIC!AI36</f>
        <v>0</v>
      </c>
      <c r="BC543" s="231">
        <f>DIC!AJ36</f>
        <v>0</v>
      </c>
      <c r="BD543" s="228">
        <f>SUMIF(DIC!$G$120:$M$120,"&gt;0",DIC!$X36:$AD36)</f>
        <v>0</v>
      </c>
      <c r="BE543" s="696"/>
      <c r="BF543" s="228">
        <f>SUMIF(DIC!$BA$6:$BG$6,BF$177,DIC!$BA36:$BG36)</f>
        <v>0</v>
      </c>
      <c r="BG543" s="229">
        <f>SUMIF(DIC!$BA$6:$BG$6,BG$177,DIC!$BA36:$BG36)</f>
        <v>0</v>
      </c>
      <c r="BH543" s="229">
        <f>SUMIF(DIC!$BA$6:$BG$6,BH$177,DIC!$BA36:$BG36)</f>
        <v>0</v>
      </c>
      <c r="BI543" s="229">
        <f>SUMIF(DIC!$BA$6:$BG$6,BI$177,DIC!$BA36:$BG36)</f>
        <v>0</v>
      </c>
      <c r="BJ543" s="229">
        <f>SUMIF(DIC!$BA$6:$BG$6,BJ$177,DIC!$BA36:$BG36)</f>
        <v>0</v>
      </c>
      <c r="BK543" s="229">
        <f>SUMIF(DIC!$BA$6:$BG$6,BK$177,DIC!$BA36:$BG36)</f>
        <v>0</v>
      </c>
      <c r="BL543" s="229">
        <f>SUMIF(DIC!$BA$6:$BG$6,BL$177,DIC!$BA36:$BG36)</f>
        <v>0</v>
      </c>
      <c r="BM543" s="229">
        <f>SUMIF(DIC!$BA$6:$BG$6,BM$177,DIC!$BA36:$BG36)</f>
        <v>0</v>
      </c>
      <c r="BN543" s="229">
        <f>SUMIF(DIC!$BA$6:$BG$6,BN$177,DIC!$BA36:$BG36)</f>
        <v>0</v>
      </c>
      <c r="BO543" s="231">
        <f>SUMIF(DIC!$BA$6:$BG$6,BO$177,DIC!$BA36:$BG36)</f>
        <v>0</v>
      </c>
      <c r="BP543" s="231">
        <f>SUMIF(DIC!$BA$6:$BG$6,BP$177,DIC!$BA36:$BG36)</f>
        <v>0</v>
      </c>
      <c r="BQ543" s="252"/>
      <c r="BR543" s="228">
        <f>SUMIF(DIC!$BA$5:$BG$5,BR$177,DIC!$BA36:$BG36)</f>
        <v>0</v>
      </c>
      <c r="BS543" s="229">
        <f>SUMIF(DIC!$BA$5:$BG$5,BS$177,DIC!$BA36:$BG36)</f>
        <v>0</v>
      </c>
      <c r="BT543" s="229">
        <f>SUMIF(DIC!$BA$5:$BG$5,BT$177,DIC!$BA36:$BG36)</f>
        <v>0</v>
      </c>
      <c r="BU543" s="229">
        <f>SUMIF(DIC!$BA$5:$BG$5,BU$177,DIC!$BA36:$BG36)</f>
        <v>0</v>
      </c>
      <c r="BV543" s="229">
        <f>SUMIF(DIC!$BA$5:$BG$5,BV$177,DIC!$BA36:$BG36)</f>
        <v>0</v>
      </c>
      <c r="BW543" s="229">
        <f>SUMIF(DIC!$BA$5:$BG$5,BW$177,DIC!$BA36:$BG36)</f>
        <v>0</v>
      </c>
      <c r="BX543" s="230">
        <f>SUMIF(DIC!$BA$5:$BG$5,BX$177,DIC!$BA36:$BG36)</f>
        <v>0</v>
      </c>
      <c r="BY543" s="998">
        <f>SUMIF(DIC!$BA$5:$BG$5,BY$177,DIC!$BA36:$BG36)</f>
        <v>0</v>
      </c>
      <c r="CB543" s="252"/>
      <c r="CC543" s="61" t="e">
        <f t="shared" si="124"/>
        <v>#N/A</v>
      </c>
      <c r="CD543" s="61">
        <f t="shared" si="125"/>
        <v>0</v>
      </c>
      <c r="CE543" s="105" t="str">
        <f t="shared" si="118"/>
        <v/>
      </c>
      <c r="CF543" s="61" t="e">
        <f t="shared" si="126"/>
        <v>#N/A</v>
      </c>
      <c r="CG543" s="61" t="e">
        <f t="shared" si="127"/>
        <v>#N/A</v>
      </c>
      <c r="CH543" s="521">
        <f>DIC!AL36-CW543+CR543</f>
        <v>0</v>
      </c>
      <c r="CI543" s="228">
        <f>SUMIF(DIC!$G$121:$M$121,CI$178,DIC!$AM36:$AS36)+SUMIF($CS$178:$CV$178,CI$178,$CS543:$CV543)</f>
        <v>0</v>
      </c>
      <c r="CJ543" s="229">
        <f>SUMIF(DIC!$G$121:$M$121,CJ$178,DIC!$AM36:$AS36)+SUMIF($CS$178:$CV$178,CJ$178,$CS543:$CV543)</f>
        <v>0</v>
      </c>
      <c r="CK543" s="230">
        <f>SUMIF(DIC!$G$121:$M$121,CK$178,DIC!$AM36:$AS36)+SUMIF($CS$178:$CV$178,CK$178,$CS543:$CV543)</f>
        <v>0</v>
      </c>
      <c r="CL543" s="230">
        <f>SUMIF(DIC!$G$121:$M$121,CL$178,DIC!$AM36:$AS36)+SUMIF($CS$178:$CV$178,CL$178,$CS543:$CV543)</f>
        <v>0</v>
      </c>
      <c r="CM543" s="230">
        <f>SUMIF(DIC!$G$121:$M$121,CM$178,DIC!$AM36:$AS36)+SUMIF($CS$178:$CV$178,CM$178,$CS543:$CV543)</f>
        <v>0</v>
      </c>
      <c r="CN543" s="230">
        <f>SUMIF(DIC!$G$121:$M$121,CN$178,DIC!$AM36:$AS36)+SUMIF($CS$178:$CV$178,CN$178,$CS543:$CV543)</f>
        <v>0</v>
      </c>
      <c r="CO543" s="230">
        <f>SUMIF(DIC!$G$121:$M$121,CO$178,DIC!$AM36:$AS36)+SUMIF($CS$178:$CV$178,CO$178,$CS543:$CV543)</f>
        <v>0</v>
      </c>
      <c r="CP543" s="230">
        <f>SUMIF(DIC!$G$121:$M$121,CP$178,DIC!$AM36:$AS36)+SUMIF($CS$178:$CV$178,CP$178,$CS543:$CV543)</f>
        <v>0</v>
      </c>
      <c r="CQ543" s="231">
        <f>SUMIF(DIC!$G$121:$M$121,CQ$178,DIC!$AM36:$AS36)+SUMIF($CS$178:$CV$178,CQ$178,$CS543:$CV543)</f>
        <v>0</v>
      </c>
      <c r="CR543" s="521">
        <f>DIC!AU36</f>
        <v>0</v>
      </c>
      <c r="CS543" s="228">
        <f>DIC!AV36</f>
        <v>0</v>
      </c>
      <c r="CT543" s="229">
        <f>DIC!AW36</f>
        <v>0</v>
      </c>
      <c r="CU543" s="230">
        <f>DIC!AX36</f>
        <v>0</v>
      </c>
      <c r="CV543" s="231">
        <f>DIC!AY36</f>
        <v>0</v>
      </c>
      <c r="CW543" s="521">
        <f>SUM(DIC!AU36:AY36)</f>
        <v>0</v>
      </c>
      <c r="CX543" s="521">
        <f>DIC!AK36</f>
        <v>0</v>
      </c>
      <c r="CY543" s="2"/>
    </row>
    <row r="544" spans="1:103" ht="14.25" hidden="1" customHeight="1" x14ac:dyDescent="0.2">
      <c r="A544" s="2"/>
      <c r="B544" s="105">
        <f t="shared" si="128"/>
        <v>45656</v>
      </c>
      <c r="C544" s="146">
        <f>IF(AND(E544&gt;(N$562-1),E544&lt;(R$562+1)),W$551,IF(ISERROR(HLOOKUP(E544,$N$555:$U$555,1,FALSE)),HLOOKUP(WEEKDAY(E544,2),IMPOSTAZIONI!$C$52:$P$57,6,FALSE),$W$550))</f>
        <v>0</v>
      </c>
      <c r="D544" s="71" t="str">
        <f t="shared" si="129"/>
        <v/>
      </c>
      <c r="E544" s="2258">
        <f t="shared" si="134"/>
        <v>45656</v>
      </c>
      <c r="F544" s="2259"/>
      <c r="G544" s="2228" t="str">
        <f>DIC!E37</f>
        <v xml:space="preserve">disattivato  </v>
      </c>
      <c r="H544" s="2229"/>
      <c r="I544" s="2230"/>
      <c r="J544" s="262" t="str">
        <f t="shared" si="119"/>
        <v/>
      </c>
      <c r="K544" s="263"/>
      <c r="L544" s="2238">
        <f t="shared" si="135"/>
        <v>53</v>
      </c>
      <c r="M544" s="2239"/>
      <c r="N544" s="2240">
        <v>52</v>
      </c>
      <c r="O544" s="2241"/>
      <c r="P544" s="261"/>
      <c r="Q544" s="2219">
        <f t="shared" si="130"/>
        <v>45656</v>
      </c>
      <c r="R544" s="2219"/>
      <c r="S544" s="261"/>
      <c r="T544" s="1173">
        <f t="shared" si="120"/>
        <v>1</v>
      </c>
      <c r="U544" s="261"/>
      <c r="V544" s="261"/>
      <c r="W544" s="261"/>
      <c r="X544" s="261"/>
      <c r="Y544" s="261"/>
      <c r="Z544" s="261"/>
      <c r="AA544" s="261"/>
      <c r="AB544" s="261"/>
      <c r="AC544" s="261"/>
      <c r="AD544" s="261"/>
      <c r="AE544" s="261"/>
      <c r="AF544" s="261"/>
      <c r="AG544" s="1173">
        <f t="shared" si="131"/>
        <v>0</v>
      </c>
      <c r="AH544" s="61" t="str">
        <f t="shared" si="132"/>
        <v/>
      </c>
      <c r="AI544" s="89" t="e">
        <f t="shared" si="133"/>
        <v>#N/A</v>
      </c>
      <c r="AJ544" s="2"/>
      <c r="AK544" s="61">
        <f>IF(G544=G$547,0,IF(OR(G544&lt;&gt;0,CH544&lt;&gt;0,C544="L"),COUNTIF(AK$180:AK543,"&gt;0")+1,0))</f>
        <v>0</v>
      </c>
      <c r="AL544" s="61" t="str">
        <f t="shared" si="121"/>
        <v/>
      </c>
      <c r="AM544" s="61" t="e">
        <f t="shared" si="122"/>
        <v>#N/A</v>
      </c>
      <c r="AN544" s="89" t="e">
        <f t="shared" si="123"/>
        <v>#N/A</v>
      </c>
      <c r="AO544" s="230">
        <f>SUM(DIC!X37:AD37)-BD544+AY544</f>
        <v>0</v>
      </c>
      <c r="AP544" s="228">
        <f>SUMIF(DIC!$G$121:$M$121,AP$178,DIC!$P37:$V37)+SUMIF($AZ$178:$BC$178,AP$178,$AZ544:$BC544)</f>
        <v>0</v>
      </c>
      <c r="AQ544" s="229">
        <f>SUMIF(DIC!$G$121:$M$121,AQ$178,DIC!$P37:$V37)+SUMIF($AZ$178:$BC$178,AQ$178,$AZ544:$BC544)</f>
        <v>0</v>
      </c>
      <c r="AR544" s="230">
        <f>SUMIF(DIC!$G$121:$M$121,AR$178,DIC!$P37:$V37)+SUMIF($AZ$178:$BC$178,AR$178,$AZ544:$BC544)</f>
        <v>0</v>
      </c>
      <c r="AS544" s="230">
        <f>SUMIF(DIC!$G$121:$M$121,AS$178,DIC!$P37:$V37)+SUMIF($AZ$178:$BC$178,AS$178,$AZ544:$BC544)</f>
        <v>0</v>
      </c>
      <c r="AT544" s="230">
        <f>SUMIF(DIC!$G$121:$M$121,AT$178,DIC!$P37:$V37)+SUMIF($AZ$178:$BC$178,AT$178,$AZ544:$BC544)</f>
        <v>0</v>
      </c>
      <c r="AU544" s="230">
        <f>SUMIF(DIC!$G$121:$M$121,AU$178,DIC!$P37:$V37)+SUMIF($AZ$178:$BC$178,AU$178,$AZ544:$BC544)</f>
        <v>0</v>
      </c>
      <c r="AV544" s="230">
        <f>SUMIF(DIC!$G$121:$M$121,AV$178,DIC!$P37:$V37)+SUMIF($AZ$178:$BC$178,AV$178,$AZ544:$BC544)</f>
        <v>0</v>
      </c>
      <c r="AW544" s="230">
        <f>SUMIF(DIC!$G$121:$M$121,AW$178,DIC!$P37:$V37)+SUMIF($AZ$178:$BC$178,AW$178,$AZ544:$BC544)</f>
        <v>0</v>
      </c>
      <c r="AX544" s="231">
        <f>SUMIF(DIC!$G$121:$M$121,AX$178,DIC!$P37:$V37)+SUMIF($AZ$178:$BC$178,AX$178,$AZ544:$BC544)</f>
        <v>0</v>
      </c>
      <c r="AY544" s="232">
        <f>DIC!AF37</f>
        <v>0</v>
      </c>
      <c r="AZ544" s="228">
        <f>DIC!AG37</f>
        <v>0</v>
      </c>
      <c r="BA544" s="229">
        <f>DIC!AH37</f>
        <v>0</v>
      </c>
      <c r="BB544" s="230">
        <f>DIC!AI37</f>
        <v>0</v>
      </c>
      <c r="BC544" s="231">
        <f>DIC!AJ37</f>
        <v>0</v>
      </c>
      <c r="BD544" s="228">
        <f>SUMIF(DIC!$G$120:$M$120,"&gt;0",DIC!$X37:$AD37)</f>
        <v>0</v>
      </c>
      <c r="BE544" s="696"/>
      <c r="BF544" s="228">
        <f>SUMIF(DIC!$BA$6:$BG$6,BF$177,DIC!$BA37:$BG37)</f>
        <v>0</v>
      </c>
      <c r="BG544" s="229">
        <f>SUMIF(DIC!$BA$6:$BG$6,BG$177,DIC!$BA37:$BG37)</f>
        <v>0</v>
      </c>
      <c r="BH544" s="229">
        <f>SUMIF(DIC!$BA$6:$BG$6,BH$177,DIC!$BA37:$BG37)</f>
        <v>0</v>
      </c>
      <c r="BI544" s="229">
        <f>SUMIF(DIC!$BA$6:$BG$6,BI$177,DIC!$BA37:$BG37)</f>
        <v>0</v>
      </c>
      <c r="BJ544" s="229">
        <f>SUMIF(DIC!$BA$6:$BG$6,BJ$177,DIC!$BA37:$BG37)</f>
        <v>0</v>
      </c>
      <c r="BK544" s="229">
        <f>SUMIF(DIC!$BA$6:$BG$6,BK$177,DIC!$BA37:$BG37)</f>
        <v>0</v>
      </c>
      <c r="BL544" s="229">
        <f>SUMIF(DIC!$BA$6:$BG$6,BL$177,DIC!$BA37:$BG37)</f>
        <v>0</v>
      </c>
      <c r="BM544" s="229">
        <f>SUMIF(DIC!$BA$6:$BG$6,BM$177,DIC!$BA37:$BG37)</f>
        <v>0</v>
      </c>
      <c r="BN544" s="229">
        <f>SUMIF(DIC!$BA$6:$BG$6,BN$177,DIC!$BA37:$BG37)</f>
        <v>0</v>
      </c>
      <c r="BO544" s="231">
        <f>SUMIF(DIC!$BA$6:$BG$6,BO$177,DIC!$BA37:$BG37)</f>
        <v>0</v>
      </c>
      <c r="BP544" s="231">
        <f>SUMIF(DIC!$BA$6:$BG$6,BP$177,DIC!$BA37:$BG37)</f>
        <v>0</v>
      </c>
      <c r="BQ544" s="252"/>
      <c r="BR544" s="228">
        <f>SUMIF(DIC!$BA$5:$BG$5,BR$177,DIC!$BA37:$BG37)</f>
        <v>0</v>
      </c>
      <c r="BS544" s="229">
        <f>SUMIF(DIC!$BA$5:$BG$5,BS$177,DIC!$BA37:$BG37)</f>
        <v>0</v>
      </c>
      <c r="BT544" s="229">
        <f>SUMIF(DIC!$BA$5:$BG$5,BT$177,DIC!$BA37:$BG37)</f>
        <v>0</v>
      </c>
      <c r="BU544" s="229">
        <f>SUMIF(DIC!$BA$5:$BG$5,BU$177,DIC!$BA37:$BG37)</f>
        <v>0</v>
      </c>
      <c r="BV544" s="229">
        <f>SUMIF(DIC!$BA$5:$BG$5,BV$177,DIC!$BA37:$BG37)</f>
        <v>0</v>
      </c>
      <c r="BW544" s="229">
        <f>SUMIF(DIC!$BA$5:$BG$5,BW$177,DIC!$BA37:$BG37)</f>
        <v>0</v>
      </c>
      <c r="BX544" s="230">
        <f>SUMIF(DIC!$BA$5:$BG$5,BX$177,DIC!$BA37:$BG37)</f>
        <v>0</v>
      </c>
      <c r="BY544" s="998">
        <f>SUMIF(DIC!$BA$5:$BG$5,BY$177,DIC!$BA37:$BG37)</f>
        <v>0</v>
      </c>
      <c r="CB544" s="252"/>
      <c r="CC544" s="61" t="e">
        <f t="shared" si="124"/>
        <v>#N/A</v>
      </c>
      <c r="CD544" s="61">
        <f t="shared" si="125"/>
        <v>0</v>
      </c>
      <c r="CE544" s="105" t="str">
        <f t="shared" si="118"/>
        <v/>
      </c>
      <c r="CF544" s="61" t="e">
        <f t="shared" si="126"/>
        <v>#N/A</v>
      </c>
      <c r="CG544" s="61" t="e">
        <f t="shared" si="127"/>
        <v>#N/A</v>
      </c>
      <c r="CH544" s="521">
        <f>DIC!AL37-CW544+CR544</f>
        <v>0</v>
      </c>
      <c r="CI544" s="228">
        <f>SUMIF(DIC!$G$121:$M$121,CI$178,DIC!$AM37:$AS37)+SUMIF($CS$178:$CV$178,CI$178,$CS544:$CV544)</f>
        <v>0</v>
      </c>
      <c r="CJ544" s="229">
        <f>SUMIF(DIC!$G$121:$M$121,CJ$178,DIC!$AM37:$AS37)+SUMIF($CS$178:$CV$178,CJ$178,$CS544:$CV544)</f>
        <v>0</v>
      </c>
      <c r="CK544" s="230">
        <f>SUMIF(DIC!$G$121:$M$121,CK$178,DIC!$AM37:$AS37)+SUMIF($CS$178:$CV$178,CK$178,$CS544:$CV544)</f>
        <v>0</v>
      </c>
      <c r="CL544" s="230">
        <f>SUMIF(DIC!$G$121:$M$121,CL$178,DIC!$AM37:$AS37)+SUMIF($CS$178:$CV$178,CL$178,$CS544:$CV544)</f>
        <v>0</v>
      </c>
      <c r="CM544" s="230">
        <f>SUMIF(DIC!$G$121:$M$121,CM$178,DIC!$AM37:$AS37)+SUMIF($CS$178:$CV$178,CM$178,$CS544:$CV544)</f>
        <v>0</v>
      </c>
      <c r="CN544" s="230">
        <f>SUMIF(DIC!$G$121:$M$121,CN$178,DIC!$AM37:$AS37)+SUMIF($CS$178:$CV$178,CN$178,$CS544:$CV544)</f>
        <v>0</v>
      </c>
      <c r="CO544" s="230">
        <f>SUMIF(DIC!$G$121:$M$121,CO$178,DIC!$AM37:$AS37)+SUMIF($CS$178:$CV$178,CO$178,$CS544:$CV544)</f>
        <v>0</v>
      </c>
      <c r="CP544" s="230">
        <f>SUMIF(DIC!$G$121:$M$121,CP$178,DIC!$AM37:$AS37)+SUMIF($CS$178:$CV$178,CP$178,$CS544:$CV544)</f>
        <v>0</v>
      </c>
      <c r="CQ544" s="231">
        <f>SUMIF(DIC!$G$121:$M$121,CQ$178,DIC!$AM37:$AS37)+SUMIF($CS$178:$CV$178,CQ$178,$CS544:$CV544)</f>
        <v>0</v>
      </c>
      <c r="CR544" s="521">
        <f>DIC!AU37</f>
        <v>0</v>
      </c>
      <c r="CS544" s="228">
        <f>DIC!AV37</f>
        <v>0</v>
      </c>
      <c r="CT544" s="229">
        <f>DIC!AW37</f>
        <v>0</v>
      </c>
      <c r="CU544" s="230">
        <f>DIC!AX37</f>
        <v>0</v>
      </c>
      <c r="CV544" s="231">
        <f>DIC!AY37</f>
        <v>0</v>
      </c>
      <c r="CW544" s="521">
        <f>SUM(DIC!AU37:AY37)</f>
        <v>0</v>
      </c>
      <c r="CX544" s="521">
        <f>DIC!AK37</f>
        <v>0</v>
      </c>
      <c r="CY544" s="2"/>
    </row>
    <row r="545" spans="1:103" ht="14.25" hidden="1" customHeight="1" x14ac:dyDescent="0.2">
      <c r="A545" s="2"/>
      <c r="B545" s="105">
        <f t="shared" si="128"/>
        <v>45657</v>
      </c>
      <c r="C545" s="146">
        <f>IF(AND(E545&gt;(N$562-1),E545&lt;(R$562+1)),W$551,IF(ISERROR(HLOOKUP(E545,$N$555:$U$555,1,FALSE)),HLOOKUP(WEEKDAY(E545,2),IMPOSTAZIONI!$C$52:$P$57,6,FALSE),$W$550))</f>
        <v>0</v>
      </c>
      <c r="D545" s="71" t="str">
        <f t="shared" si="129"/>
        <v/>
      </c>
      <c r="E545" s="2262">
        <f t="shared" si="134"/>
        <v>45657</v>
      </c>
      <c r="F545" s="2263"/>
      <c r="G545" s="2266" t="str">
        <f>DIC!E38</f>
        <v xml:space="preserve">disattivato  </v>
      </c>
      <c r="H545" s="2267"/>
      <c r="I545" s="2268"/>
      <c r="J545" s="262" t="str">
        <f t="shared" si="119"/>
        <v/>
      </c>
      <c r="K545" s="263"/>
      <c r="L545" s="2231">
        <f t="shared" si="135"/>
        <v>53</v>
      </c>
      <c r="M545" s="2232"/>
      <c r="N545" s="2236">
        <f>COUNTIF(L539:M545,N544)</f>
        <v>5</v>
      </c>
      <c r="O545" s="2237"/>
      <c r="P545" s="261"/>
      <c r="Q545" s="2219">
        <f t="shared" si="130"/>
        <v>45657</v>
      </c>
      <c r="R545" s="2219"/>
      <c r="S545" s="261"/>
      <c r="T545" s="1173">
        <f t="shared" si="120"/>
        <v>1</v>
      </c>
      <c r="U545" s="261"/>
      <c r="V545" s="261"/>
      <c r="W545" s="261"/>
      <c r="X545" s="261"/>
      <c r="Y545" s="261"/>
      <c r="Z545" s="261"/>
      <c r="AA545" s="261"/>
      <c r="AB545" s="261"/>
      <c r="AC545" s="261"/>
      <c r="AD545" s="261"/>
      <c r="AE545" s="261"/>
      <c r="AF545" s="261"/>
      <c r="AG545" s="1173">
        <f t="shared" si="131"/>
        <v>0</v>
      </c>
      <c r="AH545" s="61" t="str">
        <f t="shared" si="132"/>
        <v/>
      </c>
      <c r="AI545" s="89" t="e">
        <f t="shared" si="133"/>
        <v>#N/A</v>
      </c>
      <c r="AJ545" s="2"/>
      <c r="AK545" s="61">
        <f>IF(G545=G$547,0,IF(OR(G545&lt;&gt;0,CH545&lt;&gt;0,C545="L"),COUNTIF(AK$180:AK544,"&gt;0")+1,0))</f>
        <v>0</v>
      </c>
      <c r="AL545" s="61" t="str">
        <f t="shared" si="121"/>
        <v/>
      </c>
      <c r="AM545" s="61" t="e">
        <f t="shared" si="122"/>
        <v>#N/A</v>
      </c>
      <c r="AN545" s="89" t="e">
        <f t="shared" si="123"/>
        <v>#N/A</v>
      </c>
      <c r="AO545" s="235">
        <f>SUM(DIC!X38:AD38)-BD545+AY545</f>
        <v>0</v>
      </c>
      <c r="AP545" s="233">
        <f>SUMIF(DIC!$G$121:$M$121,AP$178,DIC!$P38:$V38)+SUMIF($AZ$178:$BC$178,AP$178,$AZ545:$BC545)</f>
        <v>0</v>
      </c>
      <c r="AQ545" s="234">
        <f>SUMIF(DIC!$G$121:$M$121,AQ$178,DIC!$P38:$V38)+SUMIF($AZ$178:$BC$178,AQ$178,$AZ545:$BC545)</f>
        <v>0</v>
      </c>
      <c r="AR545" s="235">
        <f>SUMIF(DIC!$G$121:$M$121,AR$178,DIC!$P38:$V38)+SUMIF($AZ$178:$BC$178,AR$178,$AZ545:$BC545)</f>
        <v>0</v>
      </c>
      <c r="AS545" s="235">
        <f>SUMIF(DIC!$G$121:$M$121,AS$178,DIC!$P38:$V38)+SUMIF($AZ$178:$BC$178,AS$178,$AZ545:$BC545)</f>
        <v>0</v>
      </c>
      <c r="AT545" s="235">
        <f>SUMIF(DIC!$G$121:$M$121,AT$178,DIC!$P38:$V38)+SUMIF($AZ$178:$BC$178,AT$178,$AZ545:$BC545)</f>
        <v>0</v>
      </c>
      <c r="AU545" s="235">
        <f>SUMIF(DIC!$G$121:$M$121,AU$178,DIC!$P38:$V38)+SUMIF($AZ$178:$BC$178,AU$178,$AZ545:$BC545)</f>
        <v>0</v>
      </c>
      <c r="AV545" s="235">
        <f>SUMIF(DIC!$G$121:$M$121,AV$178,DIC!$P38:$V38)+SUMIF($AZ$178:$BC$178,AV$178,$AZ545:$BC545)</f>
        <v>0</v>
      </c>
      <c r="AW545" s="235">
        <f>SUMIF(DIC!$G$121:$M$121,AW$178,DIC!$P38:$V38)+SUMIF($AZ$178:$BC$178,AW$178,$AZ545:$BC545)</f>
        <v>0</v>
      </c>
      <c r="AX545" s="236">
        <f>SUMIF(DIC!$G$121:$M$121,AX$178,DIC!$P38:$V38)+SUMIF($AZ$178:$BC$178,AX$178,$AZ545:$BC545)</f>
        <v>0</v>
      </c>
      <c r="AY545" s="237">
        <f>DIC!AF38</f>
        <v>0</v>
      </c>
      <c r="AZ545" s="233">
        <f>DIC!AG38</f>
        <v>0</v>
      </c>
      <c r="BA545" s="234">
        <f>DIC!AH38</f>
        <v>0</v>
      </c>
      <c r="BB545" s="235">
        <f>DIC!AI38</f>
        <v>0</v>
      </c>
      <c r="BC545" s="236">
        <f>DIC!AJ38</f>
        <v>0</v>
      </c>
      <c r="BD545" s="233">
        <f>SUMIF(DIC!$G$120:$M$120,"&gt;0",DIC!$X38:$AD38)</f>
        <v>0</v>
      </c>
      <c r="BE545" s="696"/>
      <c r="BF545" s="233">
        <f>SUMIF(DIC!$BA$6:$BG$6,BF$177,DIC!$BA38:$BG38)</f>
        <v>0</v>
      </c>
      <c r="BG545" s="234">
        <f>SUMIF(DIC!$BA$6:$BG$6,BG$177,DIC!$BA38:$BG38)</f>
        <v>0</v>
      </c>
      <c r="BH545" s="234">
        <f>SUMIF(DIC!$BA$6:$BG$6,BH$177,DIC!$BA38:$BG38)</f>
        <v>0</v>
      </c>
      <c r="BI545" s="234">
        <f>SUMIF(DIC!$BA$6:$BG$6,BI$177,DIC!$BA38:$BG38)</f>
        <v>0</v>
      </c>
      <c r="BJ545" s="234">
        <f>SUMIF(DIC!$BA$6:$BG$6,BJ$177,DIC!$BA38:$BG38)</f>
        <v>0</v>
      </c>
      <c r="BK545" s="234">
        <f>SUMIF(DIC!$BA$6:$BG$6,BK$177,DIC!$BA38:$BG38)</f>
        <v>0</v>
      </c>
      <c r="BL545" s="234">
        <f>SUMIF(DIC!$BA$6:$BG$6,BL$177,DIC!$BA38:$BG38)</f>
        <v>0</v>
      </c>
      <c r="BM545" s="234">
        <f>SUMIF(DIC!$BA$6:$BG$6,BM$177,DIC!$BA38:$BG38)</f>
        <v>0</v>
      </c>
      <c r="BN545" s="234">
        <f>SUMIF(DIC!$BA$6:$BG$6,BN$177,DIC!$BA38:$BG38)</f>
        <v>0</v>
      </c>
      <c r="BO545" s="236">
        <f>SUMIF(DIC!$BA$6:$BG$6,BO$177,DIC!$BA38:$BG38)</f>
        <v>0</v>
      </c>
      <c r="BP545" s="236">
        <f>SUMIF(DIC!$BA$6:$BG$6,BP$177,DIC!$BA38:$BG38)</f>
        <v>0</v>
      </c>
      <c r="BQ545" s="252"/>
      <c r="BR545" s="233">
        <f>SUMIF(DIC!$BA$5:$BG$5,BR$177,DIC!$BA38:$BG38)</f>
        <v>0</v>
      </c>
      <c r="BS545" s="234">
        <f>SUMIF(DIC!$BA$5:$BG$5,BS$177,DIC!$BA38:$BG38)</f>
        <v>0</v>
      </c>
      <c r="BT545" s="234">
        <f>SUMIF(DIC!$BA$5:$BG$5,BT$177,DIC!$BA38:$BG38)</f>
        <v>0</v>
      </c>
      <c r="BU545" s="234">
        <f>SUMIF(DIC!$BA$5:$BG$5,BU$177,DIC!$BA38:$BG38)</f>
        <v>0</v>
      </c>
      <c r="BV545" s="234">
        <f>SUMIF(DIC!$BA$5:$BG$5,BV$177,DIC!$BA38:$BG38)</f>
        <v>0</v>
      </c>
      <c r="BW545" s="234">
        <f>SUMIF(DIC!$BA$5:$BG$5,BW$177,DIC!$BA38:$BG38)</f>
        <v>0</v>
      </c>
      <c r="BX545" s="235">
        <f>SUMIF(DIC!$BA$5:$BG$5,BX$177,DIC!$BA38:$BG38)</f>
        <v>0</v>
      </c>
      <c r="BY545" s="999">
        <f>SUMIF(DIC!$BA$5:$BG$5,BY$177,DIC!$BA38:$BG38)</f>
        <v>0</v>
      </c>
      <c r="CB545" s="252"/>
      <c r="CC545" s="61" t="e">
        <f t="shared" si="124"/>
        <v>#N/A</v>
      </c>
      <c r="CD545" s="61">
        <f t="shared" si="125"/>
        <v>0</v>
      </c>
      <c r="CE545" s="105" t="str">
        <f t="shared" si="118"/>
        <v/>
      </c>
      <c r="CF545" s="61" t="e">
        <f t="shared" si="126"/>
        <v>#N/A</v>
      </c>
      <c r="CG545" s="61" t="e">
        <f t="shared" si="127"/>
        <v>#N/A</v>
      </c>
      <c r="CH545" s="524">
        <f>DIC!AL38-CW545+CR545</f>
        <v>0</v>
      </c>
      <c r="CI545" s="233">
        <f>SUMIF(DIC!$G$121:$M$121,CI$178,DIC!$AM38:$AS38)+SUMIF($CS$178:$CV$178,CI$178,$CS545:$CV545)</f>
        <v>0</v>
      </c>
      <c r="CJ545" s="234">
        <f>SUMIF(DIC!$G$121:$M$121,CJ$178,DIC!$AM38:$AS38)+SUMIF($CS$178:$CV$178,CJ$178,$CS545:$CV545)</f>
        <v>0</v>
      </c>
      <c r="CK545" s="235">
        <f>SUMIF(DIC!$G$121:$M$121,CK$178,DIC!$AM38:$AS38)+SUMIF($CS$178:$CV$178,CK$178,$CS545:$CV545)</f>
        <v>0</v>
      </c>
      <c r="CL545" s="235">
        <f>SUMIF(DIC!$G$121:$M$121,CL$178,DIC!$AM38:$AS38)+SUMIF($CS$178:$CV$178,CL$178,$CS545:$CV545)</f>
        <v>0</v>
      </c>
      <c r="CM545" s="235">
        <f>SUMIF(DIC!$G$121:$M$121,CM$178,DIC!$AM38:$AS38)+SUMIF($CS$178:$CV$178,CM$178,$CS545:$CV545)</f>
        <v>0</v>
      </c>
      <c r="CN545" s="235">
        <f>SUMIF(DIC!$G$121:$M$121,CN$178,DIC!$AM38:$AS38)+SUMIF($CS$178:$CV$178,CN$178,$CS545:$CV545)</f>
        <v>0</v>
      </c>
      <c r="CO545" s="235">
        <f>SUMIF(DIC!$G$121:$M$121,CO$178,DIC!$AM38:$AS38)+SUMIF($CS$178:$CV$178,CO$178,$CS545:$CV545)</f>
        <v>0</v>
      </c>
      <c r="CP545" s="235">
        <f>SUMIF(DIC!$G$121:$M$121,CP$178,DIC!$AM38:$AS38)+SUMIF($CS$178:$CV$178,CP$178,$CS545:$CV545)</f>
        <v>0</v>
      </c>
      <c r="CQ545" s="236">
        <f>SUMIF(DIC!$G$121:$M$121,CQ$178,DIC!$AM38:$AS38)+SUMIF($CS$178:$CV$178,CQ$178,$CS545:$CV545)</f>
        <v>0</v>
      </c>
      <c r="CR545" s="524">
        <f>DIC!AU38</f>
        <v>0</v>
      </c>
      <c r="CS545" s="233">
        <f>DIC!AV38</f>
        <v>0</v>
      </c>
      <c r="CT545" s="234">
        <f>DIC!AW38</f>
        <v>0</v>
      </c>
      <c r="CU545" s="235">
        <f>DIC!AX38</f>
        <v>0</v>
      </c>
      <c r="CV545" s="236">
        <f>DIC!AY38</f>
        <v>0</v>
      </c>
      <c r="CW545" s="524">
        <f>SUM(DIC!AU38:AY38)</f>
        <v>0</v>
      </c>
      <c r="CX545" s="524">
        <f>DIC!AK38</f>
        <v>0</v>
      </c>
      <c r="CY545" s="2"/>
    </row>
    <row r="546" spans="1:103" hidden="1" x14ac:dyDescent="0.2">
      <c r="A546" s="2"/>
      <c r="B546" s="2"/>
      <c r="C546" s="72"/>
      <c r="D546" s="72"/>
      <c r="E546" s="72"/>
      <c r="F546" s="72"/>
      <c r="G546" s="72"/>
      <c r="H546" s="72"/>
      <c r="I546" s="72"/>
      <c r="J546" s="72"/>
      <c r="K546" s="72"/>
      <c r="L546" s="1058"/>
      <c r="M546" s="1058"/>
      <c r="N546" s="1058"/>
      <c r="O546" s="1058"/>
      <c r="P546" s="1058"/>
      <c r="Q546" s="1058"/>
      <c r="R546" s="1058"/>
      <c r="S546" s="1058"/>
      <c r="T546" s="1058"/>
      <c r="U546" s="1058"/>
      <c r="V546" s="1058"/>
      <c r="W546" s="1058"/>
      <c r="X546" s="1058"/>
      <c r="Y546" s="1058"/>
      <c r="Z546" s="1058"/>
      <c r="AA546" s="1058"/>
      <c r="AB546" s="1058"/>
      <c r="AC546" s="1058"/>
      <c r="AD546" s="1058"/>
      <c r="AE546" s="1058"/>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696"/>
      <c r="BF546" s="2"/>
      <c r="BG546" s="2"/>
      <c r="BH546" s="2"/>
      <c r="BI546" s="2"/>
      <c r="BJ546" s="2"/>
      <c r="BK546" s="2"/>
      <c r="BL546" s="2"/>
      <c r="BM546" s="2"/>
      <c r="BN546" s="2"/>
      <c r="BO546" s="2"/>
      <c r="BP546" s="2"/>
      <c r="BQ546" s="2"/>
      <c r="BR546" s="2"/>
      <c r="BS546" s="2"/>
      <c r="BT546" s="2"/>
      <c r="BU546" s="2"/>
      <c r="BV546" s="2"/>
      <c r="BW546" s="2"/>
      <c r="BX546" s="2"/>
      <c r="BY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row>
    <row r="547" spans="1:103" ht="15" hidden="1" customHeight="1" x14ac:dyDescent="0.2">
      <c r="A547" s="2"/>
      <c r="B547" s="2"/>
      <c r="C547" s="72"/>
      <c r="D547" s="72"/>
      <c r="E547" s="72"/>
      <c r="F547" s="72"/>
      <c r="G547" s="2313" t="str">
        <f>CONCATENATE(Presentazione!K158,"  ")</f>
        <v xml:space="preserve">disattivato  </v>
      </c>
      <c r="H547" s="2314"/>
      <c r="I547" s="2315"/>
      <c r="J547" s="72"/>
      <c r="K547" s="72"/>
      <c r="L547" s="1058"/>
      <c r="M547" s="1058"/>
      <c r="N547" s="1058"/>
      <c r="O547" s="1058"/>
      <c r="P547" s="1058"/>
      <c r="Q547" s="1058"/>
      <c r="R547" s="1058"/>
      <c r="S547" s="1058"/>
      <c r="T547" s="1058"/>
      <c r="U547" s="1058"/>
      <c r="V547" s="1058"/>
      <c r="W547" s="1058"/>
      <c r="X547" s="1058"/>
      <c r="Y547" s="1058"/>
      <c r="Z547" s="1058"/>
      <c r="AA547" s="1058"/>
      <c r="AB547" s="1058"/>
      <c r="AC547" s="1058"/>
      <c r="AD547" s="1058"/>
      <c r="AE547" s="1058"/>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CB547" s="2"/>
      <c r="CC547" s="98" t="s">
        <v>387</v>
      </c>
      <c r="CD547" s="95" t="e">
        <f>MAX(CC180:CC545)</f>
        <v>#N/A</v>
      </c>
      <c r="CE547" s="108" t="s">
        <v>313</v>
      </c>
      <c r="CF547" s="106">
        <f>MAX(CE180:CE545)</f>
        <v>0</v>
      </c>
      <c r="CG547" s="2"/>
      <c r="CH547" s="2"/>
      <c r="CI547" s="2"/>
      <c r="CJ547" s="2"/>
      <c r="CK547" s="2"/>
      <c r="CL547" s="2"/>
      <c r="CM547" s="2"/>
      <c r="CN547" s="2"/>
      <c r="CO547" s="2"/>
      <c r="CP547" s="2"/>
      <c r="CQ547" s="2"/>
      <c r="CR547" s="2"/>
      <c r="CS547" s="2"/>
      <c r="CT547" s="2"/>
      <c r="CU547" s="2"/>
      <c r="CV547" s="2"/>
      <c r="CW547" s="2"/>
      <c r="CX547" s="2"/>
      <c r="CY547" s="2"/>
    </row>
    <row r="548" spans="1:103" ht="15" hidden="1" customHeight="1" x14ac:dyDescent="0.2">
      <c r="A548" s="2"/>
      <c r="B548" s="2"/>
      <c r="C548" s="72"/>
      <c r="D548" s="72"/>
      <c r="E548" s="72"/>
      <c r="F548" s="72"/>
      <c r="G548" s="72"/>
      <c r="H548" s="72"/>
      <c r="I548" s="72"/>
      <c r="J548" s="72"/>
      <c r="K548" s="72"/>
      <c r="L548" s="1058"/>
      <c r="M548" s="1058"/>
      <c r="N548" s="1058"/>
      <c r="O548" s="1058"/>
      <c r="P548" s="1058"/>
      <c r="Q548" s="1058"/>
      <c r="R548" s="1058"/>
      <c r="S548" s="1058"/>
      <c r="T548" s="1058"/>
      <c r="U548" s="1058"/>
      <c r="V548" s="1058"/>
      <c r="W548" s="1058"/>
      <c r="X548" s="1058"/>
      <c r="Y548" s="1058"/>
      <c r="Z548" s="1058"/>
      <c r="AA548" s="1058"/>
      <c r="AB548" s="1058"/>
      <c r="AC548" s="1058"/>
      <c r="AD548" s="1058"/>
      <c r="AE548" s="1058"/>
      <c r="CB548" s="2"/>
      <c r="CC548" s="97" t="s">
        <v>388</v>
      </c>
      <c r="CD548" s="96" t="e">
        <f>SMALL(CC180:CC545,CE549+1)</f>
        <v>#N/A</v>
      </c>
      <c r="CE548" s="96">
        <f>COUNTIF(CD180:CD545,"&gt;0")</f>
        <v>0</v>
      </c>
      <c r="CF548" s="107">
        <f>MIN(CE180:CE545)</f>
        <v>0</v>
      </c>
      <c r="CG548" s="2"/>
    </row>
    <row r="549" spans="1:103" ht="15" hidden="1" customHeight="1" x14ac:dyDescent="0.2">
      <c r="A549" s="2"/>
      <c r="B549" s="2"/>
      <c r="C549" s="72"/>
      <c r="D549" s="72"/>
      <c r="E549" s="72"/>
      <c r="F549" s="72"/>
      <c r="G549" s="72"/>
      <c r="H549" s="72"/>
      <c r="I549" s="72"/>
      <c r="J549" s="72"/>
      <c r="K549" s="72"/>
      <c r="L549" s="1058"/>
      <c r="M549" s="1058"/>
      <c r="N549" s="1058"/>
      <c r="O549" s="1058"/>
      <c r="P549" s="1058"/>
      <c r="Q549" s="1058"/>
      <c r="R549" s="1058"/>
      <c r="S549" s="1058"/>
      <c r="T549" s="1058"/>
      <c r="U549" s="1058"/>
      <c r="V549" s="1058"/>
      <c r="W549" s="1058"/>
      <c r="X549" s="1058"/>
      <c r="Y549" s="1058"/>
      <c r="Z549" s="1058"/>
      <c r="AA549" s="1058"/>
      <c r="AB549" s="1058"/>
      <c r="AC549" s="1058"/>
      <c r="AD549" s="1058"/>
      <c r="AE549" s="1058"/>
      <c r="CB549" s="2"/>
      <c r="CC549" s="98" t="s">
        <v>389</v>
      </c>
      <c r="CD549" s="95" t="e">
        <f>IF(CD548-VERIFICA!G5&lt;0,0,CD548-VERIFICA!G5)</f>
        <v>#N/A</v>
      </c>
      <c r="CE549" s="61">
        <f>COUNTIF(CC180:CC545,0)</f>
        <v>0</v>
      </c>
      <c r="CF549" s="2"/>
      <c r="CG549" s="2"/>
    </row>
    <row r="550" spans="1:103" ht="15" hidden="1" customHeight="1" x14ac:dyDescent="0.2">
      <c r="A550" s="2"/>
      <c r="B550" s="2"/>
      <c r="C550" s="72"/>
      <c r="D550" s="72"/>
      <c r="E550" s="2242">
        <f>IF(ISBLANK(IMPOSTAZIONI!J61),0,DATE($E$178,IMPOSTAZIONI!$B61,IMPOSTAZIONI!J61))</f>
        <v>0</v>
      </c>
      <c r="F550" s="2243"/>
      <c r="G550" s="2242">
        <f>IF(ISBLANK(IMPOSTAZIONI!K61),0,DATE($E$178,IMPOSTAZIONI!$B61,IMPOSTAZIONI!K61))</f>
        <v>0</v>
      </c>
      <c r="H550" s="2243"/>
      <c r="I550" s="2242">
        <f>IF(ISBLANK(IMPOSTAZIONI!L61),0,DATE($E$178,IMPOSTAZIONI!$B61,IMPOSTAZIONI!L61))</f>
        <v>0</v>
      </c>
      <c r="J550" s="2243"/>
      <c r="K550" s="2242">
        <f>IF(ISBLANK(IMPOSTAZIONI!M61),0,DATE($E$178,IMPOSTAZIONI!$B61,IMPOSTAZIONI!M61))</f>
        <v>0</v>
      </c>
      <c r="L550" s="2243"/>
      <c r="M550" s="72"/>
      <c r="N550" s="2242">
        <f>IF(ISBLANK(IMPOSTAZIONI!AB61),0,DATE($E$178,IMPOSTAZIONI!$T61,IMPOSTAZIONI!AB61))</f>
        <v>0</v>
      </c>
      <c r="O550" s="2243"/>
      <c r="P550" s="2242">
        <f>IF(ISBLANK(IMPOSTAZIONI!AC61),0,DATE($E$178,IMPOSTAZIONI!$T61,IMPOSTAZIONI!AC61))</f>
        <v>0</v>
      </c>
      <c r="Q550" s="2243"/>
      <c r="R550" s="2242">
        <f>IF(ISBLANK(IMPOSTAZIONI!AD61),0,DATE($E$178,IMPOSTAZIONI!$T61,IMPOSTAZIONI!AD61))</f>
        <v>0</v>
      </c>
      <c r="S550" s="2243"/>
      <c r="T550" s="2242">
        <f>IF(ISBLANK(IMPOSTAZIONI!AE61),0,DATE($E$178,IMPOSTAZIONI!$T61,IMPOSTAZIONI!AE61))</f>
        <v>0</v>
      </c>
      <c r="U550" s="2243"/>
      <c r="V550" s="1058"/>
      <c r="W550" s="282" t="s">
        <v>254</v>
      </c>
      <c r="X550" s="281" t="s">
        <v>52</v>
      </c>
      <c r="Y550" s="1058"/>
      <c r="Z550" s="1058"/>
      <c r="AA550" s="1058"/>
      <c r="AB550" s="1058"/>
      <c r="AC550" s="1058"/>
      <c r="AD550" s="1058"/>
      <c r="AE550" s="1058"/>
      <c r="CB550" s="2"/>
      <c r="CC550" s="97" t="s">
        <v>390</v>
      </c>
      <c r="CD550" s="96" t="e">
        <f>CD548-1</f>
        <v>#N/A</v>
      </c>
      <c r="CE550" s="1173"/>
      <c r="CF550" s="2"/>
      <c r="CG550" s="2"/>
    </row>
    <row r="551" spans="1:103" ht="15" hidden="1" customHeight="1" x14ac:dyDescent="0.2">
      <c r="A551" s="2"/>
      <c r="B551" s="2"/>
      <c r="C551" s="72"/>
      <c r="D551" s="72"/>
      <c r="E551" s="2242">
        <f>IF(ISBLANK(IMPOSTAZIONI!J62),0,DATE($E$178,IMPOSTAZIONI!$B62,IMPOSTAZIONI!J62))</f>
        <v>0</v>
      </c>
      <c r="F551" s="2243"/>
      <c r="G551" s="2242">
        <f>IF(ISBLANK(IMPOSTAZIONI!K62),0,DATE($E$178,IMPOSTAZIONI!$B62,IMPOSTAZIONI!K62))</f>
        <v>0</v>
      </c>
      <c r="H551" s="2243"/>
      <c r="I551" s="2242">
        <f>IF(ISBLANK(IMPOSTAZIONI!L62),0,DATE($E$178,IMPOSTAZIONI!$B62,IMPOSTAZIONI!L62))</f>
        <v>0</v>
      </c>
      <c r="J551" s="2243"/>
      <c r="K551" s="2242">
        <f>IF(ISBLANK(IMPOSTAZIONI!M62),0,DATE($E$178,IMPOSTAZIONI!$B62,IMPOSTAZIONI!M62))</f>
        <v>0</v>
      </c>
      <c r="L551" s="2243"/>
      <c r="M551" s="1058"/>
      <c r="N551" s="2242">
        <f>IF(ISBLANK(IMPOSTAZIONI!AB62),0,DATE($E$178,IMPOSTAZIONI!$T62,IMPOSTAZIONI!AB62))</f>
        <v>45519</v>
      </c>
      <c r="O551" s="2243"/>
      <c r="P551" s="2242">
        <f>IF(ISBLANK(IMPOSTAZIONI!AC62),0,DATE($E$178,IMPOSTAZIONI!$T62,IMPOSTAZIONI!AC62))</f>
        <v>0</v>
      </c>
      <c r="Q551" s="2243"/>
      <c r="R551" s="2242">
        <f>IF(ISBLANK(IMPOSTAZIONI!AD62),0,DATE($E$178,IMPOSTAZIONI!$T62,IMPOSTAZIONI!AD62))</f>
        <v>0</v>
      </c>
      <c r="S551" s="2243"/>
      <c r="T551" s="2242">
        <f>IF(ISBLANK(IMPOSTAZIONI!AE62),0,DATE($E$178,IMPOSTAZIONI!$T62,IMPOSTAZIONI!AE62))</f>
        <v>0</v>
      </c>
      <c r="U551" s="2243"/>
      <c r="V551" s="1058"/>
      <c r="W551" s="283" t="str">
        <f>UPPER(LEFT(X551))</f>
        <v>C</v>
      </c>
      <c r="X551" s="374" t="str">
        <f>IMPOSTAZIONI!$X$55</f>
        <v>Chiuso</v>
      </c>
      <c r="Y551" s="1058"/>
      <c r="Z551" s="1058"/>
      <c r="AA551" s="1058"/>
      <c r="AB551" s="1058"/>
      <c r="AC551" s="1058"/>
      <c r="AD551" s="1058"/>
      <c r="AE551" s="1058"/>
      <c r="CB551" s="2"/>
      <c r="CC551" s="2"/>
      <c r="CD551" s="2"/>
      <c r="CE551" s="2"/>
      <c r="CF551" s="2"/>
      <c r="CG551" s="2"/>
    </row>
    <row r="552" spans="1:103" ht="15" hidden="1" customHeight="1" x14ac:dyDescent="0.2">
      <c r="A552" s="2"/>
      <c r="B552" s="2"/>
      <c r="C552" s="72"/>
      <c r="D552" s="72"/>
      <c r="E552" s="2242">
        <f>IF(ISBLANK(IMPOSTAZIONI!J63),0,DATE($E$178,IMPOSTAZIONI!$B63,IMPOSTAZIONI!J63))</f>
        <v>0</v>
      </c>
      <c r="F552" s="2243"/>
      <c r="G552" s="2242">
        <f>IF(ISBLANK(IMPOSTAZIONI!K63),0,DATE($E$178,IMPOSTAZIONI!$B63,IMPOSTAZIONI!K63))</f>
        <v>0</v>
      </c>
      <c r="H552" s="2243"/>
      <c r="I552" s="2242">
        <f>IF(ISBLANK(IMPOSTAZIONI!L63),0,DATE($E$178,IMPOSTAZIONI!$B63,IMPOSTAZIONI!L63))</f>
        <v>0</v>
      </c>
      <c r="J552" s="2243"/>
      <c r="K552" s="2242">
        <f>IF(ISBLANK(IMPOSTAZIONI!M63),0,DATE($E$178,IMPOSTAZIONI!$B63,IMPOSTAZIONI!M63))</f>
        <v>0</v>
      </c>
      <c r="L552" s="2243"/>
      <c r="M552" s="1058"/>
      <c r="N552" s="2242">
        <f>IF(ISBLANK(IMPOSTAZIONI!AB63),0,DATE($E$178,IMPOSTAZIONI!$T63,IMPOSTAZIONI!AB63))</f>
        <v>0</v>
      </c>
      <c r="O552" s="2243"/>
      <c r="P552" s="2242">
        <f>IF(ISBLANK(IMPOSTAZIONI!AC63),0,DATE($E$178,IMPOSTAZIONI!$T63,IMPOSTAZIONI!AC63))</f>
        <v>0</v>
      </c>
      <c r="Q552" s="2243"/>
      <c r="R552" s="2242">
        <f>IF(ISBLANK(IMPOSTAZIONI!AD63),0,DATE($E$178,IMPOSTAZIONI!$T63,IMPOSTAZIONI!AD63))</f>
        <v>0</v>
      </c>
      <c r="S552" s="2243"/>
      <c r="T552" s="2242">
        <f>IF(ISBLANK(IMPOSTAZIONI!AE63),0,DATE($E$178,IMPOSTAZIONI!$T63,IMPOSTAZIONI!AE63))</f>
        <v>0</v>
      </c>
      <c r="U552" s="2243"/>
      <c r="V552" s="1058"/>
      <c r="W552" s="1058"/>
      <c r="X552" s="1058"/>
      <c r="Y552" s="1058"/>
      <c r="Z552" s="1058"/>
      <c r="AA552" s="1058"/>
      <c r="AB552" s="1058"/>
      <c r="AC552" s="1058"/>
      <c r="AD552" s="1058"/>
      <c r="AE552" s="1058"/>
      <c r="CB552" s="2"/>
      <c r="CC552" s="98" t="s">
        <v>387</v>
      </c>
      <c r="CD552" s="95" t="e">
        <f>MAX(CF180:CF545)</f>
        <v>#N/A</v>
      </c>
      <c r="CE552" s="2"/>
      <c r="CF552" s="2"/>
      <c r="CG552" s="2"/>
    </row>
    <row r="553" spans="1:103" ht="15" hidden="1" customHeight="1" x14ac:dyDescent="0.2">
      <c r="A553" s="2"/>
      <c r="B553" s="2"/>
      <c r="C553" s="72"/>
      <c r="D553" s="72"/>
      <c r="E553" s="2242">
        <f>IF(ISBLANK(IMPOSTAZIONI!J64),0,DATE($E$178,IMPOSTAZIONI!$B64,IMPOSTAZIONI!J64))</f>
        <v>0</v>
      </c>
      <c r="F553" s="2243"/>
      <c r="G553" s="2242">
        <f>IF(ISBLANK(IMPOSTAZIONI!K64),0,DATE($E$178,IMPOSTAZIONI!$B64,IMPOSTAZIONI!K64))</f>
        <v>0</v>
      </c>
      <c r="H553" s="2243"/>
      <c r="I553" s="2242">
        <f>IF(ISBLANK(IMPOSTAZIONI!L64),0,DATE($E$178,IMPOSTAZIONI!$B64,IMPOSTAZIONI!L64))</f>
        <v>0</v>
      </c>
      <c r="J553" s="2243"/>
      <c r="K553" s="2242">
        <f>IF(ISBLANK(IMPOSTAZIONI!M64),0,DATE($E$178,IMPOSTAZIONI!$B64,IMPOSTAZIONI!M64))</f>
        <v>0</v>
      </c>
      <c r="L553" s="2243"/>
      <c r="M553" s="1058"/>
      <c r="N553" s="2242">
        <f>IF(ISBLANK(IMPOSTAZIONI!AB64),0,DATE($E$178,IMPOSTAZIONI!$T64,IMPOSTAZIONI!AB64))</f>
        <v>0</v>
      </c>
      <c r="O553" s="2243"/>
      <c r="P553" s="2242">
        <f>IF(ISBLANK(IMPOSTAZIONI!AC64),0,DATE($E$178,IMPOSTAZIONI!$T64,IMPOSTAZIONI!AC64))</f>
        <v>0</v>
      </c>
      <c r="Q553" s="2243"/>
      <c r="R553" s="2242">
        <f>IF(ISBLANK(IMPOSTAZIONI!AD64),0,DATE($E$178,IMPOSTAZIONI!$T64,IMPOSTAZIONI!AD64))</f>
        <v>0</v>
      </c>
      <c r="S553" s="2243"/>
      <c r="T553" s="2242">
        <f>IF(ISBLANK(IMPOSTAZIONI!AE64),0,DATE($E$178,IMPOSTAZIONI!$T64,IMPOSTAZIONI!AE64))</f>
        <v>0</v>
      </c>
      <c r="U553" s="2243"/>
      <c r="V553" s="1058"/>
      <c r="W553" s="1058"/>
      <c r="X553" s="1058"/>
      <c r="Y553" s="1058"/>
      <c r="Z553" s="1058"/>
      <c r="AA553" s="1058"/>
      <c r="AB553" s="1058"/>
      <c r="AC553" s="1058"/>
      <c r="AD553" s="1058"/>
      <c r="AE553" s="1058"/>
      <c r="CB553" s="2"/>
      <c r="CC553" s="97" t="s">
        <v>388</v>
      </c>
      <c r="CD553" s="96" t="e">
        <f>SMALL(CF180:CF545,CE553+1)</f>
        <v>#N/A</v>
      </c>
      <c r="CE553" s="61">
        <f>COUNTIF(CF180:CF545,0)</f>
        <v>0</v>
      </c>
      <c r="CF553" s="2"/>
      <c r="CG553" s="2"/>
    </row>
    <row r="554" spans="1:103" ht="15" hidden="1" customHeight="1" x14ac:dyDescent="0.2">
      <c r="A554" s="2"/>
      <c r="B554" s="2"/>
      <c r="C554" s="72"/>
      <c r="D554" s="72"/>
      <c r="E554" s="2242">
        <f>IF(ISBLANK(IMPOSTAZIONI!J65),0,DATE($E$178,IMPOSTAZIONI!$B65,IMPOSTAZIONI!J65))</f>
        <v>0</v>
      </c>
      <c r="F554" s="2243"/>
      <c r="G554" s="2242">
        <f>IF(ISBLANK(IMPOSTAZIONI!K65),0,DATE($E$178,IMPOSTAZIONI!$B65,IMPOSTAZIONI!K65))</f>
        <v>0</v>
      </c>
      <c r="H554" s="2243"/>
      <c r="I554" s="2242">
        <f>IF(ISBLANK(IMPOSTAZIONI!L65),0,DATE($E$178,IMPOSTAZIONI!$B65,IMPOSTAZIONI!L65))</f>
        <v>0</v>
      </c>
      <c r="J554" s="2243"/>
      <c r="K554" s="2242">
        <f>IF(ISBLANK(IMPOSTAZIONI!M65),0,DATE($E$178,IMPOSTAZIONI!$B65,IMPOSTAZIONI!M65))</f>
        <v>0</v>
      </c>
      <c r="L554" s="2243"/>
      <c r="M554" s="1058"/>
      <c r="N554" s="2242">
        <f>IF(ISBLANK(IMPOSTAZIONI!AB65),0,DATE($E$178,IMPOSTAZIONI!$T65,IMPOSTAZIONI!AB65))</f>
        <v>0</v>
      </c>
      <c r="O554" s="2243"/>
      <c r="P554" s="2242">
        <f>IF(ISBLANK(IMPOSTAZIONI!AC65),0,DATE($E$178,IMPOSTAZIONI!$T65,IMPOSTAZIONI!AC65))</f>
        <v>0</v>
      </c>
      <c r="Q554" s="2243"/>
      <c r="R554" s="2242">
        <f>IF(ISBLANK(IMPOSTAZIONI!AD65),0,DATE($E$178,IMPOSTAZIONI!$T65,IMPOSTAZIONI!AD65))</f>
        <v>0</v>
      </c>
      <c r="S554" s="2243"/>
      <c r="T554" s="2242">
        <f>IF(ISBLANK(IMPOSTAZIONI!AE65),0,DATE($E$178,IMPOSTAZIONI!$T65,IMPOSTAZIONI!AE65))</f>
        <v>0</v>
      </c>
      <c r="U554" s="2243"/>
      <c r="V554" s="1058"/>
      <c r="W554" s="1058"/>
      <c r="X554" s="1058"/>
      <c r="Y554" s="1058"/>
      <c r="Z554" s="1058"/>
      <c r="AA554" s="1058"/>
      <c r="AB554" s="1058"/>
      <c r="AC554" s="1058"/>
      <c r="AD554" s="1058"/>
      <c r="AE554" s="1058"/>
      <c r="CB554" s="2"/>
      <c r="CC554" s="98" t="s">
        <v>389</v>
      </c>
      <c r="CD554" s="95" t="e">
        <f>IF(CD553-VERIFICA!G7&lt;0,0,CD553-VERIFICA!G7)</f>
        <v>#N/A</v>
      </c>
      <c r="CE554" s="2"/>
      <c r="CF554" s="2"/>
      <c r="CG554" s="2"/>
    </row>
    <row r="555" spans="1:103" ht="15" hidden="1" customHeight="1" x14ac:dyDescent="0.2">
      <c r="A555" s="2"/>
      <c r="B555" s="2"/>
      <c r="C555" s="72"/>
      <c r="D555" s="72"/>
      <c r="E555" s="2242">
        <f>IF(ISBLANK(IMPOSTAZIONI!J66),0,DATE($E$178,IMPOSTAZIONI!$B66,IMPOSTAZIONI!J66))</f>
        <v>0</v>
      </c>
      <c r="F555" s="2243"/>
      <c r="G555" s="2242">
        <f>IF(ISBLANK(IMPOSTAZIONI!K66),0,DATE($E$178,IMPOSTAZIONI!$B66,IMPOSTAZIONI!K66))</f>
        <v>0</v>
      </c>
      <c r="H555" s="2243"/>
      <c r="I555" s="2242">
        <f>IF(ISBLANK(IMPOSTAZIONI!L66),0,DATE($E$178,IMPOSTAZIONI!$B66,IMPOSTAZIONI!L66))</f>
        <v>0</v>
      </c>
      <c r="J555" s="2243"/>
      <c r="K555" s="2242">
        <f>IF(ISBLANK(IMPOSTAZIONI!M66),0,DATE($E$178,IMPOSTAZIONI!$B66,IMPOSTAZIONI!M66))</f>
        <v>0</v>
      </c>
      <c r="L555" s="2243"/>
      <c r="M555" s="1058"/>
      <c r="N555" s="2242">
        <f>IF(ISBLANK(IMPOSTAZIONI!AB66),0,DATE($E$178,IMPOSTAZIONI!$T66,IMPOSTAZIONI!AB66))</f>
        <v>0</v>
      </c>
      <c r="O555" s="2243"/>
      <c r="P555" s="2242">
        <f>IF(ISBLANK(IMPOSTAZIONI!AC66),0,DATE($E$178,IMPOSTAZIONI!$T66,IMPOSTAZIONI!AC66))</f>
        <v>0</v>
      </c>
      <c r="Q555" s="2243"/>
      <c r="R555" s="2242">
        <f>IF(ISBLANK(IMPOSTAZIONI!AD66),0,DATE($E$178,IMPOSTAZIONI!$T66,IMPOSTAZIONI!AD66))</f>
        <v>0</v>
      </c>
      <c r="S555" s="2243"/>
      <c r="T555" s="2242">
        <f>IF(ISBLANK(IMPOSTAZIONI!AE66),0,DATE($E$178,IMPOSTAZIONI!$T66,IMPOSTAZIONI!AE66))</f>
        <v>0</v>
      </c>
      <c r="U555" s="2243"/>
      <c r="V555" s="1058"/>
      <c r="W555" s="1058"/>
      <c r="X555" s="1058"/>
      <c r="Y555" s="1058"/>
      <c r="Z555" s="1058"/>
      <c r="AA555" s="1058"/>
      <c r="AB555" s="1058"/>
      <c r="AC555" s="1058"/>
      <c r="AD555" s="1058"/>
      <c r="AE555" s="1058"/>
      <c r="CB555" s="2"/>
      <c r="CC555" s="97" t="s">
        <v>390</v>
      </c>
      <c r="CD555" s="96" t="e">
        <f>CD553-1</f>
        <v>#N/A</v>
      </c>
      <c r="CE555" s="2"/>
      <c r="CF555" s="2"/>
      <c r="CG555" s="2"/>
    </row>
    <row r="556" spans="1:103" ht="15" hidden="1" customHeight="1" x14ac:dyDescent="0.2">
      <c r="A556" s="2"/>
      <c r="B556" s="2"/>
      <c r="C556" s="72"/>
      <c r="D556" s="72"/>
      <c r="E556" s="72"/>
      <c r="F556" s="72"/>
      <c r="G556" s="72"/>
      <c r="H556" s="72"/>
      <c r="I556" s="72"/>
      <c r="J556" s="72"/>
      <c r="K556" s="72"/>
      <c r="L556" s="1058"/>
      <c r="M556" s="1058"/>
      <c r="N556" s="1058"/>
      <c r="O556" s="1058"/>
      <c r="P556" s="1058"/>
      <c r="Q556" s="1058"/>
      <c r="R556" s="1058"/>
      <c r="S556" s="1058"/>
      <c r="T556" s="1058"/>
      <c r="U556" s="1058"/>
      <c r="V556" s="1058"/>
      <c r="W556" s="1058"/>
      <c r="X556" s="1058"/>
      <c r="Y556" s="1058"/>
      <c r="Z556" s="1058"/>
      <c r="AA556" s="1058"/>
      <c r="AB556" s="1058"/>
      <c r="AC556" s="1058"/>
      <c r="AD556" s="1058"/>
      <c r="AE556" s="1058"/>
      <c r="CB556" s="2"/>
      <c r="CC556" s="2"/>
      <c r="CD556" s="2"/>
      <c r="CE556" s="2"/>
      <c r="CF556" s="2"/>
      <c r="CG556" s="2"/>
    </row>
    <row r="557" spans="1:103" ht="15" hidden="1" customHeight="1" x14ac:dyDescent="0.2">
      <c r="A557" s="2"/>
      <c r="B557" s="2"/>
      <c r="C557" s="72"/>
      <c r="D557" s="72"/>
      <c r="E557" s="2246">
        <f>IMPOSTAZIONI!N61</f>
        <v>0</v>
      </c>
      <c r="F557" s="2247"/>
      <c r="G557" s="2247"/>
      <c r="H557" s="2248"/>
      <c r="I557" s="2246">
        <f>IMPOSTAZIONI!Q61</f>
        <v>0</v>
      </c>
      <c r="J557" s="2247"/>
      <c r="K557" s="2247"/>
      <c r="L557" s="2248"/>
      <c r="M557" s="1058"/>
      <c r="N557" s="2246">
        <f>IMPOSTAZIONI!AF61</f>
        <v>0</v>
      </c>
      <c r="O557" s="2247"/>
      <c r="P557" s="2247"/>
      <c r="Q557" s="2248"/>
      <c r="R557" s="2246">
        <f>IMPOSTAZIONI!AI61</f>
        <v>0</v>
      </c>
      <c r="S557" s="2247"/>
      <c r="T557" s="2247"/>
      <c r="U557" s="2248"/>
      <c r="V557" s="1058"/>
      <c r="W557" s="2320" t="s">
        <v>590</v>
      </c>
      <c r="X557" s="2321"/>
      <c r="Y557" s="2321"/>
      <c r="Z557" s="2321"/>
      <c r="AA557" s="2322"/>
      <c r="AB557" s="1058"/>
      <c r="AC557" s="1058"/>
      <c r="AD557" s="1058"/>
      <c r="AE557" s="1058"/>
      <c r="CB557" s="2"/>
      <c r="CC557" s="2"/>
      <c r="CD557" s="2"/>
      <c r="CE557" s="2"/>
      <c r="CF557" s="2"/>
      <c r="CG557" s="2"/>
    </row>
    <row r="558" spans="1:103" ht="15" hidden="1" customHeight="1" x14ac:dyDescent="0.2">
      <c r="A558" s="2"/>
      <c r="B558" s="2"/>
      <c r="C558" s="72"/>
      <c r="D558" s="72"/>
      <c r="E558" s="2246">
        <f>IMPOSTAZIONI!N62</f>
        <v>0</v>
      </c>
      <c r="F558" s="2247"/>
      <c r="G558" s="2247"/>
      <c r="H558" s="2248"/>
      <c r="I558" s="2246">
        <f>IMPOSTAZIONI!Q62</f>
        <v>0</v>
      </c>
      <c r="J558" s="2247"/>
      <c r="K558" s="2247"/>
      <c r="L558" s="2248"/>
      <c r="M558" s="1058"/>
      <c r="N558" s="2246">
        <f>IMPOSTAZIONI!AF62</f>
        <v>0</v>
      </c>
      <c r="O558" s="2247"/>
      <c r="P558" s="2247"/>
      <c r="Q558" s="2248"/>
      <c r="R558" s="2246">
        <f>IMPOSTAZIONI!AI62</f>
        <v>0</v>
      </c>
      <c r="S558" s="2247"/>
      <c r="T558" s="2247"/>
      <c r="U558" s="2248"/>
      <c r="V558" s="1058"/>
      <c r="W558" s="2320" t="s">
        <v>591</v>
      </c>
      <c r="X558" s="2321"/>
      <c r="Y558" s="2321"/>
      <c r="Z558" s="2321"/>
      <c r="AA558" s="2322"/>
      <c r="AB558" s="1058"/>
      <c r="AC558" s="1058"/>
      <c r="AD558" s="1058"/>
      <c r="AE558" s="1058"/>
      <c r="CB558" s="2"/>
      <c r="CC558" s="2"/>
      <c r="CD558" s="2"/>
      <c r="CE558" s="2"/>
      <c r="CF558" s="2"/>
      <c r="CG558" s="2"/>
    </row>
    <row r="559" spans="1:103" ht="15" hidden="1" customHeight="1" x14ac:dyDescent="0.2">
      <c r="A559" s="2"/>
      <c r="B559" s="2"/>
      <c r="C559" s="72"/>
      <c r="D559" s="72"/>
      <c r="E559" s="2246">
        <f>IMPOSTAZIONI!N63</f>
        <v>0</v>
      </c>
      <c r="F559" s="2247"/>
      <c r="G559" s="2247"/>
      <c r="H559" s="2248"/>
      <c r="I559" s="2246">
        <f>IMPOSTAZIONI!Q63</f>
        <v>0</v>
      </c>
      <c r="J559" s="2247"/>
      <c r="K559" s="2247"/>
      <c r="L559" s="2248"/>
      <c r="M559" s="1058"/>
      <c r="N559" s="2246">
        <f>IMPOSTAZIONI!AF63</f>
        <v>0</v>
      </c>
      <c r="O559" s="2247"/>
      <c r="P559" s="2247"/>
      <c r="Q559" s="2248"/>
      <c r="R559" s="2246">
        <f>IMPOSTAZIONI!AI63</f>
        <v>0</v>
      </c>
      <c r="S559" s="2247"/>
      <c r="T559" s="2247"/>
      <c r="U559" s="2248"/>
      <c r="V559" s="1058"/>
      <c r="W559" s="1058"/>
      <c r="X559" s="1058"/>
      <c r="Y559" s="1058"/>
      <c r="Z559" s="1058"/>
      <c r="AA559" s="1058"/>
      <c r="AB559" s="1058"/>
      <c r="AC559" s="1058"/>
      <c r="AD559" s="1058"/>
      <c r="AE559" s="1058"/>
    </row>
    <row r="560" spans="1:103" ht="15" hidden="1" customHeight="1" x14ac:dyDescent="0.2">
      <c r="A560" s="2"/>
      <c r="B560" s="2"/>
      <c r="C560" s="72"/>
      <c r="D560" s="72"/>
      <c r="E560" s="2246">
        <f>IMPOSTAZIONI!N64</f>
        <v>0</v>
      </c>
      <c r="F560" s="2247"/>
      <c r="G560" s="2247"/>
      <c r="H560" s="2248"/>
      <c r="I560" s="2246">
        <f>IMPOSTAZIONI!Q64</f>
        <v>0</v>
      </c>
      <c r="J560" s="2247"/>
      <c r="K560" s="2247"/>
      <c r="L560" s="2248"/>
      <c r="M560" s="1058"/>
      <c r="N560" s="2246">
        <f>IMPOSTAZIONI!AF64</f>
        <v>0</v>
      </c>
      <c r="O560" s="2247"/>
      <c r="P560" s="2247"/>
      <c r="Q560" s="2248"/>
      <c r="R560" s="2246">
        <f>IMPOSTAZIONI!AI64</f>
        <v>0</v>
      </c>
      <c r="S560" s="2247"/>
      <c r="T560" s="2247"/>
      <c r="U560" s="2248"/>
      <c r="V560" s="1058"/>
      <c r="W560" s="2320" t="s">
        <v>638</v>
      </c>
      <c r="X560" s="2321"/>
      <c r="Y560" s="2321"/>
      <c r="Z560" s="2321"/>
      <c r="AA560" s="2322"/>
      <c r="AB560" s="1058"/>
      <c r="AC560" s="1058"/>
      <c r="AD560" s="1058"/>
      <c r="AE560" s="1058"/>
    </row>
    <row r="561" spans="1:31" ht="15" hidden="1" customHeight="1" x14ac:dyDescent="0.2">
      <c r="A561" s="2"/>
      <c r="B561" s="2"/>
      <c r="C561" s="72"/>
      <c r="D561" s="72"/>
      <c r="E561" s="2246">
        <f>IMPOSTAZIONI!N65</f>
        <v>0</v>
      </c>
      <c r="F561" s="2247"/>
      <c r="G561" s="2247"/>
      <c r="H561" s="2248"/>
      <c r="I561" s="2246">
        <f>IMPOSTAZIONI!Q65</f>
        <v>0</v>
      </c>
      <c r="J561" s="2247"/>
      <c r="K561" s="2247"/>
      <c r="L561" s="2248"/>
      <c r="M561" s="1058"/>
      <c r="N561" s="2246">
        <f>IMPOSTAZIONI!AF65</f>
        <v>0</v>
      </c>
      <c r="O561" s="2247"/>
      <c r="P561" s="2247"/>
      <c r="Q561" s="2248"/>
      <c r="R561" s="2246">
        <f>IMPOSTAZIONI!AI65</f>
        <v>0</v>
      </c>
      <c r="S561" s="2247"/>
      <c r="T561" s="2247"/>
      <c r="U561" s="2248"/>
      <c r="V561" s="1058"/>
      <c r="W561" s="1058"/>
      <c r="X561" s="1058"/>
      <c r="Y561" s="1058"/>
      <c r="Z561" s="1058"/>
      <c r="AA561" s="1058"/>
      <c r="AB561" s="1058"/>
      <c r="AC561" s="1058"/>
      <c r="AD561" s="1058"/>
      <c r="AE561" s="1058"/>
    </row>
    <row r="562" spans="1:31" ht="15" hidden="1" customHeight="1" x14ac:dyDescent="0.2">
      <c r="A562" s="2"/>
      <c r="B562" s="2"/>
      <c r="C562" s="72"/>
      <c r="D562" s="72"/>
      <c r="E562" s="2246">
        <f>IMPOSTAZIONI!N66</f>
        <v>0</v>
      </c>
      <c r="F562" s="2247"/>
      <c r="G562" s="2247"/>
      <c r="H562" s="2248"/>
      <c r="I562" s="2246">
        <f>IMPOSTAZIONI!Q66</f>
        <v>0</v>
      </c>
      <c r="J562" s="2247"/>
      <c r="K562" s="2247"/>
      <c r="L562" s="2248"/>
      <c r="M562" s="1058"/>
      <c r="N562" s="2246">
        <f>IMPOSTAZIONI!AF66</f>
        <v>0</v>
      </c>
      <c r="O562" s="2247"/>
      <c r="P562" s="2247"/>
      <c r="Q562" s="2248"/>
      <c r="R562" s="2246">
        <f>IMPOSTAZIONI!AI66</f>
        <v>0</v>
      </c>
      <c r="S562" s="2247"/>
      <c r="T562" s="2247"/>
      <c r="U562" s="2248"/>
      <c r="V562" s="1058"/>
      <c r="W562" s="1058"/>
      <c r="X562" s="1058"/>
      <c r="Y562" s="1058"/>
      <c r="Z562" s="1058"/>
      <c r="AA562" s="1058"/>
      <c r="AB562" s="1058"/>
      <c r="AC562" s="1058"/>
      <c r="AD562" s="1058"/>
      <c r="AE562" s="1058"/>
    </row>
    <row r="563" spans="1:31" ht="15" hidden="1" customHeight="1" x14ac:dyDescent="0.2">
      <c r="A563" s="2"/>
      <c r="B563" s="2"/>
      <c r="C563" s="72"/>
      <c r="D563" s="72"/>
      <c r="E563" s="72"/>
      <c r="F563" s="72"/>
      <c r="G563" s="72"/>
      <c r="H563" s="72"/>
      <c r="I563" s="72"/>
      <c r="J563" s="72"/>
      <c r="K563" s="72"/>
      <c r="L563" s="1058"/>
      <c r="M563" s="1058"/>
      <c r="N563" s="1058"/>
      <c r="O563" s="1058"/>
      <c r="P563" s="1058"/>
      <c r="Q563" s="1058"/>
      <c r="R563" s="1058"/>
      <c r="S563" s="1058"/>
      <c r="T563" s="1058"/>
      <c r="U563" s="1058"/>
      <c r="V563" s="1058"/>
      <c r="W563" s="1058"/>
      <c r="X563" s="1058"/>
      <c r="Y563" s="1058"/>
      <c r="Z563" s="1058"/>
      <c r="AA563" s="1058"/>
      <c r="AB563" s="1058"/>
      <c r="AC563" s="1058"/>
      <c r="AD563" s="1058"/>
      <c r="AE563" s="1058"/>
    </row>
    <row r="564" spans="1:31" ht="15" hidden="1" customHeight="1" x14ac:dyDescent="0.2">
      <c r="A564" s="2"/>
      <c r="B564" s="2"/>
      <c r="C564" s="2"/>
      <c r="D564" s="2"/>
      <c r="E564" s="2"/>
      <c r="F564" s="2"/>
      <c r="G564" s="2"/>
      <c r="H564" s="2"/>
      <c r="I564" s="2"/>
      <c r="J564" s="2"/>
      <c r="K564" s="2"/>
      <c r="L564" s="73"/>
      <c r="M564" s="73"/>
      <c r="N564" s="21" t="str">
        <f>CONCATENATE("Rilevato DISAVANZO di ",AE25)</f>
        <v>Rilevato DISAVANZO di EUR</v>
      </c>
      <c r="O564" s="74"/>
      <c r="P564" s="22"/>
      <c r="Q564" s="22"/>
      <c r="R564" s="22"/>
      <c r="S564" s="22"/>
      <c r="T564" s="23"/>
      <c r="U564" s="73"/>
      <c r="V564" s="73"/>
      <c r="W564" s="2"/>
      <c r="X564" s="2"/>
      <c r="Y564" s="2"/>
      <c r="Z564" s="2"/>
      <c r="AA564" s="2"/>
      <c r="AB564" s="2"/>
      <c r="AC564" s="2"/>
      <c r="AD564" s="2"/>
      <c r="AE564" s="2"/>
    </row>
    <row r="565" spans="1:31" ht="15" hidden="1" customHeight="1" x14ac:dyDescent="0.2">
      <c r="A565" s="2"/>
      <c r="B565" s="2"/>
      <c r="C565" s="2"/>
      <c r="D565" s="2"/>
      <c r="E565" s="2"/>
      <c r="F565" s="2"/>
      <c r="G565" s="2"/>
      <c r="H565" s="2"/>
      <c r="I565" s="2"/>
      <c r="J565" s="2"/>
      <c r="K565" s="2"/>
      <c r="L565" s="73"/>
      <c r="M565" s="73"/>
      <c r="N565" s="21" t="str">
        <f>CONCATENATE("Rilevato un AVANZO di ",AE25)</f>
        <v>Rilevato un AVANZO di EUR</v>
      </c>
      <c r="O565" s="74"/>
      <c r="P565" s="22"/>
      <c r="Q565" s="22"/>
      <c r="R565" s="22"/>
      <c r="S565" s="22"/>
      <c r="T565" s="23"/>
      <c r="U565" s="73"/>
      <c r="V565" s="73"/>
      <c r="W565" s="2"/>
      <c r="X565" s="2"/>
      <c r="Y565" s="2"/>
      <c r="Z565" s="2"/>
      <c r="AA565" s="2"/>
      <c r="AB565" s="2"/>
      <c r="AC565" s="2"/>
      <c r="AD565" s="2"/>
      <c r="AE565" s="2"/>
    </row>
    <row r="566" spans="1:31" ht="15" hidden="1" customHeight="1" x14ac:dyDescent="0.2">
      <c r="A566" s="2"/>
      <c r="B566" s="2"/>
      <c r="C566" s="2"/>
      <c r="D566" s="2"/>
      <c r="E566" s="2"/>
      <c r="F566" s="2"/>
      <c r="G566" s="2"/>
      <c r="H566" s="2"/>
      <c r="I566" s="2"/>
      <c r="J566" s="2"/>
      <c r="K566" s="2"/>
      <c r="L566" s="73"/>
      <c r="M566" s="73"/>
      <c r="N566" s="21" t="s">
        <v>269</v>
      </c>
      <c r="O566" s="74"/>
      <c r="P566" s="22"/>
      <c r="Q566" s="22"/>
      <c r="R566" s="22"/>
      <c r="S566" s="22"/>
      <c r="T566" s="23"/>
      <c r="U566" s="73"/>
      <c r="V566" s="73"/>
      <c r="W566" s="2"/>
      <c r="X566" s="2"/>
      <c r="Y566" s="2"/>
      <c r="Z566" s="2"/>
      <c r="AA566" s="2"/>
      <c r="AB566" s="2"/>
      <c r="AC566" s="2"/>
      <c r="AD566" s="2"/>
      <c r="AE566" s="2"/>
    </row>
    <row r="567" spans="1:31" hidden="1" x14ac:dyDescent="0.2">
      <c r="A567" s="2"/>
      <c r="B567" s="2"/>
      <c r="C567" s="2"/>
      <c r="D567" s="2"/>
      <c r="E567" s="2"/>
      <c r="F567" s="2"/>
      <c r="G567" s="2"/>
      <c r="H567" s="2"/>
      <c r="I567" s="2"/>
      <c r="J567" s="2"/>
      <c r="K567" s="2"/>
      <c r="L567" s="73"/>
      <c r="M567" s="73"/>
      <c r="N567" s="24"/>
      <c r="O567" s="14"/>
      <c r="P567" s="2"/>
      <c r="Q567" s="2"/>
      <c r="R567" s="2"/>
      <c r="S567" s="2"/>
      <c r="T567" s="2"/>
      <c r="U567" s="2"/>
      <c r="V567" s="2"/>
      <c r="W567" s="2"/>
      <c r="X567" s="2"/>
      <c r="Y567" s="2"/>
      <c r="Z567" s="2"/>
      <c r="AA567" s="2"/>
      <c r="AB567" s="2"/>
      <c r="AC567" s="2"/>
      <c r="AD567" s="2"/>
      <c r="AE567" s="2"/>
    </row>
    <row r="568" spans="1:31" hidden="1" x14ac:dyDescent="0.2">
      <c r="A568" s="2"/>
      <c r="B568" s="2"/>
      <c r="C568" s="2"/>
      <c r="D568" s="2"/>
      <c r="E568" s="2"/>
      <c r="F568" s="2"/>
      <c r="G568" s="2"/>
      <c r="H568" s="2"/>
      <c r="I568" s="2"/>
      <c r="J568" s="2"/>
      <c r="K568" s="2"/>
      <c r="L568" s="73"/>
      <c r="M568" s="73"/>
      <c r="N568" s="14"/>
      <c r="O568" s="14"/>
      <c r="P568" s="2"/>
      <c r="Q568" s="2"/>
      <c r="R568" s="2"/>
      <c r="S568" s="2"/>
      <c r="T568" s="2"/>
      <c r="U568" s="2"/>
      <c r="V568" s="2"/>
      <c r="W568" s="2"/>
      <c r="X568" s="2"/>
      <c r="Y568" s="2"/>
      <c r="Z568" s="2"/>
      <c r="AA568" s="2"/>
      <c r="AB568" s="2"/>
      <c r="AC568" s="2"/>
      <c r="AD568" s="2"/>
      <c r="AE568" s="2"/>
    </row>
    <row r="569" spans="1:31" hidden="1" x14ac:dyDescent="0.2">
      <c r="A569" s="2"/>
      <c r="B569" s="2"/>
      <c r="C569" s="2"/>
      <c r="D569" s="2"/>
      <c r="E569" s="2"/>
      <c r="F569" s="2"/>
      <c r="G569" s="2"/>
      <c r="H569" s="2"/>
      <c r="I569" s="2"/>
      <c r="J569" s="2"/>
      <c r="K569" s="2"/>
      <c r="L569" s="2"/>
      <c r="M569" s="2"/>
      <c r="N569" s="2"/>
      <c r="O569" s="284">
        <f>Presentazione!E167</f>
        <v>0</v>
      </c>
      <c r="P569" s="2256" t="s">
        <v>53</v>
      </c>
      <c r="Q569" s="2256"/>
      <c r="R569" s="2257"/>
      <c r="S569" s="71"/>
      <c r="T569" s="2"/>
      <c r="U569" s="2"/>
      <c r="V569" s="36">
        <v>1</v>
      </c>
      <c r="W569" s="117" t="s">
        <v>395</v>
      </c>
      <c r="X569" s="2"/>
      <c r="Y569" s="2"/>
      <c r="Z569" s="2"/>
      <c r="AA569" s="2"/>
      <c r="AB569" s="2"/>
      <c r="AC569" s="2"/>
      <c r="AD569" s="2"/>
      <c r="AE569" s="2"/>
    </row>
    <row r="570" spans="1:31" hidden="1" x14ac:dyDescent="0.2">
      <c r="A570" s="2"/>
      <c r="B570" s="2"/>
      <c r="C570" s="2"/>
      <c r="D570" s="2"/>
      <c r="E570" s="2"/>
      <c r="F570" s="2"/>
      <c r="G570" s="2"/>
      <c r="H570" s="2"/>
      <c r="I570" s="2"/>
      <c r="J570" s="2"/>
      <c r="K570" s="2"/>
      <c r="L570" s="73"/>
      <c r="M570" s="73"/>
      <c r="N570" s="14"/>
      <c r="O570" s="14"/>
      <c r="P570" s="2"/>
      <c r="Q570" s="2"/>
      <c r="R570" s="2"/>
      <c r="S570" s="2"/>
      <c r="T570" s="2"/>
      <c r="U570" s="2"/>
      <c r="V570" s="2"/>
      <c r="W570" s="2"/>
      <c r="X570" s="2"/>
      <c r="Y570" s="2"/>
      <c r="Z570" s="2"/>
      <c r="AA570" s="2"/>
      <c r="AB570" s="2"/>
      <c r="AC570" s="2"/>
      <c r="AD570" s="2"/>
      <c r="AE570" s="2"/>
    </row>
  </sheetData>
  <sheetProtection algorithmName="SHA-512" hashValue="kNFFLnxHd3bi1ShtqGJhZKDCYTTw1sM3mgeiiaxBs0mHFtvOoX1BKRVbW9EEcy8QkZ6/wgE/S8rgvUEsn3k7wA==" saltValue="d/DO6o/l8Ym7fPRPltrewA==" spinCount="100000" sheet="1" scenarios="1" selectLockedCells="1"/>
  <mergeCells count="2258">
    <mergeCell ref="B5:B50"/>
    <mergeCell ref="H7:K7"/>
    <mergeCell ref="H8:K8"/>
    <mergeCell ref="H9:K9"/>
    <mergeCell ref="H10:K10"/>
    <mergeCell ref="H11:K11"/>
    <mergeCell ref="H12:K12"/>
    <mergeCell ref="L6:O6"/>
    <mergeCell ref="L7:O7"/>
    <mergeCell ref="L8:O8"/>
    <mergeCell ref="L9:O9"/>
    <mergeCell ref="P6:S6"/>
    <mergeCell ref="P7:S7"/>
    <mergeCell ref="P8:S8"/>
    <mergeCell ref="P9:S9"/>
    <mergeCell ref="P10:S10"/>
    <mergeCell ref="P11:S11"/>
    <mergeCell ref="P12:S12"/>
    <mergeCell ref="L10:O10"/>
    <mergeCell ref="L11:O11"/>
    <mergeCell ref="L12:O12"/>
    <mergeCell ref="D50:I50"/>
    <mergeCell ref="N50:Q50"/>
    <mergeCell ref="D10:G10"/>
    <mergeCell ref="D11:G11"/>
    <mergeCell ref="D12:G12"/>
    <mergeCell ref="H6:K6"/>
    <mergeCell ref="D42:E42"/>
    <mergeCell ref="F42:G42"/>
    <mergeCell ref="H42:I42"/>
    <mergeCell ref="J42:K42"/>
    <mergeCell ref="L42:M42"/>
    <mergeCell ref="AC170:AE170"/>
    <mergeCell ref="F94:L94"/>
    <mergeCell ref="M94:R94"/>
    <mergeCell ref="S94:U94"/>
    <mergeCell ref="V94:Y94"/>
    <mergeCell ref="D95:E95"/>
    <mergeCell ref="F95:L95"/>
    <mergeCell ref="S95:U95"/>
    <mergeCell ref="V95:Y95"/>
    <mergeCell ref="S107:U107"/>
    <mergeCell ref="V107:Y107"/>
    <mergeCell ref="D108:E108"/>
    <mergeCell ref="F108:L108"/>
    <mergeCell ref="M108:R108"/>
    <mergeCell ref="S108:U108"/>
    <mergeCell ref="V108:Y108"/>
    <mergeCell ref="D109:E109"/>
    <mergeCell ref="F109:L109"/>
    <mergeCell ref="M109:R109"/>
    <mergeCell ref="S109:U109"/>
    <mergeCell ref="S105:U105"/>
    <mergeCell ref="V105:Y105"/>
    <mergeCell ref="D106:E106"/>
    <mergeCell ref="F106:L106"/>
    <mergeCell ref="M106:R106"/>
    <mergeCell ref="S106:U106"/>
    <mergeCell ref="V106:Y106"/>
    <mergeCell ref="D107:E107"/>
    <mergeCell ref="F107:L107"/>
    <mergeCell ref="M107:R107"/>
    <mergeCell ref="D104:E104"/>
    <mergeCell ref="F104:L104"/>
    <mergeCell ref="Z35:AA35"/>
    <mergeCell ref="T36:Y36"/>
    <mergeCell ref="Z36:AA36"/>
    <mergeCell ref="D96:E96"/>
    <mergeCell ref="F96:L96"/>
    <mergeCell ref="V96:Y96"/>
    <mergeCell ref="F76:L76"/>
    <mergeCell ref="M76:R76"/>
    <mergeCell ref="S76:U76"/>
    <mergeCell ref="V76:Y76"/>
    <mergeCell ref="D77:E77"/>
    <mergeCell ref="F77:L77"/>
    <mergeCell ref="M77:R77"/>
    <mergeCell ref="S77:U77"/>
    <mergeCell ref="D51:Z51"/>
    <mergeCell ref="F81:L81"/>
    <mergeCell ref="M81:R81"/>
    <mergeCell ref="F79:L79"/>
    <mergeCell ref="D78:E78"/>
    <mergeCell ref="F78:L78"/>
    <mergeCell ref="S78:U78"/>
    <mergeCell ref="V78:Y78"/>
    <mergeCell ref="D84:E84"/>
    <mergeCell ref="F62:L62"/>
    <mergeCell ref="M62:R62"/>
    <mergeCell ref="S62:U62"/>
    <mergeCell ref="V62:Y62"/>
    <mergeCell ref="D63:E63"/>
    <mergeCell ref="F63:L63"/>
    <mergeCell ref="M63:R63"/>
    <mergeCell ref="S63:U63"/>
    <mergeCell ref="V63:Y63"/>
    <mergeCell ref="W557:AA557"/>
    <mergeCell ref="W558:AA558"/>
    <mergeCell ref="W560:AA560"/>
    <mergeCell ref="P24:T24"/>
    <mergeCell ref="U24:Y24"/>
    <mergeCell ref="Z24:AD24"/>
    <mergeCell ref="Q508:R508"/>
    <mergeCell ref="Q509:R509"/>
    <mergeCell ref="Q520:R520"/>
    <mergeCell ref="Q526:R526"/>
    <mergeCell ref="Q514:R514"/>
    <mergeCell ref="Q515:R515"/>
    <mergeCell ref="Q516:R516"/>
    <mergeCell ref="Q517:R517"/>
    <mergeCell ref="Q529:R529"/>
    <mergeCell ref="Q530:R530"/>
    <mergeCell ref="Q531:R531"/>
    <mergeCell ref="Q532:R532"/>
    <mergeCell ref="V77:Y77"/>
    <mergeCell ref="Q503:R503"/>
    <mergeCell ref="Q504:R504"/>
    <mergeCell ref="P25:T25"/>
    <mergeCell ref="U25:Y25"/>
    <mergeCell ref="S68:U68"/>
    <mergeCell ref="M73:R73"/>
    <mergeCell ref="S73:U73"/>
    <mergeCell ref="V73:Y73"/>
    <mergeCell ref="M74:R74"/>
    <mergeCell ref="S74:U74"/>
    <mergeCell ref="V74:Y74"/>
    <mergeCell ref="M75:R75"/>
    <mergeCell ref="Q488:R488"/>
    <mergeCell ref="Q510:R510"/>
    <mergeCell ref="Q499:R499"/>
    <mergeCell ref="Q473:R473"/>
    <mergeCell ref="X6:AA6"/>
    <mergeCell ref="X7:AA7"/>
    <mergeCell ref="X8:AA8"/>
    <mergeCell ref="X9:AA9"/>
    <mergeCell ref="X10:AA10"/>
    <mergeCell ref="X11:AA11"/>
    <mergeCell ref="X12:AA12"/>
    <mergeCell ref="K25:O25"/>
    <mergeCell ref="F73:L73"/>
    <mergeCell ref="D74:E74"/>
    <mergeCell ref="F74:L74"/>
    <mergeCell ref="D75:E75"/>
    <mergeCell ref="F75:L75"/>
    <mergeCell ref="D79:E79"/>
    <mergeCell ref="M96:R96"/>
    <mergeCell ref="S96:U96"/>
    <mergeCell ref="M95:R95"/>
    <mergeCell ref="V91:Y91"/>
    <mergeCell ref="D92:E92"/>
    <mergeCell ref="F92:L92"/>
    <mergeCell ref="M92:R92"/>
    <mergeCell ref="S92:U92"/>
    <mergeCell ref="V92:Y92"/>
    <mergeCell ref="D93:E93"/>
    <mergeCell ref="F93:L93"/>
    <mergeCell ref="M93:R93"/>
    <mergeCell ref="S93:U93"/>
    <mergeCell ref="V93:Y93"/>
    <mergeCell ref="D94:E94"/>
    <mergeCell ref="Q434:R434"/>
    <mergeCell ref="Q435:R435"/>
    <mergeCell ref="Q436:R436"/>
    <mergeCell ref="Q437:R437"/>
    <mergeCell ref="Q423:R423"/>
    <mergeCell ref="Q424:R424"/>
    <mergeCell ref="Q425:R425"/>
    <mergeCell ref="Q418:R418"/>
    <mergeCell ref="D97:E97"/>
    <mergeCell ref="T6:W6"/>
    <mergeCell ref="T8:W8"/>
    <mergeCell ref="T9:W9"/>
    <mergeCell ref="T10:W10"/>
    <mergeCell ref="T11:W11"/>
    <mergeCell ref="T12:W12"/>
    <mergeCell ref="Q458:R458"/>
    <mergeCell ref="Q459:R459"/>
    <mergeCell ref="M105:R105"/>
    <mergeCell ref="O170:Q170"/>
    <mergeCell ref="M104:R104"/>
    <mergeCell ref="S104:U104"/>
    <mergeCell ref="V104:Y104"/>
    <mergeCell ref="D105:E105"/>
    <mergeCell ref="F105:L105"/>
    <mergeCell ref="S80:U80"/>
    <mergeCell ref="V80:Y80"/>
    <mergeCell ref="D81:E81"/>
    <mergeCell ref="D100:E100"/>
    <mergeCell ref="F100:L100"/>
    <mergeCell ref="M100:R100"/>
    <mergeCell ref="S100:U100"/>
    <mergeCell ref="V100:Y100"/>
    <mergeCell ref="G547:I547"/>
    <mergeCell ref="Q538:R538"/>
    <mergeCell ref="Q539:R539"/>
    <mergeCell ref="Q544:R544"/>
    <mergeCell ref="Q545:R545"/>
    <mergeCell ref="Q540:R540"/>
    <mergeCell ref="Q541:R541"/>
    <mergeCell ref="Q543:R543"/>
    <mergeCell ref="G545:I545"/>
    <mergeCell ref="G540:I540"/>
    <mergeCell ref="G544:I544"/>
    <mergeCell ref="G537:I537"/>
    <mergeCell ref="G541:I541"/>
    <mergeCell ref="G536:I536"/>
    <mergeCell ref="G535:I535"/>
    <mergeCell ref="G531:I531"/>
    <mergeCell ref="Q491:R491"/>
    <mergeCell ref="Q492:R492"/>
    <mergeCell ref="Q493:R493"/>
    <mergeCell ref="Q502:R502"/>
    <mergeCell ref="Q533:R533"/>
    <mergeCell ref="Q534:R534"/>
    <mergeCell ref="Q525:R525"/>
    <mergeCell ref="Q527:R527"/>
    <mergeCell ref="Q528:R528"/>
    <mergeCell ref="Q521:R521"/>
    <mergeCell ref="Q522:R522"/>
    <mergeCell ref="Q523:R523"/>
    <mergeCell ref="Q511:R511"/>
    <mergeCell ref="Q512:R512"/>
    <mergeCell ref="Q513:R513"/>
    <mergeCell ref="Q506:R506"/>
    <mergeCell ref="CR177:CR178"/>
    <mergeCell ref="CW177:CW178"/>
    <mergeCell ref="Q542:R542"/>
    <mergeCell ref="G538:I538"/>
    <mergeCell ref="Q535:R535"/>
    <mergeCell ref="Q536:R536"/>
    <mergeCell ref="Q537:R537"/>
    <mergeCell ref="Q524:R524"/>
    <mergeCell ref="Q518:R518"/>
    <mergeCell ref="Q519:R519"/>
    <mergeCell ref="AB9:AE9"/>
    <mergeCell ref="Z25:AD25"/>
    <mergeCell ref="AB10:AE10"/>
    <mergeCell ref="AB11:AE11"/>
    <mergeCell ref="AB12:AE12"/>
    <mergeCell ref="Q507:R507"/>
    <mergeCell ref="Q495:R495"/>
    <mergeCell ref="Q496:R496"/>
    <mergeCell ref="Q497:R497"/>
    <mergeCell ref="Q490:R490"/>
    <mergeCell ref="Q505:R505"/>
    <mergeCell ref="Q498:R498"/>
    <mergeCell ref="Q500:R500"/>
    <mergeCell ref="Q501:R501"/>
    <mergeCell ref="Q457:R457"/>
    <mergeCell ref="Q450:R450"/>
    <mergeCell ref="Q463:R463"/>
    <mergeCell ref="Q464:R464"/>
    <mergeCell ref="Q465:R465"/>
    <mergeCell ref="Q466:R466"/>
    <mergeCell ref="Q472:R472"/>
    <mergeCell ref="Q489:R489"/>
    <mergeCell ref="Q454:R454"/>
    <mergeCell ref="Q455:R455"/>
    <mergeCell ref="Q456:R456"/>
    <mergeCell ref="Q494:R494"/>
    <mergeCell ref="Q470:R470"/>
    <mergeCell ref="Q471:R471"/>
    <mergeCell ref="Q467:R467"/>
    <mergeCell ref="Q468:R468"/>
    <mergeCell ref="Q469:R469"/>
    <mergeCell ref="Q478:R478"/>
    <mergeCell ref="Q479:R479"/>
    <mergeCell ref="Q480:R480"/>
    <mergeCell ref="Q481:R481"/>
    <mergeCell ref="Q474:R474"/>
    <mergeCell ref="Q475:R475"/>
    <mergeCell ref="Q476:R476"/>
    <mergeCell ref="Q477:R477"/>
    <mergeCell ref="Q486:R486"/>
    <mergeCell ref="Q487:R487"/>
    <mergeCell ref="Q483:R483"/>
    <mergeCell ref="Q484:R484"/>
    <mergeCell ref="Q485:R485"/>
    <mergeCell ref="Q482:R482"/>
    <mergeCell ref="Q460:R460"/>
    <mergeCell ref="Q419:R419"/>
    <mergeCell ref="Q420:R420"/>
    <mergeCell ref="Q421:R421"/>
    <mergeCell ref="Q430:R430"/>
    <mergeCell ref="Q431:R431"/>
    <mergeCell ref="Q432:R432"/>
    <mergeCell ref="Q433:R433"/>
    <mergeCell ref="Q426:R426"/>
    <mergeCell ref="Q427:R427"/>
    <mergeCell ref="Q428:R428"/>
    <mergeCell ref="Q429:R429"/>
    <mergeCell ref="Q438:R438"/>
    <mergeCell ref="Q439:R439"/>
    <mergeCell ref="Q452:R452"/>
    <mergeCell ref="Q453:R453"/>
    <mergeCell ref="Q462:R462"/>
    <mergeCell ref="Q406:R406"/>
    <mergeCell ref="Q407:R407"/>
    <mergeCell ref="Q408:R408"/>
    <mergeCell ref="Q409:R409"/>
    <mergeCell ref="Q451:R451"/>
    <mergeCell ref="Q461:R461"/>
    <mergeCell ref="Q440:R440"/>
    <mergeCell ref="Q441:R441"/>
    <mergeCell ref="Q446:R446"/>
    <mergeCell ref="Q447:R447"/>
    <mergeCell ref="Q448:R448"/>
    <mergeCell ref="Q449:R449"/>
    <mergeCell ref="Q442:R442"/>
    <mergeCell ref="Q443:R443"/>
    <mergeCell ref="Q444:R444"/>
    <mergeCell ref="Q445:R445"/>
    <mergeCell ref="Q402:R402"/>
    <mergeCell ref="Q403:R403"/>
    <mergeCell ref="Q404:R404"/>
    <mergeCell ref="Q405:R405"/>
    <mergeCell ref="Q414:R414"/>
    <mergeCell ref="Q415:R415"/>
    <mergeCell ref="Q416:R416"/>
    <mergeCell ref="Q417:R417"/>
    <mergeCell ref="Q410:R410"/>
    <mergeCell ref="Q411:R411"/>
    <mergeCell ref="Q412:R412"/>
    <mergeCell ref="Q413:R413"/>
    <mergeCell ref="Q422:R422"/>
    <mergeCell ref="Q385:R385"/>
    <mergeCell ref="Q378:R378"/>
    <mergeCell ref="Q379:R379"/>
    <mergeCell ref="Q380:R380"/>
    <mergeCell ref="Q381:R381"/>
    <mergeCell ref="Q390:R390"/>
    <mergeCell ref="Q391:R391"/>
    <mergeCell ref="Q392:R392"/>
    <mergeCell ref="Q393:R393"/>
    <mergeCell ref="Q386:R386"/>
    <mergeCell ref="Q387:R387"/>
    <mergeCell ref="Q388:R388"/>
    <mergeCell ref="Q389:R389"/>
    <mergeCell ref="Q398:R398"/>
    <mergeCell ref="Q399:R399"/>
    <mergeCell ref="Q400:R400"/>
    <mergeCell ref="Q401:R401"/>
    <mergeCell ref="Q394:R394"/>
    <mergeCell ref="Q395:R395"/>
    <mergeCell ref="Q396:R396"/>
    <mergeCell ref="Q397:R397"/>
    <mergeCell ref="Q368:R368"/>
    <mergeCell ref="Q369:R369"/>
    <mergeCell ref="Q362:R362"/>
    <mergeCell ref="Q363:R363"/>
    <mergeCell ref="Q364:R364"/>
    <mergeCell ref="Q365:R365"/>
    <mergeCell ref="Q374:R374"/>
    <mergeCell ref="Q375:R375"/>
    <mergeCell ref="Q376:R376"/>
    <mergeCell ref="Q377:R377"/>
    <mergeCell ref="Q370:R370"/>
    <mergeCell ref="Q371:R371"/>
    <mergeCell ref="Q372:R372"/>
    <mergeCell ref="Q373:R373"/>
    <mergeCell ref="Q382:R382"/>
    <mergeCell ref="Q383:R383"/>
    <mergeCell ref="Q384:R384"/>
    <mergeCell ref="Q351:R351"/>
    <mergeCell ref="Q352:R352"/>
    <mergeCell ref="Q353:R353"/>
    <mergeCell ref="Q346:R346"/>
    <mergeCell ref="Q347:R347"/>
    <mergeCell ref="Q348:R348"/>
    <mergeCell ref="Q349:R349"/>
    <mergeCell ref="Q358:R358"/>
    <mergeCell ref="Q359:R359"/>
    <mergeCell ref="Q360:R360"/>
    <mergeCell ref="Q361:R361"/>
    <mergeCell ref="Q354:R354"/>
    <mergeCell ref="Q355:R355"/>
    <mergeCell ref="Q356:R356"/>
    <mergeCell ref="Q357:R357"/>
    <mergeCell ref="Q366:R366"/>
    <mergeCell ref="Q367:R367"/>
    <mergeCell ref="Q334:R334"/>
    <mergeCell ref="Q335:R335"/>
    <mergeCell ref="Q336:R336"/>
    <mergeCell ref="Q337:R337"/>
    <mergeCell ref="Q330:R330"/>
    <mergeCell ref="Q331:R331"/>
    <mergeCell ref="Q332:R332"/>
    <mergeCell ref="Q333:R333"/>
    <mergeCell ref="Q342:R342"/>
    <mergeCell ref="Q343:R343"/>
    <mergeCell ref="Q344:R344"/>
    <mergeCell ref="Q345:R345"/>
    <mergeCell ref="Q338:R338"/>
    <mergeCell ref="Q339:R339"/>
    <mergeCell ref="Q340:R340"/>
    <mergeCell ref="Q341:R341"/>
    <mergeCell ref="Q350:R350"/>
    <mergeCell ref="Q313:R313"/>
    <mergeCell ref="Q306:R306"/>
    <mergeCell ref="Q307:R307"/>
    <mergeCell ref="Q308:R308"/>
    <mergeCell ref="Q309:R309"/>
    <mergeCell ref="Q318:R318"/>
    <mergeCell ref="Q319:R319"/>
    <mergeCell ref="Q320:R320"/>
    <mergeCell ref="Q321:R321"/>
    <mergeCell ref="Q314:R314"/>
    <mergeCell ref="Q315:R315"/>
    <mergeCell ref="Q316:R316"/>
    <mergeCell ref="Q317:R317"/>
    <mergeCell ref="Q326:R326"/>
    <mergeCell ref="Q327:R327"/>
    <mergeCell ref="Q328:R328"/>
    <mergeCell ref="Q329:R329"/>
    <mergeCell ref="Q322:R322"/>
    <mergeCell ref="Q323:R323"/>
    <mergeCell ref="Q324:R324"/>
    <mergeCell ref="Q325:R325"/>
    <mergeCell ref="Q296:R296"/>
    <mergeCell ref="Q297:R297"/>
    <mergeCell ref="Q290:R290"/>
    <mergeCell ref="Q291:R291"/>
    <mergeCell ref="Q292:R292"/>
    <mergeCell ref="Q293:R293"/>
    <mergeCell ref="Q302:R302"/>
    <mergeCell ref="Q303:R303"/>
    <mergeCell ref="Q304:R304"/>
    <mergeCell ref="Q305:R305"/>
    <mergeCell ref="Q298:R298"/>
    <mergeCell ref="Q299:R299"/>
    <mergeCell ref="Q300:R300"/>
    <mergeCell ref="Q301:R301"/>
    <mergeCell ref="Q310:R310"/>
    <mergeCell ref="Q311:R311"/>
    <mergeCell ref="Q312:R312"/>
    <mergeCell ref="Q279:R279"/>
    <mergeCell ref="Q280:R280"/>
    <mergeCell ref="Q281:R281"/>
    <mergeCell ref="Q274:R274"/>
    <mergeCell ref="Q275:R275"/>
    <mergeCell ref="Q276:R276"/>
    <mergeCell ref="Q277:R277"/>
    <mergeCell ref="Q286:R286"/>
    <mergeCell ref="Q287:R287"/>
    <mergeCell ref="Q288:R288"/>
    <mergeCell ref="Q289:R289"/>
    <mergeCell ref="Q282:R282"/>
    <mergeCell ref="Q283:R283"/>
    <mergeCell ref="Q284:R284"/>
    <mergeCell ref="Q285:R285"/>
    <mergeCell ref="Q294:R294"/>
    <mergeCell ref="Q295:R295"/>
    <mergeCell ref="Q262:R262"/>
    <mergeCell ref="Q263:R263"/>
    <mergeCell ref="Q264:R264"/>
    <mergeCell ref="Q265:R265"/>
    <mergeCell ref="Q258:R258"/>
    <mergeCell ref="Q259:R259"/>
    <mergeCell ref="Q260:R260"/>
    <mergeCell ref="Q261:R261"/>
    <mergeCell ref="Q270:R270"/>
    <mergeCell ref="Q271:R271"/>
    <mergeCell ref="Q272:R272"/>
    <mergeCell ref="Q273:R273"/>
    <mergeCell ref="Q266:R266"/>
    <mergeCell ref="Q267:R267"/>
    <mergeCell ref="Q268:R268"/>
    <mergeCell ref="Q269:R269"/>
    <mergeCell ref="Q278:R278"/>
    <mergeCell ref="Q246:R246"/>
    <mergeCell ref="Q247:R247"/>
    <mergeCell ref="Q248:R248"/>
    <mergeCell ref="Q249:R249"/>
    <mergeCell ref="Q242:R242"/>
    <mergeCell ref="Q243:R243"/>
    <mergeCell ref="Q244:R244"/>
    <mergeCell ref="Q245:R245"/>
    <mergeCell ref="Q230:R230"/>
    <mergeCell ref="Q254:R254"/>
    <mergeCell ref="Q255:R255"/>
    <mergeCell ref="Q256:R256"/>
    <mergeCell ref="Q257:R257"/>
    <mergeCell ref="Q250:R250"/>
    <mergeCell ref="Q251:R251"/>
    <mergeCell ref="Q252:R252"/>
    <mergeCell ref="Q253:R253"/>
    <mergeCell ref="Q231:R231"/>
    <mergeCell ref="Q232:R232"/>
    <mergeCell ref="Q200:R200"/>
    <mergeCell ref="Q201:R201"/>
    <mergeCell ref="L230:M230"/>
    <mergeCell ref="L231:M231"/>
    <mergeCell ref="L232:M232"/>
    <mergeCell ref="Q233:R233"/>
    <mergeCell ref="Q226:R226"/>
    <mergeCell ref="Q227:R227"/>
    <mergeCell ref="Q228:R228"/>
    <mergeCell ref="Q229:R229"/>
    <mergeCell ref="Q238:R238"/>
    <mergeCell ref="Q241:R241"/>
    <mergeCell ref="Q234:R234"/>
    <mergeCell ref="Q235:R235"/>
    <mergeCell ref="Q236:R236"/>
    <mergeCell ref="Q237:R237"/>
    <mergeCell ref="L200:M200"/>
    <mergeCell ref="L220:M220"/>
    <mergeCell ref="L221:M221"/>
    <mergeCell ref="L222:M222"/>
    <mergeCell ref="L217:M217"/>
    <mergeCell ref="L201:M201"/>
    <mergeCell ref="L202:M202"/>
    <mergeCell ref="L203:M203"/>
    <mergeCell ref="L204:M204"/>
    <mergeCell ref="L229:M229"/>
    <mergeCell ref="Q214:R214"/>
    <mergeCell ref="Q215:R215"/>
    <mergeCell ref="Q216:R216"/>
    <mergeCell ref="Q217:R217"/>
    <mergeCell ref="L223:M223"/>
    <mergeCell ref="L224:M224"/>
    <mergeCell ref="L225:M225"/>
    <mergeCell ref="L226:M226"/>
    <mergeCell ref="L227:M227"/>
    <mergeCell ref="L228:M228"/>
    <mergeCell ref="Q212:R212"/>
    <mergeCell ref="Q213:R213"/>
    <mergeCell ref="L211:M211"/>
    <mergeCell ref="L212:M212"/>
    <mergeCell ref="Q222:R222"/>
    <mergeCell ref="Q223:R223"/>
    <mergeCell ref="Q224:R224"/>
    <mergeCell ref="Q225:R225"/>
    <mergeCell ref="Q218:R218"/>
    <mergeCell ref="Q219:R219"/>
    <mergeCell ref="Q220:R220"/>
    <mergeCell ref="Q221:R221"/>
    <mergeCell ref="G202:I202"/>
    <mergeCell ref="G210:I210"/>
    <mergeCell ref="G203:I203"/>
    <mergeCell ref="G204:I204"/>
    <mergeCell ref="G205:I205"/>
    <mergeCell ref="G206:I206"/>
    <mergeCell ref="L218:M218"/>
    <mergeCell ref="G208:I208"/>
    <mergeCell ref="G209:I209"/>
    <mergeCell ref="G226:I226"/>
    <mergeCell ref="G219:I219"/>
    <mergeCell ref="G220:I220"/>
    <mergeCell ref="G221:I221"/>
    <mergeCell ref="G222:I222"/>
    <mergeCell ref="G215:I215"/>
    <mergeCell ref="G216:I216"/>
    <mergeCell ref="Q196:R196"/>
    <mergeCell ref="Q197:R197"/>
    <mergeCell ref="G197:I197"/>
    <mergeCell ref="L197:M197"/>
    <mergeCell ref="E179:F179"/>
    <mergeCell ref="G179:I179"/>
    <mergeCell ref="L181:M181"/>
    <mergeCell ref="L182:M182"/>
    <mergeCell ref="L183:M183"/>
    <mergeCell ref="V98:Y98"/>
    <mergeCell ref="G195:I195"/>
    <mergeCell ref="G196:I196"/>
    <mergeCell ref="E195:F195"/>
    <mergeCell ref="E196:F196"/>
    <mergeCell ref="E187:F187"/>
    <mergeCell ref="L189:M189"/>
    <mergeCell ref="L190:M190"/>
    <mergeCell ref="L194:M194"/>
    <mergeCell ref="Q194:R194"/>
    <mergeCell ref="Q193:R193"/>
    <mergeCell ref="Q189:R189"/>
    <mergeCell ref="L195:M195"/>
    <mergeCell ref="L196:M196"/>
    <mergeCell ref="Q192:R192"/>
    <mergeCell ref="E190:F190"/>
    <mergeCell ref="G187:I187"/>
    <mergeCell ref="E186:F186"/>
    <mergeCell ref="E184:F184"/>
    <mergeCell ref="L192:M192"/>
    <mergeCell ref="L187:M187"/>
    <mergeCell ref="L188:M188"/>
    <mergeCell ref="L191:M191"/>
    <mergeCell ref="D68:E68"/>
    <mergeCell ref="F68:L68"/>
    <mergeCell ref="M68:R68"/>
    <mergeCell ref="D47:G47"/>
    <mergeCell ref="H47:K47"/>
    <mergeCell ref="L47:O47"/>
    <mergeCell ref="P47:S47"/>
    <mergeCell ref="D55:AC55"/>
    <mergeCell ref="D52:AE52"/>
    <mergeCell ref="D53:AE53"/>
    <mergeCell ref="D54:AE54"/>
    <mergeCell ref="V56:Z56"/>
    <mergeCell ref="AA56:AE56"/>
    <mergeCell ref="M65:R65"/>
    <mergeCell ref="S65:U65"/>
    <mergeCell ref="V65:Y65"/>
    <mergeCell ref="D66:E66"/>
    <mergeCell ref="F66:L66"/>
    <mergeCell ref="D59:E59"/>
    <mergeCell ref="F59:L59"/>
    <mergeCell ref="M59:R59"/>
    <mergeCell ref="S59:U59"/>
    <mergeCell ref="V59:Y59"/>
    <mergeCell ref="D60:E60"/>
    <mergeCell ref="F60:L60"/>
    <mergeCell ref="M60:R60"/>
    <mergeCell ref="S60:U60"/>
    <mergeCell ref="AB47:AE47"/>
    <mergeCell ref="D48:G48"/>
    <mergeCell ref="H48:K48"/>
    <mergeCell ref="L48:O48"/>
    <mergeCell ref="P48:S48"/>
    <mergeCell ref="F84:L84"/>
    <mergeCell ref="M84:R84"/>
    <mergeCell ref="S84:U84"/>
    <mergeCell ref="V84:Y84"/>
    <mergeCell ref="AP177:AX177"/>
    <mergeCell ref="AZ177:BC177"/>
    <mergeCell ref="AP176:AX176"/>
    <mergeCell ref="AZ176:BC176"/>
    <mergeCell ref="AY177:AY178"/>
    <mergeCell ref="V60:Y60"/>
    <mergeCell ref="D61:E61"/>
    <mergeCell ref="F61:L61"/>
    <mergeCell ref="M61:R61"/>
    <mergeCell ref="S61:U61"/>
    <mergeCell ref="V61:Y61"/>
    <mergeCell ref="D64:E64"/>
    <mergeCell ref="F64:L64"/>
    <mergeCell ref="M64:R64"/>
    <mergeCell ref="S64:U64"/>
    <mergeCell ref="V64:Y64"/>
    <mergeCell ref="D65:E65"/>
    <mergeCell ref="F65:L65"/>
    <mergeCell ref="D62:E62"/>
    <mergeCell ref="M66:R66"/>
    <mergeCell ref="S66:U66"/>
    <mergeCell ref="V66:Y66"/>
    <mergeCell ref="D67:E67"/>
    <mergeCell ref="F67:L67"/>
    <mergeCell ref="M67:R67"/>
    <mergeCell ref="S67:U67"/>
    <mergeCell ref="V67:Y67"/>
    <mergeCell ref="S69:U69"/>
    <mergeCell ref="G430:I430"/>
    <mergeCell ref="G439:I439"/>
    <mergeCell ref="G440:I440"/>
    <mergeCell ref="G441:I441"/>
    <mergeCell ref="G409:I409"/>
    <mergeCell ref="G410:I410"/>
    <mergeCell ref="G403:I403"/>
    <mergeCell ref="G404:I404"/>
    <mergeCell ref="G405:I405"/>
    <mergeCell ref="G406:I406"/>
    <mergeCell ref="G415:I415"/>
    <mergeCell ref="G416:I416"/>
    <mergeCell ref="G417:I417"/>
    <mergeCell ref="L193:M193"/>
    <mergeCell ref="Q190:R190"/>
    <mergeCell ref="Q198:R198"/>
    <mergeCell ref="Q199:R199"/>
    <mergeCell ref="G198:I198"/>
    <mergeCell ref="L198:M198"/>
    <mergeCell ref="Q206:R206"/>
    <mergeCell ref="Q207:R207"/>
    <mergeCell ref="Q208:R208"/>
    <mergeCell ref="Q209:R209"/>
    <mergeCell ref="Q202:R202"/>
    <mergeCell ref="Q203:R203"/>
    <mergeCell ref="Q204:R204"/>
    <mergeCell ref="Q205:R205"/>
    <mergeCell ref="Q210:R210"/>
    <mergeCell ref="Q211:R211"/>
    <mergeCell ref="G423:I423"/>
    <mergeCell ref="G424:I424"/>
    <mergeCell ref="Q195:R195"/>
    <mergeCell ref="G498:I498"/>
    <mergeCell ref="G522:I522"/>
    <mergeCell ref="G530:I530"/>
    <mergeCell ref="G523:I523"/>
    <mergeCell ref="G524:I524"/>
    <mergeCell ref="G525:I525"/>
    <mergeCell ref="G526:I526"/>
    <mergeCell ref="G527:I527"/>
    <mergeCell ref="G528:I528"/>
    <mergeCell ref="G529:I529"/>
    <mergeCell ref="G501:I501"/>
    <mergeCell ref="G491:I491"/>
    <mergeCell ref="G492:I492"/>
    <mergeCell ref="G493:I493"/>
    <mergeCell ref="G494:I494"/>
    <mergeCell ref="G516:I516"/>
    <mergeCell ref="G511:I511"/>
    <mergeCell ref="G512:I512"/>
    <mergeCell ref="G513:I513"/>
    <mergeCell ref="G515:I515"/>
    <mergeCell ref="G510:I510"/>
    <mergeCell ref="G514:I514"/>
    <mergeCell ref="G503:I503"/>
    <mergeCell ref="G504:I504"/>
    <mergeCell ref="G505:I505"/>
    <mergeCell ref="G521:I521"/>
    <mergeCell ref="G520:I520"/>
    <mergeCell ref="G517:I517"/>
    <mergeCell ref="G518:I518"/>
    <mergeCell ref="G506:I506"/>
    <mergeCell ref="G488:I488"/>
    <mergeCell ref="G489:I489"/>
    <mergeCell ref="G490:I490"/>
    <mergeCell ref="G532:I532"/>
    <mergeCell ref="G533:I533"/>
    <mergeCell ref="G507:I507"/>
    <mergeCell ref="G508:I508"/>
    <mergeCell ref="G509:I509"/>
    <mergeCell ref="G502:I502"/>
    <mergeCell ref="G435:I435"/>
    <mergeCell ref="G436:I436"/>
    <mergeCell ref="G437:I437"/>
    <mergeCell ref="G438:I438"/>
    <mergeCell ref="G447:I447"/>
    <mergeCell ref="G448:I448"/>
    <mergeCell ref="G449:I449"/>
    <mergeCell ref="G450:I450"/>
    <mergeCell ref="G443:I443"/>
    <mergeCell ref="G444:I444"/>
    <mergeCell ref="G445:I445"/>
    <mergeCell ref="G479:I479"/>
    <mergeCell ref="G483:I483"/>
    <mergeCell ref="G484:I484"/>
    <mergeCell ref="G485:I485"/>
    <mergeCell ref="G486:I486"/>
    <mergeCell ref="G499:I499"/>
    <mergeCell ref="G500:I500"/>
    <mergeCell ref="G487:I487"/>
    <mergeCell ref="G495:I495"/>
    <mergeCell ref="G496:I496"/>
    <mergeCell ref="G497:I497"/>
    <mergeCell ref="G466:I466"/>
    <mergeCell ref="G534:I534"/>
    <mergeCell ref="G519:I519"/>
    <mergeCell ref="V68:Y68"/>
    <mergeCell ref="D69:E69"/>
    <mergeCell ref="D73:E73"/>
    <mergeCell ref="M79:R79"/>
    <mergeCell ref="S79:U79"/>
    <mergeCell ref="V79:Y79"/>
    <mergeCell ref="S75:U75"/>
    <mergeCell ref="V75:Y75"/>
    <mergeCell ref="D76:E76"/>
    <mergeCell ref="G480:I480"/>
    <mergeCell ref="G481:I481"/>
    <mergeCell ref="G482:I482"/>
    <mergeCell ref="G475:I475"/>
    <mergeCell ref="G476:I476"/>
    <mergeCell ref="G477:I477"/>
    <mergeCell ref="G478:I478"/>
    <mergeCell ref="G442:I442"/>
    <mergeCell ref="G421:I421"/>
    <mergeCell ref="G422:I422"/>
    <mergeCell ref="G431:I431"/>
    <mergeCell ref="G432:I432"/>
    <mergeCell ref="G433:I433"/>
    <mergeCell ref="G434:I434"/>
    <mergeCell ref="G427:I427"/>
    <mergeCell ref="G428:I428"/>
    <mergeCell ref="L184:M184"/>
    <mergeCell ref="L185:M185"/>
    <mergeCell ref="L186:M186"/>
    <mergeCell ref="Q191:R191"/>
    <mergeCell ref="G408:I408"/>
    <mergeCell ref="G418:I418"/>
    <mergeCell ref="G411:I411"/>
    <mergeCell ref="G412:I412"/>
    <mergeCell ref="G413:I413"/>
    <mergeCell ref="G414:I414"/>
    <mergeCell ref="G425:I425"/>
    <mergeCell ref="G459:I459"/>
    <mergeCell ref="G460:I460"/>
    <mergeCell ref="G461:I461"/>
    <mergeCell ref="G462:I462"/>
    <mergeCell ref="G471:I471"/>
    <mergeCell ref="G472:I472"/>
    <mergeCell ref="G473:I473"/>
    <mergeCell ref="G474:I474"/>
    <mergeCell ref="G467:I467"/>
    <mergeCell ref="G468:I468"/>
    <mergeCell ref="G469:I469"/>
    <mergeCell ref="G426:I426"/>
    <mergeCell ref="G457:I457"/>
    <mergeCell ref="G458:I458"/>
    <mergeCell ref="G451:I451"/>
    <mergeCell ref="G452:I452"/>
    <mergeCell ref="G453:I453"/>
    <mergeCell ref="G470:I470"/>
    <mergeCell ref="G446:I446"/>
    <mergeCell ref="G455:I455"/>
    <mergeCell ref="G456:I456"/>
    <mergeCell ref="G454:I454"/>
    <mergeCell ref="G463:I463"/>
    <mergeCell ref="G464:I464"/>
    <mergeCell ref="G465:I465"/>
    <mergeCell ref="G429:I429"/>
    <mergeCell ref="G378:I378"/>
    <mergeCell ref="G371:I371"/>
    <mergeCell ref="G372:I372"/>
    <mergeCell ref="G373:I373"/>
    <mergeCell ref="G374:I374"/>
    <mergeCell ref="G383:I383"/>
    <mergeCell ref="G384:I384"/>
    <mergeCell ref="G385:I385"/>
    <mergeCell ref="G386:I386"/>
    <mergeCell ref="G379:I379"/>
    <mergeCell ref="G380:I380"/>
    <mergeCell ref="G381:I381"/>
    <mergeCell ref="G382:I382"/>
    <mergeCell ref="G391:I391"/>
    <mergeCell ref="G392:I392"/>
    <mergeCell ref="G419:I419"/>
    <mergeCell ref="G420:I420"/>
    <mergeCell ref="G393:I393"/>
    <mergeCell ref="G394:I394"/>
    <mergeCell ref="G387:I387"/>
    <mergeCell ref="G388:I388"/>
    <mergeCell ref="G389:I389"/>
    <mergeCell ref="G390:I390"/>
    <mergeCell ref="G399:I399"/>
    <mergeCell ref="G400:I400"/>
    <mergeCell ref="G401:I401"/>
    <mergeCell ref="G402:I402"/>
    <mergeCell ref="G395:I395"/>
    <mergeCell ref="G396:I396"/>
    <mergeCell ref="G397:I397"/>
    <mergeCell ref="G398:I398"/>
    <mergeCell ref="G407:I407"/>
    <mergeCell ref="G361:I361"/>
    <mergeCell ref="G362:I362"/>
    <mergeCell ref="G355:I355"/>
    <mergeCell ref="G356:I356"/>
    <mergeCell ref="G357:I357"/>
    <mergeCell ref="G358:I358"/>
    <mergeCell ref="G367:I367"/>
    <mergeCell ref="G368:I368"/>
    <mergeCell ref="G369:I369"/>
    <mergeCell ref="G370:I370"/>
    <mergeCell ref="G363:I363"/>
    <mergeCell ref="G364:I364"/>
    <mergeCell ref="G365:I365"/>
    <mergeCell ref="G366:I366"/>
    <mergeCell ref="G375:I375"/>
    <mergeCell ref="G376:I376"/>
    <mergeCell ref="G377:I377"/>
    <mergeCell ref="G344:I344"/>
    <mergeCell ref="G345:I345"/>
    <mergeCell ref="G346:I346"/>
    <mergeCell ref="G339:I339"/>
    <mergeCell ref="G340:I340"/>
    <mergeCell ref="G341:I341"/>
    <mergeCell ref="G342:I342"/>
    <mergeCell ref="G351:I351"/>
    <mergeCell ref="G352:I352"/>
    <mergeCell ref="G353:I353"/>
    <mergeCell ref="G354:I354"/>
    <mergeCell ref="G347:I347"/>
    <mergeCell ref="G348:I348"/>
    <mergeCell ref="G349:I349"/>
    <mergeCell ref="G350:I350"/>
    <mergeCell ref="G359:I359"/>
    <mergeCell ref="G360:I360"/>
    <mergeCell ref="G327:I327"/>
    <mergeCell ref="G328:I328"/>
    <mergeCell ref="G329:I329"/>
    <mergeCell ref="G330:I330"/>
    <mergeCell ref="G323:I323"/>
    <mergeCell ref="G324:I324"/>
    <mergeCell ref="G325:I325"/>
    <mergeCell ref="G326:I326"/>
    <mergeCell ref="G335:I335"/>
    <mergeCell ref="G336:I336"/>
    <mergeCell ref="G337:I337"/>
    <mergeCell ref="G338:I338"/>
    <mergeCell ref="G331:I331"/>
    <mergeCell ref="G332:I332"/>
    <mergeCell ref="G333:I333"/>
    <mergeCell ref="G334:I334"/>
    <mergeCell ref="G343:I343"/>
    <mergeCell ref="G306:I306"/>
    <mergeCell ref="G299:I299"/>
    <mergeCell ref="G300:I300"/>
    <mergeCell ref="G301:I301"/>
    <mergeCell ref="G302:I302"/>
    <mergeCell ref="G311:I311"/>
    <mergeCell ref="G312:I312"/>
    <mergeCell ref="G313:I313"/>
    <mergeCell ref="G314:I314"/>
    <mergeCell ref="G307:I307"/>
    <mergeCell ref="G308:I308"/>
    <mergeCell ref="G309:I309"/>
    <mergeCell ref="G310:I310"/>
    <mergeCell ref="G319:I319"/>
    <mergeCell ref="G320:I320"/>
    <mergeCell ref="G321:I321"/>
    <mergeCell ref="G322:I322"/>
    <mergeCell ref="G315:I315"/>
    <mergeCell ref="G316:I316"/>
    <mergeCell ref="G317:I317"/>
    <mergeCell ref="G318:I318"/>
    <mergeCell ref="G289:I289"/>
    <mergeCell ref="G290:I290"/>
    <mergeCell ref="G283:I283"/>
    <mergeCell ref="G284:I284"/>
    <mergeCell ref="G285:I285"/>
    <mergeCell ref="G286:I286"/>
    <mergeCell ref="G295:I295"/>
    <mergeCell ref="G296:I296"/>
    <mergeCell ref="G297:I297"/>
    <mergeCell ref="G298:I298"/>
    <mergeCell ref="G291:I291"/>
    <mergeCell ref="G292:I292"/>
    <mergeCell ref="G293:I293"/>
    <mergeCell ref="G294:I294"/>
    <mergeCell ref="G303:I303"/>
    <mergeCell ref="G304:I304"/>
    <mergeCell ref="G305:I305"/>
    <mergeCell ref="G272:I272"/>
    <mergeCell ref="G273:I273"/>
    <mergeCell ref="G274:I274"/>
    <mergeCell ref="G267:I267"/>
    <mergeCell ref="G268:I268"/>
    <mergeCell ref="G269:I269"/>
    <mergeCell ref="G270:I270"/>
    <mergeCell ref="G279:I279"/>
    <mergeCell ref="G280:I280"/>
    <mergeCell ref="G281:I281"/>
    <mergeCell ref="G282:I282"/>
    <mergeCell ref="G275:I275"/>
    <mergeCell ref="G276:I276"/>
    <mergeCell ref="G277:I277"/>
    <mergeCell ref="G278:I278"/>
    <mergeCell ref="G287:I287"/>
    <mergeCell ref="G288:I288"/>
    <mergeCell ref="G231:I231"/>
    <mergeCell ref="G234:I234"/>
    <mergeCell ref="G227:I227"/>
    <mergeCell ref="G228:I228"/>
    <mergeCell ref="G229:I229"/>
    <mergeCell ref="G230:I230"/>
    <mergeCell ref="G239:I239"/>
    <mergeCell ref="G235:I235"/>
    <mergeCell ref="G236:I236"/>
    <mergeCell ref="G237:I237"/>
    <mergeCell ref="G238:I238"/>
    <mergeCell ref="G223:I223"/>
    <mergeCell ref="G224:I224"/>
    <mergeCell ref="G225:I225"/>
    <mergeCell ref="G232:I232"/>
    <mergeCell ref="G233:I233"/>
    <mergeCell ref="E530:F530"/>
    <mergeCell ref="E523:F523"/>
    <mergeCell ref="E524:F524"/>
    <mergeCell ref="E525:F525"/>
    <mergeCell ref="E526:F526"/>
    <mergeCell ref="E510:F510"/>
    <mergeCell ref="E519:F519"/>
    <mergeCell ref="E520:F520"/>
    <mergeCell ref="E521:F521"/>
    <mergeCell ref="E522:F522"/>
    <mergeCell ref="E515:F515"/>
    <mergeCell ref="E516:F516"/>
    <mergeCell ref="E517:F517"/>
    <mergeCell ref="E518:F518"/>
    <mergeCell ref="E527:F527"/>
    <mergeCell ref="E528:F528"/>
    <mergeCell ref="E537:F537"/>
    <mergeCell ref="E538:F538"/>
    <mergeCell ref="E531:F531"/>
    <mergeCell ref="E532:F532"/>
    <mergeCell ref="E533:F533"/>
    <mergeCell ref="E534:F534"/>
    <mergeCell ref="E545:F545"/>
    <mergeCell ref="G180:I180"/>
    <mergeCell ref="G181:I181"/>
    <mergeCell ref="G182:I182"/>
    <mergeCell ref="G183:I183"/>
    <mergeCell ref="G184:I184"/>
    <mergeCell ref="G185:I185"/>
    <mergeCell ref="G186:I186"/>
    <mergeCell ref="E539:F539"/>
    <mergeCell ref="E540:F540"/>
    <mergeCell ref="G191:I191"/>
    <mergeCell ref="G192:I192"/>
    <mergeCell ref="G193:I193"/>
    <mergeCell ref="G194:I194"/>
    <mergeCell ref="E543:F543"/>
    <mergeCell ref="E544:F544"/>
    <mergeCell ref="E541:F541"/>
    <mergeCell ref="E542:F542"/>
    <mergeCell ref="E535:F535"/>
    <mergeCell ref="E536:F536"/>
    <mergeCell ref="G199:I199"/>
    <mergeCell ref="E513:F513"/>
    <mergeCell ref="E514:F514"/>
    <mergeCell ref="E507:F507"/>
    <mergeCell ref="E508:F508"/>
    <mergeCell ref="E509:F509"/>
    <mergeCell ref="E529:F529"/>
    <mergeCell ref="E496:F496"/>
    <mergeCell ref="E497:F497"/>
    <mergeCell ref="E498:F498"/>
    <mergeCell ref="E491:F491"/>
    <mergeCell ref="E492:F492"/>
    <mergeCell ref="E493:F493"/>
    <mergeCell ref="E494:F494"/>
    <mergeCell ref="E503:F503"/>
    <mergeCell ref="E504:F504"/>
    <mergeCell ref="E505:F505"/>
    <mergeCell ref="E506:F506"/>
    <mergeCell ref="E499:F499"/>
    <mergeCell ref="E500:F500"/>
    <mergeCell ref="E501:F501"/>
    <mergeCell ref="E502:F502"/>
    <mergeCell ref="E511:F511"/>
    <mergeCell ref="E512:F512"/>
    <mergeCell ref="E479:F479"/>
    <mergeCell ref="E480:F480"/>
    <mergeCell ref="E481:F481"/>
    <mergeCell ref="E482:F482"/>
    <mergeCell ref="E475:F475"/>
    <mergeCell ref="E476:F476"/>
    <mergeCell ref="E477:F477"/>
    <mergeCell ref="E478:F478"/>
    <mergeCell ref="E487:F487"/>
    <mergeCell ref="E488:F488"/>
    <mergeCell ref="E489:F489"/>
    <mergeCell ref="E490:F490"/>
    <mergeCell ref="E483:F483"/>
    <mergeCell ref="E484:F484"/>
    <mergeCell ref="E485:F485"/>
    <mergeCell ref="E486:F486"/>
    <mergeCell ref="E495:F495"/>
    <mergeCell ref="E458:F458"/>
    <mergeCell ref="E451:F451"/>
    <mergeCell ref="E452:F452"/>
    <mergeCell ref="E453:F453"/>
    <mergeCell ref="E454:F454"/>
    <mergeCell ref="E463:F463"/>
    <mergeCell ref="E464:F464"/>
    <mergeCell ref="E465:F465"/>
    <mergeCell ref="E466:F466"/>
    <mergeCell ref="E459:F459"/>
    <mergeCell ref="E460:F460"/>
    <mergeCell ref="E461:F461"/>
    <mergeCell ref="E462:F462"/>
    <mergeCell ref="E471:F471"/>
    <mergeCell ref="E472:F472"/>
    <mergeCell ref="E473:F473"/>
    <mergeCell ref="E474:F474"/>
    <mergeCell ref="E467:F467"/>
    <mergeCell ref="E468:F468"/>
    <mergeCell ref="E469:F469"/>
    <mergeCell ref="E470:F470"/>
    <mergeCell ref="E441:F441"/>
    <mergeCell ref="E442:F442"/>
    <mergeCell ref="E435:F435"/>
    <mergeCell ref="E436:F436"/>
    <mergeCell ref="E437:F437"/>
    <mergeCell ref="E438:F438"/>
    <mergeCell ref="E447:F447"/>
    <mergeCell ref="E448:F448"/>
    <mergeCell ref="E449:F449"/>
    <mergeCell ref="E450:F450"/>
    <mergeCell ref="E443:F443"/>
    <mergeCell ref="E444:F444"/>
    <mergeCell ref="E445:F445"/>
    <mergeCell ref="E446:F446"/>
    <mergeCell ref="E455:F455"/>
    <mergeCell ref="E456:F456"/>
    <mergeCell ref="E457:F457"/>
    <mergeCell ref="E424:F424"/>
    <mergeCell ref="E425:F425"/>
    <mergeCell ref="E426:F426"/>
    <mergeCell ref="E419:F419"/>
    <mergeCell ref="E420:F420"/>
    <mergeCell ref="E421:F421"/>
    <mergeCell ref="E422:F422"/>
    <mergeCell ref="E431:F431"/>
    <mergeCell ref="E432:F432"/>
    <mergeCell ref="E433:F433"/>
    <mergeCell ref="E434:F434"/>
    <mergeCell ref="E427:F427"/>
    <mergeCell ref="E428:F428"/>
    <mergeCell ref="E429:F429"/>
    <mergeCell ref="E430:F430"/>
    <mergeCell ref="E439:F439"/>
    <mergeCell ref="E440:F440"/>
    <mergeCell ref="E407:F407"/>
    <mergeCell ref="E408:F408"/>
    <mergeCell ref="E409:F409"/>
    <mergeCell ref="E410:F410"/>
    <mergeCell ref="E403:F403"/>
    <mergeCell ref="E404:F404"/>
    <mergeCell ref="E405:F405"/>
    <mergeCell ref="E406:F406"/>
    <mergeCell ref="E415:F415"/>
    <mergeCell ref="E416:F416"/>
    <mergeCell ref="E417:F417"/>
    <mergeCell ref="E418:F418"/>
    <mergeCell ref="E411:F411"/>
    <mergeCell ref="E412:F412"/>
    <mergeCell ref="E413:F413"/>
    <mergeCell ref="E414:F414"/>
    <mergeCell ref="E423:F423"/>
    <mergeCell ref="E386:F386"/>
    <mergeCell ref="E379:F379"/>
    <mergeCell ref="E380:F380"/>
    <mergeCell ref="E381:F381"/>
    <mergeCell ref="E382:F382"/>
    <mergeCell ref="E391:F391"/>
    <mergeCell ref="E392:F392"/>
    <mergeCell ref="E393:F393"/>
    <mergeCell ref="E394:F394"/>
    <mergeCell ref="E387:F387"/>
    <mergeCell ref="E388:F388"/>
    <mergeCell ref="E389:F389"/>
    <mergeCell ref="E390:F390"/>
    <mergeCell ref="E399:F399"/>
    <mergeCell ref="E400:F400"/>
    <mergeCell ref="E401:F401"/>
    <mergeCell ref="E402:F402"/>
    <mergeCell ref="E395:F395"/>
    <mergeCell ref="E396:F396"/>
    <mergeCell ref="E397:F397"/>
    <mergeCell ref="E398:F398"/>
    <mergeCell ref="E369:F369"/>
    <mergeCell ref="E370:F370"/>
    <mergeCell ref="E363:F363"/>
    <mergeCell ref="E364:F364"/>
    <mergeCell ref="E365:F365"/>
    <mergeCell ref="E366:F366"/>
    <mergeCell ref="E375:F375"/>
    <mergeCell ref="E376:F376"/>
    <mergeCell ref="E377:F377"/>
    <mergeCell ref="E378:F378"/>
    <mergeCell ref="E371:F371"/>
    <mergeCell ref="E372:F372"/>
    <mergeCell ref="E373:F373"/>
    <mergeCell ref="E374:F374"/>
    <mergeCell ref="E383:F383"/>
    <mergeCell ref="E384:F384"/>
    <mergeCell ref="E385:F385"/>
    <mergeCell ref="E352:F352"/>
    <mergeCell ref="E353:F353"/>
    <mergeCell ref="E354:F354"/>
    <mergeCell ref="E347:F347"/>
    <mergeCell ref="E348:F348"/>
    <mergeCell ref="E349:F349"/>
    <mergeCell ref="E350:F350"/>
    <mergeCell ref="E359:F359"/>
    <mergeCell ref="E360:F360"/>
    <mergeCell ref="E361:F361"/>
    <mergeCell ref="E362:F362"/>
    <mergeCell ref="E355:F355"/>
    <mergeCell ref="E356:F356"/>
    <mergeCell ref="E357:F357"/>
    <mergeCell ref="E358:F358"/>
    <mergeCell ref="E367:F367"/>
    <mergeCell ref="E368:F368"/>
    <mergeCell ref="E335:F335"/>
    <mergeCell ref="E336:F336"/>
    <mergeCell ref="E337:F337"/>
    <mergeCell ref="E338:F338"/>
    <mergeCell ref="E331:F331"/>
    <mergeCell ref="E332:F332"/>
    <mergeCell ref="E333:F333"/>
    <mergeCell ref="E334:F334"/>
    <mergeCell ref="E343:F343"/>
    <mergeCell ref="E344:F344"/>
    <mergeCell ref="E345:F345"/>
    <mergeCell ref="E346:F346"/>
    <mergeCell ref="E339:F339"/>
    <mergeCell ref="E340:F340"/>
    <mergeCell ref="E341:F341"/>
    <mergeCell ref="E342:F342"/>
    <mergeCell ref="E351:F351"/>
    <mergeCell ref="E314:F314"/>
    <mergeCell ref="E307:F307"/>
    <mergeCell ref="E308:F308"/>
    <mergeCell ref="E309:F309"/>
    <mergeCell ref="E310:F310"/>
    <mergeCell ref="E319:F319"/>
    <mergeCell ref="E320:F320"/>
    <mergeCell ref="E321:F321"/>
    <mergeCell ref="E322:F322"/>
    <mergeCell ref="E315:F315"/>
    <mergeCell ref="E316:F316"/>
    <mergeCell ref="E317:F317"/>
    <mergeCell ref="E318:F318"/>
    <mergeCell ref="E327:F327"/>
    <mergeCell ref="E328:F328"/>
    <mergeCell ref="E329:F329"/>
    <mergeCell ref="E330:F330"/>
    <mergeCell ref="E323:F323"/>
    <mergeCell ref="E324:F324"/>
    <mergeCell ref="E325:F325"/>
    <mergeCell ref="E326:F326"/>
    <mergeCell ref="E297:F297"/>
    <mergeCell ref="E298:F298"/>
    <mergeCell ref="E291:F291"/>
    <mergeCell ref="E292:F292"/>
    <mergeCell ref="E293:F293"/>
    <mergeCell ref="E294:F294"/>
    <mergeCell ref="E303:F303"/>
    <mergeCell ref="E304:F304"/>
    <mergeCell ref="E305:F305"/>
    <mergeCell ref="E306:F306"/>
    <mergeCell ref="E299:F299"/>
    <mergeCell ref="E300:F300"/>
    <mergeCell ref="E301:F301"/>
    <mergeCell ref="E302:F302"/>
    <mergeCell ref="E311:F311"/>
    <mergeCell ref="E312:F312"/>
    <mergeCell ref="E313:F313"/>
    <mergeCell ref="E280:F280"/>
    <mergeCell ref="E281:F281"/>
    <mergeCell ref="E282:F282"/>
    <mergeCell ref="E275:F275"/>
    <mergeCell ref="E276:F276"/>
    <mergeCell ref="E277:F277"/>
    <mergeCell ref="E278:F278"/>
    <mergeCell ref="E287:F287"/>
    <mergeCell ref="E288:F288"/>
    <mergeCell ref="E289:F289"/>
    <mergeCell ref="E290:F290"/>
    <mergeCell ref="E283:F283"/>
    <mergeCell ref="E284:F284"/>
    <mergeCell ref="E285:F285"/>
    <mergeCell ref="E286:F286"/>
    <mergeCell ref="E295:F295"/>
    <mergeCell ref="E296:F296"/>
    <mergeCell ref="E263:F263"/>
    <mergeCell ref="E264:F264"/>
    <mergeCell ref="E265:F265"/>
    <mergeCell ref="E266:F266"/>
    <mergeCell ref="E259:F259"/>
    <mergeCell ref="E260:F260"/>
    <mergeCell ref="E261:F261"/>
    <mergeCell ref="E262:F262"/>
    <mergeCell ref="E271:F271"/>
    <mergeCell ref="E272:F272"/>
    <mergeCell ref="E273:F273"/>
    <mergeCell ref="E274:F274"/>
    <mergeCell ref="E267:F267"/>
    <mergeCell ref="E268:F268"/>
    <mergeCell ref="E269:F269"/>
    <mergeCell ref="E270:F270"/>
    <mergeCell ref="E279:F279"/>
    <mergeCell ref="E247:F247"/>
    <mergeCell ref="E248:F248"/>
    <mergeCell ref="E249:F249"/>
    <mergeCell ref="E250:F250"/>
    <mergeCell ref="E243:F243"/>
    <mergeCell ref="E244:F244"/>
    <mergeCell ref="E245:F245"/>
    <mergeCell ref="E246:F246"/>
    <mergeCell ref="E255:F255"/>
    <mergeCell ref="E226:F226"/>
    <mergeCell ref="E256:F256"/>
    <mergeCell ref="E257:F257"/>
    <mergeCell ref="E258:F258"/>
    <mergeCell ref="E251:F251"/>
    <mergeCell ref="E252:F252"/>
    <mergeCell ref="E253:F253"/>
    <mergeCell ref="E254:F254"/>
    <mergeCell ref="E240:F240"/>
    <mergeCell ref="E228:F228"/>
    <mergeCell ref="E229:F229"/>
    <mergeCell ref="E230:F230"/>
    <mergeCell ref="E239:F239"/>
    <mergeCell ref="E241:F241"/>
    <mergeCell ref="E242:F242"/>
    <mergeCell ref="E235:F235"/>
    <mergeCell ref="E236:F236"/>
    <mergeCell ref="E237:F237"/>
    <mergeCell ref="E238:F238"/>
    <mergeCell ref="E224:F224"/>
    <mergeCell ref="E225:F225"/>
    <mergeCell ref="E202:F202"/>
    <mergeCell ref="E219:F219"/>
    <mergeCell ref="E220:F220"/>
    <mergeCell ref="E221:F221"/>
    <mergeCell ref="E222:F222"/>
    <mergeCell ref="E231:F231"/>
    <mergeCell ref="E232:F232"/>
    <mergeCell ref="E233:F233"/>
    <mergeCell ref="E234:F234"/>
    <mergeCell ref="E227:F227"/>
    <mergeCell ref="E210:F210"/>
    <mergeCell ref="E215:F215"/>
    <mergeCell ref="E216:F216"/>
    <mergeCell ref="E217:F217"/>
    <mergeCell ref="E218:F218"/>
    <mergeCell ref="E211:F211"/>
    <mergeCell ref="E212:F212"/>
    <mergeCell ref="E213:F213"/>
    <mergeCell ref="E214:F214"/>
    <mergeCell ref="E223:F223"/>
    <mergeCell ref="G217:I217"/>
    <mergeCell ref="G218:I218"/>
    <mergeCell ref="G211:I211"/>
    <mergeCell ref="E209:F209"/>
    <mergeCell ref="G212:I212"/>
    <mergeCell ref="G213:I213"/>
    <mergeCell ref="G214:I214"/>
    <mergeCell ref="G188:I188"/>
    <mergeCell ref="G189:I189"/>
    <mergeCell ref="G190:I190"/>
    <mergeCell ref="E206:F206"/>
    <mergeCell ref="E200:F200"/>
    <mergeCell ref="E194:F194"/>
    <mergeCell ref="E185:F185"/>
    <mergeCell ref="E197:F197"/>
    <mergeCell ref="E198:F198"/>
    <mergeCell ref="E207:F207"/>
    <mergeCell ref="E208:F208"/>
    <mergeCell ref="E192:F192"/>
    <mergeCell ref="E193:F193"/>
    <mergeCell ref="E201:F201"/>
    <mergeCell ref="G200:I200"/>
    <mergeCell ref="G201:I201"/>
    <mergeCell ref="L272:M272"/>
    <mergeCell ref="L273:M273"/>
    <mergeCell ref="L274:M274"/>
    <mergeCell ref="L275:M275"/>
    <mergeCell ref="L276:M276"/>
    <mergeCell ref="L265:M265"/>
    <mergeCell ref="L266:M266"/>
    <mergeCell ref="L267:M267"/>
    <mergeCell ref="L213:M213"/>
    <mergeCell ref="L214:M214"/>
    <mergeCell ref="L215:M215"/>
    <mergeCell ref="L216:M216"/>
    <mergeCell ref="L241:M241"/>
    <mergeCell ref="L242:M242"/>
    <mergeCell ref="E203:F203"/>
    <mergeCell ref="E204:F204"/>
    <mergeCell ref="E205:F205"/>
    <mergeCell ref="G207:I207"/>
    <mergeCell ref="G255:I255"/>
    <mergeCell ref="L235:M235"/>
    <mergeCell ref="L236:M236"/>
    <mergeCell ref="L237:M237"/>
    <mergeCell ref="G240:I240"/>
    <mergeCell ref="G241:I241"/>
    <mergeCell ref="G242:I242"/>
    <mergeCell ref="L233:M233"/>
    <mergeCell ref="L234:M234"/>
    <mergeCell ref="L253:M253"/>
    <mergeCell ref="L254:M254"/>
    <mergeCell ref="L255:M255"/>
    <mergeCell ref="L256:M256"/>
    <mergeCell ref="L257:M257"/>
    <mergeCell ref="B178:C178"/>
    <mergeCell ref="H56:S56"/>
    <mergeCell ref="J44:K44"/>
    <mergeCell ref="H44:I44"/>
    <mergeCell ref="J50:M50"/>
    <mergeCell ref="D56:G56"/>
    <mergeCell ref="U4:X4"/>
    <mergeCell ref="P569:R569"/>
    <mergeCell ref="E551:F551"/>
    <mergeCell ref="G551:H551"/>
    <mergeCell ref="I551:J551"/>
    <mergeCell ref="K551:L551"/>
    <mergeCell ref="E552:F552"/>
    <mergeCell ref="G552:H552"/>
    <mergeCell ref="E553:F553"/>
    <mergeCell ref="G553:H553"/>
    <mergeCell ref="E188:F188"/>
    <mergeCell ref="E189:F189"/>
    <mergeCell ref="E180:F180"/>
    <mergeCell ref="E181:F181"/>
    <mergeCell ref="E182:F182"/>
    <mergeCell ref="E183:F183"/>
    <mergeCell ref="E191:F191"/>
    <mergeCell ref="N562:Q562"/>
    <mergeCell ref="R562:U562"/>
    <mergeCell ref="E562:H562"/>
    <mergeCell ref="I562:L562"/>
    <mergeCell ref="E561:H561"/>
    <mergeCell ref="I561:L561"/>
    <mergeCell ref="L219:M219"/>
    <mergeCell ref="E558:H558"/>
    <mergeCell ref="E199:F199"/>
    <mergeCell ref="E555:F555"/>
    <mergeCell ref="G555:H555"/>
    <mergeCell ref="I555:J555"/>
    <mergeCell ref="K555:L555"/>
    <mergeCell ref="R555:S555"/>
    <mergeCell ref="T555:U555"/>
    <mergeCell ref="L180:M180"/>
    <mergeCell ref="N560:Q560"/>
    <mergeCell ref="R560:U560"/>
    <mergeCell ref="E560:H560"/>
    <mergeCell ref="I560:L560"/>
    <mergeCell ref="N554:O554"/>
    <mergeCell ref="P554:Q554"/>
    <mergeCell ref="R554:S554"/>
    <mergeCell ref="T554:U554"/>
    <mergeCell ref="T552:U552"/>
    <mergeCell ref="N553:O553"/>
    <mergeCell ref="L205:M205"/>
    <mergeCell ref="L206:M206"/>
    <mergeCell ref="L207:M207"/>
    <mergeCell ref="L208:M208"/>
    <mergeCell ref="L209:M209"/>
    <mergeCell ref="L210:M210"/>
    <mergeCell ref="L199:M199"/>
    <mergeCell ref="E554:F554"/>
    <mergeCell ref="G249:I249"/>
    <mergeCell ref="G250:I250"/>
    <mergeCell ref="G243:I243"/>
    <mergeCell ref="G244:I244"/>
    <mergeCell ref="G245:I245"/>
    <mergeCell ref="G246:I246"/>
    <mergeCell ref="L282:M282"/>
    <mergeCell ref="L248:M248"/>
    <mergeCell ref="L249:M249"/>
    <mergeCell ref="L250:M250"/>
    <mergeCell ref="L251:M251"/>
    <mergeCell ref="L252:M252"/>
    <mergeCell ref="L243:M243"/>
    <mergeCell ref="L244:M244"/>
    <mergeCell ref="L245:M245"/>
    <mergeCell ref="L277:M277"/>
    <mergeCell ref="L278:M278"/>
    <mergeCell ref="L279:M279"/>
    <mergeCell ref="L280:M280"/>
    <mergeCell ref="I558:L558"/>
    <mergeCell ref="I557:L557"/>
    <mergeCell ref="G256:I256"/>
    <mergeCell ref="G257:I257"/>
    <mergeCell ref="G251:I251"/>
    <mergeCell ref="G252:I252"/>
    <mergeCell ref="G253:I253"/>
    <mergeCell ref="G254:I254"/>
    <mergeCell ref="G247:I247"/>
    <mergeCell ref="G248:I248"/>
    <mergeCell ref="I550:J550"/>
    <mergeCell ref="G262:I262"/>
    <mergeCell ref="G271:I271"/>
    <mergeCell ref="L259:M259"/>
    <mergeCell ref="I552:J552"/>
    <mergeCell ref="K552:L552"/>
    <mergeCell ref="I553:J553"/>
    <mergeCell ref="K553:L553"/>
    <mergeCell ref="L311:M311"/>
    <mergeCell ref="L312:M312"/>
    <mergeCell ref="G258:I258"/>
    <mergeCell ref="G263:I263"/>
    <mergeCell ref="G264:I264"/>
    <mergeCell ref="G550:H550"/>
    <mergeCell ref="G265:I265"/>
    <mergeCell ref="G266:I266"/>
    <mergeCell ref="G259:I259"/>
    <mergeCell ref="G260:I260"/>
    <mergeCell ref="G261:I261"/>
    <mergeCell ref="L268:M268"/>
    <mergeCell ref="L269:M269"/>
    <mergeCell ref="L270:M270"/>
    <mergeCell ref="L260:M260"/>
    <mergeCell ref="L261:M261"/>
    <mergeCell ref="L262:M262"/>
    <mergeCell ref="L263:M263"/>
    <mergeCell ref="L264:M264"/>
    <mergeCell ref="L289:M289"/>
    <mergeCell ref="L290:M290"/>
    <mergeCell ref="L291:M291"/>
    <mergeCell ref="L284:M284"/>
    <mergeCell ref="L285:M285"/>
    <mergeCell ref="L286:M286"/>
    <mergeCell ref="L258:M258"/>
    <mergeCell ref="L317:M317"/>
    <mergeCell ref="L318:M318"/>
    <mergeCell ref="L301:M301"/>
    <mergeCell ref="L302:M302"/>
    <mergeCell ref="L303:M303"/>
    <mergeCell ref="L304:M304"/>
    <mergeCell ref="L305:M305"/>
    <mergeCell ref="L306:M306"/>
    <mergeCell ref="N558:Q558"/>
    <mergeCell ref="R558:U558"/>
    <mergeCell ref="N559:Q559"/>
    <mergeCell ref="R559:U559"/>
    <mergeCell ref="T550:U550"/>
    <mergeCell ref="N551:O551"/>
    <mergeCell ref="P551:Q551"/>
    <mergeCell ref="R551:S551"/>
    <mergeCell ref="T551:U551"/>
    <mergeCell ref="R550:S550"/>
    <mergeCell ref="K550:L550"/>
    <mergeCell ref="N550:O550"/>
    <mergeCell ref="P550:Q550"/>
    <mergeCell ref="R553:S553"/>
    <mergeCell ref="T553:U553"/>
    <mergeCell ref="N552:O552"/>
    <mergeCell ref="P552:Q552"/>
    <mergeCell ref="R552:S552"/>
    <mergeCell ref="P553:Q553"/>
    <mergeCell ref="K554:L554"/>
    <mergeCell ref="I559:L559"/>
    <mergeCell ref="N555:O555"/>
    <mergeCell ref="P555:Q555"/>
    <mergeCell ref="E550:F550"/>
    <mergeCell ref="L238:M238"/>
    <mergeCell ref="L239:M239"/>
    <mergeCell ref="L240:M240"/>
    <mergeCell ref="N561:Q561"/>
    <mergeCell ref="L247:M247"/>
    <mergeCell ref="Q239:R239"/>
    <mergeCell ref="Q240:R240"/>
    <mergeCell ref="L308:M308"/>
    <mergeCell ref="L309:M309"/>
    <mergeCell ref="L310:M310"/>
    <mergeCell ref="G554:H554"/>
    <mergeCell ref="I554:J554"/>
    <mergeCell ref="L292:M292"/>
    <mergeCell ref="L293:M293"/>
    <mergeCell ref="L294:M294"/>
    <mergeCell ref="L271:M271"/>
    <mergeCell ref="L246:M246"/>
    <mergeCell ref="E559:H559"/>
    <mergeCell ref="E557:H557"/>
    <mergeCell ref="L281:M281"/>
    <mergeCell ref="L325:M325"/>
    <mergeCell ref="L326:M326"/>
    <mergeCell ref="R561:U561"/>
    <mergeCell ref="N557:Q557"/>
    <mergeCell ref="R557:U557"/>
    <mergeCell ref="L323:M323"/>
    <mergeCell ref="L324:M324"/>
    <mergeCell ref="L313:M313"/>
    <mergeCell ref="L314:M314"/>
    <mergeCell ref="L315:M315"/>
    <mergeCell ref="L316:M316"/>
    <mergeCell ref="L287:M287"/>
    <mergeCell ref="L288:M288"/>
    <mergeCell ref="L307:M307"/>
    <mergeCell ref="L295:M295"/>
    <mergeCell ref="L296:M296"/>
    <mergeCell ref="L297:M297"/>
    <mergeCell ref="L298:M298"/>
    <mergeCell ref="L299:M299"/>
    <mergeCell ref="L300:M300"/>
    <mergeCell ref="L283:M283"/>
    <mergeCell ref="L345:M345"/>
    <mergeCell ref="L349:M349"/>
    <mergeCell ref="L350:M350"/>
    <mergeCell ref="L337:M337"/>
    <mergeCell ref="L338:M338"/>
    <mergeCell ref="L339:M339"/>
    <mergeCell ref="L340:M340"/>
    <mergeCell ref="L341:M341"/>
    <mergeCell ref="L342:M342"/>
    <mergeCell ref="L331:M331"/>
    <mergeCell ref="L332:M332"/>
    <mergeCell ref="L333:M333"/>
    <mergeCell ref="L334:M334"/>
    <mergeCell ref="L335:M335"/>
    <mergeCell ref="L336:M336"/>
    <mergeCell ref="L343:M343"/>
    <mergeCell ref="L344:M344"/>
    <mergeCell ref="L327:M327"/>
    <mergeCell ref="L328:M328"/>
    <mergeCell ref="L329:M329"/>
    <mergeCell ref="L330:M330"/>
    <mergeCell ref="L319:M319"/>
    <mergeCell ref="L320:M320"/>
    <mergeCell ref="L321:M321"/>
    <mergeCell ref="L322:M322"/>
    <mergeCell ref="L375:M375"/>
    <mergeCell ref="L367:M367"/>
    <mergeCell ref="L368:M368"/>
    <mergeCell ref="L369:M369"/>
    <mergeCell ref="L370:M370"/>
    <mergeCell ref="L371:M371"/>
    <mergeCell ref="L372:M372"/>
    <mergeCell ref="L363:M363"/>
    <mergeCell ref="L364:M364"/>
    <mergeCell ref="L365:M365"/>
    <mergeCell ref="L366:M366"/>
    <mergeCell ref="L355:M355"/>
    <mergeCell ref="L356:M356"/>
    <mergeCell ref="L357:M357"/>
    <mergeCell ref="L358:M358"/>
    <mergeCell ref="L359:M359"/>
    <mergeCell ref="L360:M360"/>
    <mergeCell ref="L391:M391"/>
    <mergeCell ref="L392:M392"/>
    <mergeCell ref="L393:M393"/>
    <mergeCell ref="L351:M351"/>
    <mergeCell ref="L352:M352"/>
    <mergeCell ref="L353:M353"/>
    <mergeCell ref="L354:M354"/>
    <mergeCell ref="L379:M379"/>
    <mergeCell ref="L346:M346"/>
    <mergeCell ref="L347:M347"/>
    <mergeCell ref="L348:M348"/>
    <mergeCell ref="L376:M376"/>
    <mergeCell ref="L377:M377"/>
    <mergeCell ref="L378:M378"/>
    <mergeCell ref="L394:M394"/>
    <mergeCell ref="L395:M395"/>
    <mergeCell ref="L396:M396"/>
    <mergeCell ref="L385:M385"/>
    <mergeCell ref="L386:M386"/>
    <mergeCell ref="L387:M387"/>
    <mergeCell ref="L388:M388"/>
    <mergeCell ref="L389:M389"/>
    <mergeCell ref="L390:M390"/>
    <mergeCell ref="L380:M380"/>
    <mergeCell ref="L381:M381"/>
    <mergeCell ref="L382:M382"/>
    <mergeCell ref="L383:M383"/>
    <mergeCell ref="L384:M384"/>
    <mergeCell ref="L361:M361"/>
    <mergeCell ref="L362:M362"/>
    <mergeCell ref="L373:M373"/>
    <mergeCell ref="L374:M374"/>
    <mergeCell ref="L409:M409"/>
    <mergeCell ref="L410:M410"/>
    <mergeCell ref="L411:M411"/>
    <mergeCell ref="L412:M412"/>
    <mergeCell ref="L413:M413"/>
    <mergeCell ref="L414:M414"/>
    <mergeCell ref="L403:M403"/>
    <mergeCell ref="L404:M404"/>
    <mergeCell ref="L405:M405"/>
    <mergeCell ref="L406:M406"/>
    <mergeCell ref="L407:M407"/>
    <mergeCell ref="L408:M408"/>
    <mergeCell ref="L397:M397"/>
    <mergeCell ref="L398:M398"/>
    <mergeCell ref="L399:M399"/>
    <mergeCell ref="L400:M400"/>
    <mergeCell ref="L401:M401"/>
    <mergeCell ref="L402:M402"/>
    <mergeCell ref="L438:M438"/>
    <mergeCell ref="L427:M427"/>
    <mergeCell ref="L428:M428"/>
    <mergeCell ref="L429:M429"/>
    <mergeCell ref="L430:M430"/>
    <mergeCell ref="L431:M431"/>
    <mergeCell ref="L432:M432"/>
    <mergeCell ref="L421:M421"/>
    <mergeCell ref="L422:M422"/>
    <mergeCell ref="L423:M423"/>
    <mergeCell ref="L424:M424"/>
    <mergeCell ref="L425:M425"/>
    <mergeCell ref="L426:M426"/>
    <mergeCell ref="L415:M415"/>
    <mergeCell ref="L416:M416"/>
    <mergeCell ref="L417:M417"/>
    <mergeCell ref="L418:M418"/>
    <mergeCell ref="L419:M419"/>
    <mergeCell ref="L420:M420"/>
    <mergeCell ref="L434:M434"/>
    <mergeCell ref="L435:M435"/>
    <mergeCell ref="L436:M436"/>
    <mergeCell ref="L437:M437"/>
    <mergeCell ref="L469:M469"/>
    <mergeCell ref="L470:M470"/>
    <mergeCell ref="L471:M471"/>
    <mergeCell ref="L472:M472"/>
    <mergeCell ref="L473:M473"/>
    <mergeCell ref="L474:M474"/>
    <mergeCell ref="L463:M463"/>
    <mergeCell ref="L464:M464"/>
    <mergeCell ref="L465:M465"/>
    <mergeCell ref="L466:M466"/>
    <mergeCell ref="L467:M467"/>
    <mergeCell ref="L468:M468"/>
    <mergeCell ref="L516:M516"/>
    <mergeCell ref="L505:M505"/>
    <mergeCell ref="L506:M506"/>
    <mergeCell ref="L507:M507"/>
    <mergeCell ref="L508:M508"/>
    <mergeCell ref="L509:M509"/>
    <mergeCell ref="L497:M497"/>
    <mergeCell ref="L537:M537"/>
    <mergeCell ref="L519:M519"/>
    <mergeCell ref="L520:M520"/>
    <mergeCell ref="L545:M545"/>
    <mergeCell ref="L540:M540"/>
    <mergeCell ref="L541:M541"/>
    <mergeCell ref="L542:M542"/>
    <mergeCell ref="L543:M543"/>
    <mergeCell ref="N545:O545"/>
    <mergeCell ref="L544:M544"/>
    <mergeCell ref="L529:M529"/>
    <mergeCell ref="L530:M530"/>
    <mergeCell ref="L531:M531"/>
    <mergeCell ref="L538:M538"/>
    <mergeCell ref="L539:M539"/>
    <mergeCell ref="L532:M532"/>
    <mergeCell ref="L533:M533"/>
    <mergeCell ref="L534:M534"/>
    <mergeCell ref="L535:M535"/>
    <mergeCell ref="L536:M536"/>
    <mergeCell ref="N544:O544"/>
    <mergeCell ref="L521:M521"/>
    <mergeCell ref="L522:M522"/>
    <mergeCell ref="G539:I539"/>
    <mergeCell ref="G542:I542"/>
    <mergeCell ref="G543:I543"/>
    <mergeCell ref="Q180:R180"/>
    <mergeCell ref="Q181:R181"/>
    <mergeCell ref="Q182:R182"/>
    <mergeCell ref="Q183:R183"/>
    <mergeCell ref="Q184:R184"/>
    <mergeCell ref="Q185:R185"/>
    <mergeCell ref="L523:M523"/>
    <mergeCell ref="L524:M524"/>
    <mergeCell ref="L525:M525"/>
    <mergeCell ref="L526:M526"/>
    <mergeCell ref="L527:M527"/>
    <mergeCell ref="L528:M528"/>
    <mergeCell ref="L517:M517"/>
    <mergeCell ref="L518:M518"/>
    <mergeCell ref="L510:M510"/>
    <mergeCell ref="L499:M499"/>
    <mergeCell ref="L500:M500"/>
    <mergeCell ref="L501:M501"/>
    <mergeCell ref="L502:M502"/>
    <mergeCell ref="L503:M503"/>
    <mergeCell ref="L504:M504"/>
    <mergeCell ref="L493:M493"/>
    <mergeCell ref="L494:M494"/>
    <mergeCell ref="L495:M495"/>
    <mergeCell ref="L496:M496"/>
    <mergeCell ref="L512:M512"/>
    <mergeCell ref="L513:M513"/>
    <mergeCell ref="L514:M514"/>
    <mergeCell ref="L515:M515"/>
    <mergeCell ref="L452:M452"/>
    <mergeCell ref="L453:M453"/>
    <mergeCell ref="L454:M454"/>
    <mergeCell ref="L455:M455"/>
    <mergeCell ref="L456:M456"/>
    <mergeCell ref="L445:M445"/>
    <mergeCell ref="L446:M446"/>
    <mergeCell ref="L447:M447"/>
    <mergeCell ref="L448:M448"/>
    <mergeCell ref="L449:M449"/>
    <mergeCell ref="L450:M450"/>
    <mergeCell ref="L439:M439"/>
    <mergeCell ref="L440:M440"/>
    <mergeCell ref="L441:M441"/>
    <mergeCell ref="L442:M442"/>
    <mergeCell ref="L498:M498"/>
    <mergeCell ref="L487:M487"/>
    <mergeCell ref="L488:M488"/>
    <mergeCell ref="L489:M489"/>
    <mergeCell ref="L490:M490"/>
    <mergeCell ref="L491:M491"/>
    <mergeCell ref="L492:M492"/>
    <mergeCell ref="L481:M481"/>
    <mergeCell ref="L482:M482"/>
    <mergeCell ref="L483:M483"/>
    <mergeCell ref="L484:M484"/>
    <mergeCell ref="L485:M485"/>
    <mergeCell ref="L486:M486"/>
    <mergeCell ref="L477:M477"/>
    <mergeCell ref="L478:M478"/>
    <mergeCell ref="L479:M479"/>
    <mergeCell ref="L480:M480"/>
    <mergeCell ref="BD177:BD178"/>
    <mergeCell ref="L44:M44"/>
    <mergeCell ref="AM174:AN174"/>
    <mergeCell ref="AM175:AN175"/>
    <mergeCell ref="E178:F178"/>
    <mergeCell ref="G178:I178"/>
    <mergeCell ref="D32:M32"/>
    <mergeCell ref="N32:Q32"/>
    <mergeCell ref="T32:AA32"/>
    <mergeCell ref="AB32:AE32"/>
    <mergeCell ref="D33:M33"/>
    <mergeCell ref="L511:M511"/>
    <mergeCell ref="Q186:R186"/>
    <mergeCell ref="Q187:R187"/>
    <mergeCell ref="Q188:R188"/>
    <mergeCell ref="L475:M475"/>
    <mergeCell ref="L476:M476"/>
    <mergeCell ref="L457:M457"/>
    <mergeCell ref="L458:M458"/>
    <mergeCell ref="L459:M459"/>
    <mergeCell ref="L460:M460"/>
    <mergeCell ref="L461:M461"/>
    <mergeCell ref="L462:M462"/>
    <mergeCell ref="L451:M451"/>
    <mergeCell ref="L443:M443"/>
    <mergeCell ref="L444:M444"/>
    <mergeCell ref="L433:M433"/>
    <mergeCell ref="L41:M41"/>
    <mergeCell ref="N41:O41"/>
    <mergeCell ref="P41:Q41"/>
    <mergeCell ref="AB41:AE41"/>
    <mergeCell ref="AB45:AE45"/>
    <mergeCell ref="AA2:AE2"/>
    <mergeCell ref="N27:Q27"/>
    <mergeCell ref="AB27:AE27"/>
    <mergeCell ref="N28:Q28"/>
    <mergeCell ref="AB28:AE28"/>
    <mergeCell ref="D29:M29"/>
    <mergeCell ref="N29:Q29"/>
    <mergeCell ref="T29:AA29"/>
    <mergeCell ref="AB29:AE29"/>
    <mergeCell ref="D30:M30"/>
    <mergeCell ref="N30:Q30"/>
    <mergeCell ref="T30:AA30"/>
    <mergeCell ref="AB30:AE30"/>
    <mergeCell ref="D31:M31"/>
    <mergeCell ref="N31:Q31"/>
    <mergeCell ref="T31:AA31"/>
    <mergeCell ref="AB31:AE31"/>
    <mergeCell ref="P5:S5"/>
    <mergeCell ref="U5:X5"/>
    <mergeCell ref="Z5:AE5"/>
    <mergeCell ref="P4:S4"/>
    <mergeCell ref="AB6:AE6"/>
    <mergeCell ref="AB7:AE7"/>
    <mergeCell ref="AB8:AE8"/>
    <mergeCell ref="D6:G6"/>
    <mergeCell ref="D7:G7"/>
    <mergeCell ref="D8:G8"/>
    <mergeCell ref="D9:G9"/>
    <mergeCell ref="T7:W7"/>
    <mergeCell ref="AE25:AF25"/>
    <mergeCell ref="U42:Z42"/>
    <mergeCell ref="U43:Z43"/>
    <mergeCell ref="N33:Q33"/>
    <mergeCell ref="T33:AA33"/>
    <mergeCell ref="AB33:AE33"/>
    <mergeCell ref="N34:Q34"/>
    <mergeCell ref="AB34:AE34"/>
    <mergeCell ref="N35:Q35"/>
    <mergeCell ref="AB35:AE35"/>
    <mergeCell ref="N36:Q36"/>
    <mergeCell ref="AB36:AE36"/>
    <mergeCell ref="N38:Q38"/>
    <mergeCell ref="AB38:AE38"/>
    <mergeCell ref="N39:Q39"/>
    <mergeCell ref="AB40:AE40"/>
    <mergeCell ref="D41:E41"/>
    <mergeCell ref="F41:G41"/>
    <mergeCell ref="H41:I41"/>
    <mergeCell ref="J41:K41"/>
    <mergeCell ref="N42:O42"/>
    <mergeCell ref="P42:Q42"/>
    <mergeCell ref="AB42:AE42"/>
    <mergeCell ref="AB43:AE43"/>
    <mergeCell ref="D34:K34"/>
    <mergeCell ref="L34:M34"/>
    <mergeCell ref="D35:K35"/>
    <mergeCell ref="L35:M35"/>
    <mergeCell ref="D36:K36"/>
    <mergeCell ref="L36:M36"/>
    <mergeCell ref="T34:Y34"/>
    <mergeCell ref="Z34:AA34"/>
    <mergeCell ref="T35:Y35"/>
    <mergeCell ref="AB48:AE48"/>
    <mergeCell ref="J45:K45"/>
    <mergeCell ref="F45:G45"/>
    <mergeCell ref="H45:I45"/>
    <mergeCell ref="P44:Q44"/>
    <mergeCell ref="N45:O45"/>
    <mergeCell ref="P45:Q45"/>
    <mergeCell ref="R45:S45"/>
    <mergeCell ref="N44:O44"/>
    <mergeCell ref="U44:Z44"/>
    <mergeCell ref="U45:Z45"/>
    <mergeCell ref="U46:Z46"/>
    <mergeCell ref="U47:Z47"/>
    <mergeCell ref="R44:S44"/>
    <mergeCell ref="AB44:AE44"/>
    <mergeCell ref="AB46:AE46"/>
    <mergeCell ref="D44:E44"/>
    <mergeCell ref="F44:G44"/>
    <mergeCell ref="L45:M45"/>
    <mergeCell ref="D45:E45"/>
    <mergeCell ref="V69:Y69"/>
    <mergeCell ref="D70:E70"/>
    <mergeCell ref="F70:L70"/>
    <mergeCell ref="M70:R70"/>
    <mergeCell ref="S70:U70"/>
    <mergeCell ref="V70:Y70"/>
    <mergeCell ref="D71:E71"/>
    <mergeCell ref="F71:L71"/>
    <mergeCell ref="M71:R71"/>
    <mergeCell ref="S71:U71"/>
    <mergeCell ref="V71:Y71"/>
    <mergeCell ref="D72:E72"/>
    <mergeCell ref="F72:L72"/>
    <mergeCell ref="M72:R72"/>
    <mergeCell ref="S72:U72"/>
    <mergeCell ref="V72:Y72"/>
    <mergeCell ref="F69:L69"/>
    <mergeCell ref="M69:R69"/>
    <mergeCell ref="M82:R82"/>
    <mergeCell ref="S82:U82"/>
    <mergeCell ref="V82:Y82"/>
    <mergeCell ref="D83:E83"/>
    <mergeCell ref="F83:L83"/>
    <mergeCell ref="M83:R83"/>
    <mergeCell ref="S83:U83"/>
    <mergeCell ref="V83:Y83"/>
    <mergeCell ref="D80:E80"/>
    <mergeCell ref="F80:L80"/>
    <mergeCell ref="M80:R80"/>
    <mergeCell ref="M78:R78"/>
    <mergeCell ref="V88:Y88"/>
    <mergeCell ref="D89:E89"/>
    <mergeCell ref="F89:L89"/>
    <mergeCell ref="M89:R89"/>
    <mergeCell ref="S89:U89"/>
    <mergeCell ref="V89:Y89"/>
    <mergeCell ref="S81:U81"/>
    <mergeCell ref="V81:Y81"/>
    <mergeCell ref="D82:E82"/>
    <mergeCell ref="F82:L82"/>
    <mergeCell ref="D88:E88"/>
    <mergeCell ref="F88:L88"/>
    <mergeCell ref="M88:R88"/>
    <mergeCell ref="S88:U88"/>
    <mergeCell ref="D85:E85"/>
    <mergeCell ref="F85:L85"/>
    <mergeCell ref="M85:R85"/>
    <mergeCell ref="S85:U85"/>
    <mergeCell ref="V85:Y85"/>
    <mergeCell ref="D86:E86"/>
    <mergeCell ref="F86:L86"/>
    <mergeCell ref="M86:R86"/>
    <mergeCell ref="S86:U86"/>
    <mergeCell ref="V86:Y86"/>
    <mergeCell ref="D87:E87"/>
    <mergeCell ref="F87:L87"/>
    <mergeCell ref="M87:R87"/>
    <mergeCell ref="S87:U87"/>
    <mergeCell ref="V87:Y87"/>
    <mergeCell ref="D90:E90"/>
    <mergeCell ref="F90:L90"/>
    <mergeCell ref="M90:R90"/>
    <mergeCell ref="S90:U90"/>
    <mergeCell ref="V90:Y90"/>
    <mergeCell ref="D101:E101"/>
    <mergeCell ref="F101:L101"/>
    <mergeCell ref="M101:R101"/>
    <mergeCell ref="S101:U101"/>
    <mergeCell ref="V101:Y101"/>
    <mergeCell ref="D99:E99"/>
    <mergeCell ref="F99:L99"/>
    <mergeCell ref="M99:R99"/>
    <mergeCell ref="S99:U99"/>
    <mergeCell ref="V99:Y99"/>
    <mergeCell ref="D102:E102"/>
    <mergeCell ref="F102:L102"/>
    <mergeCell ref="M102:R102"/>
    <mergeCell ref="S102:U102"/>
    <mergeCell ref="V102:Y102"/>
    <mergeCell ref="D103:E103"/>
    <mergeCell ref="F103:L103"/>
    <mergeCell ref="M103:R103"/>
    <mergeCell ref="S103:U103"/>
    <mergeCell ref="V103:Y103"/>
    <mergeCell ref="D91:E91"/>
    <mergeCell ref="F91:L91"/>
    <mergeCell ref="M91:R91"/>
    <mergeCell ref="S91:U91"/>
    <mergeCell ref="F97:L97"/>
    <mergeCell ref="M97:R97"/>
    <mergeCell ref="S97:U97"/>
    <mergeCell ref="V97:Y97"/>
    <mergeCell ref="D98:E98"/>
    <mergeCell ref="F98:L98"/>
    <mergeCell ref="M98:R98"/>
    <mergeCell ref="S98:U98"/>
    <mergeCell ref="E116:H116"/>
    <mergeCell ref="I116:L116"/>
    <mergeCell ref="N116:Q116"/>
    <mergeCell ref="E117:H117"/>
    <mergeCell ref="I117:L117"/>
    <mergeCell ref="N117:Q117"/>
    <mergeCell ref="E119:H119"/>
    <mergeCell ref="I119:L119"/>
    <mergeCell ref="N119:Q119"/>
    <mergeCell ref="R119:T119"/>
    <mergeCell ref="V109:Y109"/>
    <mergeCell ref="V111:Y111"/>
    <mergeCell ref="AC119:AE119"/>
    <mergeCell ref="D121:N121"/>
    <mergeCell ref="O121:Q121"/>
    <mergeCell ref="R121:T121"/>
    <mergeCell ref="D122:N122"/>
    <mergeCell ref="O122:Q122"/>
    <mergeCell ref="R122:T122"/>
    <mergeCell ref="AC122:AE122"/>
    <mergeCell ref="X122:AB122"/>
    <mergeCell ref="D123:N123"/>
    <mergeCell ref="O123:Q123"/>
    <mergeCell ref="R123:T123"/>
    <mergeCell ref="AC123:AE123"/>
    <mergeCell ref="D124:N124"/>
    <mergeCell ref="O124:Q124"/>
    <mergeCell ref="R124:T124"/>
    <mergeCell ref="AC124:AE124"/>
    <mergeCell ref="D125:N125"/>
    <mergeCell ref="O125:Q125"/>
    <mergeCell ref="R125:T125"/>
    <mergeCell ref="AC125:AE125"/>
    <mergeCell ref="D126:N126"/>
    <mergeCell ref="O126:Q126"/>
    <mergeCell ref="R126:T126"/>
    <mergeCell ref="AC126:AE126"/>
    <mergeCell ref="X123:AB123"/>
    <mergeCell ref="X124:AB124"/>
    <mergeCell ref="X125:AB125"/>
    <mergeCell ref="X126:AB126"/>
    <mergeCell ref="D127:N127"/>
    <mergeCell ref="O127:Q127"/>
    <mergeCell ref="R127:T127"/>
    <mergeCell ref="AC127:AE127"/>
    <mergeCell ref="D128:N128"/>
    <mergeCell ref="O128:Q128"/>
    <mergeCell ref="R128:T128"/>
    <mergeCell ref="AC128:AE128"/>
    <mergeCell ref="D129:N129"/>
    <mergeCell ref="O129:Q129"/>
    <mergeCell ref="R129:T129"/>
    <mergeCell ref="AC129:AE129"/>
    <mergeCell ref="D130:N130"/>
    <mergeCell ref="O130:Q130"/>
    <mergeCell ref="R130:T130"/>
    <mergeCell ref="AC130:AE130"/>
    <mergeCell ref="X127:AB127"/>
    <mergeCell ref="X128:AB128"/>
    <mergeCell ref="X129:AB129"/>
    <mergeCell ref="X130:AB130"/>
    <mergeCell ref="D131:N131"/>
    <mergeCell ref="O131:Q131"/>
    <mergeCell ref="R131:T131"/>
    <mergeCell ref="AC131:AE131"/>
    <mergeCell ref="D132:N132"/>
    <mergeCell ref="O132:Q132"/>
    <mergeCell ref="R132:T132"/>
    <mergeCell ref="AC132:AE132"/>
    <mergeCell ref="D133:N133"/>
    <mergeCell ref="O133:Q133"/>
    <mergeCell ref="R133:T133"/>
    <mergeCell ref="AC133:AE133"/>
    <mergeCell ref="D134:N134"/>
    <mergeCell ref="O134:Q134"/>
    <mergeCell ref="R134:T134"/>
    <mergeCell ref="AC134:AE134"/>
    <mergeCell ref="X131:AB131"/>
    <mergeCell ref="X132:AB132"/>
    <mergeCell ref="X133:AB133"/>
    <mergeCell ref="X134:AB134"/>
    <mergeCell ref="D135:N135"/>
    <mergeCell ref="O135:Q135"/>
    <mergeCell ref="R135:T135"/>
    <mergeCell ref="AC135:AE135"/>
    <mergeCell ref="D136:N136"/>
    <mergeCell ref="O136:Q136"/>
    <mergeCell ref="R136:T136"/>
    <mergeCell ref="AC136:AE136"/>
    <mergeCell ref="X145:AB145"/>
    <mergeCell ref="D137:N137"/>
    <mergeCell ref="O137:Q137"/>
    <mergeCell ref="R137:T137"/>
    <mergeCell ref="AC137:AE137"/>
    <mergeCell ref="D138:N138"/>
    <mergeCell ref="O138:Q138"/>
    <mergeCell ref="R138:T138"/>
    <mergeCell ref="AC138:AE138"/>
    <mergeCell ref="X135:AB135"/>
    <mergeCell ref="X136:AB136"/>
    <mergeCell ref="X137:AB137"/>
    <mergeCell ref="X138:AB138"/>
    <mergeCell ref="D139:N139"/>
    <mergeCell ref="O139:Q139"/>
    <mergeCell ref="R139:T139"/>
    <mergeCell ref="AC139:AE139"/>
    <mergeCell ref="D140:N140"/>
    <mergeCell ref="O140:Q140"/>
    <mergeCell ref="R140:T140"/>
    <mergeCell ref="AC140:AE140"/>
    <mergeCell ref="X148:AB148"/>
    <mergeCell ref="D141:N141"/>
    <mergeCell ref="O141:Q141"/>
    <mergeCell ref="R141:T141"/>
    <mergeCell ref="AC141:AE141"/>
    <mergeCell ref="D142:N142"/>
    <mergeCell ref="O142:Q142"/>
    <mergeCell ref="R142:T142"/>
    <mergeCell ref="AC142:AE142"/>
    <mergeCell ref="X139:AB139"/>
    <mergeCell ref="X140:AB140"/>
    <mergeCell ref="X141:AB141"/>
    <mergeCell ref="X142:AB142"/>
    <mergeCell ref="X150:AB150"/>
    <mergeCell ref="D143:N143"/>
    <mergeCell ref="O143:Q143"/>
    <mergeCell ref="R143:T143"/>
    <mergeCell ref="AC143:AE143"/>
    <mergeCell ref="D144:N144"/>
    <mergeCell ref="O144:Q144"/>
    <mergeCell ref="R144:T144"/>
    <mergeCell ref="AC144:AE144"/>
    <mergeCell ref="D145:N145"/>
    <mergeCell ref="O145:Q145"/>
    <mergeCell ref="R145:T145"/>
    <mergeCell ref="AC145:AE145"/>
    <mergeCell ref="D146:N146"/>
    <mergeCell ref="O146:Q146"/>
    <mergeCell ref="R146:T146"/>
    <mergeCell ref="AC146:AE146"/>
    <mergeCell ref="X143:AB143"/>
    <mergeCell ref="X144:AB144"/>
    <mergeCell ref="D166:N166"/>
    <mergeCell ref="X146:AB146"/>
    <mergeCell ref="R154:T154"/>
    <mergeCell ref="AC154:AE154"/>
    <mergeCell ref="X151:AB151"/>
    <mergeCell ref="X152:AB152"/>
    <mergeCell ref="X153:AB153"/>
    <mergeCell ref="X154:AB154"/>
    <mergeCell ref="D155:N155"/>
    <mergeCell ref="O155:Q155"/>
    <mergeCell ref="R155:T155"/>
    <mergeCell ref="AC155:AE155"/>
    <mergeCell ref="D156:N156"/>
    <mergeCell ref="O156:Q156"/>
    <mergeCell ref="R156:T156"/>
    <mergeCell ref="D147:N147"/>
    <mergeCell ref="O147:Q147"/>
    <mergeCell ref="R147:T147"/>
    <mergeCell ref="AC147:AE147"/>
    <mergeCell ref="D148:N148"/>
    <mergeCell ref="O148:Q148"/>
    <mergeCell ref="R148:T148"/>
    <mergeCell ref="AC148:AE148"/>
    <mergeCell ref="D149:N149"/>
    <mergeCell ref="O149:Q149"/>
    <mergeCell ref="R149:T149"/>
    <mergeCell ref="AC149:AE149"/>
    <mergeCell ref="D150:N150"/>
    <mergeCell ref="O150:Q150"/>
    <mergeCell ref="R150:T150"/>
    <mergeCell ref="AC150:AE150"/>
    <mergeCell ref="X147:AB147"/>
    <mergeCell ref="R153:T153"/>
    <mergeCell ref="X149:AB149"/>
    <mergeCell ref="X167:AB167"/>
    <mergeCell ref="X168:AB168"/>
    <mergeCell ref="X169:AB169"/>
    <mergeCell ref="D167:N167"/>
    <mergeCell ref="O167:Q167"/>
    <mergeCell ref="R167:T167"/>
    <mergeCell ref="AC167:AE167"/>
    <mergeCell ref="D168:N168"/>
    <mergeCell ref="O168:Q168"/>
    <mergeCell ref="R168:T168"/>
    <mergeCell ref="AC168:AE168"/>
    <mergeCell ref="D169:N169"/>
    <mergeCell ref="O169:Q169"/>
    <mergeCell ref="R169:T169"/>
    <mergeCell ref="AC169:AE169"/>
    <mergeCell ref="D163:N163"/>
    <mergeCell ref="O163:Q163"/>
    <mergeCell ref="R163:T163"/>
    <mergeCell ref="AC163:AE163"/>
    <mergeCell ref="D164:N164"/>
    <mergeCell ref="O164:Q164"/>
    <mergeCell ref="X164:AB164"/>
    <mergeCell ref="X165:AB165"/>
    <mergeCell ref="X166:AB166"/>
    <mergeCell ref="R164:T164"/>
    <mergeCell ref="AC164:AE164"/>
    <mergeCell ref="D165:N165"/>
    <mergeCell ref="O165:Q165"/>
    <mergeCell ref="R165:T165"/>
    <mergeCell ref="AC165:AE165"/>
    <mergeCell ref="D154:N154"/>
    <mergeCell ref="O166:Q166"/>
    <mergeCell ref="D13:E13"/>
    <mergeCell ref="H13:I13"/>
    <mergeCell ref="L13:M13"/>
    <mergeCell ref="P13:Q13"/>
    <mergeCell ref="T13:U13"/>
    <mergeCell ref="X13:Y13"/>
    <mergeCell ref="AB13:AC13"/>
    <mergeCell ref="AC156:AE156"/>
    <mergeCell ref="D157:N157"/>
    <mergeCell ref="O157:Q157"/>
    <mergeCell ref="R157:T157"/>
    <mergeCell ref="AC157:AE157"/>
    <mergeCell ref="D158:N158"/>
    <mergeCell ref="O158:Q158"/>
    <mergeCell ref="R158:T158"/>
    <mergeCell ref="AC158:AE158"/>
    <mergeCell ref="X155:AB155"/>
    <mergeCell ref="X156:AB156"/>
    <mergeCell ref="X157:AB157"/>
    <mergeCell ref="X158:AB158"/>
    <mergeCell ref="D151:N151"/>
    <mergeCell ref="O151:Q151"/>
    <mergeCell ref="R151:T151"/>
    <mergeCell ref="AC151:AE151"/>
    <mergeCell ref="D152:N152"/>
    <mergeCell ref="O152:Q152"/>
    <mergeCell ref="R152:T152"/>
    <mergeCell ref="AC152:AE152"/>
    <mergeCell ref="D153:N153"/>
    <mergeCell ref="O153:Q153"/>
    <mergeCell ref="O154:Q154"/>
    <mergeCell ref="AC153:AE153"/>
    <mergeCell ref="D14:G14"/>
    <mergeCell ref="H14:K14"/>
    <mergeCell ref="L14:O14"/>
    <mergeCell ref="P14:S14"/>
    <mergeCell ref="T14:W14"/>
    <mergeCell ref="X14:AA14"/>
    <mergeCell ref="AB14:AE14"/>
    <mergeCell ref="R166:T166"/>
    <mergeCell ref="AC166:AE166"/>
    <mergeCell ref="X163:AB163"/>
    <mergeCell ref="O161:Q161"/>
    <mergeCell ref="R161:T161"/>
    <mergeCell ref="AC161:AE161"/>
    <mergeCell ref="D162:N162"/>
    <mergeCell ref="O162:Q162"/>
    <mergeCell ref="R162:T162"/>
    <mergeCell ref="AC162:AE162"/>
    <mergeCell ref="X159:AB159"/>
    <mergeCell ref="X160:AB160"/>
    <mergeCell ref="X161:AB161"/>
    <mergeCell ref="X162:AB162"/>
    <mergeCell ref="D159:N159"/>
    <mergeCell ref="O159:Q159"/>
    <mergeCell ref="R159:T159"/>
    <mergeCell ref="AC159:AE159"/>
    <mergeCell ref="D160:N160"/>
    <mergeCell ref="O160:Q160"/>
    <mergeCell ref="R160:T160"/>
    <mergeCell ref="AC160:AE160"/>
    <mergeCell ref="D161:N161"/>
  </mergeCells>
  <phoneticPr fontId="24" type="noConversion"/>
  <conditionalFormatting sqref="CS180:CV545 CB180:CB545 BQ180:BQ545 AG180:AG545 T180:T545 CI180:CQ545 AO180:BD545">
    <cfRule type="cellIs" dxfId="1998" priority="253" stopIfTrue="1" operator="equal">
      <formula>0</formula>
    </cfRule>
  </conditionalFormatting>
  <conditionalFormatting sqref="CC180:CF545 G180:J545 C180:C545 G547:I547 D2 AK180:AK545">
    <cfRule type="cellIs" dxfId="1997" priority="263" stopIfTrue="1" operator="equal">
      <formula>0</formula>
    </cfRule>
  </conditionalFormatting>
  <conditionalFormatting sqref="BR180:BY545 R557:R562 E550:L555 N550:U555 E557:E562 I557:I562 N557:N562 BF180:BO545 CR180:CR545 CW180:CW545 CH180:CH545">
    <cfRule type="cellIs" dxfId="1996" priority="264" stopIfTrue="1" operator="equal">
      <formula>0</formula>
    </cfRule>
  </conditionalFormatting>
  <conditionalFormatting sqref="AN180:AN545 AI180:AI545">
    <cfRule type="cellIs" dxfId="1995" priority="265" stopIfTrue="1" operator="equal">
      <formula>0</formula>
    </cfRule>
  </conditionalFormatting>
  <conditionalFormatting sqref="BP180:BP545">
    <cfRule type="cellIs" dxfId="1994" priority="220" stopIfTrue="1" operator="equal">
      <formula>0</formula>
    </cfRule>
  </conditionalFormatting>
  <conditionalFormatting sqref="CX180:CX545">
    <cfRule type="cellIs" dxfId="1993" priority="217" stopIfTrue="1" operator="equal">
      <formula>0</formula>
    </cfRule>
  </conditionalFormatting>
  <conditionalFormatting sqref="N33:Q33">
    <cfRule type="expression" dxfId="1992" priority="216" stopIfTrue="1">
      <formula>ISERROR($O$569)</formula>
    </cfRule>
  </conditionalFormatting>
  <conditionalFormatting sqref="N29:Q29">
    <cfRule type="expression" dxfId="1991" priority="176" stopIfTrue="1">
      <formula>ISERROR($O$569)</formula>
    </cfRule>
  </conditionalFormatting>
  <conditionalFormatting sqref="N30:Q31">
    <cfRule type="expression" dxfId="1990" priority="174" stopIfTrue="1">
      <formula>ISERROR($O$569)</formula>
    </cfRule>
  </conditionalFormatting>
  <conditionalFormatting sqref="AB29:AE29">
    <cfRule type="expression" dxfId="1989" priority="172" stopIfTrue="1">
      <formula>ISERROR($O$569)</formula>
    </cfRule>
  </conditionalFormatting>
  <conditionalFormatting sqref="AB30:AE30">
    <cfRule type="expression" dxfId="1988" priority="171" stopIfTrue="1">
      <formula>ISERROR($O$569)</formula>
    </cfRule>
  </conditionalFormatting>
  <conditionalFormatting sqref="AB31:AE31">
    <cfRule type="expression" dxfId="1987" priority="170" stopIfTrue="1">
      <formula>ISERROR($O$569)</formula>
    </cfRule>
  </conditionalFormatting>
  <conditionalFormatting sqref="AB33:AE33">
    <cfRule type="expression" dxfId="1986" priority="169" stopIfTrue="1">
      <formula>ISERROR($O$569)</formula>
    </cfRule>
  </conditionalFormatting>
  <conditionalFormatting sqref="N32:Q32">
    <cfRule type="expression" dxfId="1985" priority="164" stopIfTrue="1">
      <formula>ISERROR($O$569)</formula>
    </cfRule>
  </conditionalFormatting>
  <conditionalFormatting sqref="AB32:AE32">
    <cfRule type="expression" dxfId="1984" priority="163" stopIfTrue="1">
      <formula>ISERROR($O$569)</formula>
    </cfRule>
  </conditionalFormatting>
  <conditionalFormatting sqref="T49:W49">
    <cfRule type="expression" dxfId="1983" priority="197" stopIfTrue="1">
      <formula>ISERROR($L$48)</formula>
    </cfRule>
  </conditionalFormatting>
  <conditionalFormatting sqref="R50">
    <cfRule type="expression" dxfId="1982" priority="198" stopIfTrue="1">
      <formula>ROUND($N$50,2)&lt;0</formula>
    </cfRule>
    <cfRule type="expression" dxfId="1981" priority="199" stopIfTrue="1">
      <formula>ISERROR($R$50)</formula>
    </cfRule>
  </conditionalFormatting>
  <conditionalFormatting sqref="AB42:AE42">
    <cfRule type="expression" dxfId="1980" priority="160" stopIfTrue="1">
      <formula>ISERROR($O$569)</formula>
    </cfRule>
  </conditionalFormatting>
  <conditionalFormatting sqref="AB43:AE43">
    <cfRule type="expression" dxfId="1979" priority="159" stopIfTrue="1">
      <formula>ISERROR($O$569)</formula>
    </cfRule>
  </conditionalFormatting>
  <conditionalFormatting sqref="AB44:AE44">
    <cfRule type="expression" dxfId="1978" priority="158" stopIfTrue="1">
      <formula>ISERROR($O$569)</formula>
    </cfRule>
  </conditionalFormatting>
  <conditionalFormatting sqref="AB46:AE46">
    <cfRule type="expression" dxfId="1977" priority="157" stopIfTrue="1">
      <formula>ISERROR($O$569)</formula>
    </cfRule>
  </conditionalFormatting>
  <conditionalFormatting sqref="AB45:AE45">
    <cfRule type="expression" dxfId="1976" priority="155" stopIfTrue="1">
      <formula>ISERROR($O$569)</formula>
    </cfRule>
  </conditionalFormatting>
  <conditionalFormatting sqref="AB47">
    <cfRule type="expression" dxfId="1975" priority="152" stopIfTrue="1">
      <formula>ISERROR($O$569)</formula>
    </cfRule>
  </conditionalFormatting>
  <conditionalFormatting sqref="AB46:AE46">
    <cfRule type="expression" dxfId="1974" priority="151" stopIfTrue="1">
      <formula>ISERROR($O$569)</formula>
    </cfRule>
  </conditionalFormatting>
  <conditionalFormatting sqref="P41:Q41">
    <cfRule type="expression" dxfId="1973" priority="8950" stopIfTrue="1">
      <formula>#REF!&lt;0</formula>
    </cfRule>
  </conditionalFormatting>
  <conditionalFormatting sqref="P42:Q42">
    <cfRule type="expression" dxfId="1972" priority="8951" stopIfTrue="1">
      <formula>#REF!&lt;0</formula>
    </cfRule>
  </conditionalFormatting>
  <conditionalFormatting sqref="N41:O41">
    <cfRule type="expression" dxfId="1971" priority="8952" stopIfTrue="1">
      <formula>#REF!&lt;0</formula>
    </cfRule>
  </conditionalFormatting>
  <conditionalFormatting sqref="N42:O42">
    <cfRule type="expression" dxfId="1970" priority="8953" stopIfTrue="1">
      <formula>#REF!&lt;0</formula>
    </cfRule>
  </conditionalFormatting>
  <conditionalFormatting sqref="L41:M41">
    <cfRule type="expression" dxfId="1969" priority="8954" stopIfTrue="1">
      <formula>#REF!&lt;0</formula>
    </cfRule>
  </conditionalFormatting>
  <conditionalFormatting sqref="L42:M42">
    <cfRule type="expression" dxfId="1968" priority="8955" stopIfTrue="1">
      <formula>#REF!&lt;0</formula>
    </cfRule>
  </conditionalFormatting>
  <conditionalFormatting sqref="J41:K41">
    <cfRule type="expression" dxfId="1967" priority="8956" stopIfTrue="1">
      <formula>#REF!&lt;0</formula>
    </cfRule>
  </conditionalFormatting>
  <conditionalFormatting sqref="J42:K42">
    <cfRule type="expression" dxfId="1966" priority="8957" stopIfTrue="1">
      <formula>#REF!&lt;0</formula>
    </cfRule>
  </conditionalFormatting>
  <conditionalFormatting sqref="H41:I41">
    <cfRule type="expression" dxfId="1965" priority="8958" stopIfTrue="1">
      <formula>#REF!&lt;0</formula>
    </cfRule>
  </conditionalFormatting>
  <conditionalFormatting sqref="H42:I42">
    <cfRule type="expression" dxfId="1964" priority="8959" stopIfTrue="1">
      <formula>#REF!&lt;0</formula>
    </cfRule>
  </conditionalFormatting>
  <conditionalFormatting sqref="Z60:AA94">
    <cfRule type="cellIs" dxfId="1963" priority="67" stopIfTrue="1" operator="equal">
      <formula>"OK"</formula>
    </cfRule>
  </conditionalFormatting>
  <conditionalFormatting sqref="M111:S111">
    <cfRule type="expression" dxfId="1962" priority="68" stopIfTrue="1">
      <formula>$AI$76=0</formula>
    </cfRule>
  </conditionalFormatting>
  <conditionalFormatting sqref="Z111:AB111">
    <cfRule type="expression" dxfId="1961" priority="69" stopIfTrue="1">
      <formula>ISERROR(Z111)</formula>
    </cfRule>
    <cfRule type="cellIs" dxfId="1960" priority="70" stopIfTrue="1" operator="equal">
      <formula>0</formula>
    </cfRule>
  </conditionalFormatting>
  <conditionalFormatting sqref="AF60:AF109">
    <cfRule type="cellIs" dxfId="1959" priority="66" operator="equal">
      <formula>"ERR"</formula>
    </cfRule>
  </conditionalFormatting>
  <conditionalFormatting sqref="L111">
    <cfRule type="expression" dxfId="1958" priority="65" stopIfTrue="1">
      <formula>$AI$76=0</formula>
    </cfRule>
  </conditionalFormatting>
  <conditionalFormatting sqref="Z95:AA109">
    <cfRule type="cellIs" dxfId="1957" priority="64" stopIfTrue="1" operator="equal">
      <formula>"OK"</formula>
    </cfRule>
  </conditionalFormatting>
  <conditionalFormatting sqref="C61:Y109">
    <cfRule type="expression" dxfId="1956" priority="60" stopIfTrue="1">
      <formula>$C61=0</formula>
    </cfRule>
    <cfRule type="expression" dxfId="1955" priority="63" stopIfTrue="1">
      <formula>AND($C61&gt;0,$C62=0)</formula>
    </cfRule>
  </conditionalFormatting>
  <conditionalFormatting sqref="V61:Y109">
    <cfRule type="cellIs" dxfId="1954" priority="61" stopIfTrue="1" operator="equal">
      <formula>0</formula>
    </cfRule>
  </conditionalFormatting>
  <conditionalFormatting sqref="C61:Y108">
    <cfRule type="expression" dxfId="1953" priority="62" stopIfTrue="1">
      <formula>$C62=1</formula>
    </cfRule>
  </conditionalFormatting>
  <conditionalFormatting sqref="C61:C109">
    <cfRule type="expression" dxfId="1952" priority="59">
      <formula>$D61&lt;&gt;$D62</formula>
    </cfRule>
  </conditionalFormatting>
  <conditionalFormatting sqref="N34:Q34">
    <cfRule type="expression" dxfId="1951" priority="58" stopIfTrue="1">
      <formula>ISERROR($O$569)</formula>
    </cfRule>
  </conditionalFormatting>
  <conditionalFormatting sqref="N35:Q36">
    <cfRule type="expression" dxfId="1950" priority="57" stopIfTrue="1">
      <formula>ISERROR($O$569)</formula>
    </cfRule>
  </conditionalFormatting>
  <conditionalFormatting sqref="AB34:AE34">
    <cfRule type="expression" dxfId="1949" priority="56" stopIfTrue="1">
      <formula>ISERROR($O$569)</formula>
    </cfRule>
  </conditionalFormatting>
  <conditionalFormatting sqref="AB35:AE35">
    <cfRule type="expression" dxfId="1948" priority="55" stopIfTrue="1">
      <formula>ISERROR($O$569)</formula>
    </cfRule>
  </conditionalFormatting>
  <conditionalFormatting sqref="AB36:AE36">
    <cfRule type="expression" dxfId="1947" priority="54" stopIfTrue="1">
      <formula>ISERROR($O$569)</formula>
    </cfRule>
  </conditionalFormatting>
  <conditionalFormatting sqref="AB41:AE41">
    <cfRule type="expression" dxfId="1946" priority="53" stopIfTrue="1">
      <formula>ISERROR($O$569)</formula>
    </cfRule>
  </conditionalFormatting>
  <conditionalFormatting sqref="R34:R36">
    <cfRule type="expression" dxfId="1945" priority="52" stopIfTrue="1">
      <formula>SUM($R$34:$R$36,$AF$34:$AF$36)&gt;50</formula>
    </cfRule>
  </conditionalFormatting>
  <conditionalFormatting sqref="R33">
    <cfRule type="cellIs" dxfId="1944" priority="51" stopIfTrue="1" operator="equal">
      <formula>"ERR"</formula>
    </cfRule>
  </conditionalFormatting>
  <conditionalFormatting sqref="AF34:AF36">
    <cfRule type="expression" dxfId="1943" priority="50" stopIfTrue="1">
      <formula>SUM($R$34:$R$36,$AF$34:$AF$36)&gt;50</formula>
    </cfRule>
  </conditionalFormatting>
  <conditionalFormatting sqref="AF33">
    <cfRule type="cellIs" dxfId="1942" priority="49" stopIfTrue="1" operator="equal">
      <formula>"ERR"</formula>
    </cfRule>
  </conditionalFormatting>
  <conditionalFormatting sqref="AF42:AF47">
    <cfRule type="expression" dxfId="1941" priority="48" stopIfTrue="1">
      <formula>SUM($AF$42:$AF$47)&gt;48</formula>
    </cfRule>
  </conditionalFormatting>
  <conditionalFormatting sqref="AF41">
    <cfRule type="cellIs" dxfId="1940" priority="47" stopIfTrue="1" operator="equal">
      <formula>"ERR"</formula>
    </cfRule>
  </conditionalFormatting>
  <conditionalFormatting sqref="U4:X4">
    <cfRule type="expression" dxfId="1939" priority="43" stopIfTrue="1">
      <formula>$U$4=$AI$4</formula>
    </cfRule>
  </conditionalFormatting>
  <conditionalFormatting sqref="U5:X5">
    <cfRule type="expression" dxfId="1938" priority="10" stopIfTrue="1">
      <formula>$U$4=$AI$4</formula>
    </cfRule>
    <cfRule type="expression" dxfId="1937" priority="42" stopIfTrue="1">
      <formula>AND($AA$2&lt;&gt;"",$C$7=$C$8,OR($U$5&lt;$P$5,MONTH($U$5)&lt;&gt;$C$8))</formula>
    </cfRule>
  </conditionalFormatting>
  <conditionalFormatting sqref="V122:V169">
    <cfRule type="cellIs" dxfId="1936" priority="38" stopIfTrue="1" operator="equal">
      <formula>0</formula>
    </cfRule>
    <cfRule type="expression" dxfId="1935" priority="39" stopIfTrue="1">
      <formula>$V123=1</formula>
    </cfRule>
    <cfRule type="expression" dxfId="1934" priority="40" stopIfTrue="1">
      <formula>AND($V123=0,$V122&gt;0)</formula>
    </cfRule>
  </conditionalFormatting>
  <conditionalFormatting sqref="AF122:AF169">
    <cfRule type="cellIs" dxfId="1933" priority="37" operator="equal">
      <formula>"ERR"</formula>
    </cfRule>
  </conditionalFormatting>
  <conditionalFormatting sqref="W122:AE122">
    <cfRule type="expression" dxfId="1932" priority="36" stopIfTrue="1">
      <formula>$V123=1</formula>
    </cfRule>
  </conditionalFormatting>
  <conditionalFormatting sqref="W123:AE169">
    <cfRule type="expression" dxfId="1931" priority="1" stopIfTrue="1">
      <formula>$V124=1</formula>
    </cfRule>
    <cfRule type="expression" dxfId="1930" priority="35" stopIfTrue="1">
      <formula>AND($V123=0,$V122&gt;0)</formula>
    </cfRule>
  </conditionalFormatting>
  <conditionalFormatting sqref="D10:AE10">
    <cfRule type="cellIs" dxfId="1929" priority="34" stopIfTrue="1" operator="equal">
      <formula>0</formula>
    </cfRule>
  </conditionalFormatting>
  <conditionalFormatting sqref="K25:O25">
    <cfRule type="cellIs" dxfId="1928" priority="32" stopIfTrue="1" operator="equal">
      <formula>0</formula>
    </cfRule>
  </conditionalFormatting>
  <conditionalFormatting sqref="P25:AD25">
    <cfRule type="cellIs" dxfId="1927" priority="31" stopIfTrue="1" operator="equal">
      <formula>0</formula>
    </cfRule>
  </conditionalFormatting>
  <conditionalFormatting sqref="AB28:AE28">
    <cfRule type="expression" dxfId="1926" priority="30" stopIfTrue="1">
      <formula>ISERROR($O$569)</formula>
    </cfRule>
  </conditionalFormatting>
  <conditionalFormatting sqref="N28:Q28">
    <cfRule type="cellIs" dxfId="1925" priority="29" stopIfTrue="1" operator="equal">
      <formula>0</formula>
    </cfRule>
  </conditionalFormatting>
  <conditionalFormatting sqref="N38:Q39 AB38:AE38">
    <cfRule type="cellIs" dxfId="1924" priority="25" stopIfTrue="1" operator="equal">
      <formula>0</formula>
    </cfRule>
  </conditionalFormatting>
  <conditionalFormatting sqref="N50:Q50">
    <cfRule type="expression" dxfId="1923" priority="23" stopIfTrue="1">
      <formula>ISERROR($N$50)</formula>
    </cfRule>
    <cfRule type="expression" dxfId="1922" priority="24" stopIfTrue="1">
      <formula>ROUND($N$50,2)=0</formula>
    </cfRule>
  </conditionalFormatting>
  <conditionalFormatting sqref="AB48:AE48">
    <cfRule type="cellIs" dxfId="1921" priority="18" stopIfTrue="1" operator="equal">
      <formula>0</formula>
    </cfRule>
  </conditionalFormatting>
  <conditionalFormatting sqref="E117:L117 N117:Q117 I119:L119 N119:Q119">
    <cfRule type="cellIs" dxfId="1920" priority="17" stopIfTrue="1" operator="equal">
      <formula>0</formula>
    </cfRule>
  </conditionalFormatting>
  <conditionalFormatting sqref="AC119:AE119">
    <cfRule type="cellIs" dxfId="1919" priority="16" stopIfTrue="1" operator="equal">
      <formula>0</formula>
    </cfRule>
  </conditionalFormatting>
  <conditionalFormatting sqref="O170:Q170">
    <cfRule type="cellIs" dxfId="1918" priority="15" stopIfTrue="1" operator="equal">
      <formula>0</formula>
    </cfRule>
  </conditionalFormatting>
  <conditionalFormatting sqref="AC170:AE170">
    <cfRule type="cellIs" dxfId="1917" priority="14" stopIfTrue="1" operator="equal">
      <formula>0</formula>
    </cfRule>
  </conditionalFormatting>
  <conditionalFormatting sqref="T111">
    <cfRule type="expression" dxfId="1916" priority="13" stopIfTrue="1">
      <formula>$AI$76=0</formula>
    </cfRule>
  </conditionalFormatting>
  <conditionalFormatting sqref="Y27:AA27">
    <cfRule type="expression" dxfId="1915" priority="9066" stopIfTrue="1">
      <formula>ISERROR(Y27)</formula>
    </cfRule>
    <cfRule type="expression" dxfId="1914" priority="9067" stopIfTrue="1">
      <formula>#REF!&lt;&gt;0</formula>
    </cfRule>
  </conditionalFormatting>
  <conditionalFormatting sqref="J58">
    <cfRule type="expression" dxfId="1913" priority="12" stopIfTrue="1">
      <formula>$AI$76=0</formula>
    </cfRule>
  </conditionalFormatting>
  <conditionalFormatting sqref="E25:J25">
    <cfRule type="expression" dxfId="1912" priority="9074" stopIfTrue="1">
      <formula>ISERROR($K$25)</formula>
    </cfRule>
    <cfRule type="expression" dxfId="1911" priority="9075" stopIfTrue="1">
      <formula>$D$25=$U$177</formula>
    </cfRule>
  </conditionalFormatting>
  <conditionalFormatting sqref="D48:G48">
    <cfRule type="expression" dxfId="1910" priority="9076" stopIfTrue="1">
      <formula>ISERROR($O$569)</formula>
    </cfRule>
    <cfRule type="expression" dxfId="1909" priority="9077" stopIfTrue="1">
      <formula>ISERROR($D$48)</formula>
    </cfRule>
  </conditionalFormatting>
  <conditionalFormatting sqref="H48:S48">
    <cfRule type="expression" dxfId="1908" priority="9078" stopIfTrue="1">
      <formula>ISERROR($O$569)</formula>
    </cfRule>
    <cfRule type="expression" dxfId="1907" priority="9079" stopIfTrue="1">
      <formula>ISERROR($H$48)</formula>
    </cfRule>
  </conditionalFormatting>
  <conditionalFormatting sqref="P5:S5">
    <cfRule type="expression" dxfId="1906" priority="9080" stopIfTrue="1">
      <formula>AND($P$5&lt;&gt;"",$C$8&lt;&gt;$C$7)</formula>
    </cfRule>
  </conditionalFormatting>
  <conditionalFormatting sqref="V122">
    <cfRule type="expression" dxfId="1905" priority="9" stopIfTrue="1">
      <formula>$V$123=0</formula>
    </cfRule>
  </conditionalFormatting>
  <conditionalFormatting sqref="C60:Y60">
    <cfRule type="expression" dxfId="1904" priority="5" stopIfTrue="1">
      <formula>$C60=0</formula>
    </cfRule>
    <cfRule type="expression" dxfId="1903" priority="8" stopIfTrue="1">
      <formula>AND($C60&gt;0,$C61=0)</formula>
    </cfRule>
  </conditionalFormatting>
  <conditionalFormatting sqref="V60:Y60">
    <cfRule type="cellIs" dxfId="1902" priority="6" stopIfTrue="1" operator="equal">
      <formula>0</formula>
    </cfRule>
  </conditionalFormatting>
  <conditionalFormatting sqref="C60:Y60">
    <cfRule type="expression" dxfId="1901" priority="7" stopIfTrue="1">
      <formula>$C61=1</formula>
    </cfRule>
  </conditionalFormatting>
  <conditionalFormatting sqref="C60">
    <cfRule type="expression" dxfId="1900" priority="4">
      <formula>$D60&lt;&gt;$D61</formula>
    </cfRule>
  </conditionalFormatting>
  <conditionalFormatting sqref="C60:U60">
    <cfRule type="expression" dxfId="1899" priority="3" stopIfTrue="1">
      <formula>$D$60=""</formula>
    </cfRule>
  </conditionalFormatting>
  <conditionalFormatting sqref="V60:Y60">
    <cfRule type="expression" dxfId="1898" priority="2">
      <formula>$D$60=""</formula>
    </cfRule>
  </conditionalFormatting>
  <dataValidations count="6">
    <dataValidation type="list" allowBlank="1" showInputMessage="1" showErrorMessage="1" sqref="D11:AE11">
      <formula1>$W$556:$W$558</formula1>
    </dataValidation>
    <dataValidation type="list" allowBlank="1" showInputMessage="1" showErrorMessage="1" sqref="D12:AE12">
      <formula1>$W$559:$W$560</formula1>
    </dataValidation>
    <dataValidation type="list" allowBlank="1" showInputMessage="1" showErrorMessage="1" sqref="AA2:AE2">
      <formula1>$AH$78:$AH$90</formula1>
    </dataValidation>
    <dataValidation type="list" allowBlank="1" showInputMessage="1" showErrorMessage="1" sqref="Z5:AE5">
      <formula1>$AH$60:$AH$63</formula1>
    </dataValidation>
    <dataValidation type="list" allowBlank="1" showInputMessage="1" showErrorMessage="1" sqref="P5:S5 U5:X5">
      <formula1>$AO$78:$AO$109</formula1>
    </dataValidation>
    <dataValidation type="list" allowBlank="1" showInputMessage="1" showErrorMessage="1" sqref="AB27:AE27">
      <formula1>$AI$60:$AI$63</formula1>
    </dataValidation>
  </dataValidations>
  <pageMargins left="0.59055118110236227" right="0" top="0.39370078740157483" bottom="0.39370078740157483" header="0.31496062992125984" footer="0.31496062992125984"/>
  <pageSetup paperSize="9" scale="85" orientation="portrait" r:id="rId1"/>
  <headerFooter alignWithMargins="0"/>
  <rowBreaks count="2" manualBreakCount="2">
    <brk id="57" min="1" max="31" man="1"/>
    <brk id="113" min="1" max="31" man="1"/>
  </rowBreaks>
  <drawing r:id="rId2"/>
  <legacyDrawing r:id="rId3"/>
  <mc:AlternateContent xmlns:mc="http://schemas.openxmlformats.org/markup-compatibility/2006">
    <mc:Choice Requires="x14">
      <controls>
        <mc:AlternateContent xmlns:mc="http://schemas.openxmlformats.org/markup-compatibility/2006">
          <mc:Choice Requires="x14">
            <control shapeId="53433" r:id="rId4" name="Button 7353">
              <controlPr defaultSize="0" print="0" autoFill="0" autoPict="0" macro="[0]!Cancella_pag1">
                <anchor moveWithCells="1" sizeWithCells="1">
                  <from>
                    <xdr:col>32</xdr:col>
                    <xdr:colOff>47625</xdr:colOff>
                    <xdr:row>5</xdr:row>
                    <xdr:rowOff>142875</xdr:rowOff>
                  </from>
                  <to>
                    <xdr:col>32</xdr:col>
                    <xdr:colOff>847725</xdr:colOff>
                    <xdr:row>7</xdr:row>
                    <xdr:rowOff>133350</xdr:rowOff>
                  </to>
                </anchor>
              </controlPr>
            </control>
          </mc:Choice>
        </mc:AlternateContent>
        <mc:AlternateContent xmlns:mc="http://schemas.openxmlformats.org/markup-compatibility/2006">
          <mc:Choice Requires="x14">
            <control shapeId="53435" r:id="rId5" name="Button 7355">
              <controlPr defaultSize="0" print="0" autoFill="0" autoPict="0" macro="[0]!Cancella_pag2">
                <anchor moveWithCells="1" sizeWithCells="1">
                  <from>
                    <xdr:col>28</xdr:col>
                    <xdr:colOff>9525</xdr:colOff>
                    <xdr:row>56</xdr:row>
                    <xdr:rowOff>238125</xdr:rowOff>
                  </from>
                  <to>
                    <xdr:col>31</xdr:col>
                    <xdr:colOff>66675</xdr:colOff>
                    <xdr:row>59</xdr:row>
                    <xdr:rowOff>19050</xdr:rowOff>
                  </to>
                </anchor>
              </controlPr>
            </control>
          </mc:Choice>
        </mc:AlternateContent>
        <mc:AlternateContent xmlns:mc="http://schemas.openxmlformats.org/markup-compatibility/2006">
          <mc:Choice Requires="x14">
            <control shapeId="53436" r:id="rId6" name="Button 7356">
              <controlPr defaultSize="0" print="0" autoFill="0" autoPict="0" macro="[0]!Cancella_pag3">
                <anchor moveWithCells="1" sizeWithCells="1">
                  <from>
                    <xdr:col>28</xdr:col>
                    <xdr:colOff>95250</xdr:colOff>
                    <xdr:row>113</xdr:row>
                    <xdr:rowOff>161925</xdr:rowOff>
                  </from>
                  <to>
                    <xdr:col>31</xdr:col>
                    <xdr:colOff>152400</xdr:colOff>
                    <xdr:row>115</xdr:row>
                    <xdr:rowOff>171450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pageSetUpPr autoPageBreaks="0"/>
  </sheetPr>
  <dimension ref="A1:BK492"/>
  <sheetViews>
    <sheetView showGridLines="0" showRowColHeaders="0" zoomScaleNormal="100" workbookViewId="0">
      <selection activeCell="B5" sqref="B5:C5"/>
    </sheetView>
  </sheetViews>
  <sheetFormatPr defaultRowHeight="12.75" x14ac:dyDescent="0.2"/>
  <cols>
    <col min="1" max="1" width="7.140625" style="627" customWidth="1"/>
    <col min="2" max="2" width="10.7109375" style="627" customWidth="1"/>
    <col min="3" max="3" width="18.5703125" style="627" customWidth="1"/>
    <col min="4" max="5" width="14.28515625" style="627" customWidth="1"/>
    <col min="6" max="6" width="18.5703125" style="627" customWidth="1"/>
    <col min="7" max="9" width="14.28515625" style="627" customWidth="1"/>
    <col min="10" max="10" width="5.7109375" style="627" customWidth="1"/>
    <col min="11" max="11" width="5.7109375" style="627" hidden="1" customWidth="1"/>
    <col min="12" max="15" width="13.5703125" style="627" hidden="1" customWidth="1"/>
    <col min="16" max="16" width="9.140625" style="627" hidden="1" customWidth="1"/>
    <col min="17" max="26" width="1.42578125" style="627" customWidth="1"/>
    <col min="27" max="27" width="0.85546875" style="627" customWidth="1"/>
    <col min="28" max="37" width="1.42578125" style="627" customWidth="1"/>
    <col min="38" max="38" width="5" style="627" customWidth="1"/>
    <col min="39" max="48" width="1.42578125" style="627" customWidth="1"/>
    <col min="49" max="49" width="0.85546875" style="627" customWidth="1"/>
    <col min="50" max="59" width="1.42578125" style="627" customWidth="1"/>
    <col min="60" max="60" width="4.28515625" style="627" customWidth="1"/>
    <col min="61" max="61" width="10" style="627" hidden="1" customWidth="1"/>
    <col min="62" max="63" width="9.140625" style="627" hidden="1" customWidth="1"/>
    <col min="64" max="16384" width="9.140625" style="627"/>
  </cols>
  <sheetData>
    <row r="1" spans="1:63" ht="9" customHeight="1" x14ac:dyDescent="0.2">
      <c r="A1" s="270"/>
      <c r="B1" s="25"/>
      <c r="C1" s="25"/>
      <c r="D1" s="25"/>
      <c r="E1" s="25"/>
      <c r="F1" s="25"/>
      <c r="G1" s="25"/>
      <c r="H1" s="25"/>
      <c r="I1" s="25"/>
      <c r="J1" s="25"/>
      <c r="K1" s="25"/>
      <c r="L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row>
    <row r="2" spans="1:63" ht="30" customHeight="1" x14ac:dyDescent="0.2">
      <c r="A2" s="270"/>
      <c r="B2" s="1055" t="s">
        <v>179</v>
      </c>
      <c r="C2" s="1055"/>
      <c r="D2" s="1055"/>
      <c r="E2" s="1055"/>
      <c r="F2" s="207"/>
      <c r="G2" s="207"/>
      <c r="H2" s="1057" t="s">
        <v>588</v>
      </c>
      <c r="I2" s="1056" t="str">
        <f>LOWER(Presentazione!I26)</f>
        <v>1° trimestre</v>
      </c>
      <c r="J2" s="85"/>
      <c r="K2" s="25"/>
      <c r="L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row>
    <row r="3" spans="1:63" ht="25.5" customHeight="1" x14ac:dyDescent="0.2">
      <c r="A3" s="270"/>
      <c r="B3" s="2355" t="s">
        <v>162</v>
      </c>
      <c r="C3" s="2355"/>
      <c r="D3" s="2355"/>
      <c r="E3" s="2355"/>
      <c r="F3" s="2355"/>
      <c r="G3" s="2355"/>
      <c r="H3" s="2355"/>
      <c r="I3" s="2355"/>
      <c r="J3" s="2355"/>
      <c r="K3" s="25"/>
      <c r="L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row>
    <row r="4" spans="1:63" ht="19.5" customHeight="1" x14ac:dyDescent="0.2">
      <c r="A4" s="270"/>
      <c r="B4" s="25"/>
      <c r="C4" s="25"/>
      <c r="D4" s="1010" t="str">
        <f>IF(B5="",O155,VLOOKUP(B5,L155:M156,2,FALSE))</f>
        <v>DAL GG.</v>
      </c>
      <c r="E4" s="1010" t="str">
        <f>IF(B5="",O155,VLOOKUP(B5,L155:N156,3,FALSE))</f>
        <v>AL GG.</v>
      </c>
      <c r="F4" s="25"/>
      <c r="G4" s="25"/>
      <c r="H4" s="25"/>
      <c r="I4" s="25"/>
      <c r="J4" s="25"/>
      <c r="K4" s="25"/>
      <c r="L4" s="25"/>
      <c r="M4" s="39"/>
      <c r="N4" s="39"/>
      <c r="O4" s="39"/>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row>
    <row r="5" spans="1:63" ht="19.5" customHeight="1" x14ac:dyDescent="0.2">
      <c r="A5" s="25"/>
      <c r="B5" s="2354" t="s">
        <v>101</v>
      </c>
      <c r="C5" s="2354"/>
      <c r="D5" s="1264"/>
      <c r="E5" s="1265"/>
      <c r="F5" s="395" t="str">
        <f>IF(AND(B5=K152,D5&gt;0,E5&gt;0,D5&gt;E5),B113,"")</f>
        <v/>
      </c>
      <c r="G5" s="208" t="e">
        <f>IF(D8=E113,0,COUNTIF(CASSA!AM180:AM545,"X"))</f>
        <v>#N/A</v>
      </c>
      <c r="H5" s="203" t="s">
        <v>39</v>
      </c>
      <c r="I5" s="209" t="e">
        <f>IF(E8=E113,0,E5-D5+1)</f>
        <v>#N/A</v>
      </c>
      <c r="J5" s="25"/>
      <c r="K5" s="25"/>
      <c r="L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row>
    <row r="6" spans="1:63" ht="6" customHeight="1" x14ac:dyDescent="0.2">
      <c r="A6" s="270"/>
      <c r="B6" s="88"/>
      <c r="D6" s="290"/>
      <c r="E6" s="290"/>
      <c r="F6" s="290"/>
      <c r="G6" s="614"/>
      <c r="H6" s="614"/>
      <c r="I6" s="614"/>
      <c r="J6" s="205"/>
      <c r="K6" s="25"/>
      <c r="L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row>
    <row r="7" spans="1:63" ht="19.5" customHeight="1" x14ac:dyDescent="0.2">
      <c r="A7" s="25"/>
      <c r="B7" s="2359" t="s">
        <v>116</v>
      </c>
      <c r="C7" s="2360"/>
      <c r="D7" s="1266"/>
      <c r="E7" s="1267"/>
      <c r="F7" s="395" t="str">
        <f>IF(AND(B5=K153,D7&gt;0,E7&gt;0,D7&gt;E7),B113,"")</f>
        <v/>
      </c>
      <c r="G7" s="208" t="e">
        <f>IF(D8=E113,0,COUNTIF(CASSA!CG180:CG545,"X"))</f>
        <v>#N/A</v>
      </c>
      <c r="H7" s="203" t="s">
        <v>39</v>
      </c>
      <c r="I7" s="209" t="e">
        <f>IF(E8=E113,0,(E7-D7+1)*7)</f>
        <v>#N/A</v>
      </c>
      <c r="J7" s="25"/>
      <c r="K7" s="25"/>
      <c r="L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row>
    <row r="8" spans="1:63" ht="16.5" customHeight="1" x14ac:dyDescent="0.2">
      <c r="A8" s="270"/>
      <c r="B8" s="401"/>
      <c r="C8" s="81"/>
      <c r="D8" s="1011" t="e">
        <f>IF(B5=K152,VLOOKUP(D5,H113:I478,2,FALSE),IF(B5=K153,VLOOKUP(D7,F116:G167,2,FALSE),""))</f>
        <v>#N/A</v>
      </c>
      <c r="E8" s="1011" t="e">
        <f>IF(B5=K152,VLOOKUP(E5,H113:I478,2,FALSE),IF(B5=K153,VLOOKUP(E7,F116:G167,2,FALSE),""))</f>
        <v>#N/A</v>
      </c>
      <c r="F8" s="402" t="e">
        <f>IF(OR(D8=E113,E8=E113),"",VLOOKUP(B5,K152:L153,2,FALSE))</f>
        <v>#N/A</v>
      </c>
      <c r="G8" s="383" t="e">
        <f>IF(D8=E113,"",IF(B5=K152,CONCATENATE(VLOOKUP(D5,CASSA!E180:L545,8,FALSE)," °"),VLOOKUP(D7,CASSA!L180:Q545,6,FALSE)))</f>
        <v>#N/A</v>
      </c>
      <c r="H8" s="384" t="e">
        <f>IF(OR(D8=E113,E8=E113),"",VLOOKUP(F8,L152:M153,2,FALSE))</f>
        <v>#N/A</v>
      </c>
      <c r="I8" s="214" t="e">
        <f>IF(E8=E113,"",IF(B5=K152,CONCATENATE(VLOOKUP(E5,CASSA!E180:L545,8,FALSE)," °"),VLOOKUP(E7,CASSA!L180:Q545,6,FALSE)+6))</f>
        <v>#N/A</v>
      </c>
      <c r="J8" s="205"/>
      <c r="K8" s="25"/>
      <c r="L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row>
    <row r="9" spans="1:63" ht="16.5" customHeight="1" x14ac:dyDescent="0.2">
      <c r="A9" s="270"/>
      <c r="B9" s="25"/>
      <c r="C9" s="2361" t="s">
        <v>372</v>
      </c>
      <c r="D9" s="2361"/>
      <c r="E9" s="2361"/>
      <c r="F9" s="206"/>
      <c r="G9" s="81"/>
      <c r="H9" s="81"/>
      <c r="I9" s="81"/>
      <c r="J9" s="25"/>
      <c r="K9" s="25"/>
      <c r="L9" s="25"/>
      <c r="M9" s="39"/>
      <c r="N9" s="382"/>
      <c r="O9" s="382"/>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row>
    <row r="10" spans="1:63" ht="19.5" customHeight="1" x14ac:dyDescent="0.2">
      <c r="A10" s="270"/>
      <c r="B10" s="25"/>
      <c r="C10" s="2362" t="s">
        <v>103</v>
      </c>
      <c r="D10" s="2362"/>
      <c r="E10" s="2362"/>
      <c r="F10" s="204"/>
      <c r="G10" s="383">
        <f>CASSA!CF548</f>
        <v>0</v>
      </c>
      <c r="H10" s="384" t="s">
        <v>104</v>
      </c>
      <c r="I10" s="214">
        <f>IF(AND(C11=J135,E13&lt;&gt;"",E14&lt;&gt;E113),VLOOKUP(E13,B125:D136,3,FALSE),CASSA!CF547)</f>
        <v>0</v>
      </c>
      <c r="J10" s="214"/>
      <c r="K10" s="25"/>
      <c r="L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row>
    <row r="11" spans="1:63" ht="19.5" customHeight="1" x14ac:dyDescent="0.2">
      <c r="A11" s="25"/>
      <c r="B11" s="25"/>
      <c r="C11" s="2356"/>
      <c r="D11" s="2357"/>
      <c r="E11" s="2358"/>
      <c r="F11" s="204"/>
      <c r="G11" s="211" t="str">
        <f>IF(I11="","",CASSA!CE548)</f>
        <v/>
      </c>
      <c r="H11" s="212" t="s">
        <v>39</v>
      </c>
      <c r="I11" s="213" t="str">
        <f>IF(ISERROR(VLOOKUP(VLOOKUP(TRUE,J127:L131,3,FALSE),L127:M131,2,FALSE)),"",VLOOKUP(VLOOKUP(TRUE,J127:L131,3,FALSE),L127:M131,2,FALSE))</f>
        <v/>
      </c>
      <c r="J11" s="614"/>
      <c r="K11" s="1012" t="e">
        <f>VLOOKUP(C11,J133:L138,3,FALSE)</f>
        <v>#N/A</v>
      </c>
      <c r="L11" s="25"/>
      <c r="Q11" s="2369" t="s">
        <v>175</v>
      </c>
      <c r="R11" s="2369"/>
      <c r="S11" s="2369"/>
      <c r="T11" s="2369"/>
      <c r="U11" s="2369"/>
      <c r="V11" s="2369"/>
      <c r="W11" s="2369"/>
      <c r="X11" s="2369"/>
      <c r="Y11" s="2369"/>
      <c r="Z11" s="2369"/>
      <c r="AA11" s="2369"/>
      <c r="AB11" s="2369"/>
      <c r="AC11" s="2369"/>
      <c r="AD11" s="2369"/>
      <c r="AE11" s="2369"/>
      <c r="AF11" s="2369"/>
      <c r="AG11" s="2369"/>
      <c r="AH11" s="2369"/>
      <c r="AI11" s="2369"/>
      <c r="AJ11" s="2369"/>
      <c r="AK11" s="2369"/>
      <c r="AL11" s="331"/>
      <c r="AM11" s="2369" t="s">
        <v>176</v>
      </c>
      <c r="AN11" s="2369"/>
      <c r="AO11" s="2369"/>
      <c r="AP11" s="2369"/>
      <c r="AQ11" s="2369"/>
      <c r="AR11" s="2369"/>
      <c r="AS11" s="2369"/>
      <c r="AT11" s="2369"/>
      <c r="AU11" s="2369"/>
      <c r="AV11" s="2369"/>
      <c r="AW11" s="2369"/>
      <c r="AX11" s="2369"/>
      <c r="AY11" s="2369"/>
      <c r="AZ11" s="2369"/>
      <c r="BA11" s="2369"/>
      <c r="BB11" s="2369"/>
      <c r="BC11" s="2369"/>
      <c r="BD11" s="2369"/>
      <c r="BE11" s="2369"/>
      <c r="BF11" s="2369"/>
      <c r="BG11" s="2369"/>
      <c r="BH11" s="25"/>
    </row>
    <row r="12" spans="1:63" ht="19.5" customHeight="1" x14ac:dyDescent="0.2">
      <c r="A12" s="25"/>
      <c r="B12" s="25"/>
      <c r="C12" s="220"/>
      <c r="D12" s="220"/>
      <c r="E12" s="221" t="s">
        <v>40</v>
      </c>
      <c r="F12" s="112"/>
      <c r="G12" s="215" t="s">
        <v>455</v>
      </c>
      <c r="H12" s="25"/>
      <c r="I12" s="212" t="s">
        <v>292</v>
      </c>
      <c r="J12" s="614"/>
      <c r="L12" s="25"/>
      <c r="Q12" s="2370" t="s">
        <v>696</v>
      </c>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5"/>
      <c r="AM12" s="2371" t="s">
        <v>697</v>
      </c>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5"/>
    </row>
    <row r="13" spans="1:63" ht="19.5" customHeight="1" x14ac:dyDescent="0.2">
      <c r="A13" s="25"/>
      <c r="B13" s="25"/>
      <c r="C13" s="614"/>
      <c r="D13" s="439"/>
      <c r="E13" s="1269"/>
      <c r="F13" s="302">
        <f>IF(C$11=J135,1,0)</f>
        <v>0</v>
      </c>
      <c r="G13" s="1270"/>
      <c r="H13" s="219" t="s">
        <v>40</v>
      </c>
      <c r="I13" s="1270"/>
      <c r="J13" s="1014">
        <f>IF(AND(G13&gt;0,I13&gt;0),IF(G13&gt;I13,"ERR.",0),0)</f>
        <v>0</v>
      </c>
      <c r="K13" s="1012">
        <f>IF(C$11=J136,1,0)</f>
        <v>0</v>
      </c>
      <c r="L13" s="25"/>
      <c r="Q13" s="2372" t="s">
        <v>698</v>
      </c>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5"/>
      <c r="AM13" s="2373" t="s">
        <v>699</v>
      </c>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5"/>
    </row>
    <row r="14" spans="1:63" ht="19.5" customHeight="1" x14ac:dyDescent="0.2">
      <c r="A14" s="25"/>
      <c r="B14" s="25"/>
      <c r="C14" s="614"/>
      <c r="D14" s="251"/>
      <c r="E14" s="1013" t="str">
        <f>IF($C11="","",IF($C11=J135,VLOOKUP(VLOOKUP(E13,B125:D136,3,FALSE),$H$113:$I$478,2,FALSE),""))</f>
        <v/>
      </c>
      <c r="F14" s="204"/>
      <c r="G14" s="215" t="s">
        <v>572</v>
      </c>
      <c r="H14" s="25"/>
      <c r="I14" s="212" t="s">
        <v>573</v>
      </c>
      <c r="J14" s="614"/>
      <c r="L14" s="25"/>
      <c r="Q14" s="2363" t="s">
        <v>177</v>
      </c>
      <c r="R14" s="2363"/>
      <c r="S14" s="2363"/>
      <c r="T14" s="2363"/>
      <c r="U14" s="2363"/>
      <c r="V14" s="2363"/>
      <c r="W14" s="2363"/>
      <c r="X14" s="2363"/>
      <c r="Y14" s="2363"/>
      <c r="Z14" s="2363"/>
      <c r="AA14" s="2363"/>
      <c r="AB14" s="2363"/>
      <c r="AC14" s="2363"/>
      <c r="AD14" s="2363"/>
      <c r="AE14" s="2363"/>
      <c r="AF14" s="2363"/>
      <c r="AG14" s="2363"/>
      <c r="AH14" s="2363"/>
      <c r="AI14" s="2363"/>
      <c r="AJ14" s="2363"/>
      <c r="AK14" s="2363"/>
      <c r="AL14" s="25"/>
      <c r="AM14" s="25"/>
      <c r="AN14" s="25"/>
      <c r="AO14" s="25"/>
      <c r="AP14" s="25"/>
      <c r="AQ14" s="25"/>
      <c r="AR14" s="25"/>
      <c r="AS14" s="25"/>
      <c r="AT14" s="25"/>
      <c r="AU14" s="25"/>
      <c r="AV14" s="25"/>
      <c r="AW14" s="25"/>
      <c r="AX14" s="25"/>
      <c r="AY14" s="25"/>
      <c r="AZ14" s="25"/>
      <c r="BA14" s="25"/>
      <c r="BB14" s="25"/>
      <c r="BC14" s="25"/>
      <c r="BD14" s="25"/>
      <c r="BE14" s="25"/>
      <c r="BF14" s="25"/>
      <c r="BG14" s="25"/>
      <c r="BH14" s="25"/>
    </row>
    <row r="15" spans="1:63" ht="19.5" customHeight="1" x14ac:dyDescent="0.2">
      <c r="A15" s="25"/>
      <c r="B15" s="25"/>
      <c r="C15" s="258"/>
      <c r="D15" s="251"/>
      <c r="E15" s="204"/>
      <c r="F15" s="204"/>
      <c r="G15" s="1271"/>
      <c r="H15" s="219" t="s">
        <v>40</v>
      </c>
      <c r="I15" s="1271"/>
      <c r="J15" s="1014">
        <f>IF(AND($G15&gt;0,$I15&gt;0),IF($G15&gt;$I15,"ERR.",0),0)</f>
        <v>0</v>
      </c>
      <c r="K15" s="1012">
        <f>IF(C$11=J137,1,0)</f>
        <v>0</v>
      </c>
      <c r="L15" s="25"/>
      <c r="Q15" s="2367" t="s">
        <v>164</v>
      </c>
      <c r="R15" s="2367"/>
      <c r="S15" s="2367"/>
      <c r="T15" s="2367"/>
      <c r="U15" s="2367"/>
      <c r="V15" s="2367"/>
      <c r="W15" s="2367"/>
      <c r="X15" s="2367"/>
      <c r="Y15" s="2367"/>
      <c r="Z15" s="2367"/>
      <c r="AA15" s="2368"/>
      <c r="AB15" s="2364" t="s">
        <v>155</v>
      </c>
      <c r="AC15" s="2365"/>
      <c r="AD15" s="2365"/>
      <c r="AE15" s="2365"/>
      <c r="AF15" s="2365"/>
      <c r="AG15" s="2365"/>
      <c r="AH15" s="2365"/>
      <c r="AI15" s="2366"/>
      <c r="AJ15" s="25"/>
      <c r="AK15" s="25"/>
      <c r="AL15" s="25"/>
      <c r="AM15" s="81"/>
      <c r="AN15" s="81"/>
      <c r="AO15" s="81"/>
      <c r="AP15" s="81"/>
      <c r="AQ15" s="81"/>
      <c r="AR15" s="81"/>
      <c r="AS15" s="81"/>
      <c r="AT15" s="81"/>
      <c r="AU15" s="81"/>
      <c r="AV15" s="81"/>
      <c r="AW15" s="81"/>
      <c r="AX15" s="81"/>
      <c r="AY15" s="81"/>
      <c r="AZ15" s="81"/>
      <c r="BA15" s="81"/>
      <c r="BB15" s="81"/>
      <c r="BC15" s="81"/>
      <c r="BD15" s="81"/>
      <c r="BE15" s="81"/>
      <c r="BF15" s="81"/>
      <c r="BG15" s="81"/>
      <c r="BH15" s="25"/>
    </row>
    <row r="16" spans="1:63" ht="19.5" customHeight="1" x14ac:dyDescent="0.2">
      <c r="A16" s="270"/>
      <c r="B16" s="25"/>
      <c r="C16" s="385" t="s">
        <v>105</v>
      </c>
      <c r="D16" s="1260" t="s">
        <v>106</v>
      </c>
      <c r="E16" s="386" t="s">
        <v>107</v>
      </c>
      <c r="F16" s="204"/>
      <c r="G16" s="1013" t="str">
        <f>IF($C11="","",IF($C11=$J137,VLOOKUP(G15,$E$116:$G$167,3,FALSE),IF($C11=$J136,VLOOKUP(G13,$H$113:$I$478,2,FALSE),IF($C11=$J134,VLOOKUP(G10,$H$113:$I$478,2,FALSE),""))))</f>
        <v/>
      </c>
      <c r="H16" s="25"/>
      <c r="I16" s="1013" t="str">
        <f>IF($C11="","",IF($C11=$J137,VLOOKUP(I15,$E$116:$G$167,3,FALSE),IF($C11=$J136,VLOOKUP(I13,$H$113:$I$478,2,FALSE),IF($C11=$J134,VLOOKUP(I10,$H$113:$I$478,2,FALSE),""))))</f>
        <v/>
      </c>
      <c r="J16" s="25"/>
      <c r="K16" s="25"/>
      <c r="L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row>
    <row r="17" spans="1:63" ht="19.5" customHeight="1" x14ac:dyDescent="0.2">
      <c r="A17" s="270"/>
      <c r="B17" s="25"/>
      <c r="C17" s="250"/>
      <c r="D17" s="380" t="s">
        <v>370</v>
      </c>
      <c r="E17" s="206" t="s">
        <v>114</v>
      </c>
      <c r="F17" s="2348" t="s">
        <v>108</v>
      </c>
      <c r="G17" s="2348"/>
      <c r="H17" s="2348" t="s">
        <v>154</v>
      </c>
      <c r="I17" s="2348"/>
      <c r="J17" s="25"/>
      <c r="K17" s="25"/>
      <c r="L17" s="25"/>
      <c r="N17" s="500">
        <f>MAX(O17,O35,O52,O80)</f>
        <v>0</v>
      </c>
      <c r="O17" s="500">
        <f>IF(AB15="",0,MAX(D19:E31))</f>
        <v>0</v>
      </c>
      <c r="P17" s="25"/>
      <c r="Q17" s="506"/>
      <c r="R17" s="2344" t="s">
        <v>84</v>
      </c>
      <c r="S17" s="2344"/>
      <c r="T17" s="2344"/>
      <c r="U17" s="2344"/>
      <c r="V17" s="2344"/>
      <c r="W17" s="2344"/>
      <c r="X17" s="2344"/>
      <c r="Y17" s="2344"/>
      <c r="Z17" s="2344"/>
      <c r="AB17" s="2345">
        <f>IF(AB$15=B$118,N17/10,O17/10)</f>
        <v>0</v>
      </c>
      <c r="AC17" s="2345"/>
      <c r="AD17" s="2345"/>
      <c r="AE17" s="2345"/>
      <c r="AF17" s="2345"/>
      <c r="AG17" s="2345"/>
      <c r="AH17" s="2345"/>
      <c r="AI17" s="2345"/>
      <c r="AJ17" s="2345"/>
      <c r="AK17" s="2345"/>
      <c r="AL17" s="25"/>
      <c r="AM17" s="506"/>
      <c r="AN17" s="2344" t="s">
        <v>153</v>
      </c>
      <c r="AO17" s="2344"/>
      <c r="AP17" s="2344"/>
      <c r="AQ17" s="2344"/>
      <c r="AR17" s="2344"/>
      <c r="AS17" s="2344"/>
      <c r="AT17" s="2344"/>
      <c r="AU17" s="2344"/>
      <c r="AV17" s="2344"/>
      <c r="AX17" s="2343">
        <v>10</v>
      </c>
      <c r="AY17" s="2343"/>
      <c r="AZ17" s="2343"/>
      <c r="BA17" s="2343"/>
      <c r="BB17" s="2343"/>
      <c r="BC17" s="2343"/>
      <c r="BD17" s="2343"/>
      <c r="BE17" s="2343"/>
      <c r="BF17" s="2343"/>
      <c r="BG17" s="2343"/>
      <c r="BH17" s="25"/>
      <c r="BI17" s="25"/>
      <c r="BJ17" s="25"/>
      <c r="BK17" s="25"/>
    </row>
    <row r="18" spans="1:63" ht="19.5" customHeight="1" x14ac:dyDescent="0.2">
      <c r="A18" s="270"/>
      <c r="B18" s="25"/>
      <c r="C18" s="1019" t="str">
        <f>RIEPILOGO!B4</f>
        <v>Totale EUR</v>
      </c>
      <c r="D18" s="381" t="s">
        <v>391</v>
      </c>
      <c r="E18" s="204" t="e">
        <f>VLOOKUP(TRUE,J127:K131,2,FALSE)</f>
        <v>#N/A</v>
      </c>
      <c r="F18" s="387" t="s">
        <v>109</v>
      </c>
      <c r="G18" s="388" t="s">
        <v>107</v>
      </c>
      <c r="H18" s="387" t="s">
        <v>110</v>
      </c>
      <c r="I18" s="388" t="s">
        <v>111</v>
      </c>
      <c r="J18" s="25"/>
      <c r="K18" s="25"/>
      <c r="L18" s="25"/>
      <c r="N18" s="81"/>
      <c r="O18" s="501"/>
      <c r="P18" s="25"/>
      <c r="Q18" s="497"/>
      <c r="R18" s="497"/>
      <c r="S18" s="498"/>
      <c r="T18" s="81"/>
      <c r="U18" s="81"/>
      <c r="V18" s="81"/>
      <c r="W18" s="81"/>
      <c r="X18" s="81"/>
      <c r="Y18" s="81"/>
      <c r="Z18" s="81"/>
      <c r="AA18" s="81"/>
      <c r="AB18" s="81"/>
      <c r="AC18" s="25"/>
      <c r="AD18" s="25"/>
      <c r="AE18" s="25"/>
      <c r="AF18" s="25"/>
      <c r="AG18" s="25"/>
      <c r="AH18" s="25"/>
      <c r="AI18" s="25"/>
      <c r="AJ18" s="25"/>
      <c r="AK18" s="25"/>
      <c r="AL18" s="25"/>
      <c r="AM18" s="497"/>
      <c r="AN18" s="497"/>
      <c r="AO18" s="498"/>
      <c r="AP18" s="81"/>
      <c r="AQ18" s="81"/>
      <c r="AR18" s="81"/>
      <c r="AS18" s="81"/>
      <c r="AT18" s="81"/>
      <c r="AU18" s="81"/>
      <c r="AV18" s="81"/>
      <c r="AW18" s="81"/>
      <c r="AX18" s="81"/>
      <c r="AY18" s="25"/>
      <c r="AZ18" s="25"/>
      <c r="BA18" s="25"/>
      <c r="BB18" s="25"/>
      <c r="BC18" s="25"/>
      <c r="BD18" s="25"/>
      <c r="BE18" s="25"/>
      <c r="BF18" s="25"/>
      <c r="BG18" s="25"/>
      <c r="BH18" s="25"/>
      <c r="BI18" s="25"/>
      <c r="BJ18" s="25"/>
      <c r="BK18" s="25"/>
    </row>
    <row r="19" spans="1:63" ht="19.5" customHeight="1" x14ac:dyDescent="0.2">
      <c r="A19" s="270"/>
      <c r="B19" s="25"/>
      <c r="C19" s="940" t="str">
        <f>RIEPILOGO!B5</f>
        <v>INSERITO</v>
      </c>
      <c r="D19" s="941">
        <f>SUMIF(CASSA!AM180:AM545,"X",CASSA!G180:G545)</f>
        <v>0</v>
      </c>
      <c r="E19" s="942">
        <f>SUMIF(CASSA!AL180:AL545,"Y",CASSA!G180:G545)</f>
        <v>0</v>
      </c>
      <c r="F19" s="1027" t="e">
        <f>D19/D$19*100</f>
        <v>#DIV/0!</v>
      </c>
      <c r="G19" s="1028" t="e">
        <f>E19/E$19*100</f>
        <v>#DIV/0!</v>
      </c>
      <c r="H19" s="1029">
        <f>IF(AND(D19=0,E19=0),0,(D19-E19)/E19*100)</f>
        <v>0</v>
      </c>
      <c r="I19" s="1030">
        <f>IF(AND(D19=0,E19=0),0,(E19-D19)/D19*100)</f>
        <v>0</v>
      </c>
      <c r="J19" s="25"/>
      <c r="K19" s="25"/>
      <c r="L19" s="25"/>
      <c r="N19" s="25"/>
      <c r="O19" s="502">
        <f>D19+E19</f>
        <v>0</v>
      </c>
      <c r="P19" s="25"/>
      <c r="Q19" s="1039">
        <f>IF(AND(D19&lt;&gt;0,D19&gt;0),IF((AB$17*9)&gt;=D19,0,1),IF(AND(D19&lt;&gt;0,D19&lt;0),IF((AB$17*9)&lt;=D19,0,1),0))</f>
        <v>0</v>
      </c>
      <c r="R19" s="1039">
        <f>IF(AND(D19&lt;&gt;0,D19&gt;0),IF((AB$17*8)&gt;=D19,0,1),IF(AND(D19&lt;&gt;0,D19&lt;0),IF((AB$17*8)&lt;=D19,0,1),0))</f>
        <v>0</v>
      </c>
      <c r="S19" s="1039">
        <f>IF(AND(D19&lt;&gt;0,D19&gt;0),IF((AB$17*7)&gt;=D19,0,1),IF(AND(D19&lt;&gt;0,D19&lt;0),IF((AB$17*7)&lt;=D19,0,1),0))</f>
        <v>0</v>
      </c>
      <c r="T19" s="1039">
        <f>IF(AND(D19&lt;&gt;0,D19&gt;0),IF((AB$17*6)&gt;=D19,0,1),IF(AND(D19&lt;&gt;0,D19&lt;0),IF((AB$17*6)&lt;=D19,0,1),0))</f>
        <v>0</v>
      </c>
      <c r="U19" s="1039">
        <f>IF(AND(D19&lt;&gt;0,D19&gt;0),IF((AB$17*5)&gt;=D19,0,1),IF(AND(D19&lt;&gt;0,D19&lt;0),IF((AB$17*5)&lt;=D19,0,1),0))</f>
        <v>0</v>
      </c>
      <c r="V19" s="1039">
        <f>IF(AND(D19&lt;&gt;0,D19&gt;0),IF((AB$17*4)&gt;=D19,0,1),IF(AND(D19&lt;&gt;0,D19&lt;0),IF((AB$17*4)&lt;=D19,0,1),0))</f>
        <v>0</v>
      </c>
      <c r="W19" s="1039">
        <f>IF(AND(D19&lt;&gt;0,D19&gt;0),IF((AB$17*3)&gt;=D19,0,1),IF(AND(D19&lt;&gt;0,D19&lt;0),IF((AB$17*3)&lt;=D19,0,1),0))</f>
        <v>0</v>
      </c>
      <c r="X19" s="1039">
        <f>IF(AND(D19&lt;&gt;0,D19&gt;0),IF((AB$17*2)&gt;=D19,0,1),IF(AND(D19&lt;&gt;0,D19&lt;0),IF((AB$17*2)&lt;=D19,0,1),0))</f>
        <v>0</v>
      </c>
      <c r="Y19" s="1039">
        <f>IF(AND(D19&lt;&gt;0,D19&gt;0),IF((AB$17*1)&gt;=D19,0,1),IF(AND(D19&lt;&gt;0,D19&lt;0),IF((AB$17*1)&lt;=D19,0,1),0))</f>
        <v>0</v>
      </c>
      <c r="Z19" s="1039">
        <f>IF(D19&lt;&gt;0,1,0)</f>
        <v>0</v>
      </c>
      <c r="AA19" s="1040"/>
      <c r="AB19" s="1039">
        <f>IF(E19&lt;&gt;0,1,0)</f>
        <v>0</v>
      </c>
      <c r="AC19" s="1039">
        <f>IF(AND(E19&lt;&gt;0,E19&gt;0),IF((AB$17*1)&gt;=E19,0,1),IF(AND(E19&lt;&gt;0,E19&lt;0),IF((AB$17*1)&lt;=E19,0,1),0))</f>
        <v>0</v>
      </c>
      <c r="AD19" s="1039">
        <f>IF(AND(E19&lt;&gt;0,E19&gt;0),IF((AB$17*2)&gt;=E19,0,1),IF(AND(E19&lt;&gt;0,E19&lt;0),IF((AB$17*2)&lt;=E19,0,1),0))</f>
        <v>0</v>
      </c>
      <c r="AE19" s="1039">
        <f>IF(AND(E19&lt;&gt;0,E19&gt;0),IF((AB$17*3)&gt;=E19,0,1),IF(AND(E19&lt;&gt;0,E19&lt;0),IF((AB$17*3)&lt;=E19,0,1),0))</f>
        <v>0</v>
      </c>
      <c r="AF19" s="1039">
        <f>IF(AND(E19&lt;&gt;0,E19&gt;0),IF((AB$17*4)&gt;=E19,0,1),IF(AND(E19&lt;&gt;0,E19&lt;0),IF((AB$17*4)&lt;=E19,0,1),0))</f>
        <v>0</v>
      </c>
      <c r="AG19" s="1039">
        <f>IF(AND(E19&lt;&gt;0,E19&gt;0),IF((AB$17*5)&gt;=E19,0,1),IF(AND(E19&lt;&gt;0,E19&lt;0),IF((AB$17*5)&lt;=E19,0,1),0))</f>
        <v>0</v>
      </c>
      <c r="AH19" s="1039">
        <f>IF(AND(E19&lt;&gt;0,E19&gt;0),IF((AB$17*6)&gt;=E19,0,1),IF(AND(E19&lt;&gt;0,E19&lt;0),IF((AB$17*6)&lt;=E19,0,1),0))</f>
        <v>0</v>
      </c>
      <c r="AI19" s="1039">
        <f>IF(AND(E19&lt;&gt;0,E19&gt;0),IF((AB$17*7)&gt;=E19,0,1),IF(AND(E19&lt;&gt;0,E19&lt;0),IF((AB$17*7)&lt;=E19,0,1),0))</f>
        <v>0</v>
      </c>
      <c r="AJ19" s="1039">
        <f>IF(AND(E19&lt;&gt;0,E19&gt;0),IF((AB$17*8)&gt;=E19,0,1),IF(AND(E19&lt;&gt;0,E19&lt;0),IF((AB$17*8)&lt;=E19,0,1),0))</f>
        <v>0</v>
      </c>
      <c r="AK19" s="1039">
        <f>IF(AND(E19&lt;&gt;0,E19&gt;0),IF((AB$17*9)&gt;=E19,0,1),IF(AND(E19&lt;&gt;0,E19&lt;0),IF((AB$17*9)&lt;=E19,0,1),0))</f>
        <v>0</v>
      </c>
      <c r="AL19" s="25"/>
      <c r="AM19" s="1039">
        <f>IF(AND(BI19&lt;&gt;0,BI19&gt;0),IF((AX$17*9)&gt;=BI19,0,1),IF(AND(BI19&lt;&gt;0,BI19&lt;0),IF((AX$17*9)&lt;=BI19,0,1),0))</f>
        <v>0</v>
      </c>
      <c r="AN19" s="1039">
        <f>IF(AND(BI19&lt;&gt;0,BI19&gt;0),IF((AX$17*8)&gt;=BI19,0,1),IF(AND(BI19&lt;&gt;0,BI19&lt;0),IF((AX$17*8)&lt;=BI19,0,1),0))</f>
        <v>0</v>
      </c>
      <c r="AO19" s="1039">
        <f>IF(AND(BI19&lt;&gt;0,BI19&gt;0),IF((AX$17*7)&gt;=BI19,0,1),IF(AND(BI19&lt;&gt;0,BI19&lt;0),IF((AX$17*7)&lt;=BI19,0,1),0))</f>
        <v>0</v>
      </c>
      <c r="AP19" s="1039">
        <f>IF(AND(BI19&lt;&gt;0,BI19&gt;0),IF((AX$17*6)&gt;=BI19,0,1),IF(AND(BI19&lt;&gt;0,BI19&lt;0),IF((AX$17*6)&lt;=BI19,0,1),0))</f>
        <v>0</v>
      </c>
      <c r="AQ19" s="1039">
        <f>IF(AND(BI19&lt;&gt;0,BI19&gt;0),IF((AX$17*5)&gt;=BI19,0,1),IF(AND(BI19&lt;&gt;0,BI19&lt;0),IF((AX$17*5)&lt;=BI19,0,1),0))</f>
        <v>0</v>
      </c>
      <c r="AR19" s="1039">
        <f>IF(AND(BI19&lt;&gt;0,BI19&gt;0),IF((AX$17*4)&gt;=BI19,0,1),IF(AND(BI19&lt;&gt;0,BI19&lt;0),IF((AX$17*4)&lt;=BI19,0,1),0))</f>
        <v>0</v>
      </c>
      <c r="AS19" s="1039">
        <f>IF(AND(BI19&lt;&gt;0,BI19&gt;0),IF((AX$17*3)&gt;=BI19,0,1),IF(AND(BI19&lt;&gt;0,BI19&lt;0),IF((AX$17*3)&lt;=BI19,0,1),0))</f>
        <v>0</v>
      </c>
      <c r="AT19" s="1039">
        <f>IF(AND(BI19&lt;&gt;0,BI19&gt;0),IF((AX$17*2)&gt;=BI19,0,1),IF(AND(BI19&lt;&gt;0,BI19&lt;0),IF((AX$17*2)&lt;=BI19,0,1),0))</f>
        <v>0</v>
      </c>
      <c r="AU19" s="1039">
        <f>IF(AND(BI19&lt;&gt;0,BI19&gt;0),IF((AX$17*1)&gt;=BI19,0,1),IF(AND(BI19&lt;&gt;0,BI19&lt;0),IF((AX$17*1)&lt;=BI19,0,1),0))</f>
        <v>0</v>
      </c>
      <c r="AV19" s="1039">
        <f>IF(BI19&lt;&gt;0,1,0)</f>
        <v>0</v>
      </c>
      <c r="AW19" s="1040"/>
      <c r="AX19" s="1039">
        <f>IF(BJ19&lt;&gt;0,1,0)</f>
        <v>0</v>
      </c>
      <c r="AY19" s="1039">
        <f>IF(AND(BJ19&lt;&gt;0,BJ19&gt;0),IF((AX$17*1)&gt;=BJ19,0,1),IF(AND(BJ19&lt;&gt;0,BJ19&lt;0),IF((AX$17*1)&lt;=BJ19,0,1),0))</f>
        <v>0</v>
      </c>
      <c r="AZ19" s="1039">
        <f>IF(AND(BJ19&lt;&gt;0,BJ19&gt;0),IF((AX$17*2)&gt;=BJ19,0,1),IF(AND(BJ19&lt;&gt;0,BJ19&lt;0),IF((AX$17*2)&lt;=BJ19,0,1),0))</f>
        <v>0</v>
      </c>
      <c r="BA19" s="1039">
        <f>IF(AND(BJ19&lt;&gt;0,BJ19&gt;0),IF((AX$17*3)&gt;=BJ19,0,1),IF(AND(BJ19&lt;&gt;0,BJ19&lt;0),IF((AX$17*3)&lt;=BJ19,0,1),0))</f>
        <v>0</v>
      </c>
      <c r="BB19" s="1039">
        <f>IF(AND(BJ19&lt;&gt;0,BJ19&gt;0),IF((AX$17*4)&gt;=BJ19,0,1),IF(AND(BJ19&lt;&gt;0,BJ19&lt;0),IF((AX$17*4)&lt;=BJ19,0,1),0))</f>
        <v>0</v>
      </c>
      <c r="BC19" s="1039">
        <f>IF(AND(BJ19&lt;&gt;0,BJ19&gt;0),IF((AX$17*5)&gt;=BJ19,0,1),IF(AND(BJ19&lt;&gt;0,BJ19&lt;0),IF((AX$17*5)&lt;=BJ19,0,1),0))</f>
        <v>0</v>
      </c>
      <c r="BD19" s="1039">
        <f>IF(AND(BJ19&lt;&gt;0,BJ19&gt;0),IF((AX$17*6)&gt;=BJ19,0,1),IF(AND(BJ19&lt;&gt;0,BJ19&lt;0),IF((AX$17*6)&lt;=BJ19,0,1),0))</f>
        <v>0</v>
      </c>
      <c r="BE19" s="1039">
        <f>IF(AND(BJ19&lt;&gt;0,BJ19&gt;0),IF((AX$17*7)&gt;=BJ19,0,1),IF(AND(BJ19&lt;&gt;0,BJ19&lt;0),IF((AX$17*7)&lt;=BJ19,0,1),0))</f>
        <v>0</v>
      </c>
      <c r="BF19" s="1039">
        <f>IF(AND(BJ19&lt;&gt;0,BJ19&gt;0),IF((AX$17*8)&gt;=BJ19,0,1),IF(AND(BJ19&lt;&gt;0,BJ19&lt;0),IF((AX$17*8)&lt;=BJ19,0,1),0))</f>
        <v>0</v>
      </c>
      <c r="BG19" s="1039">
        <f>IF(AND(BJ19&lt;&gt;0,BJ19&gt;0),IF((AX$17*9)&gt;=BJ19,0,1),IF(AND(BJ19&lt;&gt;0,BJ19&lt;0),IF((AX$17*9)&lt;=BJ19,0,1),0))</f>
        <v>0</v>
      </c>
      <c r="BH19" s="25"/>
      <c r="BI19" s="499">
        <f>IF(ISERROR(D19/O19*100),0,IF(D19&gt;=E19,ROUND(D19/O19*100,-1),100-BJ19))</f>
        <v>0</v>
      </c>
      <c r="BJ19" s="499">
        <f>IF(ISERROR(E19/O19*100),0,IF(E19&gt;=D19,ROUND(E19/O19*100,-1),100-BI19))</f>
        <v>0</v>
      </c>
      <c r="BK19" s="25"/>
    </row>
    <row r="20" spans="1:63" ht="19.5" customHeight="1" x14ac:dyDescent="0.2">
      <c r="A20" s="270"/>
      <c r="B20" s="25"/>
      <c r="C20" s="944" t="str">
        <f>RIEPILOGO!B6</f>
        <v>a CONTO</v>
      </c>
      <c r="D20" s="945">
        <f>SUMIF(CASSA!AM180:AM545,"X",CASSA!AO180:AO545)-D83</f>
        <v>0</v>
      </c>
      <c r="E20" s="1015">
        <f>SUMIF(CASSA!AL180:AL545,"Y",CASSA!AO180:AO545)-E83</f>
        <v>0</v>
      </c>
      <c r="F20" s="1027" t="e">
        <f t="shared" ref="F20:G31" si="0">D20/D$19*100</f>
        <v>#DIV/0!</v>
      </c>
      <c r="G20" s="1028" t="e">
        <f t="shared" si="0"/>
        <v>#DIV/0!</v>
      </c>
      <c r="H20" s="1029">
        <f>IF(AND(D20=0,E20=0),0,(D20-E20)/E20*100)</f>
        <v>0</v>
      </c>
      <c r="I20" s="1030">
        <f>IF(AND(D20=0,E20=0),0,(E20-D20)/D20*100)</f>
        <v>0</v>
      </c>
      <c r="J20" s="25"/>
      <c r="K20" s="25"/>
      <c r="L20" s="25"/>
      <c r="N20" s="25"/>
      <c r="O20" s="503">
        <f>D20+E20</f>
        <v>0</v>
      </c>
      <c r="P20" s="25"/>
      <c r="Q20" s="1039">
        <f>IF(AND(D20&lt;&gt;0,D20&gt;0),IF((AB$17*9)&gt;=D20,0,1),IF(AND(D20&lt;&gt;0,D20&lt;0),IF((AB$17*9)&lt;=D20,0,1),0))</f>
        <v>0</v>
      </c>
      <c r="R20" s="1039">
        <f>IF(AND(D20&lt;&gt;0,D20&gt;0),IF((AB$17*8)&gt;=D20,0,1),IF(AND(D20&lt;&gt;0,D20&lt;0),IF((AB$17*8)&lt;=D20,0,1),0))</f>
        <v>0</v>
      </c>
      <c r="S20" s="1039">
        <f>IF(AND(D20&lt;&gt;0,D20&gt;0),IF((AB$17*7)&gt;=D20,0,1),IF(AND(D20&lt;&gt;0,D20&lt;0),IF((AB$17*7)&lt;=D20,0,1),0))</f>
        <v>0</v>
      </c>
      <c r="T20" s="1039">
        <f>IF(AND(D20&lt;&gt;0,D20&gt;0),IF((AB$17*6)&gt;=D20,0,1),IF(AND(D20&lt;&gt;0,D20&lt;0),IF((AB$17*6)&lt;=D20,0,1),0))</f>
        <v>0</v>
      </c>
      <c r="U20" s="1039">
        <f>IF(AND(D20&lt;&gt;0,D20&gt;0),IF((AB$17*5)&gt;=D20,0,1),IF(AND(D20&lt;&gt;0,D20&lt;0),IF((AB$17*5)&lt;=D20,0,1),0))</f>
        <v>0</v>
      </c>
      <c r="V20" s="1039">
        <f>IF(AND(D20&lt;&gt;0,D20&gt;0),IF((AB$17*4)&gt;=D20,0,1),IF(AND(D20&lt;&gt;0,D20&lt;0),IF((AB$17*4)&lt;=D20,0,1),0))</f>
        <v>0</v>
      </c>
      <c r="W20" s="1039">
        <f>IF(AND(D20&lt;&gt;0,D20&gt;0),IF((AB$17*3)&gt;=D20,0,1),IF(AND(D20&lt;&gt;0,D20&lt;0),IF((AB$17*3)&lt;=D20,0,1),0))</f>
        <v>0</v>
      </c>
      <c r="X20" s="1039">
        <f>IF(AND(D20&lt;&gt;0,D20&gt;0),IF((AB$17*2)&gt;=D20,0,1),IF(AND(D20&lt;&gt;0,D20&lt;0),IF((AB$17*2)&lt;=D20,0,1),0))</f>
        <v>0</v>
      </c>
      <c r="Y20" s="1039">
        <f>IF(AND(D20&lt;&gt;0,D20&gt;0),IF((AB$17*1)&gt;=D20,0,1),IF(AND(D20&lt;&gt;0,D20&lt;0),IF((AB$17*1)&lt;=D20,0,1),0))</f>
        <v>0</v>
      </c>
      <c r="Z20" s="1039">
        <f>IF(D20&lt;&gt;0,1,0)</f>
        <v>0</v>
      </c>
      <c r="AA20" s="1040"/>
      <c r="AB20" s="1039">
        <f>IF(E20&lt;&gt;0,1,0)</f>
        <v>0</v>
      </c>
      <c r="AC20" s="1039">
        <f>IF(AND(E20&lt;&gt;0,E20&gt;0),IF((AB$17*1)&gt;=E20,0,1),IF(AND(E20&lt;&gt;0,E20&lt;0),IF((AB$17*1)&lt;=E20,0,1),0))</f>
        <v>0</v>
      </c>
      <c r="AD20" s="1039">
        <f>IF(AND(E20&lt;&gt;0,E20&gt;0),IF((AB$17*2)&gt;=E20,0,1),IF(AND(E20&lt;&gt;0,E20&lt;0),IF((AB$17*2)&lt;=E20,0,1),0))</f>
        <v>0</v>
      </c>
      <c r="AE20" s="1039">
        <f>IF(AND(E20&lt;&gt;0,E20&gt;0),IF((AB$17*3)&gt;=E20,0,1),IF(AND(E20&lt;&gt;0,E20&lt;0),IF((AB$17*3)&lt;=E20,0,1),0))</f>
        <v>0</v>
      </c>
      <c r="AF20" s="1039">
        <f>IF(AND(E20&lt;&gt;0,E20&gt;0),IF((AB$17*4)&gt;=E20,0,1),IF(AND(E20&lt;&gt;0,E20&lt;0),IF((AB$17*4)&lt;=E20,0,1),0))</f>
        <v>0</v>
      </c>
      <c r="AG20" s="1039">
        <f>IF(AND(E20&lt;&gt;0,E20&gt;0),IF((AB$17*5)&gt;=E20,0,1),IF(AND(E20&lt;&gt;0,E20&lt;0),IF((AB$17*5)&lt;=E20,0,1),0))</f>
        <v>0</v>
      </c>
      <c r="AH20" s="1039">
        <f>IF(AND(E20&lt;&gt;0,E20&gt;0),IF((AB$17*6)&gt;=E20,0,1),IF(AND(E20&lt;&gt;0,E20&lt;0),IF((AB$17*6)&lt;=E20,0,1),0))</f>
        <v>0</v>
      </c>
      <c r="AI20" s="1039">
        <f>IF(AND(E20&lt;&gt;0,E20&gt;0),IF((AB$17*7)&gt;=E20,0,1),IF(AND(E20&lt;&gt;0,E20&lt;0),IF((AB$17*7)&lt;=E20,0,1),0))</f>
        <v>0</v>
      </c>
      <c r="AJ20" s="1039">
        <f>IF(AND(E20&lt;&gt;0,E20&gt;0),IF((AB$17*8)&gt;=E20,0,1),IF(AND(E20&lt;&gt;0,E20&lt;0),IF((AB$17*8)&lt;=E20,0,1),0))</f>
        <v>0</v>
      </c>
      <c r="AK20" s="1039">
        <f>IF(AND(E20&lt;&gt;0,E20&gt;0),IF((AB$17*9)&gt;=E20,0,1),IF(AND(E20&lt;&gt;0,E20&lt;0),IF((AB$17*9)&lt;=E20,0,1),0))</f>
        <v>0</v>
      </c>
      <c r="AL20" s="25"/>
      <c r="AM20" s="1039">
        <f>IF(AND(BI20&lt;&gt;0,BI20&gt;0),IF((AX$17*9)&gt;=BI20,0,1),IF(AND(BI20&lt;&gt;0,BI20&lt;0),IF((AX$17*9)&lt;=BI20,0,1),0))</f>
        <v>0</v>
      </c>
      <c r="AN20" s="1039">
        <f>IF(AND(BI20&lt;&gt;0,BI20&gt;0),IF((AX$17*8)&gt;=BI20,0,1),IF(AND(BI20&lt;&gt;0,BI20&lt;0),IF((AX$17*8)&lt;=BI20,0,1),0))</f>
        <v>0</v>
      </c>
      <c r="AO20" s="1039">
        <f>IF(AND(BI20&lt;&gt;0,BI20&gt;0),IF((AX$17*7)&gt;=BI20,0,1),IF(AND(BI20&lt;&gt;0,BI20&lt;0),IF((AX$17*7)&lt;=BI20,0,1),0))</f>
        <v>0</v>
      </c>
      <c r="AP20" s="1039">
        <f>IF(AND(BI20&lt;&gt;0,BI20&gt;0),IF((AX$17*6)&gt;=BI20,0,1),IF(AND(BI20&lt;&gt;0,BI20&lt;0),IF((AX$17*6)&lt;=BI20,0,1),0))</f>
        <v>0</v>
      </c>
      <c r="AQ20" s="1039">
        <f>IF(AND(BI20&lt;&gt;0,BI20&gt;0),IF((AX$17*5)&gt;=BI20,0,1),IF(AND(BI20&lt;&gt;0,BI20&lt;0),IF((AX$17*5)&lt;=BI20,0,1),0))</f>
        <v>0</v>
      </c>
      <c r="AR20" s="1039">
        <f>IF(AND(BI20&lt;&gt;0,BI20&gt;0),IF((AX$17*4)&gt;=BI20,0,1),IF(AND(BI20&lt;&gt;0,BI20&lt;0),IF((AX$17*4)&lt;=BI20,0,1),0))</f>
        <v>0</v>
      </c>
      <c r="AS20" s="1039">
        <f>IF(AND(BI20&lt;&gt;0,BI20&gt;0),IF((AX$17*3)&gt;=BI20,0,1),IF(AND(BI20&lt;&gt;0,BI20&lt;0),IF((AX$17*3)&lt;=BI20,0,1),0))</f>
        <v>0</v>
      </c>
      <c r="AT20" s="1039">
        <f>IF(AND(BI20&lt;&gt;0,BI20&gt;0),IF((AX$17*2)&gt;=BI20,0,1),IF(AND(BI20&lt;&gt;0,BI20&lt;0),IF((AX$17*2)&lt;=BI20,0,1),0))</f>
        <v>0</v>
      </c>
      <c r="AU20" s="1039">
        <f>IF(AND(BI20&lt;&gt;0,BI20&gt;0),IF((AX$17*1)&gt;=BI20,0,1),IF(AND(BI20&lt;&gt;0,BI20&lt;0),IF((AX$17*1)&lt;=BI20,0,1),0))</f>
        <v>0</v>
      </c>
      <c r="AV20" s="1039">
        <f>IF(BI20&lt;&gt;0,1,0)</f>
        <v>0</v>
      </c>
      <c r="AW20" s="1040"/>
      <c r="AX20" s="1039">
        <f>IF(BJ20&lt;&gt;0,1,0)</f>
        <v>0</v>
      </c>
      <c r="AY20" s="1039">
        <f>IF(AND(BJ20&lt;&gt;0,BJ20&gt;0),IF((AX$17*1)&gt;=BJ20,0,1),IF(AND(BJ20&lt;&gt;0,BJ20&lt;0),IF((AX$17*1)&lt;=BJ20,0,1),0))</f>
        <v>0</v>
      </c>
      <c r="AZ20" s="1039">
        <f>IF(AND(BJ20&lt;&gt;0,BJ20&gt;0),IF((AX$17*2)&gt;=BJ20,0,1),IF(AND(BJ20&lt;&gt;0,BJ20&lt;0),IF((AX$17*2)&lt;=BJ20,0,1),0))</f>
        <v>0</v>
      </c>
      <c r="BA20" s="1039">
        <f>IF(AND(BJ20&lt;&gt;0,BJ20&gt;0),IF((AX$17*3)&gt;=BJ20,0,1),IF(AND(BJ20&lt;&gt;0,BJ20&lt;0),IF((AX$17*3)&lt;=BJ20,0,1),0))</f>
        <v>0</v>
      </c>
      <c r="BB20" s="1039">
        <f>IF(AND(BJ20&lt;&gt;0,BJ20&gt;0),IF((AX$17*4)&gt;=BJ20,0,1),IF(AND(BJ20&lt;&gt;0,BJ20&lt;0),IF((AX$17*4)&lt;=BJ20,0,1),0))</f>
        <v>0</v>
      </c>
      <c r="BC20" s="1039">
        <f>IF(AND(BJ20&lt;&gt;0,BJ20&gt;0),IF((AX$17*5)&gt;=BJ20,0,1),IF(AND(BJ20&lt;&gt;0,BJ20&lt;0),IF((AX$17*5)&lt;=BJ20,0,1),0))</f>
        <v>0</v>
      </c>
      <c r="BD20" s="1039">
        <f>IF(AND(BJ20&lt;&gt;0,BJ20&gt;0),IF((AX$17*6)&gt;=BJ20,0,1),IF(AND(BJ20&lt;&gt;0,BJ20&lt;0),IF((AX$17*6)&lt;=BJ20,0,1),0))</f>
        <v>0</v>
      </c>
      <c r="BE20" s="1039">
        <f>IF(AND(BJ20&lt;&gt;0,BJ20&gt;0),IF((AX$17*7)&gt;=BJ20,0,1),IF(AND(BJ20&lt;&gt;0,BJ20&lt;0),IF((AX$17*7)&lt;=BJ20,0,1),0))</f>
        <v>0</v>
      </c>
      <c r="BF20" s="1039">
        <f>IF(AND(BJ20&lt;&gt;0,BJ20&gt;0),IF((AX$17*8)&gt;=BJ20,0,1),IF(AND(BJ20&lt;&gt;0,BJ20&lt;0),IF((AX$17*8)&lt;=BJ20,0,1),0))</f>
        <v>0</v>
      </c>
      <c r="BG20" s="1039">
        <f>IF(AND(BJ20&lt;&gt;0,BJ20&gt;0),IF((AX$17*9)&gt;=BJ20,0,1),IF(AND(BJ20&lt;&gt;0,BJ20&lt;0),IF((AX$17*9)&lt;=BJ20,0,1),0))</f>
        <v>0</v>
      </c>
      <c r="BH20" s="25"/>
      <c r="BI20" s="499">
        <f>IF(ISERROR(D20/O20*100),0,IF(D20&gt;=E20,ROUND(D20/O20*100,-1),100-BJ20))</f>
        <v>0</v>
      </c>
      <c r="BJ20" s="499">
        <f>IF(ISERROR(E20/O20*100),0,IF(E20&gt;=D20,ROUND(E20/O20*100,-1),100-BI20))</f>
        <v>0</v>
      </c>
      <c r="BK20" s="25"/>
    </row>
    <row r="21" spans="1:63" ht="15.75" customHeight="1" x14ac:dyDescent="0.2">
      <c r="A21" s="270"/>
      <c r="B21" s="25"/>
      <c r="C21" s="951" t="str">
        <f>RIEPILOGO!B7</f>
        <v>Valori percentuali:</v>
      </c>
      <c r="D21" s="948"/>
      <c r="E21" s="190"/>
      <c r="F21" s="1031"/>
      <c r="G21" s="1032"/>
      <c r="H21" s="1029"/>
      <c r="I21" s="1030"/>
      <c r="J21" s="25"/>
      <c r="K21" s="25"/>
      <c r="L21" s="25"/>
      <c r="N21" s="25"/>
      <c r="O21" s="504"/>
      <c r="P21" s="25"/>
      <c r="Q21" s="25"/>
      <c r="R21" s="25"/>
      <c r="S21" s="25"/>
      <c r="T21" s="25"/>
      <c r="U21" s="25"/>
      <c r="V21" s="25"/>
      <c r="W21" s="25"/>
      <c r="X21" s="25"/>
      <c r="Y21" s="25"/>
      <c r="Z21" s="81"/>
      <c r="AA21" s="1040"/>
      <c r="AB21" s="25"/>
      <c r="AC21" s="25"/>
      <c r="AD21" s="25"/>
      <c r="AE21" s="25"/>
      <c r="AF21" s="25"/>
      <c r="AG21" s="25"/>
      <c r="AH21" s="25"/>
      <c r="AI21" s="25"/>
      <c r="AJ21" s="25"/>
      <c r="AK21" s="25"/>
      <c r="AL21" s="25"/>
      <c r="AM21" s="25"/>
      <c r="AN21" s="25"/>
      <c r="AO21" s="25"/>
      <c r="AP21" s="25"/>
      <c r="AQ21" s="25"/>
      <c r="AR21" s="25"/>
      <c r="AS21" s="25"/>
      <c r="AT21" s="25"/>
      <c r="AU21" s="25"/>
      <c r="AV21" s="25"/>
      <c r="AW21" s="1040"/>
      <c r="AX21" s="25"/>
      <c r="AY21" s="25"/>
      <c r="AZ21" s="25"/>
      <c r="BA21" s="25"/>
      <c r="BB21" s="25"/>
      <c r="BC21" s="25"/>
      <c r="BD21" s="25"/>
      <c r="BE21" s="25"/>
      <c r="BF21" s="25"/>
      <c r="BG21" s="25"/>
      <c r="BH21" s="25"/>
      <c r="BI21" s="25"/>
      <c r="BJ21" s="25"/>
      <c r="BK21" s="25"/>
    </row>
    <row r="22" spans="1:63" ht="16.5" customHeight="1" x14ac:dyDescent="0.2">
      <c r="A22" s="270"/>
      <c r="B22" s="25"/>
      <c r="C22" s="1023" t="str">
        <f>RIEPILOGO!B8</f>
        <v>Descrizione #1 0 %</v>
      </c>
      <c r="D22" s="949">
        <f>IF(C112=0,0,SUMIF(CASSA!AM180:AM545,"X",CASSA!AP180:AP545)-D85)</f>
        <v>0</v>
      </c>
      <c r="E22" s="376">
        <f>IF(C112=0,0,SUMIF(CASSA!AL180:AL545,"Y",CASSA!AP180:AP545)-E85)</f>
        <v>0</v>
      </c>
      <c r="F22" s="1033" t="e">
        <f t="shared" si="0"/>
        <v>#DIV/0!</v>
      </c>
      <c r="G22" s="1028" t="e">
        <f t="shared" si="0"/>
        <v>#DIV/0!</v>
      </c>
      <c r="H22" s="1034">
        <f t="shared" ref="H22:H31" si="1">IF(AND(D22=0,E22=0),0,(D22-E22)/E22*100)</f>
        <v>0</v>
      </c>
      <c r="I22" s="1030">
        <f t="shared" ref="I22:I31" si="2">IF(AND(D22=0,E22=0),0,(E22-D22)/D22*100)</f>
        <v>0</v>
      </c>
      <c r="J22" s="25"/>
      <c r="K22" s="25"/>
      <c r="L22" s="25"/>
      <c r="N22" s="25"/>
      <c r="O22" s="503">
        <f t="shared" ref="O22:O31" si="3">D22+E22</f>
        <v>0</v>
      </c>
      <c r="P22" s="25"/>
      <c r="Q22" s="1039">
        <f t="shared" ref="Q22:Q31" si="4">IF(AND(D22&lt;&gt;0,D22&gt;0),IF((AB$17*9)&gt;=D22,0,1),IF(AND(D22&lt;&gt;0,D22&lt;0),IF((AB$17*9)&lt;=D22,0,1),0))</f>
        <v>0</v>
      </c>
      <c r="R22" s="1039">
        <f t="shared" ref="R22:R31" si="5">IF(AND(D22&lt;&gt;0,D22&gt;0),IF((AB$17*8)&gt;=D22,0,1),IF(AND(D22&lt;&gt;0,D22&lt;0),IF((AB$17*8)&lt;=D22,0,1),0))</f>
        <v>0</v>
      </c>
      <c r="S22" s="1039">
        <f t="shared" ref="S22:S31" si="6">IF(AND(D22&lt;&gt;0,D22&gt;0),IF((AB$17*7)&gt;=D22,0,1),IF(AND(D22&lt;&gt;0,D22&lt;0),IF((AB$17*7)&lt;=D22,0,1),0))</f>
        <v>0</v>
      </c>
      <c r="T22" s="1039">
        <f t="shared" ref="T22:T31" si="7">IF(AND(D22&lt;&gt;0,D22&gt;0),IF((AB$17*6)&gt;=D22,0,1),IF(AND(D22&lt;&gt;0,D22&lt;0),IF((AB$17*6)&lt;=D22,0,1),0))</f>
        <v>0</v>
      </c>
      <c r="U22" s="1039">
        <f t="shared" ref="U22:U31" si="8">IF(AND(D22&lt;&gt;0,D22&gt;0),IF((AB$17*5)&gt;=D22,0,1),IF(AND(D22&lt;&gt;0,D22&lt;0),IF((AB$17*5)&lt;=D22,0,1),0))</f>
        <v>0</v>
      </c>
      <c r="V22" s="1039">
        <f t="shared" ref="V22:V31" si="9">IF(AND(D22&lt;&gt;0,D22&gt;0),IF((AB$17*4)&gt;=D22,0,1),IF(AND(D22&lt;&gt;0,D22&lt;0),IF((AB$17*4)&lt;=D22,0,1),0))</f>
        <v>0</v>
      </c>
      <c r="W22" s="1039">
        <f t="shared" ref="W22:W31" si="10">IF(AND(D22&lt;&gt;0,D22&gt;0),IF((AB$17*3)&gt;=D22,0,1),IF(AND(D22&lt;&gt;0,D22&lt;0),IF((AB$17*3)&lt;=D22,0,1),0))</f>
        <v>0</v>
      </c>
      <c r="X22" s="1039">
        <f t="shared" ref="X22:X31" si="11">IF(AND(D22&lt;&gt;0,D22&gt;0),IF((AB$17*2)&gt;=D22,0,1),IF(AND(D22&lt;&gt;0,D22&lt;0),IF((AB$17*2)&lt;=D22,0,1),0))</f>
        <v>0</v>
      </c>
      <c r="Y22" s="1039">
        <f t="shared" ref="Y22:Y31" si="12">IF(AND(D22&lt;&gt;0,D22&gt;0),IF((AB$17*1)&gt;=D22,0,1),IF(AND(D22&lt;&gt;0,D22&lt;0),IF((AB$17*1)&lt;=D22,0,1),0))</f>
        <v>0</v>
      </c>
      <c r="Z22" s="1039">
        <f t="shared" ref="Z22:Z31" si="13">IF(D22&lt;&gt;0,1,0)</f>
        <v>0</v>
      </c>
      <c r="AA22" s="1040"/>
      <c r="AB22" s="1039">
        <f t="shared" ref="AB22:AB31" si="14">IF(E22&lt;&gt;0,1,0)</f>
        <v>0</v>
      </c>
      <c r="AC22" s="1039">
        <f t="shared" ref="AC22:AC31" si="15">IF(AND(E22&lt;&gt;0,E22&gt;0),IF((AB$17*1)&gt;=E22,0,1),IF(AND(E22&lt;&gt;0,E22&lt;0),IF((AB$17*1)&lt;=E22,0,1),0))</f>
        <v>0</v>
      </c>
      <c r="AD22" s="1039">
        <f t="shared" ref="AD22:AD31" si="16">IF(AND(E22&lt;&gt;0,E22&gt;0),IF((AB$17*2)&gt;=E22,0,1),IF(AND(E22&lt;&gt;0,E22&lt;0),IF((AB$17*2)&lt;=E22,0,1),0))</f>
        <v>0</v>
      </c>
      <c r="AE22" s="1039">
        <f t="shared" ref="AE22:AE31" si="17">IF(AND(E22&lt;&gt;0,E22&gt;0),IF((AB$17*3)&gt;=E22,0,1),IF(AND(E22&lt;&gt;0,E22&lt;0),IF((AB$17*3)&lt;=E22,0,1),0))</f>
        <v>0</v>
      </c>
      <c r="AF22" s="1039">
        <f t="shared" ref="AF22:AF31" si="18">IF(AND(E22&lt;&gt;0,E22&gt;0),IF((AB$17*4)&gt;=E22,0,1),IF(AND(E22&lt;&gt;0,E22&lt;0),IF((AB$17*4)&lt;=E22,0,1),0))</f>
        <v>0</v>
      </c>
      <c r="AG22" s="1039">
        <f t="shared" ref="AG22:AG31" si="19">IF(AND(E22&lt;&gt;0,E22&gt;0),IF((AB$17*5)&gt;=E22,0,1),IF(AND(E22&lt;&gt;0,E22&lt;0),IF((AB$17*5)&lt;=E22,0,1),0))</f>
        <v>0</v>
      </c>
      <c r="AH22" s="1039">
        <f t="shared" ref="AH22:AH31" si="20">IF(AND(E22&lt;&gt;0,E22&gt;0),IF((AB$17*6)&gt;=E22,0,1),IF(AND(E22&lt;&gt;0,E22&lt;0),IF((AB$17*6)&lt;=E22,0,1),0))</f>
        <v>0</v>
      </c>
      <c r="AI22" s="1039">
        <f t="shared" ref="AI22:AI31" si="21">IF(AND(E22&lt;&gt;0,E22&gt;0),IF((AB$17*7)&gt;=E22,0,1),IF(AND(E22&lt;&gt;0,E22&lt;0),IF((AB$17*7)&lt;=E22,0,1),0))</f>
        <v>0</v>
      </c>
      <c r="AJ22" s="1039">
        <f t="shared" ref="AJ22:AJ31" si="22">IF(AND(E22&lt;&gt;0,E22&gt;0),IF((AB$17*8)&gt;=E22,0,1),IF(AND(E22&lt;&gt;0,E22&lt;0),IF((AB$17*8)&lt;=E22,0,1),0))</f>
        <v>0</v>
      </c>
      <c r="AK22" s="1039">
        <f t="shared" ref="AK22:AK31" si="23">IF(AND(E22&lt;&gt;0,E22&gt;0),IF((AB$17*9)&gt;=E22,0,1),IF(AND(E22&lt;&gt;0,E22&lt;0),IF((AB$17*9)&lt;=E22,0,1),0))</f>
        <v>0</v>
      </c>
      <c r="AL22" s="25"/>
      <c r="AM22" s="1039">
        <f t="shared" ref="AM22:AM31" si="24">IF(AND(BI22&lt;&gt;0,BI22&gt;0),IF((AX$17*9)&gt;=BI22,0,1),IF(AND(BI22&lt;&gt;0,BI22&lt;0),IF((AX$17*9)&lt;=BI22,0,1),0))</f>
        <v>0</v>
      </c>
      <c r="AN22" s="1039">
        <f t="shared" ref="AN22:AN31" si="25">IF(AND(BI22&lt;&gt;0,BI22&gt;0),IF((AX$17*8)&gt;=BI22,0,1),IF(AND(BI22&lt;&gt;0,BI22&lt;0),IF((AX$17*8)&lt;=BI22,0,1),0))</f>
        <v>0</v>
      </c>
      <c r="AO22" s="1039">
        <f t="shared" ref="AO22:AO31" si="26">IF(AND(BI22&lt;&gt;0,BI22&gt;0),IF((AX$17*7)&gt;=BI22,0,1),IF(AND(BI22&lt;&gt;0,BI22&lt;0),IF((AX$17*7)&lt;=BI22,0,1),0))</f>
        <v>0</v>
      </c>
      <c r="AP22" s="1039">
        <f t="shared" ref="AP22:AP31" si="27">IF(AND(BI22&lt;&gt;0,BI22&gt;0),IF((AX$17*6)&gt;=BI22,0,1),IF(AND(BI22&lt;&gt;0,BI22&lt;0),IF((AX$17*6)&lt;=BI22,0,1),0))</f>
        <v>0</v>
      </c>
      <c r="AQ22" s="1039">
        <f t="shared" ref="AQ22:AQ31" si="28">IF(AND(BI22&lt;&gt;0,BI22&gt;0),IF((AX$17*5)&gt;=BI22,0,1),IF(AND(BI22&lt;&gt;0,BI22&lt;0),IF((AX$17*5)&lt;=BI22,0,1),0))</f>
        <v>0</v>
      </c>
      <c r="AR22" s="1039">
        <f t="shared" ref="AR22:AR31" si="29">IF(AND(BI22&lt;&gt;0,BI22&gt;0),IF((AX$17*4)&gt;=BI22,0,1),IF(AND(BI22&lt;&gt;0,BI22&lt;0),IF((AX$17*4)&lt;=BI22,0,1),0))</f>
        <v>0</v>
      </c>
      <c r="AS22" s="1039">
        <f t="shared" ref="AS22:AS31" si="30">IF(AND(BI22&lt;&gt;0,BI22&gt;0),IF((AX$17*3)&gt;=BI22,0,1),IF(AND(BI22&lt;&gt;0,BI22&lt;0),IF((AX$17*3)&lt;=BI22,0,1),0))</f>
        <v>0</v>
      </c>
      <c r="AT22" s="1039">
        <f t="shared" ref="AT22:AT31" si="31">IF(AND(BI22&lt;&gt;0,BI22&gt;0),IF((AX$17*2)&gt;=BI22,0,1),IF(AND(BI22&lt;&gt;0,BI22&lt;0),IF((AX$17*2)&lt;=BI22,0,1),0))</f>
        <v>0</v>
      </c>
      <c r="AU22" s="1039">
        <f t="shared" ref="AU22:AU31" si="32">IF(AND(BI22&lt;&gt;0,BI22&gt;0),IF((AX$17*1)&gt;=BI22,0,1),IF(AND(BI22&lt;&gt;0,BI22&lt;0),IF((AX$17*1)&lt;=BI22,0,1),0))</f>
        <v>0</v>
      </c>
      <c r="AV22" s="1039">
        <f t="shared" ref="AV22:AV31" si="33">IF(BI22&lt;&gt;0,1,0)</f>
        <v>0</v>
      </c>
      <c r="AW22" s="1040"/>
      <c r="AX22" s="1039">
        <f t="shared" ref="AX22:AX31" si="34">IF(BJ22&lt;&gt;0,1,0)</f>
        <v>0</v>
      </c>
      <c r="AY22" s="1039">
        <f t="shared" ref="AY22:AY31" si="35">IF(AND(BJ22&lt;&gt;0,BJ22&gt;0),IF((AX$17*1)&gt;=BJ22,0,1),IF(AND(BJ22&lt;&gt;0,BJ22&lt;0),IF((AX$17*1)&lt;=BJ22,0,1),0))</f>
        <v>0</v>
      </c>
      <c r="AZ22" s="1039">
        <f t="shared" ref="AZ22:AZ31" si="36">IF(AND(BJ22&lt;&gt;0,BJ22&gt;0),IF((AX$17*2)&gt;=BJ22,0,1),IF(AND(BJ22&lt;&gt;0,BJ22&lt;0),IF((AX$17*2)&lt;=BJ22,0,1),0))</f>
        <v>0</v>
      </c>
      <c r="BA22" s="1039">
        <f t="shared" ref="BA22:BA31" si="37">IF(AND(BJ22&lt;&gt;0,BJ22&gt;0),IF((AX$17*3)&gt;=BJ22,0,1),IF(AND(BJ22&lt;&gt;0,BJ22&lt;0),IF((AX$17*3)&lt;=BJ22,0,1),0))</f>
        <v>0</v>
      </c>
      <c r="BB22" s="1039">
        <f t="shared" ref="BB22:BB31" si="38">IF(AND(BJ22&lt;&gt;0,BJ22&gt;0),IF((AX$17*4)&gt;=BJ22,0,1),IF(AND(BJ22&lt;&gt;0,BJ22&lt;0),IF((AX$17*4)&lt;=BJ22,0,1),0))</f>
        <v>0</v>
      </c>
      <c r="BC22" s="1039">
        <f t="shared" ref="BC22:BC31" si="39">IF(AND(BJ22&lt;&gt;0,BJ22&gt;0),IF((AX$17*5)&gt;=BJ22,0,1),IF(AND(BJ22&lt;&gt;0,BJ22&lt;0),IF((AX$17*5)&lt;=BJ22,0,1),0))</f>
        <v>0</v>
      </c>
      <c r="BD22" s="1039">
        <f t="shared" ref="BD22:BD31" si="40">IF(AND(BJ22&lt;&gt;0,BJ22&gt;0),IF((AX$17*6)&gt;=BJ22,0,1),IF(AND(BJ22&lt;&gt;0,BJ22&lt;0),IF((AX$17*6)&lt;=BJ22,0,1),0))</f>
        <v>0</v>
      </c>
      <c r="BE22" s="1039">
        <f t="shared" ref="BE22:BE31" si="41">IF(AND(BJ22&lt;&gt;0,BJ22&gt;0),IF((AX$17*7)&gt;=BJ22,0,1),IF(AND(BJ22&lt;&gt;0,BJ22&lt;0),IF((AX$17*7)&lt;=BJ22,0,1),0))</f>
        <v>0</v>
      </c>
      <c r="BF22" s="1039">
        <f t="shared" ref="BF22:BF31" si="42">IF(AND(BJ22&lt;&gt;0,BJ22&gt;0),IF((AX$17*8)&gt;=BJ22,0,1),IF(AND(BJ22&lt;&gt;0,BJ22&lt;0),IF((AX$17*8)&lt;=BJ22,0,1),0))</f>
        <v>0</v>
      </c>
      <c r="BG22" s="1039">
        <f t="shared" ref="BG22:BG31" si="43">IF(AND(BJ22&lt;&gt;0,BJ22&gt;0),IF((AX$17*9)&gt;=BJ22,0,1),IF(AND(BJ22&lt;&gt;0,BJ22&lt;0),IF((AX$17*9)&lt;=BJ22,0,1),0))</f>
        <v>0</v>
      </c>
      <c r="BH22" s="25"/>
      <c r="BI22" s="499">
        <f t="shared" ref="BI22:BI31" si="44">IF(ISERROR(D22/O22*100),0,IF(D22&gt;=E22,ROUND(D22/O22*100,-1),100-BJ22))</f>
        <v>0</v>
      </c>
      <c r="BJ22" s="499">
        <f t="shared" ref="BJ22:BJ31" si="45">IF(ISERROR(E22/O22*100),0,IF(E22&gt;=D22,ROUND(E22/O22*100,-1),100-BI22))</f>
        <v>0</v>
      </c>
      <c r="BK22" s="25"/>
    </row>
    <row r="23" spans="1:63" ht="16.5" customHeight="1" x14ac:dyDescent="0.2">
      <c r="A23" s="270"/>
      <c r="B23" s="25"/>
      <c r="C23" s="1024" t="str">
        <f>RIEPILOGO!B9</f>
        <v>Descrizione #2 10 %</v>
      </c>
      <c r="D23" s="950">
        <f>IF(C112=0,0,SUMIF(CASSA!AM180:AM545,"X",CASSA!AQ180:AQ545)-D86)</f>
        <v>0</v>
      </c>
      <c r="E23" s="191">
        <f>IF(C112=0,0,SUMIF(CASSA!AL180:AL545,"Y",CASSA!AQ180:AQ545)-E86)</f>
        <v>0</v>
      </c>
      <c r="F23" s="1033" t="e">
        <f t="shared" si="0"/>
        <v>#DIV/0!</v>
      </c>
      <c r="G23" s="1028" t="e">
        <f t="shared" si="0"/>
        <v>#DIV/0!</v>
      </c>
      <c r="H23" s="1034">
        <f t="shared" si="1"/>
        <v>0</v>
      </c>
      <c r="I23" s="1030">
        <f t="shared" si="2"/>
        <v>0</v>
      </c>
      <c r="J23" s="25"/>
      <c r="K23" s="25"/>
      <c r="L23" s="25"/>
      <c r="N23" s="25"/>
      <c r="O23" s="503">
        <f t="shared" si="3"/>
        <v>0</v>
      </c>
      <c r="P23" s="25"/>
      <c r="Q23" s="1039">
        <f t="shared" ref="Q23:Q30" si="46">IF(AND(D23&lt;&gt;0,D23&gt;0),IF((AB$17*9)&gt;=D23,0,1),IF(AND(D23&lt;&gt;0,D23&lt;0),IF((AB$17*9)&lt;=D23,0,1),0))</f>
        <v>0</v>
      </c>
      <c r="R23" s="1039">
        <f t="shared" ref="R23:R30" si="47">IF(AND(D23&lt;&gt;0,D23&gt;0),IF((AB$17*8)&gt;=D23,0,1),IF(AND(D23&lt;&gt;0,D23&lt;0),IF((AB$17*8)&lt;=D23,0,1),0))</f>
        <v>0</v>
      </c>
      <c r="S23" s="1039">
        <f t="shared" ref="S23:S30" si="48">IF(AND(D23&lt;&gt;0,D23&gt;0),IF((AB$17*7)&gt;=D23,0,1),IF(AND(D23&lt;&gt;0,D23&lt;0),IF((AB$17*7)&lt;=D23,0,1),0))</f>
        <v>0</v>
      </c>
      <c r="T23" s="1039">
        <f t="shared" ref="T23:T30" si="49">IF(AND(D23&lt;&gt;0,D23&gt;0),IF((AB$17*6)&gt;=D23,0,1),IF(AND(D23&lt;&gt;0,D23&lt;0),IF((AB$17*6)&lt;=D23,0,1),0))</f>
        <v>0</v>
      </c>
      <c r="U23" s="1039">
        <f t="shared" ref="U23:U30" si="50">IF(AND(D23&lt;&gt;0,D23&gt;0),IF((AB$17*5)&gt;=D23,0,1),IF(AND(D23&lt;&gt;0,D23&lt;0),IF((AB$17*5)&lt;=D23,0,1),0))</f>
        <v>0</v>
      </c>
      <c r="V23" s="1039">
        <f t="shared" ref="V23:V30" si="51">IF(AND(D23&lt;&gt;0,D23&gt;0),IF((AB$17*4)&gt;=D23,0,1),IF(AND(D23&lt;&gt;0,D23&lt;0),IF((AB$17*4)&lt;=D23,0,1),0))</f>
        <v>0</v>
      </c>
      <c r="W23" s="1039">
        <f t="shared" ref="W23:W30" si="52">IF(AND(D23&lt;&gt;0,D23&gt;0),IF((AB$17*3)&gt;=D23,0,1),IF(AND(D23&lt;&gt;0,D23&lt;0),IF((AB$17*3)&lt;=D23,0,1),0))</f>
        <v>0</v>
      </c>
      <c r="X23" s="1039">
        <f t="shared" ref="X23:X30" si="53">IF(AND(D23&lt;&gt;0,D23&gt;0),IF((AB$17*2)&gt;=D23,0,1),IF(AND(D23&lt;&gt;0,D23&lt;0),IF((AB$17*2)&lt;=D23,0,1),0))</f>
        <v>0</v>
      </c>
      <c r="Y23" s="1039">
        <f t="shared" ref="Y23:Y30" si="54">IF(AND(D23&lt;&gt;0,D23&gt;0),IF((AB$17*1)&gt;=D23,0,1),IF(AND(D23&lt;&gt;0,D23&lt;0),IF((AB$17*1)&lt;=D23,0,1),0))</f>
        <v>0</v>
      </c>
      <c r="Z23" s="1039">
        <f t="shared" ref="Z23:Z30" si="55">IF(D23&lt;&gt;0,1,0)</f>
        <v>0</v>
      </c>
      <c r="AA23" s="1040"/>
      <c r="AB23" s="1039">
        <f t="shared" ref="AB23:AB30" si="56">IF(E23&lt;&gt;0,1,0)</f>
        <v>0</v>
      </c>
      <c r="AC23" s="1039">
        <f t="shared" ref="AC23:AC30" si="57">IF(AND(E23&lt;&gt;0,E23&gt;0),IF((AB$17*1)&gt;=E23,0,1),IF(AND(E23&lt;&gt;0,E23&lt;0),IF((AB$17*1)&lt;=E23,0,1),0))</f>
        <v>0</v>
      </c>
      <c r="AD23" s="1039">
        <f t="shared" ref="AD23:AD30" si="58">IF(AND(E23&lt;&gt;0,E23&gt;0),IF((AB$17*2)&gt;=E23,0,1),IF(AND(E23&lt;&gt;0,E23&lt;0),IF((AB$17*2)&lt;=E23,0,1),0))</f>
        <v>0</v>
      </c>
      <c r="AE23" s="1039">
        <f t="shared" ref="AE23:AE30" si="59">IF(AND(E23&lt;&gt;0,E23&gt;0),IF((AB$17*3)&gt;=E23,0,1),IF(AND(E23&lt;&gt;0,E23&lt;0),IF((AB$17*3)&lt;=E23,0,1),0))</f>
        <v>0</v>
      </c>
      <c r="AF23" s="1039">
        <f t="shared" ref="AF23:AF30" si="60">IF(AND(E23&lt;&gt;0,E23&gt;0),IF((AB$17*4)&gt;=E23,0,1),IF(AND(E23&lt;&gt;0,E23&lt;0),IF((AB$17*4)&lt;=E23,0,1),0))</f>
        <v>0</v>
      </c>
      <c r="AG23" s="1039">
        <f t="shared" ref="AG23:AG30" si="61">IF(AND(E23&lt;&gt;0,E23&gt;0),IF((AB$17*5)&gt;=E23,0,1),IF(AND(E23&lt;&gt;0,E23&lt;0),IF((AB$17*5)&lt;=E23,0,1),0))</f>
        <v>0</v>
      </c>
      <c r="AH23" s="1039">
        <f t="shared" ref="AH23:AH30" si="62">IF(AND(E23&lt;&gt;0,E23&gt;0),IF((AB$17*6)&gt;=E23,0,1),IF(AND(E23&lt;&gt;0,E23&lt;0),IF((AB$17*6)&lt;=E23,0,1),0))</f>
        <v>0</v>
      </c>
      <c r="AI23" s="1039">
        <f t="shared" ref="AI23:AI30" si="63">IF(AND(E23&lt;&gt;0,E23&gt;0),IF((AB$17*7)&gt;=E23,0,1),IF(AND(E23&lt;&gt;0,E23&lt;0),IF((AB$17*7)&lt;=E23,0,1),0))</f>
        <v>0</v>
      </c>
      <c r="AJ23" s="1039">
        <f t="shared" ref="AJ23:AJ30" si="64">IF(AND(E23&lt;&gt;0,E23&gt;0),IF((AB$17*8)&gt;=E23,0,1),IF(AND(E23&lt;&gt;0,E23&lt;0),IF((AB$17*8)&lt;=E23,0,1),0))</f>
        <v>0</v>
      </c>
      <c r="AK23" s="1039">
        <f t="shared" ref="AK23:AK30" si="65">IF(AND(E23&lt;&gt;0,E23&gt;0),IF((AB$17*9)&gt;=E23,0,1),IF(AND(E23&lt;&gt;0,E23&lt;0),IF((AB$17*9)&lt;=E23,0,1),0))</f>
        <v>0</v>
      </c>
      <c r="AL23" s="25"/>
      <c r="AM23" s="1039">
        <f t="shared" ref="AM23:AM30" si="66">IF(AND(BI23&lt;&gt;0,BI23&gt;0),IF((AX$17*9)&gt;=BI23,0,1),IF(AND(BI23&lt;&gt;0,BI23&lt;0),IF((AX$17*9)&lt;=BI23,0,1),0))</f>
        <v>0</v>
      </c>
      <c r="AN23" s="1039">
        <f t="shared" ref="AN23:AN30" si="67">IF(AND(BI23&lt;&gt;0,BI23&gt;0),IF((AX$17*8)&gt;=BI23,0,1),IF(AND(BI23&lt;&gt;0,BI23&lt;0),IF((AX$17*8)&lt;=BI23,0,1),0))</f>
        <v>0</v>
      </c>
      <c r="AO23" s="1039">
        <f t="shared" ref="AO23:AO30" si="68">IF(AND(BI23&lt;&gt;0,BI23&gt;0),IF((AX$17*7)&gt;=BI23,0,1),IF(AND(BI23&lt;&gt;0,BI23&lt;0),IF((AX$17*7)&lt;=BI23,0,1),0))</f>
        <v>0</v>
      </c>
      <c r="AP23" s="1039">
        <f t="shared" ref="AP23:AP30" si="69">IF(AND(BI23&lt;&gt;0,BI23&gt;0),IF((AX$17*6)&gt;=BI23,0,1),IF(AND(BI23&lt;&gt;0,BI23&lt;0),IF((AX$17*6)&lt;=BI23,0,1),0))</f>
        <v>0</v>
      </c>
      <c r="AQ23" s="1039">
        <f t="shared" ref="AQ23:AQ30" si="70">IF(AND(BI23&lt;&gt;0,BI23&gt;0),IF((AX$17*5)&gt;=BI23,0,1),IF(AND(BI23&lt;&gt;0,BI23&lt;0),IF((AX$17*5)&lt;=BI23,0,1),0))</f>
        <v>0</v>
      </c>
      <c r="AR23" s="1039">
        <f t="shared" ref="AR23:AR30" si="71">IF(AND(BI23&lt;&gt;0,BI23&gt;0),IF((AX$17*4)&gt;=BI23,0,1),IF(AND(BI23&lt;&gt;0,BI23&lt;0),IF((AX$17*4)&lt;=BI23,0,1),0))</f>
        <v>0</v>
      </c>
      <c r="AS23" s="1039">
        <f t="shared" ref="AS23:AS30" si="72">IF(AND(BI23&lt;&gt;0,BI23&gt;0),IF((AX$17*3)&gt;=BI23,0,1),IF(AND(BI23&lt;&gt;0,BI23&lt;0),IF((AX$17*3)&lt;=BI23,0,1),0))</f>
        <v>0</v>
      </c>
      <c r="AT23" s="1039">
        <f t="shared" ref="AT23:AT30" si="73">IF(AND(BI23&lt;&gt;0,BI23&gt;0),IF((AX$17*2)&gt;=BI23,0,1),IF(AND(BI23&lt;&gt;0,BI23&lt;0),IF((AX$17*2)&lt;=BI23,0,1),0))</f>
        <v>0</v>
      </c>
      <c r="AU23" s="1039">
        <f t="shared" ref="AU23:AU30" si="74">IF(AND(BI23&lt;&gt;0,BI23&gt;0),IF((AX$17*1)&gt;=BI23,0,1),IF(AND(BI23&lt;&gt;0,BI23&lt;0),IF((AX$17*1)&lt;=BI23,0,1),0))</f>
        <v>0</v>
      </c>
      <c r="AV23" s="1039">
        <f t="shared" ref="AV23:AV30" si="75">IF(BI23&lt;&gt;0,1,0)</f>
        <v>0</v>
      </c>
      <c r="AW23" s="1040"/>
      <c r="AX23" s="1039">
        <f t="shared" ref="AX23:AX30" si="76">IF(BJ23&lt;&gt;0,1,0)</f>
        <v>0</v>
      </c>
      <c r="AY23" s="1039">
        <f t="shared" ref="AY23:AY30" si="77">IF(AND(BJ23&lt;&gt;0,BJ23&gt;0),IF((AX$17*1)&gt;=BJ23,0,1),IF(AND(BJ23&lt;&gt;0,BJ23&lt;0),IF((AX$17*1)&lt;=BJ23,0,1),0))</f>
        <v>0</v>
      </c>
      <c r="AZ23" s="1039">
        <f t="shared" ref="AZ23:AZ30" si="78">IF(AND(BJ23&lt;&gt;0,BJ23&gt;0),IF((AX$17*2)&gt;=BJ23,0,1),IF(AND(BJ23&lt;&gt;0,BJ23&lt;0),IF((AX$17*2)&lt;=BJ23,0,1),0))</f>
        <v>0</v>
      </c>
      <c r="BA23" s="1039">
        <f t="shared" ref="BA23:BA30" si="79">IF(AND(BJ23&lt;&gt;0,BJ23&gt;0),IF((AX$17*3)&gt;=BJ23,0,1),IF(AND(BJ23&lt;&gt;0,BJ23&lt;0),IF((AX$17*3)&lt;=BJ23,0,1),0))</f>
        <v>0</v>
      </c>
      <c r="BB23" s="1039">
        <f t="shared" ref="BB23:BB30" si="80">IF(AND(BJ23&lt;&gt;0,BJ23&gt;0),IF((AX$17*4)&gt;=BJ23,0,1),IF(AND(BJ23&lt;&gt;0,BJ23&lt;0),IF((AX$17*4)&lt;=BJ23,0,1),0))</f>
        <v>0</v>
      </c>
      <c r="BC23" s="1039">
        <f t="shared" ref="BC23:BC30" si="81">IF(AND(BJ23&lt;&gt;0,BJ23&gt;0),IF((AX$17*5)&gt;=BJ23,0,1),IF(AND(BJ23&lt;&gt;0,BJ23&lt;0),IF((AX$17*5)&lt;=BJ23,0,1),0))</f>
        <v>0</v>
      </c>
      <c r="BD23" s="1039">
        <f t="shared" ref="BD23:BD30" si="82">IF(AND(BJ23&lt;&gt;0,BJ23&gt;0),IF((AX$17*6)&gt;=BJ23,0,1),IF(AND(BJ23&lt;&gt;0,BJ23&lt;0),IF((AX$17*6)&lt;=BJ23,0,1),0))</f>
        <v>0</v>
      </c>
      <c r="BE23" s="1039">
        <f t="shared" ref="BE23:BE30" si="83">IF(AND(BJ23&lt;&gt;0,BJ23&gt;0),IF((AX$17*7)&gt;=BJ23,0,1),IF(AND(BJ23&lt;&gt;0,BJ23&lt;0),IF((AX$17*7)&lt;=BJ23,0,1),0))</f>
        <v>0</v>
      </c>
      <c r="BF23" s="1039">
        <f t="shared" ref="BF23:BF30" si="84">IF(AND(BJ23&lt;&gt;0,BJ23&gt;0),IF((AX$17*8)&gt;=BJ23,0,1),IF(AND(BJ23&lt;&gt;0,BJ23&lt;0),IF((AX$17*8)&lt;=BJ23,0,1),0))</f>
        <v>0</v>
      </c>
      <c r="BG23" s="1039">
        <f t="shared" ref="BG23:BG30" si="85">IF(AND(BJ23&lt;&gt;0,BJ23&gt;0),IF((AX$17*9)&gt;=BJ23,0,1),IF(AND(BJ23&lt;&gt;0,BJ23&lt;0),IF((AX$17*9)&lt;=BJ23,0,1),0))</f>
        <v>0</v>
      </c>
      <c r="BH23" s="25"/>
      <c r="BI23" s="499">
        <f t="shared" si="44"/>
        <v>0</v>
      </c>
      <c r="BJ23" s="499">
        <f t="shared" si="45"/>
        <v>0</v>
      </c>
      <c r="BK23" s="25"/>
    </row>
    <row r="24" spans="1:63" ht="16.5" customHeight="1" x14ac:dyDescent="0.2">
      <c r="A24" s="270"/>
      <c r="B24" s="25"/>
      <c r="C24" s="1024" t="str">
        <f>RIEPILOGO!B10</f>
        <v>Descrizione #3 22 %</v>
      </c>
      <c r="D24" s="950">
        <f>IF(C112=0,0,SUMIF(CASSA!AM180:AM545,"X",CASSA!AR180:AR545)-D87)</f>
        <v>0</v>
      </c>
      <c r="E24" s="191">
        <f>IF(C112=0,0,SUMIF(CASSA!AL180:AL545,"Y",CASSA!AR180:AR545)-E87)</f>
        <v>0</v>
      </c>
      <c r="F24" s="1033" t="e">
        <f t="shared" si="0"/>
        <v>#DIV/0!</v>
      </c>
      <c r="G24" s="1028" t="e">
        <f t="shared" si="0"/>
        <v>#DIV/0!</v>
      </c>
      <c r="H24" s="1034">
        <f t="shared" si="1"/>
        <v>0</v>
      </c>
      <c r="I24" s="1030">
        <f t="shared" si="2"/>
        <v>0</v>
      </c>
      <c r="J24" s="25"/>
      <c r="K24" s="25"/>
      <c r="L24" s="25"/>
      <c r="N24" s="25"/>
      <c r="O24" s="503">
        <f t="shared" si="3"/>
        <v>0</v>
      </c>
      <c r="P24" s="25"/>
      <c r="Q24" s="1039">
        <f t="shared" si="46"/>
        <v>0</v>
      </c>
      <c r="R24" s="1039">
        <f t="shared" si="47"/>
        <v>0</v>
      </c>
      <c r="S24" s="1039">
        <f t="shared" si="48"/>
        <v>0</v>
      </c>
      <c r="T24" s="1039">
        <f t="shared" si="49"/>
        <v>0</v>
      </c>
      <c r="U24" s="1039">
        <f t="shared" si="50"/>
        <v>0</v>
      </c>
      <c r="V24" s="1039">
        <f t="shared" si="51"/>
        <v>0</v>
      </c>
      <c r="W24" s="1039">
        <f t="shared" si="52"/>
        <v>0</v>
      </c>
      <c r="X24" s="1039">
        <f t="shared" si="53"/>
        <v>0</v>
      </c>
      <c r="Y24" s="1039">
        <f t="shared" si="54"/>
        <v>0</v>
      </c>
      <c r="Z24" s="1039">
        <f t="shared" si="55"/>
        <v>0</v>
      </c>
      <c r="AA24" s="1040"/>
      <c r="AB24" s="1039">
        <f t="shared" si="56"/>
        <v>0</v>
      </c>
      <c r="AC24" s="1039">
        <f t="shared" si="57"/>
        <v>0</v>
      </c>
      <c r="AD24" s="1039">
        <f t="shared" si="58"/>
        <v>0</v>
      </c>
      <c r="AE24" s="1039">
        <f t="shared" si="59"/>
        <v>0</v>
      </c>
      <c r="AF24" s="1039">
        <f t="shared" si="60"/>
        <v>0</v>
      </c>
      <c r="AG24" s="1039">
        <f t="shared" si="61"/>
        <v>0</v>
      </c>
      <c r="AH24" s="1039">
        <f t="shared" si="62"/>
        <v>0</v>
      </c>
      <c r="AI24" s="1039">
        <f t="shared" si="63"/>
        <v>0</v>
      </c>
      <c r="AJ24" s="1039">
        <f t="shared" si="64"/>
        <v>0</v>
      </c>
      <c r="AK24" s="1039">
        <f t="shared" si="65"/>
        <v>0</v>
      </c>
      <c r="AL24" s="25"/>
      <c r="AM24" s="1039">
        <f t="shared" si="66"/>
        <v>0</v>
      </c>
      <c r="AN24" s="1039">
        <f t="shared" si="67"/>
        <v>0</v>
      </c>
      <c r="AO24" s="1039">
        <f t="shared" si="68"/>
        <v>0</v>
      </c>
      <c r="AP24" s="1039">
        <f t="shared" si="69"/>
        <v>0</v>
      </c>
      <c r="AQ24" s="1039">
        <f t="shared" si="70"/>
        <v>0</v>
      </c>
      <c r="AR24" s="1039">
        <f t="shared" si="71"/>
        <v>0</v>
      </c>
      <c r="AS24" s="1039">
        <f t="shared" si="72"/>
        <v>0</v>
      </c>
      <c r="AT24" s="1039">
        <f t="shared" si="73"/>
        <v>0</v>
      </c>
      <c r="AU24" s="1039">
        <f t="shared" si="74"/>
        <v>0</v>
      </c>
      <c r="AV24" s="1039">
        <f t="shared" si="75"/>
        <v>0</v>
      </c>
      <c r="AW24" s="1040"/>
      <c r="AX24" s="1039">
        <f t="shared" si="76"/>
        <v>0</v>
      </c>
      <c r="AY24" s="1039">
        <f t="shared" si="77"/>
        <v>0</v>
      </c>
      <c r="AZ24" s="1039">
        <f t="shared" si="78"/>
        <v>0</v>
      </c>
      <c r="BA24" s="1039">
        <f t="shared" si="79"/>
        <v>0</v>
      </c>
      <c r="BB24" s="1039">
        <f t="shared" si="80"/>
        <v>0</v>
      </c>
      <c r="BC24" s="1039">
        <f t="shared" si="81"/>
        <v>0</v>
      </c>
      <c r="BD24" s="1039">
        <f t="shared" si="82"/>
        <v>0</v>
      </c>
      <c r="BE24" s="1039">
        <f t="shared" si="83"/>
        <v>0</v>
      </c>
      <c r="BF24" s="1039">
        <f t="shared" si="84"/>
        <v>0</v>
      </c>
      <c r="BG24" s="1039">
        <f t="shared" si="85"/>
        <v>0</v>
      </c>
      <c r="BH24" s="25"/>
      <c r="BI24" s="499">
        <f t="shared" si="44"/>
        <v>0</v>
      </c>
      <c r="BJ24" s="499">
        <f t="shared" si="45"/>
        <v>0</v>
      </c>
      <c r="BK24" s="25"/>
    </row>
    <row r="25" spans="1:63" ht="16.5" customHeight="1" x14ac:dyDescent="0.2">
      <c r="A25" s="270"/>
      <c r="B25" s="25"/>
      <c r="C25" s="1025" t="str">
        <f>RIEPILOGO!B11</f>
        <v/>
      </c>
      <c r="D25" s="950">
        <f>IF(C112=0,0,SUMIF(CASSA!AM180:AM545,"X",CASSA!AS180:AS545)-D88)</f>
        <v>0</v>
      </c>
      <c r="E25" s="191">
        <f>IF(C112=0,0,SUMIF(CASSA!AL180:AL545,"Y",CASSA!AS180:AS545)-E88)</f>
        <v>0</v>
      </c>
      <c r="F25" s="1033" t="e">
        <f t="shared" ref="F25:F30" si="86">D25/D$19*100</f>
        <v>#DIV/0!</v>
      </c>
      <c r="G25" s="1028" t="e">
        <f t="shared" ref="G25:G30" si="87">E25/E$19*100</f>
        <v>#DIV/0!</v>
      </c>
      <c r="H25" s="1034">
        <f t="shared" si="1"/>
        <v>0</v>
      </c>
      <c r="I25" s="1030">
        <f t="shared" si="2"/>
        <v>0</v>
      </c>
      <c r="J25" s="25"/>
      <c r="K25" s="25"/>
      <c r="L25" s="25"/>
      <c r="N25" s="25"/>
      <c r="O25" s="503">
        <f t="shared" si="3"/>
        <v>0</v>
      </c>
      <c r="P25" s="25"/>
      <c r="Q25" s="1039">
        <f t="shared" si="46"/>
        <v>0</v>
      </c>
      <c r="R25" s="1039">
        <f t="shared" si="47"/>
        <v>0</v>
      </c>
      <c r="S25" s="1039">
        <f t="shared" si="48"/>
        <v>0</v>
      </c>
      <c r="T25" s="1039">
        <f t="shared" si="49"/>
        <v>0</v>
      </c>
      <c r="U25" s="1039">
        <f t="shared" si="50"/>
        <v>0</v>
      </c>
      <c r="V25" s="1039">
        <f t="shared" si="51"/>
        <v>0</v>
      </c>
      <c r="W25" s="1039">
        <f t="shared" si="52"/>
        <v>0</v>
      </c>
      <c r="X25" s="1039">
        <f t="shared" si="53"/>
        <v>0</v>
      </c>
      <c r="Y25" s="1039">
        <f t="shared" si="54"/>
        <v>0</v>
      </c>
      <c r="Z25" s="1039">
        <f t="shared" si="55"/>
        <v>0</v>
      </c>
      <c r="AA25" s="1040"/>
      <c r="AB25" s="1039">
        <f t="shared" si="56"/>
        <v>0</v>
      </c>
      <c r="AC25" s="1039">
        <f t="shared" si="57"/>
        <v>0</v>
      </c>
      <c r="AD25" s="1039">
        <f t="shared" si="58"/>
        <v>0</v>
      </c>
      <c r="AE25" s="1039">
        <f t="shared" si="59"/>
        <v>0</v>
      </c>
      <c r="AF25" s="1039">
        <f t="shared" si="60"/>
        <v>0</v>
      </c>
      <c r="AG25" s="1039">
        <f t="shared" si="61"/>
        <v>0</v>
      </c>
      <c r="AH25" s="1039">
        <f t="shared" si="62"/>
        <v>0</v>
      </c>
      <c r="AI25" s="1039">
        <f t="shared" si="63"/>
        <v>0</v>
      </c>
      <c r="AJ25" s="1039">
        <f t="shared" si="64"/>
        <v>0</v>
      </c>
      <c r="AK25" s="1039">
        <f t="shared" si="65"/>
        <v>0</v>
      </c>
      <c r="AL25" s="25"/>
      <c r="AM25" s="1039">
        <f t="shared" si="66"/>
        <v>0</v>
      </c>
      <c r="AN25" s="1039">
        <f t="shared" si="67"/>
        <v>0</v>
      </c>
      <c r="AO25" s="1039">
        <f t="shared" si="68"/>
        <v>0</v>
      </c>
      <c r="AP25" s="1039">
        <f t="shared" si="69"/>
        <v>0</v>
      </c>
      <c r="AQ25" s="1039">
        <f t="shared" si="70"/>
        <v>0</v>
      </c>
      <c r="AR25" s="1039">
        <f t="shared" si="71"/>
        <v>0</v>
      </c>
      <c r="AS25" s="1039">
        <f t="shared" si="72"/>
        <v>0</v>
      </c>
      <c r="AT25" s="1039">
        <f t="shared" si="73"/>
        <v>0</v>
      </c>
      <c r="AU25" s="1039">
        <f t="shared" si="74"/>
        <v>0</v>
      </c>
      <c r="AV25" s="1039">
        <f t="shared" si="75"/>
        <v>0</v>
      </c>
      <c r="AW25" s="1040"/>
      <c r="AX25" s="1039">
        <f t="shared" si="76"/>
        <v>0</v>
      </c>
      <c r="AY25" s="1039">
        <f t="shared" si="77"/>
        <v>0</v>
      </c>
      <c r="AZ25" s="1039">
        <f t="shared" si="78"/>
        <v>0</v>
      </c>
      <c r="BA25" s="1039">
        <f t="shared" si="79"/>
        <v>0</v>
      </c>
      <c r="BB25" s="1039">
        <f t="shared" si="80"/>
        <v>0</v>
      </c>
      <c r="BC25" s="1039">
        <f t="shared" si="81"/>
        <v>0</v>
      </c>
      <c r="BD25" s="1039">
        <f t="shared" si="82"/>
        <v>0</v>
      </c>
      <c r="BE25" s="1039">
        <f t="shared" si="83"/>
        <v>0</v>
      </c>
      <c r="BF25" s="1039">
        <f t="shared" si="84"/>
        <v>0</v>
      </c>
      <c r="BG25" s="1039">
        <f t="shared" si="85"/>
        <v>0</v>
      </c>
      <c r="BH25" s="25"/>
      <c r="BI25" s="499">
        <f t="shared" ref="BI25:BI30" si="88">IF(ISERROR(D25/O25*100),0,IF(D25&gt;=E25,ROUND(D25/O25*100,-1),100-BJ25))</f>
        <v>0</v>
      </c>
      <c r="BJ25" s="499">
        <f t="shared" ref="BJ25:BJ30" si="89">IF(ISERROR(E25/O25*100),0,IF(E25&gt;=D25,ROUND(E25/O25*100,-1),100-BI25))</f>
        <v>0</v>
      </c>
      <c r="BK25" s="25"/>
    </row>
    <row r="26" spans="1:63" ht="16.5" customHeight="1" x14ac:dyDescent="0.2">
      <c r="A26" s="270"/>
      <c r="B26" s="25"/>
      <c r="C26" s="1025" t="str">
        <f>RIEPILOGO!B12</f>
        <v/>
      </c>
      <c r="D26" s="950">
        <f>IF(C112=0,0,SUMIF(CASSA!AM180:AM545,"X",CASSA!AT180:AT545)-D89)</f>
        <v>0</v>
      </c>
      <c r="E26" s="191">
        <f>IF(C112=0,0,SUMIF(CASSA!AL180:AL545,"Y",CASSA!AT180:AT545)-E89)</f>
        <v>0</v>
      </c>
      <c r="F26" s="1033" t="e">
        <f t="shared" si="86"/>
        <v>#DIV/0!</v>
      </c>
      <c r="G26" s="1028" t="e">
        <f t="shared" si="87"/>
        <v>#DIV/0!</v>
      </c>
      <c r="H26" s="1034">
        <f t="shared" si="1"/>
        <v>0</v>
      </c>
      <c r="I26" s="1030">
        <f t="shared" si="2"/>
        <v>0</v>
      </c>
      <c r="J26" s="25"/>
      <c r="K26" s="25"/>
      <c r="L26" s="25"/>
      <c r="N26" s="25"/>
      <c r="O26" s="503">
        <f t="shared" si="3"/>
        <v>0</v>
      </c>
      <c r="P26" s="25"/>
      <c r="Q26" s="1039">
        <f t="shared" si="46"/>
        <v>0</v>
      </c>
      <c r="R26" s="1039">
        <f t="shared" si="47"/>
        <v>0</v>
      </c>
      <c r="S26" s="1039">
        <f t="shared" si="48"/>
        <v>0</v>
      </c>
      <c r="T26" s="1039">
        <f t="shared" si="49"/>
        <v>0</v>
      </c>
      <c r="U26" s="1039">
        <f t="shared" si="50"/>
        <v>0</v>
      </c>
      <c r="V26" s="1039">
        <f t="shared" si="51"/>
        <v>0</v>
      </c>
      <c r="W26" s="1039">
        <f t="shared" si="52"/>
        <v>0</v>
      </c>
      <c r="X26" s="1039">
        <f t="shared" si="53"/>
        <v>0</v>
      </c>
      <c r="Y26" s="1039">
        <f t="shared" si="54"/>
        <v>0</v>
      </c>
      <c r="Z26" s="1039">
        <f t="shared" si="55"/>
        <v>0</v>
      </c>
      <c r="AA26" s="1040"/>
      <c r="AB26" s="1039">
        <f t="shared" si="56"/>
        <v>0</v>
      </c>
      <c r="AC26" s="1039">
        <f t="shared" si="57"/>
        <v>0</v>
      </c>
      <c r="AD26" s="1039">
        <f t="shared" si="58"/>
        <v>0</v>
      </c>
      <c r="AE26" s="1039">
        <f t="shared" si="59"/>
        <v>0</v>
      </c>
      <c r="AF26" s="1039">
        <f t="shared" si="60"/>
        <v>0</v>
      </c>
      <c r="AG26" s="1039">
        <f t="shared" si="61"/>
        <v>0</v>
      </c>
      <c r="AH26" s="1039">
        <f t="shared" si="62"/>
        <v>0</v>
      </c>
      <c r="AI26" s="1039">
        <f t="shared" si="63"/>
        <v>0</v>
      </c>
      <c r="AJ26" s="1039">
        <f t="shared" si="64"/>
        <v>0</v>
      </c>
      <c r="AK26" s="1039">
        <f t="shared" si="65"/>
        <v>0</v>
      </c>
      <c r="AL26" s="25"/>
      <c r="AM26" s="1039">
        <f t="shared" si="66"/>
        <v>0</v>
      </c>
      <c r="AN26" s="1039">
        <f t="shared" si="67"/>
        <v>0</v>
      </c>
      <c r="AO26" s="1039">
        <f t="shared" si="68"/>
        <v>0</v>
      </c>
      <c r="AP26" s="1039">
        <f t="shared" si="69"/>
        <v>0</v>
      </c>
      <c r="AQ26" s="1039">
        <f t="shared" si="70"/>
        <v>0</v>
      </c>
      <c r="AR26" s="1039">
        <f t="shared" si="71"/>
        <v>0</v>
      </c>
      <c r="AS26" s="1039">
        <f t="shared" si="72"/>
        <v>0</v>
      </c>
      <c r="AT26" s="1039">
        <f t="shared" si="73"/>
        <v>0</v>
      </c>
      <c r="AU26" s="1039">
        <f t="shared" si="74"/>
        <v>0</v>
      </c>
      <c r="AV26" s="1039">
        <f t="shared" si="75"/>
        <v>0</v>
      </c>
      <c r="AW26" s="1040"/>
      <c r="AX26" s="1039">
        <f t="shared" si="76"/>
        <v>0</v>
      </c>
      <c r="AY26" s="1039">
        <f t="shared" si="77"/>
        <v>0</v>
      </c>
      <c r="AZ26" s="1039">
        <f t="shared" si="78"/>
        <v>0</v>
      </c>
      <c r="BA26" s="1039">
        <f t="shared" si="79"/>
        <v>0</v>
      </c>
      <c r="BB26" s="1039">
        <f t="shared" si="80"/>
        <v>0</v>
      </c>
      <c r="BC26" s="1039">
        <f t="shared" si="81"/>
        <v>0</v>
      </c>
      <c r="BD26" s="1039">
        <f t="shared" si="82"/>
        <v>0</v>
      </c>
      <c r="BE26" s="1039">
        <f t="shared" si="83"/>
        <v>0</v>
      </c>
      <c r="BF26" s="1039">
        <f t="shared" si="84"/>
        <v>0</v>
      </c>
      <c r="BG26" s="1039">
        <f t="shared" si="85"/>
        <v>0</v>
      </c>
      <c r="BH26" s="25"/>
      <c r="BI26" s="499">
        <f t="shared" si="88"/>
        <v>0</v>
      </c>
      <c r="BJ26" s="499">
        <f t="shared" si="89"/>
        <v>0</v>
      </c>
      <c r="BK26" s="25"/>
    </row>
    <row r="27" spans="1:63" ht="16.5" customHeight="1" x14ac:dyDescent="0.2">
      <c r="A27" s="270"/>
      <c r="B27" s="25"/>
      <c r="C27" s="1025" t="str">
        <f>RIEPILOGO!B13</f>
        <v/>
      </c>
      <c r="D27" s="950">
        <f>IF(C112=0,0,SUMIF(CASSA!AM180:AM545,"X",CASSA!AU180:AU545)-D90)</f>
        <v>0</v>
      </c>
      <c r="E27" s="191">
        <f>IF(C112=0,0,SUMIF(CASSA!AL180:AL545,"Y",CASSA!AU180:AU545)-E90)</f>
        <v>0</v>
      </c>
      <c r="F27" s="1033" t="e">
        <f t="shared" si="86"/>
        <v>#DIV/0!</v>
      </c>
      <c r="G27" s="1028" t="e">
        <f t="shared" si="87"/>
        <v>#DIV/0!</v>
      </c>
      <c r="H27" s="1034">
        <f t="shared" si="1"/>
        <v>0</v>
      </c>
      <c r="I27" s="1030">
        <f t="shared" si="2"/>
        <v>0</v>
      </c>
      <c r="J27" s="25"/>
      <c r="K27" s="25"/>
      <c r="L27" s="25"/>
      <c r="N27" s="25"/>
      <c r="O27" s="503">
        <f t="shared" si="3"/>
        <v>0</v>
      </c>
      <c r="P27" s="25"/>
      <c r="Q27" s="1039">
        <f t="shared" si="46"/>
        <v>0</v>
      </c>
      <c r="R27" s="1039">
        <f t="shared" si="47"/>
        <v>0</v>
      </c>
      <c r="S27" s="1039">
        <f t="shared" si="48"/>
        <v>0</v>
      </c>
      <c r="T27" s="1039">
        <f t="shared" si="49"/>
        <v>0</v>
      </c>
      <c r="U27" s="1039">
        <f t="shared" si="50"/>
        <v>0</v>
      </c>
      <c r="V27" s="1039">
        <f t="shared" si="51"/>
        <v>0</v>
      </c>
      <c r="W27" s="1039">
        <f t="shared" si="52"/>
        <v>0</v>
      </c>
      <c r="X27" s="1039">
        <f t="shared" si="53"/>
        <v>0</v>
      </c>
      <c r="Y27" s="1039">
        <f t="shared" si="54"/>
        <v>0</v>
      </c>
      <c r="Z27" s="1039">
        <f t="shared" si="55"/>
        <v>0</v>
      </c>
      <c r="AA27" s="1040"/>
      <c r="AB27" s="1039">
        <f t="shared" si="56"/>
        <v>0</v>
      </c>
      <c r="AC27" s="1039">
        <f t="shared" si="57"/>
        <v>0</v>
      </c>
      <c r="AD27" s="1039">
        <f t="shared" si="58"/>
        <v>0</v>
      </c>
      <c r="AE27" s="1039">
        <f t="shared" si="59"/>
        <v>0</v>
      </c>
      <c r="AF27" s="1039">
        <f t="shared" si="60"/>
        <v>0</v>
      </c>
      <c r="AG27" s="1039">
        <f t="shared" si="61"/>
        <v>0</v>
      </c>
      <c r="AH27" s="1039">
        <f t="shared" si="62"/>
        <v>0</v>
      </c>
      <c r="AI27" s="1039">
        <f t="shared" si="63"/>
        <v>0</v>
      </c>
      <c r="AJ27" s="1039">
        <f t="shared" si="64"/>
        <v>0</v>
      </c>
      <c r="AK27" s="1039">
        <f t="shared" si="65"/>
        <v>0</v>
      </c>
      <c r="AL27" s="25"/>
      <c r="AM27" s="1039">
        <f t="shared" si="66"/>
        <v>0</v>
      </c>
      <c r="AN27" s="1039">
        <f t="shared" si="67"/>
        <v>0</v>
      </c>
      <c r="AO27" s="1039">
        <f t="shared" si="68"/>
        <v>0</v>
      </c>
      <c r="AP27" s="1039">
        <f t="shared" si="69"/>
        <v>0</v>
      </c>
      <c r="AQ27" s="1039">
        <f t="shared" si="70"/>
        <v>0</v>
      </c>
      <c r="AR27" s="1039">
        <f t="shared" si="71"/>
        <v>0</v>
      </c>
      <c r="AS27" s="1039">
        <f t="shared" si="72"/>
        <v>0</v>
      </c>
      <c r="AT27" s="1039">
        <f t="shared" si="73"/>
        <v>0</v>
      </c>
      <c r="AU27" s="1039">
        <f t="shared" si="74"/>
        <v>0</v>
      </c>
      <c r="AV27" s="1039">
        <f t="shared" si="75"/>
        <v>0</v>
      </c>
      <c r="AW27" s="1040"/>
      <c r="AX27" s="1039">
        <f t="shared" si="76"/>
        <v>0</v>
      </c>
      <c r="AY27" s="1039">
        <f t="shared" si="77"/>
        <v>0</v>
      </c>
      <c r="AZ27" s="1039">
        <f t="shared" si="78"/>
        <v>0</v>
      </c>
      <c r="BA27" s="1039">
        <f t="shared" si="79"/>
        <v>0</v>
      </c>
      <c r="BB27" s="1039">
        <f t="shared" si="80"/>
        <v>0</v>
      </c>
      <c r="BC27" s="1039">
        <f t="shared" si="81"/>
        <v>0</v>
      </c>
      <c r="BD27" s="1039">
        <f t="shared" si="82"/>
        <v>0</v>
      </c>
      <c r="BE27" s="1039">
        <f t="shared" si="83"/>
        <v>0</v>
      </c>
      <c r="BF27" s="1039">
        <f t="shared" si="84"/>
        <v>0</v>
      </c>
      <c r="BG27" s="1039">
        <f t="shared" si="85"/>
        <v>0</v>
      </c>
      <c r="BH27" s="25"/>
      <c r="BI27" s="499">
        <f t="shared" si="88"/>
        <v>0</v>
      </c>
      <c r="BJ27" s="499">
        <f t="shared" si="89"/>
        <v>0</v>
      </c>
      <c r="BK27" s="25"/>
    </row>
    <row r="28" spans="1:63" ht="16.5" customHeight="1" x14ac:dyDescent="0.2">
      <c r="A28" s="270"/>
      <c r="B28" s="25"/>
      <c r="C28" s="1025" t="str">
        <f>RIEPILOGO!B14</f>
        <v/>
      </c>
      <c r="D28" s="950">
        <f>IF(C112=0,0,SUMIF(CASSA!AM180:AM545,"X",CASSA!AV180:AV545)-D91)</f>
        <v>0</v>
      </c>
      <c r="E28" s="191">
        <f>IF(C112=0,0,SUMIF(CASSA!AL180:AL545,"Y",CASSA!AV180:AV545)-E91)</f>
        <v>0</v>
      </c>
      <c r="F28" s="1033" t="e">
        <f t="shared" si="86"/>
        <v>#DIV/0!</v>
      </c>
      <c r="G28" s="1028" t="e">
        <f t="shared" si="87"/>
        <v>#DIV/0!</v>
      </c>
      <c r="H28" s="1034">
        <f t="shared" si="1"/>
        <v>0</v>
      </c>
      <c r="I28" s="1030">
        <f t="shared" si="2"/>
        <v>0</v>
      </c>
      <c r="J28" s="25"/>
      <c r="K28" s="25"/>
      <c r="L28" s="25"/>
      <c r="N28" s="25"/>
      <c r="O28" s="503">
        <f t="shared" si="3"/>
        <v>0</v>
      </c>
      <c r="P28" s="25"/>
      <c r="Q28" s="1039">
        <f t="shared" si="46"/>
        <v>0</v>
      </c>
      <c r="R28" s="1039">
        <f t="shared" si="47"/>
        <v>0</v>
      </c>
      <c r="S28" s="1039">
        <f t="shared" si="48"/>
        <v>0</v>
      </c>
      <c r="T28" s="1039">
        <f t="shared" si="49"/>
        <v>0</v>
      </c>
      <c r="U28" s="1039">
        <f t="shared" si="50"/>
        <v>0</v>
      </c>
      <c r="V28" s="1039">
        <f t="shared" si="51"/>
        <v>0</v>
      </c>
      <c r="W28" s="1039">
        <f t="shared" si="52"/>
        <v>0</v>
      </c>
      <c r="X28" s="1039">
        <f t="shared" si="53"/>
        <v>0</v>
      </c>
      <c r="Y28" s="1039">
        <f t="shared" si="54"/>
        <v>0</v>
      </c>
      <c r="Z28" s="1039">
        <f t="shared" si="55"/>
        <v>0</v>
      </c>
      <c r="AA28" s="1040"/>
      <c r="AB28" s="1039">
        <f t="shared" si="56"/>
        <v>0</v>
      </c>
      <c r="AC28" s="1039">
        <f t="shared" si="57"/>
        <v>0</v>
      </c>
      <c r="AD28" s="1039">
        <f t="shared" si="58"/>
        <v>0</v>
      </c>
      <c r="AE28" s="1039">
        <f t="shared" si="59"/>
        <v>0</v>
      </c>
      <c r="AF28" s="1039">
        <f t="shared" si="60"/>
        <v>0</v>
      </c>
      <c r="AG28" s="1039">
        <f t="shared" si="61"/>
        <v>0</v>
      </c>
      <c r="AH28" s="1039">
        <f t="shared" si="62"/>
        <v>0</v>
      </c>
      <c r="AI28" s="1039">
        <f t="shared" si="63"/>
        <v>0</v>
      </c>
      <c r="AJ28" s="1039">
        <f t="shared" si="64"/>
        <v>0</v>
      </c>
      <c r="AK28" s="1039">
        <f t="shared" si="65"/>
        <v>0</v>
      </c>
      <c r="AL28" s="25"/>
      <c r="AM28" s="1039">
        <f t="shared" si="66"/>
        <v>0</v>
      </c>
      <c r="AN28" s="1039">
        <f t="shared" si="67"/>
        <v>0</v>
      </c>
      <c r="AO28" s="1039">
        <f t="shared" si="68"/>
        <v>0</v>
      </c>
      <c r="AP28" s="1039">
        <f t="shared" si="69"/>
        <v>0</v>
      </c>
      <c r="AQ28" s="1039">
        <f t="shared" si="70"/>
        <v>0</v>
      </c>
      <c r="AR28" s="1039">
        <f t="shared" si="71"/>
        <v>0</v>
      </c>
      <c r="AS28" s="1039">
        <f t="shared" si="72"/>
        <v>0</v>
      </c>
      <c r="AT28" s="1039">
        <f t="shared" si="73"/>
        <v>0</v>
      </c>
      <c r="AU28" s="1039">
        <f t="shared" si="74"/>
        <v>0</v>
      </c>
      <c r="AV28" s="1039">
        <f t="shared" si="75"/>
        <v>0</v>
      </c>
      <c r="AW28" s="1040"/>
      <c r="AX28" s="1039">
        <f t="shared" si="76"/>
        <v>0</v>
      </c>
      <c r="AY28" s="1039">
        <f t="shared" si="77"/>
        <v>0</v>
      </c>
      <c r="AZ28" s="1039">
        <f t="shared" si="78"/>
        <v>0</v>
      </c>
      <c r="BA28" s="1039">
        <f t="shared" si="79"/>
        <v>0</v>
      </c>
      <c r="BB28" s="1039">
        <f t="shared" si="80"/>
        <v>0</v>
      </c>
      <c r="BC28" s="1039">
        <f t="shared" si="81"/>
        <v>0</v>
      </c>
      <c r="BD28" s="1039">
        <f t="shared" si="82"/>
        <v>0</v>
      </c>
      <c r="BE28" s="1039">
        <f t="shared" si="83"/>
        <v>0</v>
      </c>
      <c r="BF28" s="1039">
        <f t="shared" si="84"/>
        <v>0</v>
      </c>
      <c r="BG28" s="1039">
        <f t="shared" si="85"/>
        <v>0</v>
      </c>
      <c r="BH28" s="25"/>
      <c r="BI28" s="499">
        <f t="shared" si="88"/>
        <v>0</v>
      </c>
      <c r="BJ28" s="499">
        <f t="shared" si="89"/>
        <v>0</v>
      </c>
      <c r="BK28" s="25"/>
    </row>
    <row r="29" spans="1:63" ht="16.5" customHeight="1" x14ac:dyDescent="0.2">
      <c r="A29" s="270"/>
      <c r="B29" s="25"/>
      <c r="C29" s="1025" t="str">
        <f>RIEPILOGO!B15</f>
        <v/>
      </c>
      <c r="D29" s="950">
        <f>IF(C112=0,0,SUMIF(CASSA!AM180:AM545,"X",CASSA!AW180:AW545)-D92)</f>
        <v>0</v>
      </c>
      <c r="E29" s="191">
        <f>IF(C112=0,0,SUMIF(CASSA!AL180:AL545,"Y",CASSA!AW180:AW545)-E92)</f>
        <v>0</v>
      </c>
      <c r="F29" s="1033" t="e">
        <f t="shared" si="86"/>
        <v>#DIV/0!</v>
      </c>
      <c r="G29" s="1028" t="e">
        <f t="shared" si="87"/>
        <v>#DIV/0!</v>
      </c>
      <c r="H29" s="1034">
        <f t="shared" si="1"/>
        <v>0</v>
      </c>
      <c r="I29" s="1030">
        <f t="shared" si="2"/>
        <v>0</v>
      </c>
      <c r="J29" s="25"/>
      <c r="K29" s="25"/>
      <c r="L29" s="25"/>
      <c r="N29" s="25"/>
      <c r="O29" s="503">
        <f t="shared" si="3"/>
        <v>0</v>
      </c>
      <c r="P29" s="25"/>
      <c r="Q29" s="1039">
        <f t="shared" si="46"/>
        <v>0</v>
      </c>
      <c r="R29" s="1039">
        <f t="shared" si="47"/>
        <v>0</v>
      </c>
      <c r="S29" s="1039">
        <f t="shared" si="48"/>
        <v>0</v>
      </c>
      <c r="T29" s="1039">
        <f t="shared" si="49"/>
        <v>0</v>
      </c>
      <c r="U29" s="1039">
        <f t="shared" si="50"/>
        <v>0</v>
      </c>
      <c r="V29" s="1039">
        <f t="shared" si="51"/>
        <v>0</v>
      </c>
      <c r="W29" s="1039">
        <f t="shared" si="52"/>
        <v>0</v>
      </c>
      <c r="X29" s="1039">
        <f t="shared" si="53"/>
        <v>0</v>
      </c>
      <c r="Y29" s="1039">
        <f t="shared" si="54"/>
        <v>0</v>
      </c>
      <c r="Z29" s="1039">
        <f t="shared" si="55"/>
        <v>0</v>
      </c>
      <c r="AA29" s="1040"/>
      <c r="AB29" s="1039">
        <f t="shared" si="56"/>
        <v>0</v>
      </c>
      <c r="AC29" s="1039">
        <f t="shared" si="57"/>
        <v>0</v>
      </c>
      <c r="AD29" s="1039">
        <f t="shared" si="58"/>
        <v>0</v>
      </c>
      <c r="AE29" s="1039">
        <f t="shared" si="59"/>
        <v>0</v>
      </c>
      <c r="AF29" s="1039">
        <f t="shared" si="60"/>
        <v>0</v>
      </c>
      <c r="AG29" s="1039">
        <f t="shared" si="61"/>
        <v>0</v>
      </c>
      <c r="AH29" s="1039">
        <f t="shared" si="62"/>
        <v>0</v>
      </c>
      <c r="AI29" s="1039">
        <f t="shared" si="63"/>
        <v>0</v>
      </c>
      <c r="AJ29" s="1039">
        <f t="shared" si="64"/>
        <v>0</v>
      </c>
      <c r="AK29" s="1039">
        <f t="shared" si="65"/>
        <v>0</v>
      </c>
      <c r="AL29" s="25"/>
      <c r="AM29" s="1039">
        <f t="shared" si="66"/>
        <v>0</v>
      </c>
      <c r="AN29" s="1039">
        <f t="shared" si="67"/>
        <v>0</v>
      </c>
      <c r="AO29" s="1039">
        <f t="shared" si="68"/>
        <v>0</v>
      </c>
      <c r="AP29" s="1039">
        <f t="shared" si="69"/>
        <v>0</v>
      </c>
      <c r="AQ29" s="1039">
        <f t="shared" si="70"/>
        <v>0</v>
      </c>
      <c r="AR29" s="1039">
        <f t="shared" si="71"/>
        <v>0</v>
      </c>
      <c r="AS29" s="1039">
        <f t="shared" si="72"/>
        <v>0</v>
      </c>
      <c r="AT29" s="1039">
        <f t="shared" si="73"/>
        <v>0</v>
      </c>
      <c r="AU29" s="1039">
        <f t="shared" si="74"/>
        <v>0</v>
      </c>
      <c r="AV29" s="1039">
        <f t="shared" si="75"/>
        <v>0</v>
      </c>
      <c r="AW29" s="1040"/>
      <c r="AX29" s="1039">
        <f t="shared" si="76"/>
        <v>0</v>
      </c>
      <c r="AY29" s="1039">
        <f t="shared" si="77"/>
        <v>0</v>
      </c>
      <c r="AZ29" s="1039">
        <f t="shared" si="78"/>
        <v>0</v>
      </c>
      <c r="BA29" s="1039">
        <f t="shared" si="79"/>
        <v>0</v>
      </c>
      <c r="BB29" s="1039">
        <f t="shared" si="80"/>
        <v>0</v>
      </c>
      <c r="BC29" s="1039">
        <f t="shared" si="81"/>
        <v>0</v>
      </c>
      <c r="BD29" s="1039">
        <f t="shared" si="82"/>
        <v>0</v>
      </c>
      <c r="BE29" s="1039">
        <f t="shared" si="83"/>
        <v>0</v>
      </c>
      <c r="BF29" s="1039">
        <f t="shared" si="84"/>
        <v>0</v>
      </c>
      <c r="BG29" s="1039">
        <f t="shared" si="85"/>
        <v>0</v>
      </c>
      <c r="BH29" s="25"/>
      <c r="BI29" s="499">
        <f t="shared" si="88"/>
        <v>0</v>
      </c>
      <c r="BJ29" s="499">
        <f t="shared" si="89"/>
        <v>0</v>
      </c>
      <c r="BK29" s="25"/>
    </row>
    <row r="30" spans="1:63" ht="16.5" customHeight="1" x14ac:dyDescent="0.2">
      <c r="A30" s="270"/>
      <c r="B30" s="25"/>
      <c r="C30" s="1026" t="str">
        <f>RIEPILOGO!B16</f>
        <v/>
      </c>
      <c r="D30" s="943">
        <f>IF(C112=0,0,SUMIF(CASSA!AM180:AM545,"X",CASSA!AX180:AX545)-D93)</f>
        <v>0</v>
      </c>
      <c r="E30" s="192">
        <f>IF(C112=0,0,SUMIF(CASSA!AL180:AL545,"Y",CASSA!AX180:AX545)-E93)</f>
        <v>0</v>
      </c>
      <c r="F30" s="1033" t="e">
        <f t="shared" si="86"/>
        <v>#DIV/0!</v>
      </c>
      <c r="G30" s="1028" t="e">
        <f t="shared" si="87"/>
        <v>#DIV/0!</v>
      </c>
      <c r="H30" s="1034">
        <f t="shared" si="1"/>
        <v>0</v>
      </c>
      <c r="I30" s="1030">
        <f t="shared" si="2"/>
        <v>0</v>
      </c>
      <c r="J30" s="25"/>
      <c r="K30" s="25"/>
      <c r="L30" s="25"/>
      <c r="N30" s="25"/>
      <c r="O30" s="503">
        <f t="shared" si="3"/>
        <v>0</v>
      </c>
      <c r="P30" s="25"/>
      <c r="Q30" s="1039">
        <f t="shared" si="46"/>
        <v>0</v>
      </c>
      <c r="R30" s="1039">
        <f t="shared" si="47"/>
        <v>0</v>
      </c>
      <c r="S30" s="1039">
        <f t="shared" si="48"/>
        <v>0</v>
      </c>
      <c r="T30" s="1039">
        <f t="shared" si="49"/>
        <v>0</v>
      </c>
      <c r="U30" s="1039">
        <f t="shared" si="50"/>
        <v>0</v>
      </c>
      <c r="V30" s="1039">
        <f t="shared" si="51"/>
        <v>0</v>
      </c>
      <c r="W30" s="1039">
        <f t="shared" si="52"/>
        <v>0</v>
      </c>
      <c r="X30" s="1039">
        <f t="shared" si="53"/>
        <v>0</v>
      </c>
      <c r="Y30" s="1039">
        <f t="shared" si="54"/>
        <v>0</v>
      </c>
      <c r="Z30" s="1039">
        <f t="shared" si="55"/>
        <v>0</v>
      </c>
      <c r="AA30" s="1040"/>
      <c r="AB30" s="1039">
        <f t="shared" si="56"/>
        <v>0</v>
      </c>
      <c r="AC30" s="1039">
        <f t="shared" si="57"/>
        <v>0</v>
      </c>
      <c r="AD30" s="1039">
        <f t="shared" si="58"/>
        <v>0</v>
      </c>
      <c r="AE30" s="1039">
        <f t="shared" si="59"/>
        <v>0</v>
      </c>
      <c r="AF30" s="1039">
        <f t="shared" si="60"/>
        <v>0</v>
      </c>
      <c r="AG30" s="1039">
        <f t="shared" si="61"/>
        <v>0</v>
      </c>
      <c r="AH30" s="1039">
        <f t="shared" si="62"/>
        <v>0</v>
      </c>
      <c r="AI30" s="1039">
        <f t="shared" si="63"/>
        <v>0</v>
      </c>
      <c r="AJ30" s="1039">
        <f t="shared" si="64"/>
        <v>0</v>
      </c>
      <c r="AK30" s="1039">
        <f t="shared" si="65"/>
        <v>0</v>
      </c>
      <c r="AL30" s="25"/>
      <c r="AM30" s="1039">
        <f t="shared" si="66"/>
        <v>0</v>
      </c>
      <c r="AN30" s="1039">
        <f t="shared" si="67"/>
        <v>0</v>
      </c>
      <c r="AO30" s="1039">
        <f t="shared" si="68"/>
        <v>0</v>
      </c>
      <c r="AP30" s="1039">
        <f t="shared" si="69"/>
        <v>0</v>
      </c>
      <c r="AQ30" s="1039">
        <f t="shared" si="70"/>
        <v>0</v>
      </c>
      <c r="AR30" s="1039">
        <f t="shared" si="71"/>
        <v>0</v>
      </c>
      <c r="AS30" s="1039">
        <f t="shared" si="72"/>
        <v>0</v>
      </c>
      <c r="AT30" s="1039">
        <f t="shared" si="73"/>
        <v>0</v>
      </c>
      <c r="AU30" s="1039">
        <f t="shared" si="74"/>
        <v>0</v>
      </c>
      <c r="AV30" s="1039">
        <f t="shared" si="75"/>
        <v>0</v>
      </c>
      <c r="AW30" s="1040"/>
      <c r="AX30" s="1039">
        <f t="shared" si="76"/>
        <v>0</v>
      </c>
      <c r="AY30" s="1039">
        <f t="shared" si="77"/>
        <v>0</v>
      </c>
      <c r="AZ30" s="1039">
        <f t="shared" si="78"/>
        <v>0</v>
      </c>
      <c r="BA30" s="1039">
        <f t="shared" si="79"/>
        <v>0</v>
      </c>
      <c r="BB30" s="1039">
        <f t="shared" si="80"/>
        <v>0</v>
      </c>
      <c r="BC30" s="1039">
        <f t="shared" si="81"/>
        <v>0</v>
      </c>
      <c r="BD30" s="1039">
        <f t="shared" si="82"/>
        <v>0</v>
      </c>
      <c r="BE30" s="1039">
        <f t="shared" si="83"/>
        <v>0</v>
      </c>
      <c r="BF30" s="1039">
        <f t="shared" si="84"/>
        <v>0</v>
      </c>
      <c r="BG30" s="1039">
        <f t="shared" si="85"/>
        <v>0</v>
      </c>
      <c r="BH30" s="25"/>
      <c r="BI30" s="499">
        <f t="shared" si="88"/>
        <v>0</v>
      </c>
      <c r="BJ30" s="499">
        <f t="shared" si="89"/>
        <v>0</v>
      </c>
      <c r="BK30" s="25"/>
    </row>
    <row r="31" spans="1:63" ht="19.5" customHeight="1" x14ac:dyDescent="0.2">
      <c r="A31" s="270"/>
      <c r="B31" s="25"/>
      <c r="C31" s="946" t="str">
        <f>RIEPILOGO!B17</f>
        <v>Somma percentuali</v>
      </c>
      <c r="D31" s="947">
        <f>SUM(D22:D30)</f>
        <v>0</v>
      </c>
      <c r="E31" s="1016">
        <f>SUM(E22:E30)</f>
        <v>0</v>
      </c>
      <c r="F31" s="1027" t="e">
        <f t="shared" si="0"/>
        <v>#DIV/0!</v>
      </c>
      <c r="G31" s="1028" t="e">
        <f t="shared" si="0"/>
        <v>#DIV/0!</v>
      </c>
      <c r="H31" s="1029">
        <f t="shared" si="1"/>
        <v>0</v>
      </c>
      <c r="I31" s="1030">
        <f t="shared" si="2"/>
        <v>0</v>
      </c>
      <c r="J31" s="25"/>
      <c r="K31" s="25"/>
      <c r="L31" s="25"/>
      <c r="N31" s="25"/>
      <c r="O31" s="505">
        <f t="shared" si="3"/>
        <v>0</v>
      </c>
      <c r="P31" s="25"/>
      <c r="Q31" s="1039">
        <f t="shared" si="4"/>
        <v>0</v>
      </c>
      <c r="R31" s="1039">
        <f t="shared" si="5"/>
        <v>0</v>
      </c>
      <c r="S31" s="1039">
        <f t="shared" si="6"/>
        <v>0</v>
      </c>
      <c r="T31" s="1039">
        <f t="shared" si="7"/>
        <v>0</v>
      </c>
      <c r="U31" s="1039">
        <f t="shared" si="8"/>
        <v>0</v>
      </c>
      <c r="V31" s="1039">
        <f t="shared" si="9"/>
        <v>0</v>
      </c>
      <c r="W31" s="1039">
        <f t="shared" si="10"/>
        <v>0</v>
      </c>
      <c r="X31" s="1039">
        <f t="shared" si="11"/>
        <v>0</v>
      </c>
      <c r="Y31" s="1039">
        <f t="shared" si="12"/>
        <v>0</v>
      </c>
      <c r="Z31" s="1039">
        <f t="shared" si="13"/>
        <v>0</v>
      </c>
      <c r="AA31" s="1040"/>
      <c r="AB31" s="1039">
        <f t="shared" si="14"/>
        <v>0</v>
      </c>
      <c r="AC31" s="1039">
        <f t="shared" si="15"/>
        <v>0</v>
      </c>
      <c r="AD31" s="1039">
        <f t="shared" si="16"/>
        <v>0</v>
      </c>
      <c r="AE31" s="1039">
        <f t="shared" si="17"/>
        <v>0</v>
      </c>
      <c r="AF31" s="1039">
        <f t="shared" si="18"/>
        <v>0</v>
      </c>
      <c r="AG31" s="1039">
        <f t="shared" si="19"/>
        <v>0</v>
      </c>
      <c r="AH31" s="1039">
        <f t="shared" si="20"/>
        <v>0</v>
      </c>
      <c r="AI31" s="1039">
        <f t="shared" si="21"/>
        <v>0</v>
      </c>
      <c r="AJ31" s="1039">
        <f t="shared" si="22"/>
        <v>0</v>
      </c>
      <c r="AK31" s="1039">
        <f t="shared" si="23"/>
        <v>0</v>
      </c>
      <c r="AL31" s="25"/>
      <c r="AM31" s="1039">
        <f t="shared" si="24"/>
        <v>0</v>
      </c>
      <c r="AN31" s="1039">
        <f t="shared" si="25"/>
        <v>0</v>
      </c>
      <c r="AO31" s="1039">
        <f t="shared" si="26"/>
        <v>0</v>
      </c>
      <c r="AP31" s="1039">
        <f t="shared" si="27"/>
        <v>0</v>
      </c>
      <c r="AQ31" s="1039">
        <f t="shared" si="28"/>
        <v>0</v>
      </c>
      <c r="AR31" s="1039">
        <f t="shared" si="29"/>
        <v>0</v>
      </c>
      <c r="AS31" s="1039">
        <f t="shared" si="30"/>
        <v>0</v>
      </c>
      <c r="AT31" s="1039">
        <f t="shared" si="31"/>
        <v>0</v>
      </c>
      <c r="AU31" s="1039">
        <f t="shared" si="32"/>
        <v>0</v>
      </c>
      <c r="AV31" s="1039">
        <f t="shared" si="33"/>
        <v>0</v>
      </c>
      <c r="AW31" s="1040"/>
      <c r="AX31" s="1039">
        <f t="shared" si="34"/>
        <v>0</v>
      </c>
      <c r="AY31" s="1039">
        <f t="shared" si="35"/>
        <v>0</v>
      </c>
      <c r="AZ31" s="1039">
        <f t="shared" si="36"/>
        <v>0</v>
      </c>
      <c r="BA31" s="1039">
        <f t="shared" si="37"/>
        <v>0</v>
      </c>
      <c r="BB31" s="1039">
        <f t="shared" si="38"/>
        <v>0</v>
      </c>
      <c r="BC31" s="1039">
        <f t="shared" si="39"/>
        <v>0</v>
      </c>
      <c r="BD31" s="1039">
        <f t="shared" si="40"/>
        <v>0</v>
      </c>
      <c r="BE31" s="1039">
        <f t="shared" si="41"/>
        <v>0</v>
      </c>
      <c r="BF31" s="1039">
        <f t="shared" si="42"/>
        <v>0</v>
      </c>
      <c r="BG31" s="1039">
        <f t="shared" si="43"/>
        <v>0</v>
      </c>
      <c r="BH31" s="25"/>
      <c r="BI31" s="499">
        <f t="shared" si="44"/>
        <v>0</v>
      </c>
      <c r="BJ31" s="499">
        <f t="shared" si="45"/>
        <v>0</v>
      </c>
      <c r="BK31" s="25"/>
    </row>
    <row r="32" spans="1:63" ht="19.5" hidden="1" customHeight="1" x14ac:dyDescent="0.2">
      <c r="A32" s="270"/>
      <c r="B32" s="25"/>
      <c r="C32" s="614"/>
      <c r="D32" s="614"/>
      <c r="E32" s="614"/>
      <c r="F32" s="29"/>
      <c r="G32" s="25"/>
      <c r="H32" s="25"/>
      <c r="I32" s="25"/>
      <c r="J32" s="81"/>
      <c r="K32" s="81"/>
      <c r="L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row>
    <row r="33" spans="1:63" ht="19.5" customHeight="1" x14ac:dyDescent="0.2">
      <c r="A33" s="270"/>
      <c r="B33" s="25"/>
      <c r="C33" s="249"/>
      <c r="D33" s="227"/>
      <c r="E33" s="227"/>
      <c r="F33" s="29"/>
      <c r="G33" s="25"/>
      <c r="H33" s="25"/>
      <c r="I33" s="25"/>
      <c r="J33" s="81"/>
      <c r="K33" s="81"/>
      <c r="L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row>
    <row r="34" spans="1:63" ht="19.5" customHeight="1" x14ac:dyDescent="0.3">
      <c r="A34" s="270"/>
      <c r="B34" s="952" t="str">
        <f>RIEPILOGO!C20</f>
        <v>Riga 1: DESCRIZIONE DEI CONTI</v>
      </c>
      <c r="C34" s="466"/>
      <c r="D34" s="467"/>
      <c r="E34" s="466"/>
      <c r="F34" s="25"/>
      <c r="G34" s="465"/>
      <c r="H34" s="465"/>
      <c r="I34" s="465"/>
      <c r="J34" s="218"/>
      <c r="K34" s="25"/>
      <c r="L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row>
    <row r="35" spans="1:63" ht="19.5" customHeight="1" x14ac:dyDescent="0.2">
      <c r="A35" s="270"/>
      <c r="B35" s="25"/>
      <c r="C35" s="250"/>
      <c r="D35" s="380" t="str">
        <f>D17</f>
        <v>PERIODO</v>
      </c>
      <c r="E35" s="206" t="str">
        <f>E17</f>
        <v>Confronta con</v>
      </c>
      <c r="F35" s="2348" t="s">
        <v>108</v>
      </c>
      <c r="G35" s="2348"/>
      <c r="H35" s="2348" t="s">
        <v>154</v>
      </c>
      <c r="I35" s="2348"/>
      <c r="J35" s="218"/>
      <c r="K35" s="25"/>
      <c r="L35" s="25"/>
      <c r="N35" s="500">
        <f>IF(O35=0,0,N$17)</f>
        <v>0</v>
      </c>
      <c r="O35" s="500">
        <f>IF(AB15="",0,MAX(D37:E47))</f>
        <v>0</v>
      </c>
      <c r="P35" s="25"/>
      <c r="Q35" s="506"/>
      <c r="R35" s="2344" t="s">
        <v>84</v>
      </c>
      <c r="S35" s="2344"/>
      <c r="T35" s="2344"/>
      <c r="U35" s="2344"/>
      <c r="V35" s="2344"/>
      <c r="W35" s="2344"/>
      <c r="X35" s="2344"/>
      <c r="Y35" s="2344"/>
      <c r="Z35" s="2344"/>
      <c r="AB35" s="2345">
        <f>IF(AB$15=B$118,N35/10,O35/10)</f>
        <v>0</v>
      </c>
      <c r="AC35" s="2345"/>
      <c r="AD35" s="2345"/>
      <c r="AE35" s="2345"/>
      <c r="AF35" s="2345"/>
      <c r="AG35" s="2345"/>
      <c r="AH35" s="2345"/>
      <c r="AI35" s="2345"/>
      <c r="AJ35" s="2345"/>
      <c r="AK35" s="2345"/>
      <c r="AL35" s="25"/>
      <c r="AM35" s="506"/>
      <c r="AN35" s="2344" t="s">
        <v>153</v>
      </c>
      <c r="AO35" s="2344"/>
      <c r="AP35" s="2344"/>
      <c r="AQ35" s="2344"/>
      <c r="AR35" s="2344"/>
      <c r="AS35" s="2344"/>
      <c r="AT35" s="2344"/>
      <c r="AU35" s="2344"/>
      <c r="AV35" s="2344"/>
      <c r="AX35" s="2343">
        <v>10</v>
      </c>
      <c r="AY35" s="2343"/>
      <c r="AZ35" s="2343"/>
      <c r="BA35" s="2343"/>
      <c r="BB35" s="2343"/>
      <c r="BC35" s="2343"/>
      <c r="BD35" s="2343"/>
      <c r="BE35" s="2343"/>
      <c r="BF35" s="2343"/>
      <c r="BG35" s="2343"/>
      <c r="BH35" s="25"/>
      <c r="BI35" s="25"/>
      <c r="BJ35" s="25"/>
      <c r="BK35" s="25"/>
    </row>
    <row r="36" spans="1:63" ht="19.5" customHeight="1" x14ac:dyDescent="0.2">
      <c r="A36" s="270"/>
      <c r="B36" s="25"/>
      <c r="C36" s="953" t="str">
        <f>CONCATENATE(C18," ",RIEPILOGO!B23)</f>
        <v>Totale EUR a CONTO</v>
      </c>
      <c r="D36" s="393" t="str">
        <f>D18</f>
        <v>selezionato</v>
      </c>
      <c r="E36" s="204" t="e">
        <f>E18</f>
        <v>#N/A</v>
      </c>
      <c r="F36" s="387" t="s">
        <v>109</v>
      </c>
      <c r="G36" s="388" t="s">
        <v>107</v>
      </c>
      <c r="H36" s="387" t="s">
        <v>110</v>
      </c>
      <c r="I36" s="388" t="s">
        <v>111</v>
      </c>
      <c r="J36" s="218"/>
      <c r="K36" s="25"/>
      <c r="L36" s="25"/>
      <c r="N36" s="25"/>
      <c r="O36" s="501"/>
      <c r="P36" s="25"/>
      <c r="Q36" s="497"/>
      <c r="R36" s="497"/>
      <c r="S36" s="498"/>
      <c r="T36" s="81"/>
      <c r="U36" s="81"/>
      <c r="V36" s="81"/>
      <c r="W36" s="81"/>
      <c r="X36" s="81"/>
      <c r="Y36" s="81"/>
      <c r="Z36" s="81"/>
      <c r="AA36" s="81"/>
      <c r="AB36" s="81"/>
      <c r="AC36" s="25"/>
      <c r="AD36" s="25"/>
      <c r="AE36" s="25"/>
      <c r="AF36" s="25"/>
      <c r="AG36" s="25"/>
      <c r="AH36" s="25"/>
      <c r="AI36" s="25"/>
      <c r="AJ36" s="25"/>
      <c r="AK36" s="25"/>
      <c r="AL36" s="25"/>
      <c r="AM36" s="497"/>
      <c r="AN36" s="497"/>
      <c r="AO36" s="498"/>
      <c r="AP36" s="81"/>
      <c r="AQ36" s="81"/>
      <c r="AR36" s="81"/>
      <c r="AS36" s="81"/>
      <c r="AT36" s="81"/>
      <c r="AU36" s="81"/>
      <c r="AV36" s="81"/>
      <c r="AW36" s="81"/>
      <c r="AX36" s="81"/>
      <c r="AY36" s="25"/>
      <c r="AZ36" s="25"/>
      <c r="BA36" s="25"/>
      <c r="BB36" s="25"/>
      <c r="BC36" s="25"/>
      <c r="BD36" s="25"/>
      <c r="BE36" s="25"/>
      <c r="BF36" s="25"/>
      <c r="BG36" s="25"/>
      <c r="BH36" s="25"/>
      <c r="BI36" s="25"/>
      <c r="BJ36" s="25"/>
      <c r="BK36" s="25"/>
    </row>
    <row r="37" spans="1:63" ht="18" customHeight="1" x14ac:dyDescent="0.2">
      <c r="A37" s="270"/>
      <c r="B37" s="2346" t="e">
        <f>VLOOKUP(VLOOKUP(RIEPILOGO!B22,IMPOSTAZIONI!$K$8:$O$17,5,FALSE),IMPOSTAZIONI!$B$8:$C$17,2,FALSE)</f>
        <v>#N/A</v>
      </c>
      <c r="C37" s="2347"/>
      <c r="D37" s="958">
        <f>SUMIF(CASSA!AM180:AM545,"X",CASSA!BF180:BF545)</f>
        <v>0</v>
      </c>
      <c r="E37" s="954">
        <f>SUMIF(CASSA!AL180:AL545,"Y",CASSA!BF180:BF545)</f>
        <v>0</v>
      </c>
      <c r="F37" s="1033" t="e">
        <f t="shared" ref="F37:G40" si="90">D37/D$49*100</f>
        <v>#DIV/0!</v>
      </c>
      <c r="G37" s="1028" t="e">
        <f t="shared" si="90"/>
        <v>#DIV/0!</v>
      </c>
      <c r="H37" s="1034">
        <f t="shared" ref="H37:H47" si="91">IF(AND(D37=0,E37=0),0,(D37-E37)/E37*100)</f>
        <v>0</v>
      </c>
      <c r="I37" s="1030">
        <f t="shared" ref="I37:I47" si="92">IF(AND(D37=0,E37=0),0,(E37-D37)/D37*100)</f>
        <v>0</v>
      </c>
      <c r="J37" s="218"/>
      <c r="K37" s="25"/>
      <c r="L37" s="25"/>
      <c r="N37" s="25"/>
      <c r="O37" s="502">
        <f>D37+E37</f>
        <v>0</v>
      </c>
      <c r="P37" s="25"/>
      <c r="Q37" s="1039">
        <f>IF(AND(D37&lt;&gt;0,D37&gt;0),IF((AB$35*9)&gt;=D37,0,1),IF(AND(D37&lt;&gt;0,D37&lt;0),IF((AB$35*9)&lt;=D37,0,1),0))</f>
        <v>0</v>
      </c>
      <c r="R37" s="1039">
        <f>IF(AND(D37&lt;&gt;0,D37&gt;0),IF((AB$35*8)&gt;=D37,0,1),IF(AND(D37&lt;&gt;0,D37&lt;0),IF((AB$35*8)&lt;=D37,0,1),0))</f>
        <v>0</v>
      </c>
      <c r="S37" s="1039">
        <f>IF(AND(D37&lt;&gt;0,D37&gt;0),IF((AB$35*7)&gt;=D37,0,1),IF(AND(D37&lt;&gt;0,D37&lt;0),IF((AB$35*7)&lt;=D37,0,1),0))</f>
        <v>0</v>
      </c>
      <c r="T37" s="1039">
        <f>IF(AND(D37&lt;&gt;0,D37&gt;0),IF((AB$35*6)&gt;=D37,0,1),IF(AND(D37&lt;&gt;0,D37&lt;0),IF((AB$35*6)&lt;=D37,0,1),0))</f>
        <v>0</v>
      </c>
      <c r="U37" s="1039">
        <f>IF(AND(D37&lt;&gt;0,D37&gt;0),IF((AB$35*5)&gt;=D37,0,1),IF(AND(D37&lt;&gt;0,D37&lt;0),IF((AB$35*5)&lt;=D37,0,1),0))</f>
        <v>0</v>
      </c>
      <c r="V37" s="1039">
        <f>IF(AND(D37&lt;&gt;0,D37&gt;0),IF((AB$35*4)&gt;=D37,0,1),IF(AND(D37&lt;&gt;0,D37&lt;0),IF((AB$35*4)&lt;=D37,0,1),0))</f>
        <v>0</v>
      </c>
      <c r="W37" s="1039">
        <f>IF(AND(D37&lt;&gt;0,D37&gt;0),IF((AB$35*3)&gt;=D37,0,1),IF(AND(D37&lt;&gt;0,D37&lt;0),IF((AB$35*3)&lt;=D37,0,1),0))</f>
        <v>0</v>
      </c>
      <c r="X37" s="1039">
        <f>IF(AND(D37&lt;&gt;0,D37&gt;0),IF((AB$35*2)&gt;=D37,0,1),IF(AND(D37&lt;&gt;0,D37&lt;0),IF((AB$35*2)&lt;=D37,0,1),0))</f>
        <v>0</v>
      </c>
      <c r="Y37" s="1039">
        <f>IF(AND(D37&lt;&gt;0,D37&gt;0),IF((AB$35*1)&gt;=D37,0,1),IF(AND(D37&lt;&gt;0,D37&lt;0),IF((AB$35*1)&lt;=D37,0,1),0))</f>
        <v>0</v>
      </c>
      <c r="Z37" s="1039">
        <f>IF(D37&lt;&gt;0,1,0)</f>
        <v>0</v>
      </c>
      <c r="AA37" s="1040"/>
      <c r="AB37" s="1039">
        <f>IF(E37&lt;&gt;0,1,0)</f>
        <v>0</v>
      </c>
      <c r="AC37" s="1039">
        <f>IF(AND(E37&lt;&gt;0,E37&gt;0),IF((AB$35*1)&gt;=E37,0,1),IF(AND(E37&lt;&gt;0,E37&lt;0),IF((AB$35*1)&lt;=E37,0,1),0))</f>
        <v>0</v>
      </c>
      <c r="AD37" s="1039">
        <f>IF(AND(E37&lt;&gt;0,E37&gt;0),IF((AB$35*2)&gt;=E37,0,1),IF(AND(E37&lt;&gt;0,E37&lt;0),IF((AB$35*2)&lt;=E37,0,1),0))</f>
        <v>0</v>
      </c>
      <c r="AE37" s="1039">
        <f>IF(AND(E37&lt;&gt;0,E37&gt;0),IF((AB$35*3)&gt;=E37,0,1),IF(AND(E37&lt;&gt;0,E37&lt;0),IF((AB$35*3)&lt;=E37,0,1),0))</f>
        <v>0</v>
      </c>
      <c r="AF37" s="1039">
        <f>IF(AND(E37&lt;&gt;0,E37&gt;0),IF((AB$35*4)&gt;=E37,0,1),IF(AND(E37&lt;&gt;0,E37&lt;0),IF((AB$35*4)&lt;=E37,0,1),0))</f>
        <v>0</v>
      </c>
      <c r="AG37" s="1039">
        <f>IF(AND(E37&lt;&gt;0,E37&gt;0),IF((AB$35*5)&gt;=E37,0,1),IF(AND(E37&lt;&gt;0,E37&lt;0),IF((AB$35*5)&lt;=E37,0,1),0))</f>
        <v>0</v>
      </c>
      <c r="AH37" s="1039">
        <f>IF(AND(E37&lt;&gt;0,E37&gt;0),IF((AB$35*6)&gt;=E37,0,1),IF(AND(E37&lt;&gt;0,E37&lt;0),IF((AB$35*6)&lt;=E37,0,1),0))</f>
        <v>0</v>
      </c>
      <c r="AI37" s="1039">
        <f>IF(AND(E37&lt;&gt;0,E37&gt;0),IF((AB$35*7)&gt;=E37,0,1),IF(AND(E37&lt;&gt;0,E37&lt;0),IF((AB$35*7)&lt;=E37,0,1),0))</f>
        <v>0</v>
      </c>
      <c r="AJ37" s="1039">
        <f>IF(AND(E37&lt;&gt;0,E37&gt;0),IF((AB$35*8)&gt;=E37,0,1),IF(AND(E37&lt;&gt;0,E37&lt;0),IF((AB$35*8)&lt;=E37,0,1),0))</f>
        <v>0</v>
      </c>
      <c r="AK37" s="1039">
        <f>IF(AND(E37&lt;&gt;0,E37&gt;0),IF((AB$35*9)&gt;=E37,0,1),IF(AND(E37&lt;&gt;0,E37&lt;0),IF((AB$35*9)&lt;=E37,0,1),0))</f>
        <v>0</v>
      </c>
      <c r="AL37" s="25"/>
      <c r="AM37" s="1039">
        <f>IF(AND(BI37&lt;&gt;0,BI37&gt;0),IF((AX$35*9)&gt;=BI37,0,1),IF(AND(BI37&lt;&gt;0,BI37&lt;0),IF((AX$35*9)&lt;=BI37,0,1),0))</f>
        <v>0</v>
      </c>
      <c r="AN37" s="1039">
        <f>IF(AND(BI37&lt;&gt;0,BI37&gt;0),IF((AX$35*8)&gt;=BI37,0,1),IF(AND(BI37&lt;&gt;0,BI37&lt;0),IF((AX$35*8)&lt;=BI37,0,1),0))</f>
        <v>0</v>
      </c>
      <c r="AO37" s="1039">
        <f>IF(AND(BI37&lt;&gt;0,BI37&gt;0),IF((AX$35*7)&gt;=BI37,0,1),IF(AND(BI37&lt;&gt;0,BI37&lt;0),IF((AX$35*7)&lt;=BI37,0,1),0))</f>
        <v>0</v>
      </c>
      <c r="AP37" s="1039">
        <f>IF(AND(BI37&lt;&gt;0,BI37&gt;0),IF((AX$35*6)&gt;=BI37,0,1),IF(AND(BI37&lt;&gt;0,BI37&lt;0),IF((AX$35*6)&lt;=BI37,0,1),0))</f>
        <v>0</v>
      </c>
      <c r="AQ37" s="1039">
        <f>IF(AND(BI37&lt;&gt;0,BI37&gt;0),IF((AX$35*5)&gt;=BI37,0,1),IF(AND(BI37&lt;&gt;0,BI37&lt;0),IF((AX$35*5)&lt;=BI37,0,1),0))</f>
        <v>0</v>
      </c>
      <c r="AR37" s="1039">
        <f>IF(AND(BI37&lt;&gt;0,BI37&gt;0),IF((AX$35*4)&gt;=BI37,0,1),IF(AND(BI37&lt;&gt;0,BI37&lt;0),IF((AX$35*4)&lt;=BI37,0,1),0))</f>
        <v>0</v>
      </c>
      <c r="AS37" s="1039">
        <f>IF(AND(BI37&lt;&gt;0,BI37&gt;0),IF((AX$35*3)&gt;=BI37,0,1),IF(AND(BI37&lt;&gt;0,BI37&lt;0),IF((AX$35*3)&lt;=BI37,0,1),0))</f>
        <v>0</v>
      </c>
      <c r="AT37" s="1039">
        <f>IF(AND(BI37&lt;&gt;0,BI37&gt;0),IF((AX$35*2)&gt;=BI37,0,1),IF(AND(BI37&lt;&gt;0,BI37&lt;0),IF((AX$35*2)&lt;=BI37,0,1),0))</f>
        <v>0</v>
      </c>
      <c r="AU37" s="1039">
        <f>IF(AND(BI37&lt;&gt;0,BI37&gt;0),IF((AX$35*1)&gt;=BI37,0,1),IF(AND(BI37&lt;&gt;0,BI37&lt;0),IF((AX$35*1)&lt;=BI37,0,1),0))</f>
        <v>0</v>
      </c>
      <c r="AV37" s="1039">
        <f>IF(BI37&lt;&gt;0,1,0)</f>
        <v>0</v>
      </c>
      <c r="AW37" s="1040"/>
      <c r="AX37" s="1039">
        <f>IF(BJ37&lt;&gt;0,1,0)</f>
        <v>0</v>
      </c>
      <c r="AY37" s="1039">
        <f>IF(AND(BJ37&lt;&gt;0,BJ37&gt;0),IF((AX$35*1)&gt;=BJ37,0,1),IF(AND(BJ37&lt;&gt;0,BJ37&lt;0),IF((AX$35*1)&lt;=BJ37,0,1),0))</f>
        <v>0</v>
      </c>
      <c r="AZ37" s="1039">
        <f>IF(AND(BJ37&lt;&gt;0,BJ37&gt;0),IF((AX$35*2)&gt;=BJ37,0,1),IF(AND(BJ37&lt;&gt;0,BJ37&lt;0),IF((AX$35*2)&lt;=BJ37,0,1),0))</f>
        <v>0</v>
      </c>
      <c r="BA37" s="1039">
        <f>IF(AND(BJ37&lt;&gt;0,BJ37&gt;0),IF((AX$35*3)&gt;=BJ37,0,1),IF(AND(BJ37&lt;&gt;0,BJ37&lt;0),IF((AX$35*3)&lt;=BJ37,0,1),0))</f>
        <v>0</v>
      </c>
      <c r="BB37" s="1039">
        <f>IF(AND(BJ37&lt;&gt;0,BJ37&gt;0),IF((AX$35*4)&gt;=BJ37,0,1),IF(AND(BJ37&lt;&gt;0,BJ37&lt;0),IF((AX$35*4)&lt;=BJ37,0,1),0))</f>
        <v>0</v>
      </c>
      <c r="BC37" s="1039">
        <f>IF(AND(BJ37&lt;&gt;0,BJ37&gt;0),IF((AX$35*5)&gt;=BJ37,0,1),IF(AND(BJ37&lt;&gt;0,BJ37&lt;0),IF((AX$35*5)&lt;=BJ37,0,1),0))</f>
        <v>0</v>
      </c>
      <c r="BD37" s="1039">
        <f>IF(AND(BJ37&lt;&gt;0,BJ37&gt;0),IF((AX$35*6)&gt;=BJ37,0,1),IF(AND(BJ37&lt;&gt;0,BJ37&lt;0),IF((AX$35*6)&lt;=BJ37,0,1),0))</f>
        <v>0</v>
      </c>
      <c r="BE37" s="1039">
        <f>IF(AND(BJ37&lt;&gt;0,BJ37&gt;0),IF((AX$35*7)&gt;=BJ37,0,1),IF(AND(BJ37&lt;&gt;0,BJ37&lt;0),IF((AX$35*7)&lt;=BJ37,0,1),0))</f>
        <v>0</v>
      </c>
      <c r="BF37" s="1039">
        <f>IF(AND(BJ37&lt;&gt;0,BJ37&gt;0),IF((AX$35*8)&gt;=BJ37,0,1),IF(AND(BJ37&lt;&gt;0,BJ37&lt;0),IF((AX$35*8)&lt;=BJ37,0,1),0))</f>
        <v>0</v>
      </c>
      <c r="BG37" s="1039">
        <f>IF(AND(BJ37&lt;&gt;0,BJ37&gt;0),IF((AX$35*9)&gt;=BJ37,0,1),IF(AND(BJ37&lt;&gt;0,BJ37&lt;0),IF((AX$35*9)&lt;=BJ37,0,1),0))</f>
        <v>0</v>
      </c>
      <c r="BH37" s="25"/>
      <c r="BI37" s="499">
        <f t="shared" ref="BI37:BI47" si="93">IF(ISERROR(D37/O37*100),0,IF(D37&gt;=E37,ROUND(D37/O37*100,-1),100-BJ37))</f>
        <v>0</v>
      </c>
      <c r="BJ37" s="499">
        <f t="shared" ref="BJ37:BJ47" si="94">IF(ISERROR(E37/O37*100),0,IF(E37&gt;=D37,ROUND(E37/O37*100,-1),100-BI37))</f>
        <v>0</v>
      </c>
      <c r="BK37" s="25"/>
    </row>
    <row r="38" spans="1:63" ht="18" customHeight="1" x14ac:dyDescent="0.2">
      <c r="A38" s="270"/>
      <c r="B38" s="2346" t="e">
        <f>VLOOKUP(VLOOKUP(RIEPILOGO!B26,IMPOSTAZIONI!$K$8:$O$17,5,FALSE),IMPOSTAZIONI!$B$8:$C$17,2,FALSE)</f>
        <v>#N/A</v>
      </c>
      <c r="C38" s="2347"/>
      <c r="D38" s="959">
        <f>SUMIF(CASSA!AM180:AM545,"X",CASSA!BG180:BG545)</f>
        <v>0</v>
      </c>
      <c r="E38" s="955">
        <f>SUMIF(CASSA!AL180:AL545,"Y",CASSA!BG180:BG545)</f>
        <v>0</v>
      </c>
      <c r="F38" s="1033" t="e">
        <f t="shared" si="90"/>
        <v>#DIV/0!</v>
      </c>
      <c r="G38" s="1028" t="e">
        <f t="shared" si="90"/>
        <v>#DIV/0!</v>
      </c>
      <c r="H38" s="1034">
        <f t="shared" si="91"/>
        <v>0</v>
      </c>
      <c r="I38" s="1030">
        <f t="shared" si="92"/>
        <v>0</v>
      </c>
      <c r="J38" s="218"/>
      <c r="K38" s="25"/>
      <c r="L38" s="25"/>
      <c r="N38" s="25"/>
      <c r="O38" s="503">
        <f t="shared" ref="O38:O47" si="95">D38+E38</f>
        <v>0</v>
      </c>
      <c r="P38" s="25"/>
      <c r="Q38" s="1039">
        <f t="shared" ref="Q38:Q43" si="96">IF(AND(D38&lt;&gt;0,D38&gt;0),IF((AB$35*9)&gt;=D38,0,1),IF(AND(D38&lt;&gt;0,D38&lt;0),IF((AB$35*9)&lt;=D38,0,1),0))</f>
        <v>0</v>
      </c>
      <c r="R38" s="1039">
        <f t="shared" ref="R38:R43" si="97">IF(AND(D38&lt;&gt;0,D38&gt;0),IF((AB$35*8)&gt;=D38,0,1),IF(AND(D38&lt;&gt;0,D38&lt;0),IF((AB$35*8)&lt;=D38,0,1),0))</f>
        <v>0</v>
      </c>
      <c r="S38" s="1039">
        <f t="shared" ref="S38:S43" si="98">IF(AND(D38&lt;&gt;0,D38&gt;0),IF((AB$35*7)&gt;=D38,0,1),IF(AND(D38&lt;&gt;0,D38&lt;0),IF((AB$35*7)&lt;=D38,0,1),0))</f>
        <v>0</v>
      </c>
      <c r="T38" s="1039">
        <f t="shared" ref="T38:T43" si="99">IF(AND(D38&lt;&gt;0,D38&gt;0),IF((AB$35*6)&gt;=D38,0,1),IF(AND(D38&lt;&gt;0,D38&lt;0),IF((AB$35*6)&lt;=D38,0,1),0))</f>
        <v>0</v>
      </c>
      <c r="U38" s="1039">
        <f t="shared" ref="U38:U43" si="100">IF(AND(D38&lt;&gt;0,D38&gt;0),IF((AB$35*5)&gt;=D38,0,1),IF(AND(D38&lt;&gt;0,D38&lt;0),IF((AB$35*5)&lt;=D38,0,1),0))</f>
        <v>0</v>
      </c>
      <c r="V38" s="1039">
        <f t="shared" ref="V38:V43" si="101">IF(AND(D38&lt;&gt;0,D38&gt;0),IF((AB$35*4)&gt;=D38,0,1),IF(AND(D38&lt;&gt;0,D38&lt;0),IF((AB$35*4)&lt;=D38,0,1),0))</f>
        <v>0</v>
      </c>
      <c r="W38" s="1039">
        <f t="shared" ref="W38:W43" si="102">IF(AND(D38&lt;&gt;0,D38&gt;0),IF((AB$35*3)&gt;=D38,0,1),IF(AND(D38&lt;&gt;0,D38&lt;0),IF((AB$35*3)&lt;=D38,0,1),0))</f>
        <v>0</v>
      </c>
      <c r="X38" s="1039">
        <f t="shared" ref="X38:X43" si="103">IF(AND(D38&lt;&gt;0,D38&gt;0),IF((AB$35*2)&gt;=D38,0,1),IF(AND(D38&lt;&gt;0,D38&lt;0),IF((AB$35*2)&lt;=D38,0,1),0))</f>
        <v>0</v>
      </c>
      <c r="Y38" s="1039">
        <f t="shared" ref="Y38:Y43" si="104">IF(AND(D38&lt;&gt;0,D38&gt;0),IF((AB$35*1)&gt;=D38,0,1),IF(AND(D38&lt;&gt;0,D38&lt;0),IF((AB$35*1)&lt;=D38,0,1),0))</f>
        <v>0</v>
      </c>
      <c r="Z38" s="1039">
        <f t="shared" ref="Z38:Z43" si="105">IF(D38&lt;&gt;0,1,0)</f>
        <v>0</v>
      </c>
      <c r="AA38" s="1040"/>
      <c r="AB38" s="1039">
        <f t="shared" ref="AB38:AB43" si="106">IF(E38&lt;&gt;0,1,0)</f>
        <v>0</v>
      </c>
      <c r="AC38" s="1039">
        <f t="shared" ref="AC38:AC43" si="107">IF(AND(E38&lt;&gt;0,E38&gt;0),IF((AB$35*1)&gt;=E38,0,1),IF(AND(E38&lt;&gt;0,E38&lt;0),IF((AB$35*1)&lt;=E38,0,1),0))</f>
        <v>0</v>
      </c>
      <c r="AD38" s="1039">
        <f t="shared" ref="AD38:AD43" si="108">IF(AND(E38&lt;&gt;0,E38&gt;0),IF((AB$35*2)&gt;=E38,0,1),IF(AND(E38&lt;&gt;0,E38&lt;0),IF((AB$35*2)&lt;=E38,0,1),0))</f>
        <v>0</v>
      </c>
      <c r="AE38" s="1039">
        <f t="shared" ref="AE38:AE43" si="109">IF(AND(E38&lt;&gt;0,E38&gt;0),IF((AB$35*3)&gt;=E38,0,1),IF(AND(E38&lt;&gt;0,E38&lt;0),IF((AB$35*3)&lt;=E38,0,1),0))</f>
        <v>0</v>
      </c>
      <c r="AF38" s="1039">
        <f t="shared" ref="AF38:AF43" si="110">IF(AND(E38&lt;&gt;0,E38&gt;0),IF((AB$35*4)&gt;=E38,0,1),IF(AND(E38&lt;&gt;0,E38&lt;0),IF((AB$35*4)&lt;=E38,0,1),0))</f>
        <v>0</v>
      </c>
      <c r="AG38" s="1039">
        <f t="shared" ref="AG38:AG43" si="111">IF(AND(E38&lt;&gt;0,E38&gt;0),IF((AB$35*5)&gt;=E38,0,1),IF(AND(E38&lt;&gt;0,E38&lt;0),IF((AB$35*5)&lt;=E38,0,1),0))</f>
        <v>0</v>
      </c>
      <c r="AH38" s="1039">
        <f t="shared" ref="AH38:AH43" si="112">IF(AND(E38&lt;&gt;0,E38&gt;0),IF((AB$35*6)&gt;=E38,0,1),IF(AND(E38&lt;&gt;0,E38&lt;0),IF((AB$35*6)&lt;=E38,0,1),0))</f>
        <v>0</v>
      </c>
      <c r="AI38" s="1039">
        <f t="shared" ref="AI38:AI43" si="113">IF(AND(E38&lt;&gt;0,E38&gt;0),IF((AB$35*7)&gt;=E38,0,1),IF(AND(E38&lt;&gt;0,E38&lt;0),IF((AB$35*7)&lt;=E38,0,1),0))</f>
        <v>0</v>
      </c>
      <c r="AJ38" s="1039">
        <f t="shared" ref="AJ38:AJ47" si="114">IF(AND(E38&lt;&gt;0,E38&gt;0),IF((AB$35*8)&gt;=E38,0,1),IF(AND(E38&lt;&gt;0,E38&lt;0),IF((AB$35*8)&lt;=E38,0,1),0))</f>
        <v>0</v>
      </c>
      <c r="AK38" s="1039">
        <f t="shared" ref="AK38:AK43" si="115">IF(AND(E38&lt;&gt;0,E38&gt;0),IF((AB$35*9)&gt;=E38,0,1),IF(AND(E38&lt;&gt;0,E38&lt;0),IF((AB$35*9)&lt;=E38,0,1),0))</f>
        <v>0</v>
      </c>
      <c r="AL38" s="25"/>
      <c r="AM38" s="1039">
        <f t="shared" ref="AM38:AM43" si="116">IF(AND(BI38&lt;&gt;0,BI38&gt;0),IF((AX$35*9)&gt;=BI38,0,1),IF(AND(BI38&lt;&gt;0,BI38&lt;0),IF((AX$35*9)&lt;=BI38,0,1),0))</f>
        <v>0</v>
      </c>
      <c r="AN38" s="1039">
        <f t="shared" ref="AN38:AN43" si="117">IF(AND(BI38&lt;&gt;0,BI38&gt;0),IF((AX$35*8)&gt;=BI38,0,1),IF(AND(BI38&lt;&gt;0,BI38&lt;0),IF((AX$35*8)&lt;=BI38,0,1),0))</f>
        <v>0</v>
      </c>
      <c r="AO38" s="1039">
        <f t="shared" ref="AO38:AO43" si="118">IF(AND(BI38&lt;&gt;0,BI38&gt;0),IF((AX$35*7)&gt;=BI38,0,1),IF(AND(BI38&lt;&gt;0,BI38&lt;0),IF((AX$35*7)&lt;=BI38,0,1),0))</f>
        <v>0</v>
      </c>
      <c r="AP38" s="1039">
        <f t="shared" ref="AP38:AP43" si="119">IF(AND(BI38&lt;&gt;0,BI38&gt;0),IF((AX$35*6)&gt;=BI38,0,1),IF(AND(BI38&lt;&gt;0,BI38&lt;0),IF((AX$35*6)&lt;=BI38,0,1),0))</f>
        <v>0</v>
      </c>
      <c r="AQ38" s="1039">
        <f t="shared" ref="AQ38:AQ43" si="120">IF(AND(BI38&lt;&gt;0,BI38&gt;0),IF((AX$35*5)&gt;=BI38,0,1),IF(AND(BI38&lt;&gt;0,BI38&lt;0),IF((AX$35*5)&lt;=BI38,0,1),0))</f>
        <v>0</v>
      </c>
      <c r="AR38" s="1039">
        <f t="shared" ref="AR38:AR43" si="121">IF(AND(BI38&lt;&gt;0,BI38&gt;0),IF((AX$35*4)&gt;=BI38,0,1),IF(AND(BI38&lt;&gt;0,BI38&lt;0),IF((AX$35*4)&lt;=BI38,0,1),0))</f>
        <v>0</v>
      </c>
      <c r="AS38" s="1039">
        <f t="shared" ref="AS38:AS43" si="122">IF(AND(BI38&lt;&gt;0,BI38&gt;0),IF((AX$35*3)&gt;=BI38,0,1),IF(AND(BI38&lt;&gt;0,BI38&lt;0),IF((AX$35*3)&lt;=BI38,0,1),0))</f>
        <v>0</v>
      </c>
      <c r="AT38" s="1039">
        <f t="shared" ref="AT38:AT43" si="123">IF(AND(BI38&lt;&gt;0,BI38&gt;0),IF((AX$35*2)&gt;=BI38,0,1),IF(AND(BI38&lt;&gt;0,BI38&lt;0),IF((AX$35*2)&lt;=BI38,0,1),0))</f>
        <v>0</v>
      </c>
      <c r="AU38" s="1039">
        <f t="shared" ref="AU38:AU43" si="124">IF(AND(BI38&lt;&gt;0,BI38&gt;0),IF((AX$35*1)&gt;=BI38,0,1),IF(AND(BI38&lt;&gt;0,BI38&lt;0),IF((AX$35*1)&lt;=BI38,0,1),0))</f>
        <v>0</v>
      </c>
      <c r="AV38" s="1039">
        <f t="shared" ref="AV38:AV43" si="125">IF(BI38&lt;&gt;0,1,0)</f>
        <v>0</v>
      </c>
      <c r="AW38" s="1040"/>
      <c r="AX38" s="1039">
        <f t="shared" ref="AX38:AX43" si="126">IF(BJ38&lt;&gt;0,1,0)</f>
        <v>0</v>
      </c>
      <c r="AY38" s="1039">
        <f t="shared" ref="AY38:AY43" si="127">IF(AND(BJ38&lt;&gt;0,BJ38&gt;0),IF((AX$35*1)&gt;=BJ38,0,1),IF(AND(BJ38&lt;&gt;0,BJ38&lt;0),IF((AX$35*1)&lt;=BJ38,0,1),0))</f>
        <v>0</v>
      </c>
      <c r="AZ38" s="1039">
        <f t="shared" ref="AZ38:AZ43" si="128">IF(AND(BJ38&lt;&gt;0,BJ38&gt;0),IF((AX$35*2)&gt;=BJ38,0,1),IF(AND(BJ38&lt;&gt;0,BJ38&lt;0),IF((AX$35*2)&lt;=BJ38,0,1),0))</f>
        <v>0</v>
      </c>
      <c r="BA38" s="1039">
        <f t="shared" ref="BA38:BA43" si="129">IF(AND(BJ38&lt;&gt;0,BJ38&gt;0),IF((AX$35*3)&gt;=BJ38,0,1),IF(AND(BJ38&lt;&gt;0,BJ38&lt;0),IF((AX$35*3)&lt;=BJ38,0,1),0))</f>
        <v>0</v>
      </c>
      <c r="BB38" s="1039">
        <f t="shared" ref="BB38:BB43" si="130">IF(AND(BJ38&lt;&gt;0,BJ38&gt;0),IF((AX$35*4)&gt;=BJ38,0,1),IF(AND(BJ38&lt;&gt;0,BJ38&lt;0),IF((AX$35*4)&lt;=BJ38,0,1),0))</f>
        <v>0</v>
      </c>
      <c r="BC38" s="1039">
        <f t="shared" ref="BC38:BC43" si="131">IF(AND(BJ38&lt;&gt;0,BJ38&gt;0),IF((AX$35*5)&gt;=BJ38,0,1),IF(AND(BJ38&lt;&gt;0,BJ38&lt;0),IF((AX$35*5)&lt;=BJ38,0,1),0))</f>
        <v>0</v>
      </c>
      <c r="BD38" s="1039">
        <f t="shared" ref="BD38:BD43" si="132">IF(AND(BJ38&lt;&gt;0,BJ38&gt;0),IF((AX$35*6)&gt;=BJ38,0,1),IF(AND(BJ38&lt;&gt;0,BJ38&lt;0),IF((AX$35*6)&lt;=BJ38,0,1),0))</f>
        <v>0</v>
      </c>
      <c r="BE38" s="1039">
        <f t="shared" ref="BE38:BE43" si="133">IF(AND(BJ38&lt;&gt;0,BJ38&gt;0),IF((AX$35*7)&gt;=BJ38,0,1),IF(AND(BJ38&lt;&gt;0,BJ38&lt;0),IF((AX$35*7)&lt;=BJ38,0,1),0))</f>
        <v>0</v>
      </c>
      <c r="BF38" s="1039">
        <f t="shared" ref="BF38:BF43" si="134">IF(AND(BJ38&lt;&gt;0,BJ38&gt;0),IF((AX$35*8)&gt;=BJ38,0,1),IF(AND(BJ38&lt;&gt;0,BJ38&lt;0),IF((AX$35*8)&lt;=BJ38,0,1),0))</f>
        <v>0</v>
      </c>
      <c r="BG38" s="1039">
        <f t="shared" ref="BG38:BG43" si="135">IF(AND(BJ38&lt;&gt;0,BJ38&gt;0),IF((AX$35*9)&gt;=BJ38,0,1),IF(AND(BJ38&lt;&gt;0,BJ38&lt;0),IF((AX$35*9)&lt;=BJ38,0,1),0))</f>
        <v>0</v>
      </c>
      <c r="BH38" s="25"/>
      <c r="BI38" s="499">
        <f t="shared" si="93"/>
        <v>0</v>
      </c>
      <c r="BJ38" s="499">
        <f t="shared" si="94"/>
        <v>0</v>
      </c>
      <c r="BK38" s="25"/>
    </row>
    <row r="39" spans="1:63" ht="18" customHeight="1" x14ac:dyDescent="0.2">
      <c r="A39" s="270"/>
      <c r="B39" s="2346" t="e">
        <f>VLOOKUP(VLOOKUP(RIEPILOGO!B30,IMPOSTAZIONI!$K$8:$O$17,5,FALSE),IMPOSTAZIONI!$B$8:$C$17,2,FALSE)</f>
        <v>#N/A</v>
      </c>
      <c r="C39" s="2347"/>
      <c r="D39" s="959">
        <f>SUMIF(CASSA!AM180:AM545,"X",CASSA!BH180:BH545)</f>
        <v>0</v>
      </c>
      <c r="E39" s="955">
        <f>SUMIF(CASSA!AL180:AL545,"Y",CASSA!BH180:BH545)</f>
        <v>0</v>
      </c>
      <c r="F39" s="1033" t="e">
        <f t="shared" si="90"/>
        <v>#DIV/0!</v>
      </c>
      <c r="G39" s="1028" t="e">
        <f t="shared" si="90"/>
        <v>#DIV/0!</v>
      </c>
      <c r="H39" s="1034">
        <f t="shared" si="91"/>
        <v>0</v>
      </c>
      <c r="I39" s="1030">
        <f t="shared" si="92"/>
        <v>0</v>
      </c>
      <c r="J39" s="218"/>
      <c r="K39" s="25"/>
      <c r="L39" s="25"/>
      <c r="N39" s="25"/>
      <c r="O39" s="503">
        <f t="shared" si="95"/>
        <v>0</v>
      </c>
      <c r="P39" s="25"/>
      <c r="Q39" s="1039">
        <f t="shared" si="96"/>
        <v>0</v>
      </c>
      <c r="R39" s="1039">
        <f t="shared" si="97"/>
        <v>0</v>
      </c>
      <c r="S39" s="1039">
        <f t="shared" si="98"/>
        <v>0</v>
      </c>
      <c r="T39" s="1039">
        <f t="shared" si="99"/>
        <v>0</v>
      </c>
      <c r="U39" s="1039">
        <f t="shared" si="100"/>
        <v>0</v>
      </c>
      <c r="V39" s="1039">
        <f t="shared" si="101"/>
        <v>0</v>
      </c>
      <c r="W39" s="1039">
        <f t="shared" si="102"/>
        <v>0</v>
      </c>
      <c r="X39" s="1039">
        <f t="shared" si="103"/>
        <v>0</v>
      </c>
      <c r="Y39" s="1039">
        <f t="shared" si="104"/>
        <v>0</v>
      </c>
      <c r="Z39" s="1039">
        <f t="shared" si="105"/>
        <v>0</v>
      </c>
      <c r="AA39" s="1040"/>
      <c r="AB39" s="1039">
        <f t="shared" si="106"/>
        <v>0</v>
      </c>
      <c r="AC39" s="1039">
        <f t="shared" si="107"/>
        <v>0</v>
      </c>
      <c r="AD39" s="1039">
        <f t="shared" si="108"/>
        <v>0</v>
      </c>
      <c r="AE39" s="1039">
        <f t="shared" si="109"/>
        <v>0</v>
      </c>
      <c r="AF39" s="1039">
        <f t="shared" si="110"/>
        <v>0</v>
      </c>
      <c r="AG39" s="1039">
        <f t="shared" si="111"/>
        <v>0</v>
      </c>
      <c r="AH39" s="1039">
        <f t="shared" si="112"/>
        <v>0</v>
      </c>
      <c r="AI39" s="1039">
        <f t="shared" si="113"/>
        <v>0</v>
      </c>
      <c r="AJ39" s="1039">
        <f t="shared" si="114"/>
        <v>0</v>
      </c>
      <c r="AK39" s="1039">
        <f t="shared" si="115"/>
        <v>0</v>
      </c>
      <c r="AL39" s="25"/>
      <c r="AM39" s="1039">
        <f t="shared" si="116"/>
        <v>0</v>
      </c>
      <c r="AN39" s="1039">
        <f t="shared" si="117"/>
        <v>0</v>
      </c>
      <c r="AO39" s="1039">
        <f t="shared" si="118"/>
        <v>0</v>
      </c>
      <c r="AP39" s="1039">
        <f t="shared" si="119"/>
        <v>0</v>
      </c>
      <c r="AQ39" s="1039">
        <f t="shared" si="120"/>
        <v>0</v>
      </c>
      <c r="AR39" s="1039">
        <f t="shared" si="121"/>
        <v>0</v>
      </c>
      <c r="AS39" s="1039">
        <f t="shared" si="122"/>
        <v>0</v>
      </c>
      <c r="AT39" s="1039">
        <f t="shared" si="123"/>
        <v>0</v>
      </c>
      <c r="AU39" s="1039">
        <f t="shared" si="124"/>
        <v>0</v>
      </c>
      <c r="AV39" s="1039">
        <f t="shared" si="125"/>
        <v>0</v>
      </c>
      <c r="AW39" s="1040"/>
      <c r="AX39" s="1039">
        <f t="shared" si="126"/>
        <v>0</v>
      </c>
      <c r="AY39" s="1039">
        <f t="shared" si="127"/>
        <v>0</v>
      </c>
      <c r="AZ39" s="1039">
        <f t="shared" si="128"/>
        <v>0</v>
      </c>
      <c r="BA39" s="1039">
        <f t="shared" si="129"/>
        <v>0</v>
      </c>
      <c r="BB39" s="1039">
        <f t="shared" si="130"/>
        <v>0</v>
      </c>
      <c r="BC39" s="1039">
        <f t="shared" si="131"/>
        <v>0</v>
      </c>
      <c r="BD39" s="1039">
        <f t="shared" si="132"/>
        <v>0</v>
      </c>
      <c r="BE39" s="1039">
        <f t="shared" si="133"/>
        <v>0</v>
      </c>
      <c r="BF39" s="1039">
        <f t="shared" si="134"/>
        <v>0</v>
      </c>
      <c r="BG39" s="1039">
        <f t="shared" si="135"/>
        <v>0</v>
      </c>
      <c r="BH39" s="25"/>
      <c r="BI39" s="499">
        <f t="shared" si="93"/>
        <v>0</v>
      </c>
      <c r="BJ39" s="499">
        <f t="shared" si="94"/>
        <v>0</v>
      </c>
      <c r="BK39" s="25"/>
    </row>
    <row r="40" spans="1:63" ht="18" customHeight="1" x14ac:dyDescent="0.2">
      <c r="A40" s="270"/>
      <c r="B40" s="2346" t="e">
        <f>VLOOKUP(VLOOKUP(RIEPILOGO!B34,IMPOSTAZIONI!$K$8:$O$17,5,FALSE),IMPOSTAZIONI!$B$8:$C$17,2,FALSE)</f>
        <v>#N/A</v>
      </c>
      <c r="C40" s="2347"/>
      <c r="D40" s="959">
        <f>SUMIF(CASSA!AM180:AM545,"X",CASSA!BI180:BI545)</f>
        <v>0</v>
      </c>
      <c r="E40" s="955">
        <f>SUMIF(CASSA!AL180:AL545,"Y",CASSA!BI180:BI545)</f>
        <v>0</v>
      </c>
      <c r="F40" s="1033" t="e">
        <f t="shared" si="90"/>
        <v>#DIV/0!</v>
      </c>
      <c r="G40" s="1028" t="e">
        <f t="shared" si="90"/>
        <v>#DIV/0!</v>
      </c>
      <c r="H40" s="1034">
        <f t="shared" si="91"/>
        <v>0</v>
      </c>
      <c r="I40" s="1030">
        <f t="shared" si="92"/>
        <v>0</v>
      </c>
      <c r="J40" s="218"/>
      <c r="K40" s="25"/>
      <c r="L40" s="25"/>
      <c r="N40" s="25"/>
      <c r="O40" s="503">
        <f t="shared" si="95"/>
        <v>0</v>
      </c>
      <c r="P40" s="25"/>
      <c r="Q40" s="1039">
        <f t="shared" si="96"/>
        <v>0</v>
      </c>
      <c r="R40" s="1039">
        <f t="shared" si="97"/>
        <v>0</v>
      </c>
      <c r="S40" s="1039">
        <f t="shared" si="98"/>
        <v>0</v>
      </c>
      <c r="T40" s="1039">
        <f t="shared" si="99"/>
        <v>0</v>
      </c>
      <c r="U40" s="1039">
        <f t="shared" si="100"/>
        <v>0</v>
      </c>
      <c r="V40" s="1039">
        <f t="shared" si="101"/>
        <v>0</v>
      </c>
      <c r="W40" s="1039">
        <f t="shared" si="102"/>
        <v>0</v>
      </c>
      <c r="X40" s="1039">
        <f t="shared" si="103"/>
        <v>0</v>
      </c>
      <c r="Y40" s="1039">
        <f t="shared" si="104"/>
        <v>0</v>
      </c>
      <c r="Z40" s="1039">
        <f t="shared" si="105"/>
        <v>0</v>
      </c>
      <c r="AA40" s="1040"/>
      <c r="AB40" s="1039">
        <f t="shared" si="106"/>
        <v>0</v>
      </c>
      <c r="AC40" s="1039">
        <f t="shared" si="107"/>
        <v>0</v>
      </c>
      <c r="AD40" s="1039">
        <f t="shared" si="108"/>
        <v>0</v>
      </c>
      <c r="AE40" s="1039">
        <f t="shared" si="109"/>
        <v>0</v>
      </c>
      <c r="AF40" s="1039">
        <f t="shared" si="110"/>
        <v>0</v>
      </c>
      <c r="AG40" s="1039">
        <f t="shared" si="111"/>
        <v>0</v>
      </c>
      <c r="AH40" s="1039">
        <f t="shared" si="112"/>
        <v>0</v>
      </c>
      <c r="AI40" s="1039">
        <f t="shared" si="113"/>
        <v>0</v>
      </c>
      <c r="AJ40" s="1039">
        <f t="shared" si="114"/>
        <v>0</v>
      </c>
      <c r="AK40" s="1039">
        <f t="shared" si="115"/>
        <v>0</v>
      </c>
      <c r="AL40" s="25"/>
      <c r="AM40" s="1039">
        <f t="shared" si="116"/>
        <v>0</v>
      </c>
      <c r="AN40" s="1039">
        <f t="shared" si="117"/>
        <v>0</v>
      </c>
      <c r="AO40" s="1039">
        <f t="shared" si="118"/>
        <v>0</v>
      </c>
      <c r="AP40" s="1039">
        <f t="shared" si="119"/>
        <v>0</v>
      </c>
      <c r="AQ40" s="1039">
        <f t="shared" si="120"/>
        <v>0</v>
      </c>
      <c r="AR40" s="1039">
        <f t="shared" si="121"/>
        <v>0</v>
      </c>
      <c r="AS40" s="1039">
        <f t="shared" si="122"/>
        <v>0</v>
      </c>
      <c r="AT40" s="1039">
        <f t="shared" si="123"/>
        <v>0</v>
      </c>
      <c r="AU40" s="1039">
        <f t="shared" si="124"/>
        <v>0</v>
      </c>
      <c r="AV40" s="1039">
        <f t="shared" si="125"/>
        <v>0</v>
      </c>
      <c r="AW40" s="1040"/>
      <c r="AX40" s="1039">
        <f t="shared" si="126"/>
        <v>0</v>
      </c>
      <c r="AY40" s="1039">
        <f t="shared" si="127"/>
        <v>0</v>
      </c>
      <c r="AZ40" s="1039">
        <f t="shared" si="128"/>
        <v>0</v>
      </c>
      <c r="BA40" s="1039">
        <f t="shared" si="129"/>
        <v>0</v>
      </c>
      <c r="BB40" s="1039">
        <f t="shared" si="130"/>
        <v>0</v>
      </c>
      <c r="BC40" s="1039">
        <f t="shared" si="131"/>
        <v>0</v>
      </c>
      <c r="BD40" s="1039">
        <f t="shared" si="132"/>
        <v>0</v>
      </c>
      <c r="BE40" s="1039">
        <f t="shared" si="133"/>
        <v>0</v>
      </c>
      <c r="BF40" s="1039">
        <f t="shared" si="134"/>
        <v>0</v>
      </c>
      <c r="BG40" s="1039">
        <f t="shared" si="135"/>
        <v>0</v>
      </c>
      <c r="BH40" s="25"/>
      <c r="BI40" s="499">
        <f t="shared" si="93"/>
        <v>0</v>
      </c>
      <c r="BJ40" s="499">
        <f t="shared" si="94"/>
        <v>0</v>
      </c>
      <c r="BK40" s="25"/>
    </row>
    <row r="41" spans="1:63" ht="18" customHeight="1" x14ac:dyDescent="0.2">
      <c r="A41" s="270"/>
      <c r="B41" s="2346" t="e">
        <f>VLOOKUP(VLOOKUP(RIEPILOGO!B38,IMPOSTAZIONI!$K$8:$O$17,5,FALSE),IMPOSTAZIONI!$B$8:$C$17,2,FALSE)</f>
        <v>#N/A</v>
      </c>
      <c r="C41" s="2347"/>
      <c r="D41" s="959">
        <f>SUMIF(CASSA!AM180:AM545,"X",CASSA!BJ180:BJ545)</f>
        <v>0</v>
      </c>
      <c r="E41" s="955">
        <f>SUMIF(CASSA!AL180:AL545,"Y",CASSA!BJ180:BJ545)</f>
        <v>0</v>
      </c>
      <c r="F41" s="1033" t="e">
        <f t="shared" ref="F41:F46" si="136">D41/D$49*100</f>
        <v>#DIV/0!</v>
      </c>
      <c r="G41" s="1028" t="e">
        <f t="shared" ref="G41:G46" si="137">E41/E$49*100</f>
        <v>#DIV/0!</v>
      </c>
      <c r="H41" s="1034">
        <f t="shared" si="91"/>
        <v>0</v>
      </c>
      <c r="I41" s="1030">
        <f t="shared" si="92"/>
        <v>0</v>
      </c>
      <c r="J41" s="218"/>
      <c r="K41" s="25"/>
      <c r="L41" s="25"/>
      <c r="N41" s="25"/>
      <c r="O41" s="503">
        <f t="shared" si="95"/>
        <v>0</v>
      </c>
      <c r="P41" s="25"/>
      <c r="Q41" s="1039">
        <f t="shared" si="96"/>
        <v>0</v>
      </c>
      <c r="R41" s="1039">
        <f t="shared" si="97"/>
        <v>0</v>
      </c>
      <c r="S41" s="1039">
        <f t="shared" si="98"/>
        <v>0</v>
      </c>
      <c r="T41" s="1039">
        <f t="shared" si="99"/>
        <v>0</v>
      </c>
      <c r="U41" s="1039">
        <f t="shared" si="100"/>
        <v>0</v>
      </c>
      <c r="V41" s="1039">
        <f t="shared" si="101"/>
        <v>0</v>
      </c>
      <c r="W41" s="1039">
        <f t="shared" si="102"/>
        <v>0</v>
      </c>
      <c r="X41" s="1039">
        <f t="shared" si="103"/>
        <v>0</v>
      </c>
      <c r="Y41" s="1039">
        <f t="shared" si="104"/>
        <v>0</v>
      </c>
      <c r="Z41" s="1039">
        <f t="shared" si="105"/>
        <v>0</v>
      </c>
      <c r="AA41" s="1040"/>
      <c r="AB41" s="1039">
        <f t="shared" si="106"/>
        <v>0</v>
      </c>
      <c r="AC41" s="1039">
        <f t="shared" si="107"/>
        <v>0</v>
      </c>
      <c r="AD41" s="1039">
        <f t="shared" si="108"/>
        <v>0</v>
      </c>
      <c r="AE41" s="1039">
        <f t="shared" si="109"/>
        <v>0</v>
      </c>
      <c r="AF41" s="1039">
        <f t="shared" si="110"/>
        <v>0</v>
      </c>
      <c r="AG41" s="1039">
        <f t="shared" si="111"/>
        <v>0</v>
      </c>
      <c r="AH41" s="1039">
        <f t="shared" si="112"/>
        <v>0</v>
      </c>
      <c r="AI41" s="1039">
        <f t="shared" si="113"/>
        <v>0</v>
      </c>
      <c r="AJ41" s="1039">
        <f t="shared" si="114"/>
        <v>0</v>
      </c>
      <c r="AK41" s="1039">
        <f t="shared" si="115"/>
        <v>0</v>
      </c>
      <c r="AL41" s="25"/>
      <c r="AM41" s="1039">
        <f t="shared" si="116"/>
        <v>0</v>
      </c>
      <c r="AN41" s="1039">
        <f t="shared" si="117"/>
        <v>0</v>
      </c>
      <c r="AO41" s="1039">
        <f t="shared" si="118"/>
        <v>0</v>
      </c>
      <c r="AP41" s="1039">
        <f t="shared" si="119"/>
        <v>0</v>
      </c>
      <c r="AQ41" s="1039">
        <f t="shared" si="120"/>
        <v>0</v>
      </c>
      <c r="AR41" s="1039">
        <f t="shared" si="121"/>
        <v>0</v>
      </c>
      <c r="AS41" s="1039">
        <f t="shared" si="122"/>
        <v>0</v>
      </c>
      <c r="AT41" s="1039">
        <f t="shared" si="123"/>
        <v>0</v>
      </c>
      <c r="AU41" s="1039">
        <f t="shared" si="124"/>
        <v>0</v>
      </c>
      <c r="AV41" s="1039">
        <f t="shared" si="125"/>
        <v>0</v>
      </c>
      <c r="AW41" s="1040"/>
      <c r="AX41" s="1039">
        <f t="shared" si="126"/>
        <v>0</v>
      </c>
      <c r="AY41" s="1039">
        <f t="shared" si="127"/>
        <v>0</v>
      </c>
      <c r="AZ41" s="1039">
        <f t="shared" si="128"/>
        <v>0</v>
      </c>
      <c r="BA41" s="1039">
        <f t="shared" si="129"/>
        <v>0</v>
      </c>
      <c r="BB41" s="1039">
        <f t="shared" si="130"/>
        <v>0</v>
      </c>
      <c r="BC41" s="1039">
        <f t="shared" si="131"/>
        <v>0</v>
      </c>
      <c r="BD41" s="1039">
        <f t="shared" si="132"/>
        <v>0</v>
      </c>
      <c r="BE41" s="1039">
        <f t="shared" si="133"/>
        <v>0</v>
      </c>
      <c r="BF41" s="1039">
        <f t="shared" si="134"/>
        <v>0</v>
      </c>
      <c r="BG41" s="1039">
        <f t="shared" si="135"/>
        <v>0</v>
      </c>
      <c r="BH41" s="25"/>
      <c r="BI41" s="499">
        <f t="shared" si="93"/>
        <v>0</v>
      </c>
      <c r="BJ41" s="499">
        <f t="shared" si="94"/>
        <v>0</v>
      </c>
      <c r="BK41" s="25"/>
    </row>
    <row r="42" spans="1:63" ht="18" customHeight="1" x14ac:dyDescent="0.2">
      <c r="A42" s="270"/>
      <c r="B42" s="2346" t="e">
        <f>VLOOKUP(VLOOKUP(RIEPILOGO!B42,IMPOSTAZIONI!$K$8:$O$17,5,FALSE),IMPOSTAZIONI!$B$8:$C$17,2,FALSE)</f>
        <v>#N/A</v>
      </c>
      <c r="C42" s="2347"/>
      <c r="D42" s="959">
        <f>SUMIF(CASSA!AM180:AM545,"X",CASSA!BK180:BK545)</f>
        <v>0</v>
      </c>
      <c r="E42" s="955">
        <f>SUMIF(CASSA!AL180:AL545,"Y",CASSA!BK180:BK545)</f>
        <v>0</v>
      </c>
      <c r="F42" s="1033" t="e">
        <f t="shared" si="136"/>
        <v>#DIV/0!</v>
      </c>
      <c r="G42" s="1028" t="e">
        <f t="shared" si="137"/>
        <v>#DIV/0!</v>
      </c>
      <c r="H42" s="1034">
        <f t="shared" si="91"/>
        <v>0</v>
      </c>
      <c r="I42" s="1030">
        <f t="shared" si="92"/>
        <v>0</v>
      </c>
      <c r="J42" s="218"/>
      <c r="K42" s="25"/>
      <c r="L42" s="25"/>
      <c r="N42" s="25"/>
      <c r="O42" s="503">
        <f t="shared" si="95"/>
        <v>0</v>
      </c>
      <c r="P42" s="25"/>
      <c r="Q42" s="1039">
        <f t="shared" si="96"/>
        <v>0</v>
      </c>
      <c r="R42" s="1039">
        <f t="shared" si="97"/>
        <v>0</v>
      </c>
      <c r="S42" s="1039">
        <f t="shared" si="98"/>
        <v>0</v>
      </c>
      <c r="T42" s="1039">
        <f t="shared" si="99"/>
        <v>0</v>
      </c>
      <c r="U42" s="1039">
        <f t="shared" si="100"/>
        <v>0</v>
      </c>
      <c r="V42" s="1039">
        <f t="shared" si="101"/>
        <v>0</v>
      </c>
      <c r="W42" s="1039">
        <f t="shared" si="102"/>
        <v>0</v>
      </c>
      <c r="X42" s="1039">
        <f t="shared" si="103"/>
        <v>0</v>
      </c>
      <c r="Y42" s="1039">
        <f t="shared" si="104"/>
        <v>0</v>
      </c>
      <c r="Z42" s="1039">
        <f t="shared" si="105"/>
        <v>0</v>
      </c>
      <c r="AA42" s="1040"/>
      <c r="AB42" s="1039">
        <f t="shared" si="106"/>
        <v>0</v>
      </c>
      <c r="AC42" s="1039">
        <f t="shared" si="107"/>
        <v>0</v>
      </c>
      <c r="AD42" s="1039">
        <f t="shared" si="108"/>
        <v>0</v>
      </c>
      <c r="AE42" s="1039">
        <f t="shared" si="109"/>
        <v>0</v>
      </c>
      <c r="AF42" s="1039">
        <f t="shared" si="110"/>
        <v>0</v>
      </c>
      <c r="AG42" s="1039">
        <f t="shared" si="111"/>
        <v>0</v>
      </c>
      <c r="AH42" s="1039">
        <f t="shared" si="112"/>
        <v>0</v>
      </c>
      <c r="AI42" s="1039">
        <f t="shared" si="113"/>
        <v>0</v>
      </c>
      <c r="AJ42" s="1039">
        <f t="shared" si="114"/>
        <v>0</v>
      </c>
      <c r="AK42" s="1039">
        <f t="shared" si="115"/>
        <v>0</v>
      </c>
      <c r="AL42" s="25"/>
      <c r="AM42" s="1039">
        <f t="shared" si="116"/>
        <v>0</v>
      </c>
      <c r="AN42" s="1039">
        <f t="shared" si="117"/>
        <v>0</v>
      </c>
      <c r="AO42" s="1039">
        <f t="shared" si="118"/>
        <v>0</v>
      </c>
      <c r="AP42" s="1039">
        <f t="shared" si="119"/>
        <v>0</v>
      </c>
      <c r="AQ42" s="1039">
        <f t="shared" si="120"/>
        <v>0</v>
      </c>
      <c r="AR42" s="1039">
        <f t="shared" si="121"/>
        <v>0</v>
      </c>
      <c r="AS42" s="1039">
        <f t="shared" si="122"/>
        <v>0</v>
      </c>
      <c r="AT42" s="1039">
        <f t="shared" si="123"/>
        <v>0</v>
      </c>
      <c r="AU42" s="1039">
        <f t="shared" si="124"/>
        <v>0</v>
      </c>
      <c r="AV42" s="1039">
        <f t="shared" si="125"/>
        <v>0</v>
      </c>
      <c r="AW42" s="1040"/>
      <c r="AX42" s="1039">
        <f t="shared" si="126"/>
        <v>0</v>
      </c>
      <c r="AY42" s="1039">
        <f t="shared" si="127"/>
        <v>0</v>
      </c>
      <c r="AZ42" s="1039">
        <f t="shared" si="128"/>
        <v>0</v>
      </c>
      <c r="BA42" s="1039">
        <f t="shared" si="129"/>
        <v>0</v>
      </c>
      <c r="BB42" s="1039">
        <f t="shared" si="130"/>
        <v>0</v>
      </c>
      <c r="BC42" s="1039">
        <f t="shared" si="131"/>
        <v>0</v>
      </c>
      <c r="BD42" s="1039">
        <f t="shared" si="132"/>
        <v>0</v>
      </c>
      <c r="BE42" s="1039">
        <f t="shared" si="133"/>
        <v>0</v>
      </c>
      <c r="BF42" s="1039">
        <f t="shared" si="134"/>
        <v>0</v>
      </c>
      <c r="BG42" s="1039">
        <f t="shared" si="135"/>
        <v>0</v>
      </c>
      <c r="BH42" s="25"/>
      <c r="BI42" s="499">
        <f t="shared" si="93"/>
        <v>0</v>
      </c>
      <c r="BJ42" s="499">
        <f t="shared" si="94"/>
        <v>0</v>
      </c>
      <c r="BK42" s="25"/>
    </row>
    <row r="43" spans="1:63" ht="18" customHeight="1" x14ac:dyDescent="0.2">
      <c r="A43" s="270"/>
      <c r="B43" s="2346" t="e">
        <f>VLOOKUP(VLOOKUP(RIEPILOGO!B46,IMPOSTAZIONI!$K$8:$O$17,5,FALSE),IMPOSTAZIONI!$B$8:$C$17,2,FALSE)</f>
        <v>#N/A</v>
      </c>
      <c r="C43" s="2347"/>
      <c r="D43" s="959">
        <f>SUMIF(CASSA!AM180:AM545,"X",CASSA!BL180:BL545)</f>
        <v>0</v>
      </c>
      <c r="E43" s="955">
        <f>SUMIF(CASSA!AL180:AL545,"Y",CASSA!BL180:BL545)</f>
        <v>0</v>
      </c>
      <c r="F43" s="1033" t="e">
        <f t="shared" si="136"/>
        <v>#DIV/0!</v>
      </c>
      <c r="G43" s="1028" t="e">
        <f t="shared" si="137"/>
        <v>#DIV/0!</v>
      </c>
      <c r="H43" s="1034">
        <f t="shared" si="91"/>
        <v>0</v>
      </c>
      <c r="I43" s="1030">
        <f t="shared" si="92"/>
        <v>0</v>
      </c>
      <c r="J43" s="218"/>
      <c r="K43" s="25"/>
      <c r="L43" s="25"/>
      <c r="N43" s="25"/>
      <c r="O43" s="503">
        <f t="shared" si="95"/>
        <v>0</v>
      </c>
      <c r="P43" s="25"/>
      <c r="Q43" s="1039">
        <f t="shared" si="96"/>
        <v>0</v>
      </c>
      <c r="R43" s="1039">
        <f t="shared" si="97"/>
        <v>0</v>
      </c>
      <c r="S43" s="1039">
        <f t="shared" si="98"/>
        <v>0</v>
      </c>
      <c r="T43" s="1039">
        <f t="shared" si="99"/>
        <v>0</v>
      </c>
      <c r="U43" s="1039">
        <f t="shared" si="100"/>
        <v>0</v>
      </c>
      <c r="V43" s="1039">
        <f t="shared" si="101"/>
        <v>0</v>
      </c>
      <c r="W43" s="1039">
        <f t="shared" si="102"/>
        <v>0</v>
      </c>
      <c r="X43" s="1039">
        <f t="shared" si="103"/>
        <v>0</v>
      </c>
      <c r="Y43" s="1039">
        <f t="shared" si="104"/>
        <v>0</v>
      </c>
      <c r="Z43" s="1039">
        <f t="shared" si="105"/>
        <v>0</v>
      </c>
      <c r="AA43" s="1040"/>
      <c r="AB43" s="1039">
        <f t="shared" si="106"/>
        <v>0</v>
      </c>
      <c r="AC43" s="1039">
        <f t="shared" si="107"/>
        <v>0</v>
      </c>
      <c r="AD43" s="1039">
        <f t="shared" si="108"/>
        <v>0</v>
      </c>
      <c r="AE43" s="1039">
        <f t="shared" si="109"/>
        <v>0</v>
      </c>
      <c r="AF43" s="1039">
        <f t="shared" si="110"/>
        <v>0</v>
      </c>
      <c r="AG43" s="1039">
        <f t="shared" si="111"/>
        <v>0</v>
      </c>
      <c r="AH43" s="1039">
        <f t="shared" si="112"/>
        <v>0</v>
      </c>
      <c r="AI43" s="1039">
        <f t="shared" si="113"/>
        <v>0</v>
      </c>
      <c r="AJ43" s="1039">
        <f t="shared" si="114"/>
        <v>0</v>
      </c>
      <c r="AK43" s="1039">
        <f t="shared" si="115"/>
        <v>0</v>
      </c>
      <c r="AL43" s="25"/>
      <c r="AM43" s="1039">
        <f t="shared" si="116"/>
        <v>0</v>
      </c>
      <c r="AN43" s="1039">
        <f t="shared" si="117"/>
        <v>0</v>
      </c>
      <c r="AO43" s="1039">
        <f t="shared" si="118"/>
        <v>0</v>
      </c>
      <c r="AP43" s="1039">
        <f t="shared" si="119"/>
        <v>0</v>
      </c>
      <c r="AQ43" s="1039">
        <f t="shared" si="120"/>
        <v>0</v>
      </c>
      <c r="AR43" s="1039">
        <f t="shared" si="121"/>
        <v>0</v>
      </c>
      <c r="AS43" s="1039">
        <f t="shared" si="122"/>
        <v>0</v>
      </c>
      <c r="AT43" s="1039">
        <f t="shared" si="123"/>
        <v>0</v>
      </c>
      <c r="AU43" s="1039">
        <f t="shared" si="124"/>
        <v>0</v>
      </c>
      <c r="AV43" s="1039">
        <f t="shared" si="125"/>
        <v>0</v>
      </c>
      <c r="AW43" s="1040"/>
      <c r="AX43" s="1039">
        <f t="shared" si="126"/>
        <v>0</v>
      </c>
      <c r="AY43" s="1039">
        <f t="shared" si="127"/>
        <v>0</v>
      </c>
      <c r="AZ43" s="1039">
        <f t="shared" si="128"/>
        <v>0</v>
      </c>
      <c r="BA43" s="1039">
        <f t="shared" si="129"/>
        <v>0</v>
      </c>
      <c r="BB43" s="1039">
        <f t="shared" si="130"/>
        <v>0</v>
      </c>
      <c r="BC43" s="1039">
        <f t="shared" si="131"/>
        <v>0</v>
      </c>
      <c r="BD43" s="1039">
        <f t="shared" si="132"/>
        <v>0</v>
      </c>
      <c r="BE43" s="1039">
        <f t="shared" si="133"/>
        <v>0</v>
      </c>
      <c r="BF43" s="1039">
        <f t="shared" si="134"/>
        <v>0</v>
      </c>
      <c r="BG43" s="1039">
        <f t="shared" si="135"/>
        <v>0</v>
      </c>
      <c r="BH43" s="25"/>
      <c r="BI43" s="499">
        <f t="shared" si="93"/>
        <v>0</v>
      </c>
      <c r="BJ43" s="499">
        <f t="shared" si="94"/>
        <v>0</v>
      </c>
      <c r="BK43" s="25"/>
    </row>
    <row r="44" spans="1:63" ht="18" customHeight="1" x14ac:dyDescent="0.2">
      <c r="A44" s="270"/>
      <c r="B44" s="2346" t="e">
        <f>VLOOKUP(VLOOKUP(RIEPILOGO!B50,IMPOSTAZIONI!$K$8:$O$17,5,FALSE),IMPOSTAZIONI!$B$8:$C$17,2,FALSE)</f>
        <v>#N/A</v>
      </c>
      <c r="C44" s="2347"/>
      <c r="D44" s="959">
        <f>SUMIF(CASSA!AM180:AM545,"X",CASSA!BM180:BM545)</f>
        <v>0</v>
      </c>
      <c r="E44" s="955">
        <f>SUMIF(CASSA!AL180:AL545,"Y",CASSA!BM180:BM545)</f>
        <v>0</v>
      </c>
      <c r="F44" s="1033" t="e">
        <f t="shared" si="136"/>
        <v>#DIV/0!</v>
      </c>
      <c r="G44" s="1028" t="e">
        <f t="shared" si="137"/>
        <v>#DIV/0!</v>
      </c>
      <c r="H44" s="1034">
        <f t="shared" si="91"/>
        <v>0</v>
      </c>
      <c r="I44" s="1030">
        <f t="shared" si="92"/>
        <v>0</v>
      </c>
      <c r="J44" s="218"/>
      <c r="K44" s="25"/>
      <c r="L44" s="25"/>
      <c r="N44" s="25"/>
      <c r="O44" s="503">
        <f t="shared" si="95"/>
        <v>0</v>
      </c>
      <c r="P44" s="25"/>
      <c r="Q44" s="1039">
        <f t="shared" ref="Q44:Q47" si="138">IF(AND(D44&lt;&gt;0,D44&gt;0),IF((AB$35*9)&gt;=D44,0,1),IF(AND(D44&lt;&gt;0,D44&lt;0),IF((AB$35*9)&lt;=D44,0,1),0))</f>
        <v>0</v>
      </c>
      <c r="R44" s="1039">
        <f t="shared" ref="R44:R47" si="139">IF(AND(D44&lt;&gt;0,D44&gt;0),IF((AB$35*8)&gt;=D44,0,1),IF(AND(D44&lt;&gt;0,D44&lt;0),IF((AB$35*8)&lt;=D44,0,1),0))</f>
        <v>0</v>
      </c>
      <c r="S44" s="1039">
        <f t="shared" ref="S44:S47" si="140">IF(AND(D44&lt;&gt;0,D44&gt;0),IF((AB$35*7)&gt;=D44,0,1),IF(AND(D44&lt;&gt;0,D44&lt;0),IF((AB$35*7)&lt;=D44,0,1),0))</f>
        <v>0</v>
      </c>
      <c r="T44" s="1039">
        <f t="shared" ref="T44:T47" si="141">IF(AND(D44&lt;&gt;0,D44&gt;0),IF((AB$35*6)&gt;=D44,0,1),IF(AND(D44&lt;&gt;0,D44&lt;0),IF((AB$35*6)&lt;=D44,0,1),0))</f>
        <v>0</v>
      </c>
      <c r="U44" s="1039">
        <f t="shared" ref="U44:U47" si="142">IF(AND(D44&lt;&gt;0,D44&gt;0),IF((AB$35*5)&gt;=D44,0,1),IF(AND(D44&lt;&gt;0,D44&lt;0),IF((AB$35*5)&lt;=D44,0,1),0))</f>
        <v>0</v>
      </c>
      <c r="V44" s="1039">
        <f t="shared" ref="V44:V47" si="143">IF(AND(D44&lt;&gt;0,D44&gt;0),IF((AB$35*4)&gt;=D44,0,1),IF(AND(D44&lt;&gt;0,D44&lt;0),IF((AB$35*4)&lt;=D44,0,1),0))</f>
        <v>0</v>
      </c>
      <c r="W44" s="1039">
        <f t="shared" ref="W44:W47" si="144">IF(AND(D44&lt;&gt;0,D44&gt;0),IF((AB$35*3)&gt;=D44,0,1),IF(AND(D44&lt;&gt;0,D44&lt;0),IF((AB$35*3)&lt;=D44,0,1),0))</f>
        <v>0</v>
      </c>
      <c r="X44" s="1039">
        <f t="shared" ref="X44:X47" si="145">IF(AND(D44&lt;&gt;0,D44&gt;0),IF((AB$35*2)&gt;=D44,0,1),IF(AND(D44&lt;&gt;0,D44&lt;0),IF((AB$35*2)&lt;=D44,0,1),0))</f>
        <v>0</v>
      </c>
      <c r="Y44" s="1039">
        <f t="shared" ref="Y44:Y47" si="146">IF(AND(D44&lt;&gt;0,D44&gt;0),IF((AB$35*1)&gt;=D44,0,1),IF(AND(D44&lt;&gt;0,D44&lt;0),IF((AB$35*1)&lt;=D44,0,1),0))</f>
        <v>0</v>
      </c>
      <c r="Z44" s="1039">
        <f t="shared" ref="Z44:Z47" si="147">IF(D44&lt;&gt;0,1,0)</f>
        <v>0</v>
      </c>
      <c r="AA44" s="1040"/>
      <c r="AB44" s="1039">
        <f t="shared" ref="AB44:AB47" si="148">IF(E44&lt;&gt;0,1,0)</f>
        <v>0</v>
      </c>
      <c r="AC44" s="1039">
        <f t="shared" ref="AC44:AC47" si="149">IF(AND(E44&lt;&gt;0,E44&gt;0),IF((AB$35*1)&gt;=E44,0,1),IF(AND(E44&lt;&gt;0,E44&lt;0),IF((AB$35*1)&lt;=E44,0,1),0))</f>
        <v>0</v>
      </c>
      <c r="AD44" s="1039">
        <f t="shared" ref="AD44:AD47" si="150">IF(AND(E44&lt;&gt;0,E44&gt;0),IF((AB$35*2)&gt;=E44,0,1),IF(AND(E44&lt;&gt;0,E44&lt;0),IF((AB$35*2)&lt;=E44,0,1),0))</f>
        <v>0</v>
      </c>
      <c r="AE44" s="1039">
        <f t="shared" ref="AE44:AE47" si="151">IF(AND(E44&lt;&gt;0,E44&gt;0),IF((AB$35*3)&gt;=E44,0,1),IF(AND(E44&lt;&gt;0,E44&lt;0),IF((AB$35*3)&lt;=E44,0,1),0))</f>
        <v>0</v>
      </c>
      <c r="AF44" s="1039">
        <f t="shared" ref="AF44:AF47" si="152">IF(AND(E44&lt;&gt;0,E44&gt;0),IF((AB$35*4)&gt;=E44,0,1),IF(AND(E44&lt;&gt;0,E44&lt;0),IF((AB$35*4)&lt;=E44,0,1),0))</f>
        <v>0</v>
      </c>
      <c r="AG44" s="1039">
        <f t="shared" ref="AG44:AG47" si="153">IF(AND(E44&lt;&gt;0,E44&gt;0),IF((AB$35*5)&gt;=E44,0,1),IF(AND(E44&lt;&gt;0,E44&lt;0),IF((AB$35*5)&lt;=E44,0,1),0))</f>
        <v>0</v>
      </c>
      <c r="AH44" s="1039">
        <f t="shared" ref="AH44:AH47" si="154">IF(AND(E44&lt;&gt;0,E44&gt;0),IF((AB$35*6)&gt;=E44,0,1),IF(AND(E44&lt;&gt;0,E44&lt;0),IF((AB$35*6)&lt;=E44,0,1),0))</f>
        <v>0</v>
      </c>
      <c r="AI44" s="1039">
        <f t="shared" ref="AI44:AI47" si="155">IF(AND(E44&lt;&gt;0,E44&gt;0),IF((AB$35*7)&gt;=E44,0,1),IF(AND(E44&lt;&gt;0,E44&lt;0),IF((AB$35*7)&lt;=E44,0,1),0))</f>
        <v>0</v>
      </c>
      <c r="AJ44" s="1039">
        <f t="shared" si="114"/>
        <v>0</v>
      </c>
      <c r="AK44" s="1039">
        <f t="shared" ref="AK44:AK47" si="156">IF(AND(E44&lt;&gt;0,E44&gt;0),IF((AB$35*9)&gt;=E44,0,1),IF(AND(E44&lt;&gt;0,E44&lt;0),IF((AB$35*9)&lt;=E44,0,1),0))</f>
        <v>0</v>
      </c>
      <c r="AL44" s="25"/>
      <c r="AM44" s="1039">
        <f t="shared" ref="AM44:AM47" si="157">IF(AND(BI44&lt;&gt;0,BI44&gt;0),IF((AX$35*9)&gt;=BI44,0,1),IF(AND(BI44&lt;&gt;0,BI44&lt;0),IF((AX$35*9)&lt;=BI44,0,1),0))</f>
        <v>0</v>
      </c>
      <c r="AN44" s="1039">
        <f t="shared" ref="AN44:AN47" si="158">IF(AND(BI44&lt;&gt;0,BI44&gt;0),IF((AX$35*8)&gt;=BI44,0,1),IF(AND(BI44&lt;&gt;0,BI44&lt;0),IF((AX$35*8)&lt;=BI44,0,1),0))</f>
        <v>0</v>
      </c>
      <c r="AO44" s="1039">
        <f t="shared" ref="AO44:AO47" si="159">IF(AND(BI44&lt;&gt;0,BI44&gt;0),IF((AX$35*7)&gt;=BI44,0,1),IF(AND(BI44&lt;&gt;0,BI44&lt;0),IF((AX$35*7)&lt;=BI44,0,1),0))</f>
        <v>0</v>
      </c>
      <c r="AP44" s="1039">
        <f t="shared" ref="AP44:AP47" si="160">IF(AND(BI44&lt;&gt;0,BI44&gt;0),IF((AX$35*6)&gt;=BI44,0,1),IF(AND(BI44&lt;&gt;0,BI44&lt;0),IF((AX$35*6)&lt;=BI44,0,1),0))</f>
        <v>0</v>
      </c>
      <c r="AQ44" s="1039">
        <f t="shared" ref="AQ44:AQ47" si="161">IF(AND(BI44&lt;&gt;0,BI44&gt;0),IF((AX$35*5)&gt;=BI44,0,1),IF(AND(BI44&lt;&gt;0,BI44&lt;0),IF((AX$35*5)&lt;=BI44,0,1),0))</f>
        <v>0</v>
      </c>
      <c r="AR44" s="1039">
        <f t="shared" ref="AR44:AR47" si="162">IF(AND(BI44&lt;&gt;0,BI44&gt;0),IF((AX$35*4)&gt;=BI44,0,1),IF(AND(BI44&lt;&gt;0,BI44&lt;0),IF((AX$35*4)&lt;=BI44,0,1),0))</f>
        <v>0</v>
      </c>
      <c r="AS44" s="1039">
        <f t="shared" ref="AS44:AS47" si="163">IF(AND(BI44&lt;&gt;0,BI44&gt;0),IF((AX$35*3)&gt;=BI44,0,1),IF(AND(BI44&lt;&gt;0,BI44&lt;0),IF((AX$35*3)&lt;=BI44,0,1),0))</f>
        <v>0</v>
      </c>
      <c r="AT44" s="1039">
        <f t="shared" ref="AT44:AT47" si="164">IF(AND(BI44&lt;&gt;0,BI44&gt;0),IF((AX$35*2)&gt;=BI44,0,1),IF(AND(BI44&lt;&gt;0,BI44&lt;0),IF((AX$35*2)&lt;=BI44,0,1),0))</f>
        <v>0</v>
      </c>
      <c r="AU44" s="1039">
        <f t="shared" ref="AU44:AU47" si="165">IF(AND(BI44&lt;&gt;0,BI44&gt;0),IF((AX$35*1)&gt;=BI44,0,1),IF(AND(BI44&lt;&gt;0,BI44&lt;0),IF((AX$35*1)&lt;=BI44,0,1),0))</f>
        <v>0</v>
      </c>
      <c r="AV44" s="1039">
        <f t="shared" ref="AV44:AV47" si="166">IF(BI44&lt;&gt;0,1,0)</f>
        <v>0</v>
      </c>
      <c r="AW44" s="1040"/>
      <c r="AX44" s="1039">
        <f t="shared" ref="AX44:AX47" si="167">IF(BJ44&lt;&gt;0,1,0)</f>
        <v>0</v>
      </c>
      <c r="AY44" s="1039">
        <f t="shared" ref="AY44:AY47" si="168">IF(AND(BJ44&lt;&gt;0,BJ44&gt;0),IF((AX$35*1)&gt;=BJ44,0,1),IF(AND(BJ44&lt;&gt;0,BJ44&lt;0),IF((AX$35*1)&lt;=BJ44,0,1),0))</f>
        <v>0</v>
      </c>
      <c r="AZ44" s="1039">
        <f t="shared" ref="AZ44:AZ47" si="169">IF(AND(BJ44&lt;&gt;0,BJ44&gt;0),IF((AX$35*2)&gt;=BJ44,0,1),IF(AND(BJ44&lt;&gt;0,BJ44&lt;0),IF((AX$35*2)&lt;=BJ44,0,1),0))</f>
        <v>0</v>
      </c>
      <c r="BA44" s="1039">
        <f t="shared" ref="BA44:BA47" si="170">IF(AND(BJ44&lt;&gt;0,BJ44&gt;0),IF((AX$35*3)&gt;=BJ44,0,1),IF(AND(BJ44&lt;&gt;0,BJ44&lt;0),IF((AX$35*3)&lt;=BJ44,0,1),0))</f>
        <v>0</v>
      </c>
      <c r="BB44" s="1039">
        <f t="shared" ref="BB44:BB47" si="171">IF(AND(BJ44&lt;&gt;0,BJ44&gt;0),IF((AX$35*4)&gt;=BJ44,0,1),IF(AND(BJ44&lt;&gt;0,BJ44&lt;0),IF((AX$35*4)&lt;=BJ44,0,1),0))</f>
        <v>0</v>
      </c>
      <c r="BC44" s="1039">
        <f t="shared" ref="BC44:BC47" si="172">IF(AND(BJ44&lt;&gt;0,BJ44&gt;0),IF((AX$35*5)&gt;=BJ44,0,1),IF(AND(BJ44&lt;&gt;0,BJ44&lt;0),IF((AX$35*5)&lt;=BJ44,0,1),0))</f>
        <v>0</v>
      </c>
      <c r="BD44" s="1039">
        <f t="shared" ref="BD44:BD47" si="173">IF(AND(BJ44&lt;&gt;0,BJ44&gt;0),IF((AX$35*6)&gt;=BJ44,0,1),IF(AND(BJ44&lt;&gt;0,BJ44&lt;0),IF((AX$35*6)&lt;=BJ44,0,1),0))</f>
        <v>0</v>
      </c>
      <c r="BE44" s="1039">
        <f t="shared" ref="BE44:BE47" si="174">IF(AND(BJ44&lt;&gt;0,BJ44&gt;0),IF((AX$35*7)&gt;=BJ44,0,1),IF(AND(BJ44&lt;&gt;0,BJ44&lt;0),IF((AX$35*7)&lt;=BJ44,0,1),0))</f>
        <v>0</v>
      </c>
      <c r="BF44" s="1039">
        <f t="shared" ref="BF44:BF47" si="175">IF(AND(BJ44&lt;&gt;0,BJ44&gt;0),IF((AX$35*8)&gt;=BJ44,0,1),IF(AND(BJ44&lt;&gt;0,BJ44&lt;0),IF((AX$35*8)&lt;=BJ44,0,1),0))</f>
        <v>0</v>
      </c>
      <c r="BG44" s="1039">
        <f t="shared" ref="BG44:BG47" si="176">IF(AND(BJ44&lt;&gt;0,BJ44&gt;0),IF((AX$35*9)&gt;=BJ44,0,1),IF(AND(BJ44&lt;&gt;0,BJ44&lt;0),IF((AX$35*9)&lt;=BJ44,0,1),0))</f>
        <v>0</v>
      </c>
      <c r="BH44" s="25"/>
      <c r="BI44" s="499">
        <f t="shared" si="93"/>
        <v>0</v>
      </c>
      <c r="BJ44" s="499">
        <f t="shared" si="94"/>
        <v>0</v>
      </c>
      <c r="BK44" s="25"/>
    </row>
    <row r="45" spans="1:63" ht="18" customHeight="1" x14ac:dyDescent="0.2">
      <c r="A45" s="270"/>
      <c r="B45" s="2346" t="e">
        <f>VLOOKUP(VLOOKUP(RIEPILOGO!B54,IMPOSTAZIONI!$K$8:$O$17,5,FALSE),IMPOSTAZIONI!$B$8:$C$17,2,FALSE)</f>
        <v>#N/A</v>
      </c>
      <c r="C45" s="2347"/>
      <c r="D45" s="960">
        <f>SUMIF(CASSA!AM180:AM545,"X",CASSA!BN180:BN545)</f>
        <v>0</v>
      </c>
      <c r="E45" s="956">
        <f>SUMIF(CASSA!AL180:AL545,"Y",CASSA!BN180:BN545)</f>
        <v>0</v>
      </c>
      <c r="F45" s="1033" t="e">
        <f t="shared" si="136"/>
        <v>#DIV/0!</v>
      </c>
      <c r="G45" s="1028" t="e">
        <f t="shared" si="137"/>
        <v>#DIV/0!</v>
      </c>
      <c r="H45" s="1034">
        <f t="shared" si="91"/>
        <v>0</v>
      </c>
      <c r="I45" s="1030">
        <f t="shared" si="92"/>
        <v>0</v>
      </c>
      <c r="J45" s="218"/>
      <c r="K45" s="25"/>
      <c r="L45" s="25"/>
      <c r="N45" s="25"/>
      <c r="O45" s="503">
        <f t="shared" si="95"/>
        <v>0</v>
      </c>
      <c r="P45" s="25"/>
      <c r="Q45" s="1039">
        <f t="shared" si="138"/>
        <v>0</v>
      </c>
      <c r="R45" s="1039">
        <f t="shared" si="139"/>
        <v>0</v>
      </c>
      <c r="S45" s="1039">
        <f t="shared" si="140"/>
        <v>0</v>
      </c>
      <c r="T45" s="1039">
        <f t="shared" si="141"/>
        <v>0</v>
      </c>
      <c r="U45" s="1039">
        <f t="shared" si="142"/>
        <v>0</v>
      </c>
      <c r="V45" s="1039">
        <f t="shared" si="143"/>
        <v>0</v>
      </c>
      <c r="W45" s="1039">
        <f t="shared" si="144"/>
        <v>0</v>
      </c>
      <c r="X45" s="1039">
        <f t="shared" si="145"/>
        <v>0</v>
      </c>
      <c r="Y45" s="1039">
        <f t="shared" si="146"/>
        <v>0</v>
      </c>
      <c r="Z45" s="1039">
        <f t="shared" si="147"/>
        <v>0</v>
      </c>
      <c r="AA45" s="1040"/>
      <c r="AB45" s="1039">
        <f t="shared" si="148"/>
        <v>0</v>
      </c>
      <c r="AC45" s="1039">
        <f t="shared" si="149"/>
        <v>0</v>
      </c>
      <c r="AD45" s="1039">
        <f t="shared" si="150"/>
        <v>0</v>
      </c>
      <c r="AE45" s="1039">
        <f t="shared" si="151"/>
        <v>0</v>
      </c>
      <c r="AF45" s="1039">
        <f t="shared" si="152"/>
        <v>0</v>
      </c>
      <c r="AG45" s="1039">
        <f t="shared" si="153"/>
        <v>0</v>
      </c>
      <c r="AH45" s="1039">
        <f t="shared" si="154"/>
        <v>0</v>
      </c>
      <c r="AI45" s="1039">
        <f t="shared" si="155"/>
        <v>0</v>
      </c>
      <c r="AJ45" s="1039">
        <f t="shared" si="114"/>
        <v>0</v>
      </c>
      <c r="AK45" s="1039">
        <f t="shared" si="156"/>
        <v>0</v>
      </c>
      <c r="AL45" s="25"/>
      <c r="AM45" s="1039">
        <f t="shared" si="157"/>
        <v>0</v>
      </c>
      <c r="AN45" s="1039">
        <f t="shared" si="158"/>
        <v>0</v>
      </c>
      <c r="AO45" s="1039">
        <f t="shared" si="159"/>
        <v>0</v>
      </c>
      <c r="AP45" s="1039">
        <f t="shared" si="160"/>
        <v>0</v>
      </c>
      <c r="AQ45" s="1039">
        <f t="shared" si="161"/>
        <v>0</v>
      </c>
      <c r="AR45" s="1039">
        <f t="shared" si="162"/>
        <v>0</v>
      </c>
      <c r="AS45" s="1039">
        <f t="shared" si="163"/>
        <v>0</v>
      </c>
      <c r="AT45" s="1039">
        <f t="shared" si="164"/>
        <v>0</v>
      </c>
      <c r="AU45" s="1039">
        <f t="shared" si="165"/>
        <v>0</v>
      </c>
      <c r="AV45" s="1039">
        <f t="shared" si="166"/>
        <v>0</v>
      </c>
      <c r="AW45" s="1040"/>
      <c r="AX45" s="1039">
        <f t="shared" si="167"/>
        <v>0</v>
      </c>
      <c r="AY45" s="1039">
        <f t="shared" si="168"/>
        <v>0</v>
      </c>
      <c r="AZ45" s="1039">
        <f t="shared" si="169"/>
        <v>0</v>
      </c>
      <c r="BA45" s="1039">
        <f t="shared" si="170"/>
        <v>0</v>
      </c>
      <c r="BB45" s="1039">
        <f t="shared" si="171"/>
        <v>0</v>
      </c>
      <c r="BC45" s="1039">
        <f t="shared" si="172"/>
        <v>0</v>
      </c>
      <c r="BD45" s="1039">
        <f t="shared" si="173"/>
        <v>0</v>
      </c>
      <c r="BE45" s="1039">
        <f t="shared" si="174"/>
        <v>0</v>
      </c>
      <c r="BF45" s="1039">
        <f t="shared" si="175"/>
        <v>0</v>
      </c>
      <c r="BG45" s="1039">
        <f t="shared" si="176"/>
        <v>0</v>
      </c>
      <c r="BH45" s="25"/>
      <c r="BI45" s="499">
        <f t="shared" ref="BI45:BI46" si="177">IF(ISERROR(D45/O45*100),0,IF(D45&gt;=E45,ROUND(D45/O45*100,-1),100-BJ45))</f>
        <v>0</v>
      </c>
      <c r="BJ45" s="499">
        <f t="shared" ref="BJ45:BJ46" si="178">IF(ISERROR(E45/O45*100),0,IF(E45&gt;=D45,ROUND(E45/O45*100,-1),100-BI45))</f>
        <v>0</v>
      </c>
      <c r="BK45" s="25"/>
    </row>
    <row r="46" spans="1:63" ht="18" customHeight="1" x14ac:dyDescent="0.2">
      <c r="A46" s="270"/>
      <c r="B46" s="2346" t="e">
        <f>VLOOKUP(VLOOKUP(RIEPILOGO!B58,IMPOSTAZIONI!$K$8:$O$17,5,FALSE),IMPOSTAZIONI!$B$8:$C$17,2,FALSE)</f>
        <v>#N/A</v>
      </c>
      <c r="C46" s="2347"/>
      <c r="D46" s="961">
        <f>SUMIF(CASSA!AM180:AM545,"X",CASSA!BO180:BO545)</f>
        <v>0</v>
      </c>
      <c r="E46" s="957">
        <f>SUMIF(CASSA!AL180:AL545,"Y",CASSA!BO180:BO545)</f>
        <v>0</v>
      </c>
      <c r="F46" s="1033" t="e">
        <f t="shared" si="136"/>
        <v>#DIV/0!</v>
      </c>
      <c r="G46" s="1028" t="e">
        <f t="shared" si="137"/>
        <v>#DIV/0!</v>
      </c>
      <c r="H46" s="1034">
        <f t="shared" si="91"/>
        <v>0</v>
      </c>
      <c r="I46" s="1030">
        <f t="shared" si="92"/>
        <v>0</v>
      </c>
      <c r="J46" s="218"/>
      <c r="K46" s="25"/>
      <c r="L46" s="25"/>
      <c r="N46" s="25"/>
      <c r="O46" s="503">
        <f t="shared" si="95"/>
        <v>0</v>
      </c>
      <c r="P46" s="25"/>
      <c r="Q46" s="1039">
        <f t="shared" si="138"/>
        <v>0</v>
      </c>
      <c r="R46" s="1039">
        <f t="shared" si="139"/>
        <v>0</v>
      </c>
      <c r="S46" s="1039">
        <f t="shared" si="140"/>
        <v>0</v>
      </c>
      <c r="T46" s="1039">
        <f t="shared" si="141"/>
        <v>0</v>
      </c>
      <c r="U46" s="1039">
        <f t="shared" si="142"/>
        <v>0</v>
      </c>
      <c r="V46" s="1039">
        <f t="shared" si="143"/>
        <v>0</v>
      </c>
      <c r="W46" s="1039">
        <f t="shared" si="144"/>
        <v>0</v>
      </c>
      <c r="X46" s="1039">
        <f t="shared" si="145"/>
        <v>0</v>
      </c>
      <c r="Y46" s="1039">
        <f t="shared" si="146"/>
        <v>0</v>
      </c>
      <c r="Z46" s="1039">
        <f t="shared" si="147"/>
        <v>0</v>
      </c>
      <c r="AA46" s="1040"/>
      <c r="AB46" s="1039">
        <f t="shared" si="148"/>
        <v>0</v>
      </c>
      <c r="AC46" s="1039">
        <f t="shared" si="149"/>
        <v>0</v>
      </c>
      <c r="AD46" s="1039">
        <f t="shared" si="150"/>
        <v>0</v>
      </c>
      <c r="AE46" s="1039">
        <f t="shared" si="151"/>
        <v>0</v>
      </c>
      <c r="AF46" s="1039">
        <f t="shared" si="152"/>
        <v>0</v>
      </c>
      <c r="AG46" s="1039">
        <f t="shared" si="153"/>
        <v>0</v>
      </c>
      <c r="AH46" s="1039">
        <f t="shared" si="154"/>
        <v>0</v>
      </c>
      <c r="AI46" s="1039">
        <f t="shared" si="155"/>
        <v>0</v>
      </c>
      <c r="AJ46" s="1039">
        <f t="shared" si="114"/>
        <v>0</v>
      </c>
      <c r="AK46" s="1039">
        <f t="shared" si="156"/>
        <v>0</v>
      </c>
      <c r="AL46" s="25"/>
      <c r="AM46" s="1039">
        <f t="shared" si="157"/>
        <v>0</v>
      </c>
      <c r="AN46" s="1039">
        <f t="shared" si="158"/>
        <v>0</v>
      </c>
      <c r="AO46" s="1039">
        <f t="shared" si="159"/>
        <v>0</v>
      </c>
      <c r="AP46" s="1039">
        <f t="shared" si="160"/>
        <v>0</v>
      </c>
      <c r="AQ46" s="1039">
        <f t="shared" si="161"/>
        <v>0</v>
      </c>
      <c r="AR46" s="1039">
        <f t="shared" si="162"/>
        <v>0</v>
      </c>
      <c r="AS46" s="1039">
        <f t="shared" si="163"/>
        <v>0</v>
      </c>
      <c r="AT46" s="1039">
        <f t="shared" si="164"/>
        <v>0</v>
      </c>
      <c r="AU46" s="1039">
        <f t="shared" si="165"/>
        <v>0</v>
      </c>
      <c r="AV46" s="1039">
        <f t="shared" si="166"/>
        <v>0</v>
      </c>
      <c r="AW46" s="1040"/>
      <c r="AX46" s="1039">
        <f t="shared" si="167"/>
        <v>0</v>
      </c>
      <c r="AY46" s="1039">
        <f t="shared" si="168"/>
        <v>0</v>
      </c>
      <c r="AZ46" s="1039">
        <f t="shared" si="169"/>
        <v>0</v>
      </c>
      <c r="BA46" s="1039">
        <f t="shared" si="170"/>
        <v>0</v>
      </c>
      <c r="BB46" s="1039">
        <f t="shared" si="171"/>
        <v>0</v>
      </c>
      <c r="BC46" s="1039">
        <f t="shared" si="172"/>
        <v>0</v>
      </c>
      <c r="BD46" s="1039">
        <f t="shared" si="173"/>
        <v>0</v>
      </c>
      <c r="BE46" s="1039">
        <f t="shared" si="174"/>
        <v>0</v>
      </c>
      <c r="BF46" s="1039">
        <f t="shared" si="175"/>
        <v>0</v>
      </c>
      <c r="BG46" s="1039">
        <f t="shared" si="176"/>
        <v>0</v>
      </c>
      <c r="BH46" s="25"/>
      <c r="BI46" s="499">
        <f t="shared" si="177"/>
        <v>0</v>
      </c>
      <c r="BJ46" s="499">
        <f t="shared" si="178"/>
        <v>0</v>
      </c>
      <c r="BK46" s="25"/>
    </row>
    <row r="47" spans="1:63" ht="18" customHeight="1" x14ac:dyDescent="0.2">
      <c r="A47" s="270"/>
      <c r="B47" s="2349" t="str">
        <f>IF(RIEPILOGO!A62=0,"",RIEPILOGO!B62)</f>
        <v/>
      </c>
      <c r="C47" s="2349"/>
      <c r="D47" s="962">
        <f>SUMIF(CASSA!AM180:AM545,"X",CASSA!BP180:BP545)</f>
        <v>0</v>
      </c>
      <c r="E47" s="963">
        <f>SUMIF(CASSA!AL180:AL545,"Y",CASSA!BP180:BP545)</f>
        <v>0</v>
      </c>
      <c r="F47" s="1033" t="e">
        <f>D47/D$49*100</f>
        <v>#DIV/0!</v>
      </c>
      <c r="G47" s="1028" t="e">
        <f>E47/E$49*100</f>
        <v>#DIV/0!</v>
      </c>
      <c r="H47" s="1034">
        <f t="shared" si="91"/>
        <v>0</v>
      </c>
      <c r="I47" s="1030">
        <f t="shared" si="92"/>
        <v>0</v>
      </c>
      <c r="J47" s="218"/>
      <c r="K47" s="25"/>
      <c r="L47" s="25"/>
      <c r="N47" s="25"/>
      <c r="O47" s="505">
        <f t="shared" si="95"/>
        <v>0</v>
      </c>
      <c r="P47" s="25"/>
      <c r="Q47" s="1039">
        <f t="shared" si="138"/>
        <v>0</v>
      </c>
      <c r="R47" s="1039">
        <f t="shared" si="139"/>
        <v>0</v>
      </c>
      <c r="S47" s="1039">
        <f t="shared" si="140"/>
        <v>0</v>
      </c>
      <c r="T47" s="1039">
        <f t="shared" si="141"/>
        <v>0</v>
      </c>
      <c r="U47" s="1039">
        <f t="shared" si="142"/>
        <v>0</v>
      </c>
      <c r="V47" s="1039">
        <f t="shared" si="143"/>
        <v>0</v>
      </c>
      <c r="W47" s="1039">
        <f t="shared" si="144"/>
        <v>0</v>
      </c>
      <c r="X47" s="1039">
        <f t="shared" si="145"/>
        <v>0</v>
      </c>
      <c r="Y47" s="1039">
        <f t="shared" si="146"/>
        <v>0</v>
      </c>
      <c r="Z47" s="1039">
        <f t="shared" si="147"/>
        <v>0</v>
      </c>
      <c r="AA47" s="1040"/>
      <c r="AB47" s="1039">
        <f t="shared" si="148"/>
        <v>0</v>
      </c>
      <c r="AC47" s="1039">
        <f t="shared" si="149"/>
        <v>0</v>
      </c>
      <c r="AD47" s="1039">
        <f t="shared" si="150"/>
        <v>0</v>
      </c>
      <c r="AE47" s="1039">
        <f t="shared" si="151"/>
        <v>0</v>
      </c>
      <c r="AF47" s="1039">
        <f t="shared" si="152"/>
        <v>0</v>
      </c>
      <c r="AG47" s="1039">
        <f t="shared" si="153"/>
        <v>0</v>
      </c>
      <c r="AH47" s="1039">
        <f t="shared" si="154"/>
        <v>0</v>
      </c>
      <c r="AI47" s="1039">
        <f t="shared" si="155"/>
        <v>0</v>
      </c>
      <c r="AJ47" s="1039">
        <f t="shared" si="114"/>
        <v>0</v>
      </c>
      <c r="AK47" s="1039">
        <f t="shared" si="156"/>
        <v>0</v>
      </c>
      <c r="AL47" s="25"/>
      <c r="AM47" s="1039">
        <f t="shared" si="157"/>
        <v>0</v>
      </c>
      <c r="AN47" s="1039">
        <f t="shared" si="158"/>
        <v>0</v>
      </c>
      <c r="AO47" s="1039">
        <f t="shared" si="159"/>
        <v>0</v>
      </c>
      <c r="AP47" s="1039">
        <f t="shared" si="160"/>
        <v>0</v>
      </c>
      <c r="AQ47" s="1039">
        <f t="shared" si="161"/>
        <v>0</v>
      </c>
      <c r="AR47" s="1039">
        <f t="shared" si="162"/>
        <v>0</v>
      </c>
      <c r="AS47" s="1039">
        <f t="shared" si="163"/>
        <v>0</v>
      </c>
      <c r="AT47" s="1039">
        <f t="shared" si="164"/>
        <v>0</v>
      </c>
      <c r="AU47" s="1039">
        <f t="shared" si="165"/>
        <v>0</v>
      </c>
      <c r="AV47" s="1039">
        <f t="shared" si="166"/>
        <v>0</v>
      </c>
      <c r="AW47" s="1040"/>
      <c r="AX47" s="1039">
        <f t="shared" si="167"/>
        <v>0</v>
      </c>
      <c r="AY47" s="1039">
        <f t="shared" si="168"/>
        <v>0</v>
      </c>
      <c r="AZ47" s="1039">
        <f t="shared" si="169"/>
        <v>0</v>
      </c>
      <c r="BA47" s="1039">
        <f t="shared" si="170"/>
        <v>0</v>
      </c>
      <c r="BB47" s="1039">
        <f t="shared" si="171"/>
        <v>0</v>
      </c>
      <c r="BC47" s="1039">
        <f t="shared" si="172"/>
        <v>0</v>
      </c>
      <c r="BD47" s="1039">
        <f t="shared" si="173"/>
        <v>0</v>
      </c>
      <c r="BE47" s="1039">
        <f t="shared" si="174"/>
        <v>0</v>
      </c>
      <c r="BF47" s="1039">
        <f t="shared" si="175"/>
        <v>0</v>
      </c>
      <c r="BG47" s="1039">
        <f t="shared" si="176"/>
        <v>0</v>
      </c>
      <c r="BH47" s="25"/>
      <c r="BI47" s="499">
        <f t="shared" si="93"/>
        <v>0</v>
      </c>
      <c r="BJ47" s="499">
        <f t="shared" si="94"/>
        <v>0</v>
      </c>
      <c r="BK47" s="25"/>
    </row>
    <row r="48" spans="1:63" ht="19.5" customHeight="1" x14ac:dyDescent="0.2">
      <c r="A48" s="270"/>
      <c r="B48" s="25"/>
      <c r="C48" s="249"/>
      <c r="D48" s="271" t="e">
        <f>D49/SUM($D49:$E49)*100</f>
        <v>#DIV/0!</v>
      </c>
      <c r="E48" s="271" t="e">
        <f>E49/SUM($D49:$E49)*100</f>
        <v>#DIV/0!</v>
      </c>
      <c r="F48" s="464"/>
      <c r="G48" s="249"/>
      <c r="H48" s="227"/>
      <c r="I48" s="227"/>
      <c r="J48" s="218"/>
      <c r="K48" s="25"/>
      <c r="L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row>
    <row r="49" spans="1:63" ht="19.5" customHeight="1" x14ac:dyDescent="0.2">
      <c r="A49" s="270"/>
      <c r="B49" s="2350" t="s">
        <v>128</v>
      </c>
      <c r="C49" s="2351"/>
      <c r="D49" s="1018">
        <f>SUM(D37:D47)</f>
        <v>0</v>
      </c>
      <c r="E49" s="1017">
        <f>SUM(E37:E47)</f>
        <v>0</v>
      </c>
      <c r="F49" s="1033" t="e">
        <f>D49/D$49*100</f>
        <v>#DIV/0!</v>
      </c>
      <c r="G49" s="1028" t="e">
        <f>E49/E$49*100</f>
        <v>#DIV/0!</v>
      </c>
      <c r="H49" s="1034">
        <f>IF(AND(D49=0,E49=0),0,(D49-E49)/E49*100)</f>
        <v>0</v>
      </c>
      <c r="I49" s="1030">
        <f>IF(AND(D49=0,E49=0),0,(E49-D49)/D49*100)</f>
        <v>0</v>
      </c>
      <c r="J49" s="218"/>
      <c r="K49" s="25"/>
      <c r="L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row>
    <row r="50" spans="1:63" ht="13.5" customHeight="1" x14ac:dyDescent="0.2">
      <c r="A50" s="270"/>
      <c r="B50" s="25"/>
      <c r="C50" s="249"/>
      <c r="D50" s="227"/>
      <c r="E50" s="227"/>
      <c r="F50" s="29"/>
      <c r="G50" s="291"/>
      <c r="H50" s="248"/>
      <c r="I50" s="291"/>
      <c r="J50" s="218"/>
      <c r="K50" s="25"/>
      <c r="L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row>
    <row r="51" spans="1:63" ht="19.5" customHeight="1" x14ac:dyDescent="0.3">
      <c r="A51" s="270"/>
      <c r="B51" s="952" t="str">
        <f>RIEPILOGO!C67</f>
        <v>Riga 3: Opzione II</v>
      </c>
      <c r="C51" s="466"/>
      <c r="D51" s="467"/>
      <c r="E51" s="466"/>
      <c r="F51" s="25"/>
      <c r="G51" s="465"/>
      <c r="H51" s="465"/>
      <c r="I51" s="465"/>
      <c r="J51" s="218"/>
      <c r="K51" s="25"/>
      <c r="L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row>
    <row r="52" spans="1:63" ht="19.5" customHeight="1" x14ac:dyDescent="0.2">
      <c r="A52" s="270"/>
      <c r="B52" s="25"/>
      <c r="C52" s="250"/>
      <c r="D52" s="380" t="str">
        <f>D$17</f>
        <v>PERIODO</v>
      </c>
      <c r="E52" s="206" t="str">
        <f>E$17</f>
        <v>Confronta con</v>
      </c>
      <c r="F52" s="2348" t="s">
        <v>108</v>
      </c>
      <c r="G52" s="2348"/>
      <c r="H52" s="2348" t="s">
        <v>154</v>
      </c>
      <c r="I52" s="2348"/>
      <c r="J52" s="218"/>
      <c r="K52" s="25"/>
      <c r="L52" s="25"/>
      <c r="N52" s="500">
        <f>IF(O52=0,0,N$17)</f>
        <v>0</v>
      </c>
      <c r="O52" s="500">
        <f>IF(AB15="",0,MAX(D54:E61))</f>
        <v>0</v>
      </c>
      <c r="P52" s="25"/>
      <c r="Q52" s="506"/>
      <c r="R52" s="2344" t="s">
        <v>84</v>
      </c>
      <c r="S52" s="2344"/>
      <c r="T52" s="2344"/>
      <c r="U52" s="2344"/>
      <c r="V52" s="2344"/>
      <c r="W52" s="2344"/>
      <c r="X52" s="2344"/>
      <c r="Y52" s="2344"/>
      <c r="Z52" s="2344"/>
      <c r="AB52" s="2345">
        <f>IF(AB$15=B$118,N52/10,O52/10)</f>
        <v>0</v>
      </c>
      <c r="AC52" s="2345"/>
      <c r="AD52" s="2345"/>
      <c r="AE52" s="2345"/>
      <c r="AF52" s="2345"/>
      <c r="AG52" s="2345"/>
      <c r="AH52" s="2345"/>
      <c r="AI52" s="2345"/>
      <c r="AJ52" s="2345"/>
      <c r="AK52" s="2345"/>
      <c r="AL52" s="25"/>
      <c r="AM52" s="506"/>
      <c r="AN52" s="2344" t="s">
        <v>153</v>
      </c>
      <c r="AO52" s="2344"/>
      <c r="AP52" s="2344"/>
      <c r="AQ52" s="2344"/>
      <c r="AR52" s="2344"/>
      <c r="AS52" s="2344"/>
      <c r="AT52" s="2344"/>
      <c r="AU52" s="2344"/>
      <c r="AV52" s="2344"/>
      <c r="AX52" s="2343">
        <v>10</v>
      </c>
      <c r="AY52" s="2343"/>
      <c r="AZ52" s="2343"/>
      <c r="BA52" s="2343"/>
      <c r="BB52" s="2343"/>
      <c r="BC52" s="2343"/>
      <c r="BD52" s="2343"/>
      <c r="BE52" s="2343"/>
      <c r="BF52" s="2343"/>
      <c r="BG52" s="2343"/>
      <c r="BH52" s="25"/>
      <c r="BI52" s="25"/>
      <c r="BJ52" s="25"/>
      <c r="BK52" s="25"/>
    </row>
    <row r="53" spans="1:63" ht="19.5" customHeight="1" x14ac:dyDescent="0.2">
      <c r="A53" s="270"/>
      <c r="B53" s="25"/>
      <c r="C53" s="953" t="str">
        <f>C36</f>
        <v>Totale EUR a CONTO</v>
      </c>
      <c r="D53" s="393" t="str">
        <f>D$18</f>
        <v>selezionato</v>
      </c>
      <c r="E53" s="204" t="e">
        <f>E$18</f>
        <v>#N/A</v>
      </c>
      <c r="F53" s="387" t="s">
        <v>109</v>
      </c>
      <c r="G53" s="388" t="s">
        <v>107</v>
      </c>
      <c r="H53" s="387" t="s">
        <v>110</v>
      </c>
      <c r="I53" s="388" t="s">
        <v>111</v>
      </c>
      <c r="J53" s="218"/>
      <c r="K53" s="25"/>
      <c r="L53" s="25"/>
      <c r="N53" s="25"/>
      <c r="O53" s="501"/>
      <c r="P53" s="25"/>
      <c r="Q53" s="497"/>
      <c r="R53" s="497"/>
      <c r="S53" s="498"/>
      <c r="T53" s="81"/>
      <c r="U53" s="81"/>
      <c r="V53" s="81"/>
      <c r="W53" s="81"/>
      <c r="X53" s="81"/>
      <c r="Y53" s="81"/>
      <c r="Z53" s="81"/>
      <c r="AA53" s="81"/>
      <c r="AB53" s="81"/>
      <c r="AC53" s="25"/>
      <c r="AD53" s="25"/>
      <c r="AE53" s="25"/>
      <c r="AF53" s="25"/>
      <c r="AG53" s="25"/>
      <c r="AH53" s="25"/>
      <c r="AI53" s="25"/>
      <c r="AJ53" s="25"/>
      <c r="AK53" s="25"/>
      <c r="AL53" s="25"/>
      <c r="AM53" s="497"/>
      <c r="AN53" s="497"/>
      <c r="AO53" s="498"/>
      <c r="AP53" s="81"/>
      <c r="AQ53" s="81"/>
      <c r="AR53" s="81"/>
      <c r="AS53" s="81"/>
      <c r="AT53" s="81"/>
      <c r="AU53" s="81"/>
      <c r="AV53" s="81"/>
      <c r="AW53" s="81"/>
      <c r="AX53" s="81"/>
      <c r="AY53" s="25"/>
      <c r="AZ53" s="25"/>
      <c r="BA53" s="25"/>
      <c r="BB53" s="25"/>
      <c r="BC53" s="25"/>
      <c r="BD53" s="25"/>
      <c r="BE53" s="25"/>
      <c r="BF53" s="25"/>
      <c r="BG53" s="25"/>
      <c r="BH53" s="25"/>
      <c r="BI53" s="25"/>
      <c r="BJ53" s="25"/>
      <c r="BK53" s="25"/>
    </row>
    <row r="54" spans="1:63" ht="18" customHeight="1" x14ac:dyDescent="0.2">
      <c r="A54" s="270"/>
      <c r="B54" s="2346" t="str">
        <f>IF(RIEPILOGO!A69=0,"",RIEPILOGO!B69)</f>
        <v/>
      </c>
      <c r="C54" s="2347"/>
      <c r="D54" s="958">
        <f>SUMIF(CASSA!AM180:AM545,"X",CASSA!BR180:BR545)</f>
        <v>0</v>
      </c>
      <c r="E54" s="253">
        <f>SUMIF(CASSA!AL180:AL545,"Y",CASSA!BR180:BR545)</f>
        <v>0</v>
      </c>
      <c r="F54" s="1033" t="e">
        <f t="shared" ref="F54:G61" si="179">D54/D$63*100</f>
        <v>#DIV/0!</v>
      </c>
      <c r="G54" s="1028" t="e">
        <f t="shared" si="179"/>
        <v>#DIV/0!</v>
      </c>
      <c r="H54" s="1034">
        <f t="shared" ref="H54:H61" si="180">IF(AND(D54=0,E54=0),0,(D54-E54)/E54*100)</f>
        <v>0</v>
      </c>
      <c r="I54" s="1030">
        <f t="shared" ref="I54:I61" si="181">IF(AND(D54=0,E54=0),0,(E54-D54)/D54*100)</f>
        <v>0</v>
      </c>
      <c r="J54" s="218"/>
      <c r="K54" s="25"/>
      <c r="L54" s="25"/>
      <c r="N54" s="25"/>
      <c r="O54" s="502">
        <f>D54+E54</f>
        <v>0</v>
      </c>
      <c r="P54" s="25"/>
      <c r="Q54" s="1039">
        <f>IF(AND(D54&lt;&gt;0,D54&gt;0),IF((AB$52*9)&gt;=D54,0,1),IF(AND(D54&lt;&gt;0,D54&lt;0),IF((AB$52*9)&lt;=D54,0,1),0))</f>
        <v>0</v>
      </c>
      <c r="R54" s="1039">
        <f>IF(AND(D54&lt;&gt;0,D54&gt;0),IF((AB$52*8)&gt;=D54,0,1),IF(AND(D54&lt;&gt;0,D54&lt;0),IF((AB$52*8)&lt;=D54,0,1),0))</f>
        <v>0</v>
      </c>
      <c r="S54" s="1039">
        <f>IF(AND(D54&lt;&gt;0,D54&gt;0),IF((AB$52*7)&gt;=D54,0,1),IF(AND(D54&lt;&gt;0,D54&lt;0),IF((AB$52*7)&lt;=D54,0,1),0))</f>
        <v>0</v>
      </c>
      <c r="T54" s="1039">
        <f>IF(AND(D54&lt;&gt;0,D54&gt;0),IF((AB$52*6)&gt;=D54,0,1),IF(AND(D54&lt;&gt;0,D54&lt;0),IF((AB$52*6)&lt;=D54,0,1),0))</f>
        <v>0</v>
      </c>
      <c r="U54" s="1039">
        <f>IF(AND(D54&lt;&gt;0,D54&gt;0),IF((AB$52*5)&gt;=D54,0,1),IF(AND(D54&lt;&gt;0,D54&lt;0),IF((AB$52*5)&lt;=D54,0,1),0))</f>
        <v>0</v>
      </c>
      <c r="V54" s="1039">
        <f>IF(AND(D54&lt;&gt;0,D54&gt;0),IF((AB$52*4)&gt;=D54,0,1),IF(AND(D54&lt;&gt;0,D54&lt;0),IF((AB$52*4)&lt;=D54,0,1),0))</f>
        <v>0</v>
      </c>
      <c r="W54" s="1039">
        <f>IF(AND(D54&lt;&gt;0,D54&gt;0),IF((AB$52*3)&gt;=D54,0,1),IF(AND(D54&lt;&gt;0,D54&lt;0),IF((AB$52*3)&lt;=D54,0,1),0))</f>
        <v>0</v>
      </c>
      <c r="X54" s="1039">
        <f>IF(AND(D54&lt;&gt;0,D54&gt;0),IF((AB$52*2)&gt;=D54,0,1),IF(AND(D54&lt;&gt;0,D54&lt;0),IF((AB$52*2)&lt;=D54,0,1),0))</f>
        <v>0</v>
      </c>
      <c r="Y54" s="1039">
        <f>IF(AND(D54&lt;&gt;0,D54&gt;0),IF((AB$52*1)&gt;=D54,0,1),IF(AND(D54&lt;&gt;0,D54&lt;0),IF((AB$52*1)&lt;=D54,0,1),0))</f>
        <v>0</v>
      </c>
      <c r="Z54" s="1039">
        <f>IF(D54&lt;&gt;0,1,0)</f>
        <v>0</v>
      </c>
      <c r="AA54" s="1040"/>
      <c r="AB54" s="1039">
        <f>IF(E54&lt;&gt;0,1,0)</f>
        <v>0</v>
      </c>
      <c r="AC54" s="1039">
        <f>IF(AND(E54&lt;&gt;0,E54&gt;0),IF((AB$52*1)&gt;=E54,0,1),IF(AND(E54&lt;&gt;0,E54&lt;0),IF((AB$52*1)&lt;=E54,0,1),0))</f>
        <v>0</v>
      </c>
      <c r="AD54" s="1039">
        <f>IF(AND(E54&lt;&gt;0,E54&gt;0),IF((AB$52*2)&gt;=E54,0,1),IF(AND(E54&lt;&gt;0,E54&lt;0),IF((AB$52*2)&lt;=E54,0,1),0))</f>
        <v>0</v>
      </c>
      <c r="AE54" s="1039">
        <f>IF(AND(E54&lt;&gt;0,E54&gt;0),IF((AB$52*3)&gt;=E54,0,1),IF(AND(E54&lt;&gt;0,E54&lt;0),IF((AB$52*3)&lt;=E54,0,1),0))</f>
        <v>0</v>
      </c>
      <c r="AF54" s="1039">
        <f>IF(AND(E54&lt;&gt;0,E54&gt;0),IF((AB$52*4)&gt;=E54,0,1),IF(AND(E54&lt;&gt;0,E54&lt;0),IF((AB$52*4)&lt;=E54,0,1),0))</f>
        <v>0</v>
      </c>
      <c r="AG54" s="1039">
        <f>IF(AND(E54&lt;&gt;0,E54&gt;0),IF((AB$52*5)&gt;=E54,0,1),IF(AND(E54&lt;&gt;0,E54&lt;0),IF((AB$52*5)&lt;=E54,0,1),0))</f>
        <v>0</v>
      </c>
      <c r="AH54" s="1039">
        <f>IF(AND(E54&lt;&gt;0,E54&gt;0),IF((AB$52*6)&gt;=E54,0,1),IF(AND(E54&lt;&gt;0,E54&lt;0),IF((AB$52*6)&lt;=E54,0,1),0))</f>
        <v>0</v>
      </c>
      <c r="AI54" s="1039">
        <f>IF(AND(E54&lt;&gt;0,E54&gt;0),IF((AB$52*7)&gt;=E54,0,1),IF(AND(E54&lt;&gt;0,E54&lt;0),IF((AB$52*7)&lt;=E54,0,1),0))</f>
        <v>0</v>
      </c>
      <c r="AJ54" s="1039">
        <f>IF(AND(E54&lt;&gt;0,E54&gt;0),IF((AB$52*8)&gt;=E54,0,1),IF(AND(E54&lt;&gt;0,E54&lt;0),IF((AB$52*8)&lt;=E54,0,1),0))</f>
        <v>0</v>
      </c>
      <c r="AK54" s="1039">
        <f>IF(AND(E54&lt;&gt;0,E54&gt;0),IF((AB$52*9)&gt;=E54,0,1),IF(AND(E54&lt;&gt;0,E54&lt;0),IF((AB$52*9)&lt;=E54,0,1),0))</f>
        <v>0</v>
      </c>
      <c r="AL54" s="25"/>
      <c r="AM54" s="1039">
        <f>IF(AND(BI54&lt;&gt;0,BI54&gt;0),IF((AX$52*9)&gt;=BI54,0,1),IF(AND(BI54&lt;&gt;0,BI54&lt;0),IF((AX$52*9)&lt;=BI54,0,1),0))</f>
        <v>0</v>
      </c>
      <c r="AN54" s="1039">
        <f>IF(AND(BI54&lt;&gt;0,BI54&gt;0),IF((AX$52*8)&gt;=BI54,0,1),IF(AND(BI54&lt;&gt;0,BI54&lt;0),IF((AX$52*8)&lt;=BI54,0,1),0))</f>
        <v>0</v>
      </c>
      <c r="AO54" s="1039">
        <f>IF(AND(BI54&lt;&gt;0,BI54&gt;0),IF((AX$52*7)&gt;=BI54,0,1),IF(AND(BI54&lt;&gt;0,BI54&lt;0),IF((AX$52*7)&lt;=BI54,0,1),0))</f>
        <v>0</v>
      </c>
      <c r="AP54" s="1039">
        <f>IF(AND(BI54&lt;&gt;0,BI54&gt;0),IF((AX$52*6)&gt;=BI54,0,1),IF(AND(BI54&lt;&gt;0,BI54&lt;0),IF((AX$52*6)&lt;=BI54,0,1),0))</f>
        <v>0</v>
      </c>
      <c r="AQ54" s="1039">
        <f>IF(AND(BI54&lt;&gt;0,BI54&gt;0),IF((AX$52*5)&gt;=BI54,0,1),IF(AND(BI54&lt;&gt;0,BI54&lt;0),IF((AX$52*5)&lt;=BI54,0,1),0))</f>
        <v>0</v>
      </c>
      <c r="AR54" s="1039">
        <f>IF(AND(BI54&lt;&gt;0,BI54&gt;0),IF((AX$52*4)&gt;=BI54,0,1),IF(AND(BI54&lt;&gt;0,BI54&lt;0),IF((AX$52*4)&lt;=BI54,0,1),0))</f>
        <v>0</v>
      </c>
      <c r="AS54" s="1039">
        <f>IF(AND(BI54&lt;&gt;0,BI54&gt;0),IF((AX$52*3)&gt;=BI54,0,1),IF(AND(BI54&lt;&gt;0,BI54&lt;0),IF((AX$52*3)&lt;=BI54,0,1),0))</f>
        <v>0</v>
      </c>
      <c r="AT54" s="1039">
        <f>IF(AND(BI54&lt;&gt;0,BI54&gt;0),IF((AX$52*2)&gt;=BI54,0,1),IF(AND(BI54&lt;&gt;0,BI54&lt;0),IF((AX$52*2)&lt;=BI54,0,1),0))</f>
        <v>0</v>
      </c>
      <c r="AU54" s="1039">
        <f>IF(AND(BI54&lt;&gt;0,BI54&gt;0),IF((AX$52*1)&gt;=BI54,0,1),IF(AND(BI54&lt;&gt;0,BI54&lt;0),IF((AX$52*1)&lt;=BI54,0,1),0))</f>
        <v>0</v>
      </c>
      <c r="AV54" s="1039">
        <f>IF(BI54&lt;&gt;0,1,0)</f>
        <v>0</v>
      </c>
      <c r="AW54" s="1040"/>
      <c r="AX54" s="1039">
        <f>IF(BJ54&lt;&gt;0,1,0)</f>
        <v>0</v>
      </c>
      <c r="AY54" s="1039">
        <f>IF(AND(BJ54&lt;&gt;0,BJ54&gt;0),IF((AX$52*1)&gt;=BJ54,0,1),IF(AND(BJ54&lt;&gt;0,BJ54&lt;0),IF((AX$52*1)&lt;=BJ54,0,1),0))</f>
        <v>0</v>
      </c>
      <c r="AZ54" s="1039">
        <f>IF(AND(BJ54&lt;&gt;0,BJ54&gt;0),IF((AX$52*2)&gt;=BJ54,0,1),IF(AND(BJ54&lt;&gt;0,BJ54&lt;0),IF((AX$52*2)&lt;=BJ54,0,1),0))</f>
        <v>0</v>
      </c>
      <c r="BA54" s="1039">
        <f>IF(AND(BJ54&lt;&gt;0,BJ54&gt;0),IF((AX$52*3)&gt;=BJ54,0,1),IF(AND(BJ54&lt;&gt;0,BJ54&lt;0),IF((AX$52*3)&lt;=BJ54,0,1),0))</f>
        <v>0</v>
      </c>
      <c r="BB54" s="1039">
        <f>IF(AND(BJ54&lt;&gt;0,BJ54&gt;0),IF((AX$52*4)&gt;=BJ54,0,1),IF(AND(BJ54&lt;&gt;0,BJ54&lt;0),IF((AX$52*4)&lt;=BJ54,0,1),0))</f>
        <v>0</v>
      </c>
      <c r="BC54" s="1039">
        <f>IF(AND(BJ54&lt;&gt;0,BJ54&gt;0),IF((AX$52*5)&gt;=BJ54,0,1),IF(AND(BJ54&lt;&gt;0,BJ54&lt;0),IF((AX$52*5)&lt;=BJ54,0,1),0))</f>
        <v>0</v>
      </c>
      <c r="BD54" s="1039">
        <f>IF(AND(BJ54&lt;&gt;0,BJ54&gt;0),IF((AX$52*6)&gt;=BJ54,0,1),IF(AND(BJ54&lt;&gt;0,BJ54&lt;0),IF((AX$52*6)&lt;=BJ54,0,1),0))</f>
        <v>0</v>
      </c>
      <c r="BE54" s="1039">
        <f>IF(AND(BJ54&lt;&gt;0,BJ54&gt;0),IF((AX$52*7)&gt;=BJ54,0,1),IF(AND(BJ54&lt;&gt;0,BJ54&lt;0),IF((AX$52*7)&lt;=BJ54,0,1),0))</f>
        <v>0</v>
      </c>
      <c r="BF54" s="1039">
        <f>IF(AND(BJ54&lt;&gt;0,BJ54&gt;0),IF((AX$52*8)&gt;=BJ54,0,1),IF(AND(BJ54&lt;&gt;0,BJ54&lt;0),IF((AX$52*8)&lt;=BJ54,0,1),0))</f>
        <v>0</v>
      </c>
      <c r="BG54" s="1039">
        <f>IF(AND(BJ54&lt;&gt;0,BJ54&gt;0),IF((AX$52*9)&gt;=BJ54,0,1),IF(AND(BJ54&lt;&gt;0,BJ54&lt;0),IF((AX$52*9)&lt;=BJ54,0,1),0))</f>
        <v>0</v>
      </c>
      <c r="BH54" s="25"/>
      <c r="BI54" s="499">
        <f t="shared" ref="BI54:BI61" si="182">IF(ISERROR(D54/O54*100),0,IF(D54&gt;=E54,ROUND(D54/O54*100,-1),100-BJ54))</f>
        <v>0</v>
      </c>
      <c r="BJ54" s="499">
        <f t="shared" ref="BJ54:BJ61" si="183">IF(ISERROR(E54/O54*100),0,IF(E54&gt;=D54,ROUND(E54/O54*100,-1),100-BI54))</f>
        <v>0</v>
      </c>
      <c r="BK54" s="25"/>
    </row>
    <row r="55" spans="1:63" ht="18" customHeight="1" x14ac:dyDescent="0.2">
      <c r="A55" s="270"/>
      <c r="B55" s="2346" t="str">
        <f>IF(RIEPILOGO!A73=0,"",RIEPILOGO!B73)</f>
        <v/>
      </c>
      <c r="C55" s="2347"/>
      <c r="D55" s="959">
        <f>SUMIF(CASSA!AM180:AM545,"X",CASSA!BS180:BS545)</f>
        <v>0</v>
      </c>
      <c r="E55" s="210">
        <f>SUMIF(CASSA!AL180:AL545,"Y",CASSA!BS180:BS545)</f>
        <v>0</v>
      </c>
      <c r="F55" s="1033" t="e">
        <f t="shared" si="179"/>
        <v>#DIV/0!</v>
      </c>
      <c r="G55" s="1028" t="e">
        <f t="shared" si="179"/>
        <v>#DIV/0!</v>
      </c>
      <c r="H55" s="1034">
        <f t="shared" si="180"/>
        <v>0</v>
      </c>
      <c r="I55" s="1030">
        <f t="shared" si="181"/>
        <v>0</v>
      </c>
      <c r="J55" s="218"/>
      <c r="K55" s="25"/>
      <c r="L55" s="25"/>
      <c r="N55" s="25"/>
      <c r="O55" s="503">
        <f t="shared" ref="O55:O61" si="184">D55+E55</f>
        <v>0</v>
      </c>
      <c r="P55" s="25"/>
      <c r="Q55" s="1039">
        <f t="shared" ref="Q55:Q61" si="185">IF(AND(D55&lt;&gt;0,D55&gt;0),IF((AB$52*9)&gt;=D55,0,1),IF(AND(D55&lt;&gt;0,D55&lt;0),IF((AB$52*9)&lt;=D55,0,1),0))</f>
        <v>0</v>
      </c>
      <c r="R55" s="1039">
        <f t="shared" ref="R55:R61" si="186">IF(AND(D55&lt;&gt;0,D55&gt;0),IF((AB$52*8)&gt;=D55,0,1),IF(AND(D55&lt;&gt;0,D55&lt;0),IF((AB$52*8)&lt;=D55,0,1),0))</f>
        <v>0</v>
      </c>
      <c r="S55" s="1039">
        <f t="shared" ref="S55:S61" si="187">IF(AND(D55&lt;&gt;0,D55&gt;0),IF((AB$52*7)&gt;=D55,0,1),IF(AND(D55&lt;&gt;0,D55&lt;0),IF((AB$52*7)&lt;=D55,0,1),0))</f>
        <v>0</v>
      </c>
      <c r="T55" s="1039">
        <f t="shared" ref="T55:T61" si="188">IF(AND(D55&lt;&gt;0,D55&gt;0),IF((AB$52*6)&gt;=D55,0,1),IF(AND(D55&lt;&gt;0,D55&lt;0),IF((AB$52*6)&lt;=D55,0,1),0))</f>
        <v>0</v>
      </c>
      <c r="U55" s="1039">
        <f t="shared" ref="U55:U61" si="189">IF(AND(D55&lt;&gt;0,D55&gt;0),IF((AB$52*5)&gt;=D55,0,1),IF(AND(D55&lt;&gt;0,D55&lt;0),IF((AB$52*5)&lt;=D55,0,1),0))</f>
        <v>0</v>
      </c>
      <c r="V55" s="1039">
        <f t="shared" ref="V55:V61" si="190">IF(AND(D55&lt;&gt;0,D55&gt;0),IF((AB$52*4)&gt;=D55,0,1),IF(AND(D55&lt;&gt;0,D55&lt;0),IF((AB$52*4)&lt;=D55,0,1),0))</f>
        <v>0</v>
      </c>
      <c r="W55" s="1039">
        <f t="shared" ref="W55:W61" si="191">IF(AND(D55&lt;&gt;0,D55&gt;0),IF((AB$52*3)&gt;=D55,0,1),IF(AND(D55&lt;&gt;0,D55&lt;0),IF((AB$52*3)&lt;=D55,0,1),0))</f>
        <v>0</v>
      </c>
      <c r="X55" s="1039">
        <f t="shared" ref="X55:X61" si="192">IF(AND(D55&lt;&gt;0,D55&gt;0),IF((AB$52*2)&gt;=D55,0,1),IF(AND(D55&lt;&gt;0,D55&lt;0),IF((AB$52*2)&lt;=D55,0,1),0))</f>
        <v>0</v>
      </c>
      <c r="Y55" s="1039">
        <f t="shared" ref="Y55:Y61" si="193">IF(AND(D55&lt;&gt;0,D55&gt;0),IF((AB$52*1)&gt;=D55,0,1),IF(AND(D55&lt;&gt;0,D55&lt;0),IF((AB$52*1)&lt;=D55,0,1),0))</f>
        <v>0</v>
      </c>
      <c r="Z55" s="1039">
        <f t="shared" ref="Z55:Z61" si="194">IF(D55&lt;&gt;0,1,0)</f>
        <v>0</v>
      </c>
      <c r="AA55" s="1040"/>
      <c r="AB55" s="1039">
        <f t="shared" ref="AB55:AB61" si="195">IF(E55&lt;&gt;0,1,0)</f>
        <v>0</v>
      </c>
      <c r="AC55" s="1039">
        <f t="shared" ref="AC55:AC61" si="196">IF(AND(E55&lt;&gt;0,E55&gt;0),IF((AB$52*1)&gt;=E55,0,1),IF(AND(E55&lt;&gt;0,E55&lt;0),IF((AB$52*1)&lt;=E55,0,1),0))</f>
        <v>0</v>
      </c>
      <c r="AD55" s="1039">
        <f t="shared" ref="AD55:AD61" si="197">IF(AND(E55&lt;&gt;0,E55&gt;0),IF((AB$52*2)&gt;=E55,0,1),IF(AND(E55&lt;&gt;0,E55&lt;0),IF((AB$52*2)&lt;=E55,0,1),0))</f>
        <v>0</v>
      </c>
      <c r="AE55" s="1039">
        <f t="shared" ref="AE55:AE61" si="198">IF(AND(E55&lt;&gt;0,E55&gt;0),IF((AB$52*3)&gt;=E55,0,1),IF(AND(E55&lt;&gt;0,E55&lt;0),IF((AB$52*3)&lt;=E55,0,1),0))</f>
        <v>0</v>
      </c>
      <c r="AF55" s="1039">
        <f t="shared" ref="AF55:AF61" si="199">IF(AND(E55&lt;&gt;0,E55&gt;0),IF((AB$52*4)&gt;=E55,0,1),IF(AND(E55&lt;&gt;0,E55&lt;0),IF((AB$52*4)&lt;=E55,0,1),0))</f>
        <v>0</v>
      </c>
      <c r="AG55" s="1039">
        <f t="shared" ref="AG55:AG61" si="200">IF(AND(E55&lt;&gt;0,E55&gt;0),IF((AB$52*5)&gt;=E55,0,1),IF(AND(E55&lt;&gt;0,E55&lt;0),IF((AB$52*5)&lt;=E55,0,1),0))</f>
        <v>0</v>
      </c>
      <c r="AH55" s="1039">
        <f t="shared" ref="AH55:AH61" si="201">IF(AND(E55&lt;&gt;0,E55&gt;0),IF((AB$52*6)&gt;=E55,0,1),IF(AND(E55&lt;&gt;0,E55&lt;0),IF((AB$52*6)&lt;=E55,0,1),0))</f>
        <v>0</v>
      </c>
      <c r="AI55" s="1039">
        <f t="shared" ref="AI55:AI61" si="202">IF(AND(E55&lt;&gt;0,E55&gt;0),IF((AB$52*7)&gt;=E55,0,1),IF(AND(E55&lt;&gt;0,E55&lt;0),IF((AB$52*7)&lt;=E55,0,1),0))</f>
        <v>0</v>
      </c>
      <c r="AJ55" s="1039">
        <f t="shared" ref="AJ55:AJ61" si="203">IF(AND(E55&lt;&gt;0,E55&gt;0),IF((AB$52*8)&gt;=E55,0,1),IF(AND(E55&lt;&gt;0,E55&lt;0),IF((AB$52*8)&lt;=E55,0,1),0))</f>
        <v>0</v>
      </c>
      <c r="AK55" s="1039">
        <f t="shared" ref="AK55:AK61" si="204">IF(AND(E55&lt;&gt;0,E55&gt;0),IF((AB$52*9)&gt;=E55,0,1),IF(AND(E55&lt;&gt;0,E55&lt;0),IF((AB$52*9)&lt;=E55,0,1),0))</f>
        <v>0</v>
      </c>
      <c r="AL55" s="25"/>
      <c r="AM55" s="1039">
        <f t="shared" ref="AM55:AM61" si="205">IF(AND(BI55&lt;&gt;0,BI55&gt;0),IF((AX$52*9)&gt;=BI55,0,1),IF(AND(BI55&lt;&gt;0,BI55&lt;0),IF((AX$52*9)&lt;=BI55,0,1),0))</f>
        <v>0</v>
      </c>
      <c r="AN55" s="1039">
        <f t="shared" ref="AN55:AN61" si="206">IF(AND(BI55&lt;&gt;0,BI55&gt;0),IF((AX$52*8)&gt;=BI55,0,1),IF(AND(BI55&lt;&gt;0,BI55&lt;0),IF((AX$52*8)&lt;=BI55,0,1),0))</f>
        <v>0</v>
      </c>
      <c r="AO55" s="1039">
        <f t="shared" ref="AO55:AO61" si="207">IF(AND(BI55&lt;&gt;0,BI55&gt;0),IF((AX$52*7)&gt;=BI55,0,1),IF(AND(BI55&lt;&gt;0,BI55&lt;0),IF((AX$52*7)&lt;=BI55,0,1),0))</f>
        <v>0</v>
      </c>
      <c r="AP55" s="1039">
        <f t="shared" ref="AP55:AP61" si="208">IF(AND(BI55&lt;&gt;0,BI55&gt;0),IF((AX$52*6)&gt;=BI55,0,1),IF(AND(BI55&lt;&gt;0,BI55&lt;0),IF((AX$52*6)&lt;=BI55,0,1),0))</f>
        <v>0</v>
      </c>
      <c r="AQ55" s="1039">
        <f t="shared" ref="AQ55:AQ61" si="209">IF(AND(BI55&lt;&gt;0,BI55&gt;0),IF((AX$52*5)&gt;=BI55,0,1),IF(AND(BI55&lt;&gt;0,BI55&lt;0),IF((AX$52*5)&lt;=BI55,0,1),0))</f>
        <v>0</v>
      </c>
      <c r="AR55" s="1039">
        <f t="shared" ref="AR55:AR61" si="210">IF(AND(BI55&lt;&gt;0,BI55&gt;0),IF((AX$52*4)&gt;=BI55,0,1),IF(AND(BI55&lt;&gt;0,BI55&lt;0),IF((AX$52*4)&lt;=BI55,0,1),0))</f>
        <v>0</v>
      </c>
      <c r="AS55" s="1039">
        <f t="shared" ref="AS55:AS61" si="211">IF(AND(BI55&lt;&gt;0,BI55&gt;0),IF((AX$52*3)&gt;=BI55,0,1),IF(AND(BI55&lt;&gt;0,BI55&lt;0),IF((AX$52*3)&lt;=BI55,0,1),0))</f>
        <v>0</v>
      </c>
      <c r="AT55" s="1039">
        <f t="shared" ref="AT55:AT61" si="212">IF(AND(BI55&lt;&gt;0,BI55&gt;0),IF((AX$52*2)&gt;=BI55,0,1),IF(AND(BI55&lt;&gt;0,BI55&lt;0),IF((AX$52*2)&lt;=BI55,0,1),0))</f>
        <v>0</v>
      </c>
      <c r="AU55" s="1039">
        <f t="shared" ref="AU55:AU61" si="213">IF(AND(BI55&lt;&gt;0,BI55&gt;0),IF((AX$52*1)&gt;=BI55,0,1),IF(AND(BI55&lt;&gt;0,BI55&lt;0),IF((AX$52*1)&lt;=BI55,0,1),0))</f>
        <v>0</v>
      </c>
      <c r="AV55" s="1039">
        <f t="shared" ref="AV55:AV61" si="214">IF(BI55&lt;&gt;0,1,0)</f>
        <v>0</v>
      </c>
      <c r="AW55" s="1040"/>
      <c r="AX55" s="1039">
        <f t="shared" ref="AX55:AX61" si="215">IF(BJ55&lt;&gt;0,1,0)</f>
        <v>0</v>
      </c>
      <c r="AY55" s="1039">
        <f t="shared" ref="AY55:AY61" si="216">IF(AND(BJ55&lt;&gt;0,BJ55&gt;0),IF((AX$52*1)&gt;=BJ55,0,1),IF(AND(BJ55&lt;&gt;0,BJ55&lt;0),IF((AX$52*1)&lt;=BJ55,0,1),0))</f>
        <v>0</v>
      </c>
      <c r="AZ55" s="1039">
        <f t="shared" ref="AZ55:AZ61" si="217">IF(AND(BJ55&lt;&gt;0,BJ55&gt;0),IF((AX$52*2)&gt;=BJ55,0,1),IF(AND(BJ55&lt;&gt;0,BJ55&lt;0),IF((AX$52*2)&lt;=BJ55,0,1),0))</f>
        <v>0</v>
      </c>
      <c r="BA55" s="1039">
        <f t="shared" ref="BA55:BA61" si="218">IF(AND(BJ55&lt;&gt;0,BJ55&gt;0),IF((AX$52*3)&gt;=BJ55,0,1),IF(AND(BJ55&lt;&gt;0,BJ55&lt;0),IF((AX$52*3)&lt;=BJ55,0,1),0))</f>
        <v>0</v>
      </c>
      <c r="BB55" s="1039">
        <f t="shared" ref="BB55:BB61" si="219">IF(AND(BJ55&lt;&gt;0,BJ55&gt;0),IF((AX$52*4)&gt;=BJ55,0,1),IF(AND(BJ55&lt;&gt;0,BJ55&lt;0),IF((AX$52*4)&lt;=BJ55,0,1),0))</f>
        <v>0</v>
      </c>
      <c r="BC55" s="1039">
        <f t="shared" ref="BC55:BC61" si="220">IF(AND(BJ55&lt;&gt;0,BJ55&gt;0),IF((AX$52*5)&gt;=BJ55,0,1),IF(AND(BJ55&lt;&gt;0,BJ55&lt;0),IF((AX$52*5)&lt;=BJ55,0,1),0))</f>
        <v>0</v>
      </c>
      <c r="BD55" s="1039">
        <f t="shared" ref="BD55:BD61" si="221">IF(AND(BJ55&lt;&gt;0,BJ55&gt;0),IF((AX$52*6)&gt;=BJ55,0,1),IF(AND(BJ55&lt;&gt;0,BJ55&lt;0),IF((AX$52*6)&lt;=BJ55,0,1),0))</f>
        <v>0</v>
      </c>
      <c r="BE55" s="1039">
        <f t="shared" ref="BE55:BE61" si="222">IF(AND(BJ55&lt;&gt;0,BJ55&gt;0),IF((AX$52*7)&gt;=BJ55,0,1),IF(AND(BJ55&lt;&gt;0,BJ55&lt;0),IF((AX$52*7)&lt;=BJ55,0,1),0))</f>
        <v>0</v>
      </c>
      <c r="BF55" s="1039">
        <f t="shared" ref="BF55:BF61" si="223">IF(AND(BJ55&lt;&gt;0,BJ55&gt;0),IF((AX$52*8)&gt;=BJ55,0,1),IF(AND(BJ55&lt;&gt;0,BJ55&lt;0),IF((AX$52*8)&lt;=BJ55,0,1),0))</f>
        <v>0</v>
      </c>
      <c r="BG55" s="1039">
        <f t="shared" ref="BG55:BG61" si="224">IF(AND(BJ55&lt;&gt;0,BJ55&gt;0),IF((AX$52*9)&gt;=BJ55,0,1),IF(AND(BJ55&lt;&gt;0,BJ55&lt;0),IF((AX$52*9)&lt;=BJ55,0,1),0))</f>
        <v>0</v>
      </c>
      <c r="BH55" s="25"/>
      <c r="BI55" s="499">
        <f t="shared" si="182"/>
        <v>0</v>
      </c>
      <c r="BJ55" s="499">
        <f t="shared" si="183"/>
        <v>0</v>
      </c>
      <c r="BK55" s="25"/>
    </row>
    <row r="56" spans="1:63" ht="18" customHeight="1" x14ac:dyDescent="0.2">
      <c r="A56" s="270"/>
      <c r="B56" s="2346" t="str">
        <f>IF(RIEPILOGO!A77=0,"",RIEPILOGO!B77)</f>
        <v/>
      </c>
      <c r="C56" s="2347"/>
      <c r="D56" s="959">
        <f>SUMIF(CASSA!AM180:AM545,"X",CASSA!BT180:BT545)</f>
        <v>0</v>
      </c>
      <c r="E56" s="210">
        <f>SUMIF(CASSA!AL180:AL545,"Y",CASSA!BT180:BT545)</f>
        <v>0</v>
      </c>
      <c r="F56" s="1033" t="e">
        <f t="shared" si="179"/>
        <v>#DIV/0!</v>
      </c>
      <c r="G56" s="1028" t="e">
        <f t="shared" si="179"/>
        <v>#DIV/0!</v>
      </c>
      <c r="H56" s="1034">
        <f t="shared" si="180"/>
        <v>0</v>
      </c>
      <c r="I56" s="1030">
        <f t="shared" si="181"/>
        <v>0</v>
      </c>
      <c r="J56" s="218"/>
      <c r="K56" s="25"/>
      <c r="L56" s="25"/>
      <c r="N56" s="25"/>
      <c r="O56" s="503">
        <f t="shared" si="184"/>
        <v>0</v>
      </c>
      <c r="P56" s="25"/>
      <c r="Q56" s="1039">
        <f t="shared" si="185"/>
        <v>0</v>
      </c>
      <c r="R56" s="1039">
        <f t="shared" si="186"/>
        <v>0</v>
      </c>
      <c r="S56" s="1039">
        <f t="shared" si="187"/>
        <v>0</v>
      </c>
      <c r="T56" s="1039">
        <f t="shared" si="188"/>
        <v>0</v>
      </c>
      <c r="U56" s="1039">
        <f t="shared" si="189"/>
        <v>0</v>
      </c>
      <c r="V56" s="1039">
        <f t="shared" si="190"/>
        <v>0</v>
      </c>
      <c r="W56" s="1039">
        <f t="shared" si="191"/>
        <v>0</v>
      </c>
      <c r="X56" s="1039">
        <f t="shared" si="192"/>
        <v>0</v>
      </c>
      <c r="Y56" s="1039">
        <f t="shared" si="193"/>
        <v>0</v>
      </c>
      <c r="Z56" s="1039">
        <f t="shared" si="194"/>
        <v>0</v>
      </c>
      <c r="AA56" s="1040"/>
      <c r="AB56" s="1039">
        <f t="shared" si="195"/>
        <v>0</v>
      </c>
      <c r="AC56" s="1039">
        <f t="shared" si="196"/>
        <v>0</v>
      </c>
      <c r="AD56" s="1039">
        <f t="shared" si="197"/>
        <v>0</v>
      </c>
      <c r="AE56" s="1039">
        <f t="shared" si="198"/>
        <v>0</v>
      </c>
      <c r="AF56" s="1039">
        <f t="shared" si="199"/>
        <v>0</v>
      </c>
      <c r="AG56" s="1039">
        <f t="shared" si="200"/>
        <v>0</v>
      </c>
      <c r="AH56" s="1039">
        <f t="shared" si="201"/>
        <v>0</v>
      </c>
      <c r="AI56" s="1039">
        <f t="shared" si="202"/>
        <v>0</v>
      </c>
      <c r="AJ56" s="1039">
        <f t="shared" si="203"/>
        <v>0</v>
      </c>
      <c r="AK56" s="1039">
        <f t="shared" si="204"/>
        <v>0</v>
      </c>
      <c r="AL56" s="25"/>
      <c r="AM56" s="1039">
        <f t="shared" si="205"/>
        <v>0</v>
      </c>
      <c r="AN56" s="1039">
        <f t="shared" si="206"/>
        <v>0</v>
      </c>
      <c r="AO56" s="1039">
        <f t="shared" si="207"/>
        <v>0</v>
      </c>
      <c r="AP56" s="1039">
        <f t="shared" si="208"/>
        <v>0</v>
      </c>
      <c r="AQ56" s="1039">
        <f t="shared" si="209"/>
        <v>0</v>
      </c>
      <c r="AR56" s="1039">
        <f t="shared" si="210"/>
        <v>0</v>
      </c>
      <c r="AS56" s="1039">
        <f t="shared" si="211"/>
        <v>0</v>
      </c>
      <c r="AT56" s="1039">
        <f t="shared" si="212"/>
        <v>0</v>
      </c>
      <c r="AU56" s="1039">
        <f t="shared" si="213"/>
        <v>0</v>
      </c>
      <c r="AV56" s="1039">
        <f t="shared" si="214"/>
        <v>0</v>
      </c>
      <c r="AW56" s="1040"/>
      <c r="AX56" s="1039">
        <f t="shared" si="215"/>
        <v>0</v>
      </c>
      <c r="AY56" s="1039">
        <f t="shared" si="216"/>
        <v>0</v>
      </c>
      <c r="AZ56" s="1039">
        <f t="shared" si="217"/>
        <v>0</v>
      </c>
      <c r="BA56" s="1039">
        <f t="shared" si="218"/>
        <v>0</v>
      </c>
      <c r="BB56" s="1039">
        <f t="shared" si="219"/>
        <v>0</v>
      </c>
      <c r="BC56" s="1039">
        <f t="shared" si="220"/>
        <v>0</v>
      </c>
      <c r="BD56" s="1039">
        <f t="shared" si="221"/>
        <v>0</v>
      </c>
      <c r="BE56" s="1039">
        <f t="shared" si="222"/>
        <v>0</v>
      </c>
      <c r="BF56" s="1039">
        <f t="shared" si="223"/>
        <v>0</v>
      </c>
      <c r="BG56" s="1039">
        <f t="shared" si="224"/>
        <v>0</v>
      </c>
      <c r="BH56" s="25"/>
      <c r="BI56" s="499">
        <f t="shared" si="182"/>
        <v>0</v>
      </c>
      <c r="BJ56" s="499">
        <f t="shared" si="183"/>
        <v>0</v>
      </c>
      <c r="BK56" s="25"/>
    </row>
    <row r="57" spans="1:63" ht="18" customHeight="1" x14ac:dyDescent="0.2">
      <c r="A57" s="270"/>
      <c r="B57" s="2346" t="str">
        <f>IF(RIEPILOGO!A81=0,"",RIEPILOGO!B81)</f>
        <v/>
      </c>
      <c r="C57" s="2347"/>
      <c r="D57" s="959">
        <f>SUMIF(CASSA!AM180:AM545,"X",CASSA!BU180:BU545)</f>
        <v>0</v>
      </c>
      <c r="E57" s="210">
        <f>SUMIF(CASSA!AL180:AL545,"Y",CASSA!BU180:BU545)</f>
        <v>0</v>
      </c>
      <c r="F57" s="1033" t="e">
        <f t="shared" ref="F57:F60" si="225">D57/D$63*100</f>
        <v>#DIV/0!</v>
      </c>
      <c r="G57" s="1028" t="e">
        <f t="shared" ref="G57:G60" si="226">E57/E$63*100</f>
        <v>#DIV/0!</v>
      </c>
      <c r="H57" s="1034">
        <f t="shared" si="180"/>
        <v>0</v>
      </c>
      <c r="I57" s="1030">
        <f t="shared" si="181"/>
        <v>0</v>
      </c>
      <c r="J57" s="218"/>
      <c r="K57" s="25"/>
      <c r="L57" s="25"/>
      <c r="N57" s="25"/>
      <c r="O57" s="503">
        <f t="shared" si="184"/>
        <v>0</v>
      </c>
      <c r="P57" s="25"/>
      <c r="Q57" s="1039">
        <f t="shared" si="185"/>
        <v>0</v>
      </c>
      <c r="R57" s="1039">
        <f t="shared" si="186"/>
        <v>0</v>
      </c>
      <c r="S57" s="1039">
        <f t="shared" si="187"/>
        <v>0</v>
      </c>
      <c r="T57" s="1039">
        <f t="shared" si="188"/>
        <v>0</v>
      </c>
      <c r="U57" s="1039">
        <f t="shared" si="189"/>
        <v>0</v>
      </c>
      <c r="V57" s="1039">
        <f t="shared" si="190"/>
        <v>0</v>
      </c>
      <c r="W57" s="1039">
        <f t="shared" si="191"/>
        <v>0</v>
      </c>
      <c r="X57" s="1039">
        <f t="shared" si="192"/>
        <v>0</v>
      </c>
      <c r="Y57" s="1039">
        <f t="shared" si="193"/>
        <v>0</v>
      </c>
      <c r="Z57" s="1039">
        <f t="shared" si="194"/>
        <v>0</v>
      </c>
      <c r="AA57" s="1040"/>
      <c r="AB57" s="1039">
        <f t="shared" si="195"/>
        <v>0</v>
      </c>
      <c r="AC57" s="1039">
        <f t="shared" si="196"/>
        <v>0</v>
      </c>
      <c r="AD57" s="1039">
        <f t="shared" si="197"/>
        <v>0</v>
      </c>
      <c r="AE57" s="1039">
        <f t="shared" si="198"/>
        <v>0</v>
      </c>
      <c r="AF57" s="1039">
        <f t="shared" si="199"/>
        <v>0</v>
      </c>
      <c r="AG57" s="1039">
        <f t="shared" si="200"/>
        <v>0</v>
      </c>
      <c r="AH57" s="1039">
        <f t="shared" si="201"/>
        <v>0</v>
      </c>
      <c r="AI57" s="1039">
        <f t="shared" si="202"/>
        <v>0</v>
      </c>
      <c r="AJ57" s="1039">
        <f t="shared" si="203"/>
        <v>0</v>
      </c>
      <c r="AK57" s="1039">
        <f t="shared" si="204"/>
        <v>0</v>
      </c>
      <c r="AL57" s="25"/>
      <c r="AM57" s="1039">
        <f t="shared" si="205"/>
        <v>0</v>
      </c>
      <c r="AN57" s="1039">
        <f t="shared" si="206"/>
        <v>0</v>
      </c>
      <c r="AO57" s="1039">
        <f t="shared" si="207"/>
        <v>0</v>
      </c>
      <c r="AP57" s="1039">
        <f t="shared" si="208"/>
        <v>0</v>
      </c>
      <c r="AQ57" s="1039">
        <f t="shared" si="209"/>
        <v>0</v>
      </c>
      <c r="AR57" s="1039">
        <f t="shared" si="210"/>
        <v>0</v>
      </c>
      <c r="AS57" s="1039">
        <f t="shared" si="211"/>
        <v>0</v>
      </c>
      <c r="AT57" s="1039">
        <f t="shared" si="212"/>
        <v>0</v>
      </c>
      <c r="AU57" s="1039">
        <f t="shared" si="213"/>
        <v>0</v>
      </c>
      <c r="AV57" s="1039">
        <f t="shared" si="214"/>
        <v>0</v>
      </c>
      <c r="AW57" s="1040"/>
      <c r="AX57" s="1039">
        <f t="shared" si="215"/>
        <v>0</v>
      </c>
      <c r="AY57" s="1039">
        <f t="shared" si="216"/>
        <v>0</v>
      </c>
      <c r="AZ57" s="1039">
        <f t="shared" si="217"/>
        <v>0</v>
      </c>
      <c r="BA57" s="1039">
        <f t="shared" si="218"/>
        <v>0</v>
      </c>
      <c r="BB57" s="1039">
        <f t="shared" si="219"/>
        <v>0</v>
      </c>
      <c r="BC57" s="1039">
        <f t="shared" si="220"/>
        <v>0</v>
      </c>
      <c r="BD57" s="1039">
        <f t="shared" si="221"/>
        <v>0</v>
      </c>
      <c r="BE57" s="1039">
        <f t="shared" si="222"/>
        <v>0</v>
      </c>
      <c r="BF57" s="1039">
        <f t="shared" si="223"/>
        <v>0</v>
      </c>
      <c r="BG57" s="1039">
        <f t="shared" si="224"/>
        <v>0</v>
      </c>
      <c r="BH57" s="25"/>
      <c r="BI57" s="499">
        <f t="shared" si="182"/>
        <v>0</v>
      </c>
      <c r="BJ57" s="499">
        <f t="shared" si="183"/>
        <v>0</v>
      </c>
      <c r="BK57" s="25"/>
    </row>
    <row r="58" spans="1:63" ht="18" customHeight="1" x14ac:dyDescent="0.2">
      <c r="A58" s="270"/>
      <c r="B58" s="2346" t="str">
        <f>IF(RIEPILOGO!A85=0,"",RIEPILOGO!B85)</f>
        <v/>
      </c>
      <c r="C58" s="2347"/>
      <c r="D58" s="959">
        <f>SUMIF(CASSA!AM180:AM545,"X",CASSA!BV180:BV545)</f>
        <v>0</v>
      </c>
      <c r="E58" s="210">
        <f>SUMIF(CASSA!AL180:AL545,"Y",CASSA!BV180:BV545)</f>
        <v>0</v>
      </c>
      <c r="F58" s="1033" t="e">
        <f t="shared" si="225"/>
        <v>#DIV/0!</v>
      </c>
      <c r="G58" s="1028" t="e">
        <f t="shared" si="226"/>
        <v>#DIV/0!</v>
      </c>
      <c r="H58" s="1034">
        <f t="shared" si="180"/>
        <v>0</v>
      </c>
      <c r="I58" s="1030">
        <f t="shared" si="181"/>
        <v>0</v>
      </c>
      <c r="J58" s="218"/>
      <c r="K58" s="25"/>
      <c r="L58" s="25"/>
      <c r="N58" s="25"/>
      <c r="O58" s="503">
        <f t="shared" si="184"/>
        <v>0</v>
      </c>
      <c r="P58" s="25"/>
      <c r="Q58" s="1039">
        <f t="shared" si="185"/>
        <v>0</v>
      </c>
      <c r="R58" s="1039">
        <f t="shared" si="186"/>
        <v>0</v>
      </c>
      <c r="S58" s="1039">
        <f t="shared" si="187"/>
        <v>0</v>
      </c>
      <c r="T58" s="1039">
        <f t="shared" si="188"/>
        <v>0</v>
      </c>
      <c r="U58" s="1039">
        <f t="shared" si="189"/>
        <v>0</v>
      </c>
      <c r="V58" s="1039">
        <f t="shared" si="190"/>
        <v>0</v>
      </c>
      <c r="W58" s="1039">
        <f t="shared" si="191"/>
        <v>0</v>
      </c>
      <c r="X58" s="1039">
        <f t="shared" si="192"/>
        <v>0</v>
      </c>
      <c r="Y58" s="1039">
        <f t="shared" si="193"/>
        <v>0</v>
      </c>
      <c r="Z58" s="1039">
        <f t="shared" si="194"/>
        <v>0</v>
      </c>
      <c r="AA58" s="1040"/>
      <c r="AB58" s="1039">
        <f t="shared" si="195"/>
        <v>0</v>
      </c>
      <c r="AC58" s="1039">
        <f t="shared" si="196"/>
        <v>0</v>
      </c>
      <c r="AD58" s="1039">
        <f t="shared" si="197"/>
        <v>0</v>
      </c>
      <c r="AE58" s="1039">
        <f t="shared" si="198"/>
        <v>0</v>
      </c>
      <c r="AF58" s="1039">
        <f t="shared" si="199"/>
        <v>0</v>
      </c>
      <c r="AG58" s="1039">
        <f t="shared" si="200"/>
        <v>0</v>
      </c>
      <c r="AH58" s="1039">
        <f t="shared" si="201"/>
        <v>0</v>
      </c>
      <c r="AI58" s="1039">
        <f t="shared" si="202"/>
        <v>0</v>
      </c>
      <c r="AJ58" s="1039">
        <f t="shared" si="203"/>
        <v>0</v>
      </c>
      <c r="AK58" s="1039">
        <f t="shared" si="204"/>
        <v>0</v>
      </c>
      <c r="AL58" s="25"/>
      <c r="AM58" s="1039">
        <f t="shared" si="205"/>
        <v>0</v>
      </c>
      <c r="AN58" s="1039">
        <f t="shared" si="206"/>
        <v>0</v>
      </c>
      <c r="AO58" s="1039">
        <f t="shared" si="207"/>
        <v>0</v>
      </c>
      <c r="AP58" s="1039">
        <f t="shared" si="208"/>
        <v>0</v>
      </c>
      <c r="AQ58" s="1039">
        <f t="shared" si="209"/>
        <v>0</v>
      </c>
      <c r="AR58" s="1039">
        <f t="shared" si="210"/>
        <v>0</v>
      </c>
      <c r="AS58" s="1039">
        <f t="shared" si="211"/>
        <v>0</v>
      </c>
      <c r="AT58" s="1039">
        <f t="shared" si="212"/>
        <v>0</v>
      </c>
      <c r="AU58" s="1039">
        <f t="shared" si="213"/>
        <v>0</v>
      </c>
      <c r="AV58" s="1039">
        <f t="shared" si="214"/>
        <v>0</v>
      </c>
      <c r="AW58" s="1040"/>
      <c r="AX58" s="1039">
        <f t="shared" si="215"/>
        <v>0</v>
      </c>
      <c r="AY58" s="1039">
        <f t="shared" si="216"/>
        <v>0</v>
      </c>
      <c r="AZ58" s="1039">
        <f t="shared" si="217"/>
        <v>0</v>
      </c>
      <c r="BA58" s="1039">
        <f t="shared" si="218"/>
        <v>0</v>
      </c>
      <c r="BB58" s="1039">
        <f t="shared" si="219"/>
        <v>0</v>
      </c>
      <c r="BC58" s="1039">
        <f t="shared" si="220"/>
        <v>0</v>
      </c>
      <c r="BD58" s="1039">
        <f t="shared" si="221"/>
        <v>0</v>
      </c>
      <c r="BE58" s="1039">
        <f t="shared" si="222"/>
        <v>0</v>
      </c>
      <c r="BF58" s="1039">
        <f t="shared" si="223"/>
        <v>0</v>
      </c>
      <c r="BG58" s="1039">
        <f t="shared" si="224"/>
        <v>0</v>
      </c>
      <c r="BH58" s="25"/>
      <c r="BI58" s="499">
        <f t="shared" si="182"/>
        <v>0</v>
      </c>
      <c r="BJ58" s="499">
        <f t="shared" si="183"/>
        <v>0</v>
      </c>
      <c r="BK58" s="25"/>
    </row>
    <row r="59" spans="1:63" ht="18" customHeight="1" x14ac:dyDescent="0.2">
      <c r="A59" s="270"/>
      <c r="B59" s="2346" t="str">
        <f>IF(RIEPILOGO!A89=0,"",RIEPILOGO!B89)</f>
        <v/>
      </c>
      <c r="C59" s="2347"/>
      <c r="D59" s="959">
        <f>SUMIF(CASSA!AM180:AM545,"X",CASSA!BW180:BW545)</f>
        <v>0</v>
      </c>
      <c r="E59" s="210">
        <f>SUMIF(CASSA!AL180:AL545,"Y",CASSA!BW180:BW545)</f>
        <v>0</v>
      </c>
      <c r="F59" s="1033" t="e">
        <f t="shared" si="225"/>
        <v>#DIV/0!</v>
      </c>
      <c r="G59" s="1028" t="e">
        <f t="shared" si="226"/>
        <v>#DIV/0!</v>
      </c>
      <c r="H59" s="1034">
        <f t="shared" si="180"/>
        <v>0</v>
      </c>
      <c r="I59" s="1030">
        <f t="shared" si="181"/>
        <v>0</v>
      </c>
      <c r="J59" s="218"/>
      <c r="K59" s="25"/>
      <c r="L59" s="25"/>
      <c r="N59" s="25"/>
      <c r="O59" s="503">
        <f t="shared" si="184"/>
        <v>0</v>
      </c>
      <c r="P59" s="25"/>
      <c r="Q59" s="1039">
        <f t="shared" si="185"/>
        <v>0</v>
      </c>
      <c r="R59" s="1039">
        <f t="shared" si="186"/>
        <v>0</v>
      </c>
      <c r="S59" s="1039">
        <f t="shared" si="187"/>
        <v>0</v>
      </c>
      <c r="T59" s="1039">
        <f t="shared" si="188"/>
        <v>0</v>
      </c>
      <c r="U59" s="1039">
        <f t="shared" si="189"/>
        <v>0</v>
      </c>
      <c r="V59" s="1039">
        <f t="shared" si="190"/>
        <v>0</v>
      </c>
      <c r="W59" s="1039">
        <f t="shared" si="191"/>
        <v>0</v>
      </c>
      <c r="X59" s="1039">
        <f t="shared" si="192"/>
        <v>0</v>
      </c>
      <c r="Y59" s="1039">
        <f t="shared" si="193"/>
        <v>0</v>
      </c>
      <c r="Z59" s="1039">
        <f t="shared" si="194"/>
        <v>0</v>
      </c>
      <c r="AA59" s="1040"/>
      <c r="AB59" s="1039">
        <f t="shared" si="195"/>
        <v>0</v>
      </c>
      <c r="AC59" s="1039">
        <f t="shared" si="196"/>
        <v>0</v>
      </c>
      <c r="AD59" s="1039">
        <f t="shared" si="197"/>
        <v>0</v>
      </c>
      <c r="AE59" s="1039">
        <f t="shared" si="198"/>
        <v>0</v>
      </c>
      <c r="AF59" s="1039">
        <f t="shared" si="199"/>
        <v>0</v>
      </c>
      <c r="AG59" s="1039">
        <f t="shared" si="200"/>
        <v>0</v>
      </c>
      <c r="AH59" s="1039">
        <f t="shared" si="201"/>
        <v>0</v>
      </c>
      <c r="AI59" s="1039">
        <f t="shared" si="202"/>
        <v>0</v>
      </c>
      <c r="AJ59" s="1039">
        <f t="shared" si="203"/>
        <v>0</v>
      </c>
      <c r="AK59" s="1039">
        <f t="shared" si="204"/>
        <v>0</v>
      </c>
      <c r="AL59" s="25"/>
      <c r="AM59" s="1039">
        <f t="shared" si="205"/>
        <v>0</v>
      </c>
      <c r="AN59" s="1039">
        <f t="shared" si="206"/>
        <v>0</v>
      </c>
      <c r="AO59" s="1039">
        <f t="shared" si="207"/>
        <v>0</v>
      </c>
      <c r="AP59" s="1039">
        <f t="shared" si="208"/>
        <v>0</v>
      </c>
      <c r="AQ59" s="1039">
        <f t="shared" si="209"/>
        <v>0</v>
      </c>
      <c r="AR59" s="1039">
        <f t="shared" si="210"/>
        <v>0</v>
      </c>
      <c r="AS59" s="1039">
        <f t="shared" si="211"/>
        <v>0</v>
      </c>
      <c r="AT59" s="1039">
        <f t="shared" si="212"/>
        <v>0</v>
      </c>
      <c r="AU59" s="1039">
        <f t="shared" si="213"/>
        <v>0</v>
      </c>
      <c r="AV59" s="1039">
        <f t="shared" si="214"/>
        <v>0</v>
      </c>
      <c r="AW59" s="1040"/>
      <c r="AX59" s="1039">
        <f t="shared" si="215"/>
        <v>0</v>
      </c>
      <c r="AY59" s="1039">
        <f t="shared" si="216"/>
        <v>0</v>
      </c>
      <c r="AZ59" s="1039">
        <f t="shared" si="217"/>
        <v>0</v>
      </c>
      <c r="BA59" s="1039">
        <f t="shared" si="218"/>
        <v>0</v>
      </c>
      <c r="BB59" s="1039">
        <f t="shared" si="219"/>
        <v>0</v>
      </c>
      <c r="BC59" s="1039">
        <f t="shared" si="220"/>
        <v>0</v>
      </c>
      <c r="BD59" s="1039">
        <f t="shared" si="221"/>
        <v>0</v>
      </c>
      <c r="BE59" s="1039">
        <f t="shared" si="222"/>
        <v>0</v>
      </c>
      <c r="BF59" s="1039">
        <f t="shared" si="223"/>
        <v>0</v>
      </c>
      <c r="BG59" s="1039">
        <f t="shared" si="224"/>
        <v>0</v>
      </c>
      <c r="BH59" s="25"/>
      <c r="BI59" s="499">
        <f t="shared" si="182"/>
        <v>0</v>
      </c>
      <c r="BJ59" s="499">
        <f t="shared" si="183"/>
        <v>0</v>
      </c>
      <c r="BK59" s="25"/>
    </row>
    <row r="60" spans="1:63" ht="18" customHeight="1" x14ac:dyDescent="0.2">
      <c r="A60" s="270"/>
      <c r="B60" s="2346" t="str">
        <f>IF(RIEPILOGO!A93=0,"",RIEPILOGO!B93)</f>
        <v/>
      </c>
      <c r="C60" s="2347"/>
      <c r="D60" s="961">
        <f>SUMIF(CASSA!AM180:AM545,"X",CASSA!BX180:BX545)</f>
        <v>0</v>
      </c>
      <c r="E60" s="217">
        <f>SUMIF(CASSA!AL180:AL545,"Y",CASSA!BX180:BX545)</f>
        <v>0</v>
      </c>
      <c r="F60" s="1033" t="e">
        <f t="shared" si="225"/>
        <v>#DIV/0!</v>
      </c>
      <c r="G60" s="1028" t="e">
        <f t="shared" si="226"/>
        <v>#DIV/0!</v>
      </c>
      <c r="H60" s="1034">
        <f t="shared" si="180"/>
        <v>0</v>
      </c>
      <c r="I60" s="1030">
        <f t="shared" si="181"/>
        <v>0</v>
      </c>
      <c r="J60" s="218"/>
      <c r="K60" s="25"/>
      <c r="L60" s="25"/>
      <c r="N60" s="25"/>
      <c r="O60" s="503">
        <f t="shared" si="184"/>
        <v>0</v>
      </c>
      <c r="P60" s="25"/>
      <c r="Q60" s="1039">
        <f t="shared" si="185"/>
        <v>0</v>
      </c>
      <c r="R60" s="1039">
        <f t="shared" si="186"/>
        <v>0</v>
      </c>
      <c r="S60" s="1039">
        <f t="shared" si="187"/>
        <v>0</v>
      </c>
      <c r="T60" s="1039">
        <f t="shared" si="188"/>
        <v>0</v>
      </c>
      <c r="U60" s="1039">
        <f t="shared" si="189"/>
        <v>0</v>
      </c>
      <c r="V60" s="1039">
        <f t="shared" si="190"/>
        <v>0</v>
      </c>
      <c r="W60" s="1039">
        <f t="shared" si="191"/>
        <v>0</v>
      </c>
      <c r="X60" s="1039">
        <f t="shared" si="192"/>
        <v>0</v>
      </c>
      <c r="Y60" s="1039">
        <f t="shared" si="193"/>
        <v>0</v>
      </c>
      <c r="Z60" s="1039">
        <f t="shared" si="194"/>
        <v>0</v>
      </c>
      <c r="AA60" s="1040"/>
      <c r="AB60" s="1039">
        <f t="shared" si="195"/>
        <v>0</v>
      </c>
      <c r="AC60" s="1039">
        <f t="shared" si="196"/>
        <v>0</v>
      </c>
      <c r="AD60" s="1039">
        <f t="shared" si="197"/>
        <v>0</v>
      </c>
      <c r="AE60" s="1039">
        <f t="shared" si="198"/>
        <v>0</v>
      </c>
      <c r="AF60" s="1039">
        <f t="shared" si="199"/>
        <v>0</v>
      </c>
      <c r="AG60" s="1039">
        <f t="shared" si="200"/>
        <v>0</v>
      </c>
      <c r="AH60" s="1039">
        <f t="shared" si="201"/>
        <v>0</v>
      </c>
      <c r="AI60" s="1039">
        <f t="shared" si="202"/>
        <v>0</v>
      </c>
      <c r="AJ60" s="1039">
        <f t="shared" si="203"/>
        <v>0</v>
      </c>
      <c r="AK60" s="1039">
        <f t="shared" si="204"/>
        <v>0</v>
      </c>
      <c r="AL60" s="25"/>
      <c r="AM60" s="1039">
        <f t="shared" si="205"/>
        <v>0</v>
      </c>
      <c r="AN60" s="1039">
        <f t="shared" si="206"/>
        <v>0</v>
      </c>
      <c r="AO60" s="1039">
        <f t="shared" si="207"/>
        <v>0</v>
      </c>
      <c r="AP60" s="1039">
        <f t="shared" si="208"/>
        <v>0</v>
      </c>
      <c r="AQ60" s="1039">
        <f t="shared" si="209"/>
        <v>0</v>
      </c>
      <c r="AR60" s="1039">
        <f t="shared" si="210"/>
        <v>0</v>
      </c>
      <c r="AS60" s="1039">
        <f t="shared" si="211"/>
        <v>0</v>
      </c>
      <c r="AT60" s="1039">
        <f t="shared" si="212"/>
        <v>0</v>
      </c>
      <c r="AU60" s="1039">
        <f t="shared" si="213"/>
        <v>0</v>
      </c>
      <c r="AV60" s="1039">
        <f t="shared" si="214"/>
        <v>0</v>
      </c>
      <c r="AW60" s="1040"/>
      <c r="AX60" s="1039">
        <f t="shared" si="215"/>
        <v>0</v>
      </c>
      <c r="AY60" s="1039">
        <f t="shared" si="216"/>
        <v>0</v>
      </c>
      <c r="AZ60" s="1039">
        <f t="shared" si="217"/>
        <v>0</v>
      </c>
      <c r="BA60" s="1039">
        <f t="shared" si="218"/>
        <v>0</v>
      </c>
      <c r="BB60" s="1039">
        <f t="shared" si="219"/>
        <v>0</v>
      </c>
      <c r="BC60" s="1039">
        <f t="shared" si="220"/>
        <v>0</v>
      </c>
      <c r="BD60" s="1039">
        <f t="shared" si="221"/>
        <v>0</v>
      </c>
      <c r="BE60" s="1039">
        <f t="shared" si="222"/>
        <v>0</v>
      </c>
      <c r="BF60" s="1039">
        <f t="shared" si="223"/>
        <v>0</v>
      </c>
      <c r="BG60" s="1039">
        <f t="shared" si="224"/>
        <v>0</v>
      </c>
      <c r="BH60" s="25"/>
      <c r="BI60" s="499">
        <f t="shared" si="182"/>
        <v>0</v>
      </c>
      <c r="BJ60" s="499">
        <f t="shared" si="183"/>
        <v>0</v>
      </c>
      <c r="BK60" s="25"/>
    </row>
    <row r="61" spans="1:63" ht="18" customHeight="1" x14ac:dyDescent="0.2">
      <c r="A61" s="270"/>
      <c r="B61" s="2349" t="str">
        <f>IF(RIEPILOGO!A97=0,"",RIEPILOGO!B97)</f>
        <v/>
      </c>
      <c r="C61" s="2349"/>
      <c r="D61" s="962">
        <f>SUMIF(CASSA!AM180:AM545,"X",CASSA!BY180:BY545)</f>
        <v>0</v>
      </c>
      <c r="E61" s="964">
        <f>SUMIF(CASSA!AL180:AL545,"Y",CASSA!BY180:BY545)</f>
        <v>0</v>
      </c>
      <c r="F61" s="1033" t="e">
        <f t="shared" si="179"/>
        <v>#DIV/0!</v>
      </c>
      <c r="G61" s="1028" t="e">
        <f t="shared" si="179"/>
        <v>#DIV/0!</v>
      </c>
      <c r="H61" s="1034">
        <f t="shared" si="180"/>
        <v>0</v>
      </c>
      <c r="I61" s="1030">
        <f t="shared" si="181"/>
        <v>0</v>
      </c>
      <c r="J61" s="218"/>
      <c r="K61" s="25"/>
      <c r="L61" s="25"/>
      <c r="N61" s="25"/>
      <c r="O61" s="505">
        <f t="shared" si="184"/>
        <v>0</v>
      </c>
      <c r="P61" s="25"/>
      <c r="Q61" s="1039">
        <f t="shared" si="185"/>
        <v>0</v>
      </c>
      <c r="R61" s="1039">
        <f t="shared" si="186"/>
        <v>0</v>
      </c>
      <c r="S61" s="1039">
        <f t="shared" si="187"/>
        <v>0</v>
      </c>
      <c r="T61" s="1039">
        <f t="shared" si="188"/>
        <v>0</v>
      </c>
      <c r="U61" s="1039">
        <f t="shared" si="189"/>
        <v>0</v>
      </c>
      <c r="V61" s="1039">
        <f t="shared" si="190"/>
        <v>0</v>
      </c>
      <c r="W61" s="1039">
        <f t="shared" si="191"/>
        <v>0</v>
      </c>
      <c r="X61" s="1039">
        <f t="shared" si="192"/>
        <v>0</v>
      </c>
      <c r="Y61" s="1039">
        <f t="shared" si="193"/>
        <v>0</v>
      </c>
      <c r="Z61" s="1039">
        <f t="shared" si="194"/>
        <v>0</v>
      </c>
      <c r="AA61" s="1040"/>
      <c r="AB61" s="1039">
        <f t="shared" si="195"/>
        <v>0</v>
      </c>
      <c r="AC61" s="1039">
        <f t="shared" si="196"/>
        <v>0</v>
      </c>
      <c r="AD61" s="1039">
        <f t="shared" si="197"/>
        <v>0</v>
      </c>
      <c r="AE61" s="1039">
        <f t="shared" si="198"/>
        <v>0</v>
      </c>
      <c r="AF61" s="1039">
        <f t="shared" si="199"/>
        <v>0</v>
      </c>
      <c r="AG61" s="1039">
        <f t="shared" si="200"/>
        <v>0</v>
      </c>
      <c r="AH61" s="1039">
        <f t="shared" si="201"/>
        <v>0</v>
      </c>
      <c r="AI61" s="1039">
        <f t="shared" si="202"/>
        <v>0</v>
      </c>
      <c r="AJ61" s="1039">
        <f t="shared" si="203"/>
        <v>0</v>
      </c>
      <c r="AK61" s="1039">
        <f t="shared" si="204"/>
        <v>0</v>
      </c>
      <c r="AL61" s="25"/>
      <c r="AM61" s="1039">
        <f t="shared" si="205"/>
        <v>0</v>
      </c>
      <c r="AN61" s="1039">
        <f t="shared" si="206"/>
        <v>0</v>
      </c>
      <c r="AO61" s="1039">
        <f t="shared" si="207"/>
        <v>0</v>
      </c>
      <c r="AP61" s="1039">
        <f t="shared" si="208"/>
        <v>0</v>
      </c>
      <c r="AQ61" s="1039">
        <f t="shared" si="209"/>
        <v>0</v>
      </c>
      <c r="AR61" s="1039">
        <f t="shared" si="210"/>
        <v>0</v>
      </c>
      <c r="AS61" s="1039">
        <f t="shared" si="211"/>
        <v>0</v>
      </c>
      <c r="AT61" s="1039">
        <f t="shared" si="212"/>
        <v>0</v>
      </c>
      <c r="AU61" s="1039">
        <f t="shared" si="213"/>
        <v>0</v>
      </c>
      <c r="AV61" s="1039">
        <f t="shared" si="214"/>
        <v>0</v>
      </c>
      <c r="AW61" s="1040"/>
      <c r="AX61" s="1039">
        <f t="shared" si="215"/>
        <v>0</v>
      </c>
      <c r="AY61" s="1039">
        <f t="shared" si="216"/>
        <v>0</v>
      </c>
      <c r="AZ61" s="1039">
        <f t="shared" si="217"/>
        <v>0</v>
      </c>
      <c r="BA61" s="1039">
        <f t="shared" si="218"/>
        <v>0</v>
      </c>
      <c r="BB61" s="1039">
        <f t="shared" si="219"/>
        <v>0</v>
      </c>
      <c r="BC61" s="1039">
        <f t="shared" si="220"/>
        <v>0</v>
      </c>
      <c r="BD61" s="1039">
        <f t="shared" si="221"/>
        <v>0</v>
      </c>
      <c r="BE61" s="1039">
        <f t="shared" si="222"/>
        <v>0</v>
      </c>
      <c r="BF61" s="1039">
        <f t="shared" si="223"/>
        <v>0</v>
      </c>
      <c r="BG61" s="1039">
        <f t="shared" si="224"/>
        <v>0</v>
      </c>
      <c r="BH61" s="25"/>
      <c r="BI61" s="499">
        <f t="shared" si="182"/>
        <v>0</v>
      </c>
      <c r="BJ61" s="499">
        <f t="shared" si="183"/>
        <v>0</v>
      </c>
      <c r="BK61" s="25"/>
    </row>
    <row r="62" spans="1:63" ht="19.5" customHeight="1" x14ac:dyDescent="0.2">
      <c r="A62" s="270"/>
      <c r="B62" s="25"/>
      <c r="C62" s="249"/>
      <c r="D62" s="271" t="e">
        <f>D63/SUM($D63:$E63)*100</f>
        <v>#DIV/0!</v>
      </c>
      <c r="E62" s="271" t="e">
        <f>E63/SUM($D63:$E63)*100</f>
        <v>#DIV/0!</v>
      </c>
      <c r="F62" s="389"/>
      <c r="G62" s="390"/>
      <c r="H62" s="391"/>
      <c r="I62" s="392"/>
      <c r="J62" s="218"/>
      <c r="K62" s="25"/>
      <c r="L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row>
    <row r="63" spans="1:63" ht="19.5" customHeight="1" x14ac:dyDescent="0.2">
      <c r="A63" s="270"/>
      <c r="B63" s="2350" t="s">
        <v>128</v>
      </c>
      <c r="C63" s="2351"/>
      <c r="D63" s="1018">
        <f>SUM(D54:D61)</f>
        <v>0</v>
      </c>
      <c r="E63" s="1017">
        <f>SUM(E54:E61)</f>
        <v>0</v>
      </c>
      <c r="F63" s="1033" t="e">
        <f>D63/D$63*100</f>
        <v>#DIV/0!</v>
      </c>
      <c r="G63" s="1028" t="e">
        <f>E63/E$63*100</f>
        <v>#DIV/0!</v>
      </c>
      <c r="H63" s="1034">
        <f>IF(AND(D63=0,E63=0),0,(D63-E63)/E63*100)</f>
        <v>0</v>
      </c>
      <c r="I63" s="1030">
        <f>IF(AND(D63=0,E63=0),0,(E63-D63)/D63*100)</f>
        <v>0</v>
      </c>
      <c r="J63" s="257"/>
      <c r="K63" s="25"/>
      <c r="L63" s="25"/>
      <c r="N63" s="81"/>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row>
    <row r="64" spans="1:63" ht="19.5" customHeight="1" x14ac:dyDescent="0.2">
      <c r="A64" s="270"/>
      <c r="B64" s="25"/>
      <c r="C64" s="249"/>
      <c r="D64" s="227"/>
      <c r="E64" s="227"/>
      <c r="F64" s="29"/>
      <c r="G64" s="291"/>
      <c r="H64" s="248"/>
      <c r="I64" s="291"/>
      <c r="J64" s="218"/>
      <c r="K64" s="25"/>
      <c r="L64" s="25"/>
      <c r="N64" s="81"/>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row>
    <row r="65" spans="1:63" ht="22.5" customHeight="1" x14ac:dyDescent="0.2">
      <c r="A65" s="270"/>
      <c r="B65" s="25"/>
      <c r="C65" s="226"/>
      <c r="D65" s="226"/>
      <c r="E65" s="226"/>
      <c r="F65" s="44"/>
      <c r="G65" s="25"/>
      <c r="H65" s="25"/>
      <c r="I65" s="110"/>
      <c r="J65" s="110"/>
      <c r="K65" s="25"/>
      <c r="L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row>
    <row r="66" spans="1:63" ht="18" customHeight="1" x14ac:dyDescent="0.2">
      <c r="A66" s="270"/>
      <c r="B66" s="259"/>
      <c r="C66" s="2353" t="str">
        <f>J146</f>
        <v>Impostazioni attive: Selezione per DATE dal 00/01/1900 al 00/01/1900  |  A confronto con:  NON SELEZIONATO</v>
      </c>
      <c r="D66" s="2353"/>
      <c r="E66" s="2353"/>
      <c r="F66" s="2353"/>
      <c r="G66" s="2353"/>
      <c r="H66" s="2353"/>
      <c r="I66" s="2353"/>
      <c r="J66" s="260"/>
      <c r="K66" s="259"/>
      <c r="L66" s="25"/>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row>
    <row r="67" spans="1:63" ht="22.5" customHeight="1" x14ac:dyDescent="0.2">
      <c r="A67" s="270"/>
      <c r="B67" s="25"/>
      <c r="C67" s="25"/>
      <c r="D67" s="25"/>
      <c r="E67" s="25"/>
      <c r="F67" s="44"/>
      <c r="G67" s="25"/>
      <c r="H67" s="25"/>
      <c r="I67" s="110"/>
      <c r="J67" s="110"/>
      <c r="K67" s="25"/>
      <c r="L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row>
    <row r="68" spans="1:63" ht="22.5" customHeight="1" x14ac:dyDescent="0.2">
      <c r="A68" s="25"/>
      <c r="B68" s="407" t="s">
        <v>266</v>
      </c>
      <c r="C68" s="2352"/>
      <c r="D68" s="2352"/>
      <c r="E68" s="2352"/>
      <c r="F68" s="2352"/>
      <c r="G68" s="2352"/>
      <c r="H68" s="2352"/>
      <c r="I68" s="2352"/>
      <c r="J68" s="110"/>
      <c r="K68" s="25"/>
      <c r="L68" s="81"/>
      <c r="M68" s="382"/>
      <c r="N68" s="382"/>
      <c r="O68" s="382"/>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row>
    <row r="69" spans="1:63" ht="22.5" customHeight="1" x14ac:dyDescent="0.2">
      <c r="A69" s="25"/>
      <c r="B69" s="81"/>
      <c r="C69" s="2352"/>
      <c r="D69" s="2352"/>
      <c r="E69" s="2352"/>
      <c r="F69" s="2352"/>
      <c r="G69" s="2352"/>
      <c r="H69" s="2352"/>
      <c r="I69" s="2352"/>
      <c r="J69" s="110"/>
      <c r="K69" s="25"/>
      <c r="L69" s="81"/>
      <c r="M69" s="382"/>
      <c r="N69" s="382"/>
      <c r="O69" s="382"/>
      <c r="P69" s="39"/>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row>
    <row r="70" spans="1:63" ht="22.5" customHeight="1" x14ac:dyDescent="0.2">
      <c r="A70" s="25"/>
      <c r="B70" s="81"/>
      <c r="C70" s="2352"/>
      <c r="D70" s="2352"/>
      <c r="E70" s="2352"/>
      <c r="F70" s="2352"/>
      <c r="G70" s="2352"/>
      <c r="H70" s="2352"/>
      <c r="I70" s="2352"/>
      <c r="J70" s="110"/>
      <c r="K70" s="25"/>
      <c r="L70" s="81"/>
      <c r="M70" s="382"/>
      <c r="N70" s="382"/>
      <c r="O70" s="382"/>
      <c r="P70" s="39"/>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row>
    <row r="71" spans="1:63" ht="22.5" customHeight="1" x14ac:dyDescent="0.2">
      <c r="A71" s="25"/>
      <c r="B71" s="81"/>
      <c r="C71" s="2352"/>
      <c r="D71" s="2352"/>
      <c r="E71" s="2352"/>
      <c r="F71" s="2352"/>
      <c r="G71" s="2352"/>
      <c r="H71" s="2352"/>
      <c r="I71" s="2352"/>
      <c r="J71" s="110"/>
      <c r="K71" s="25"/>
      <c r="L71" s="81"/>
      <c r="M71" s="382"/>
      <c r="N71" s="382"/>
      <c r="O71" s="382"/>
      <c r="P71" s="39"/>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row>
    <row r="72" spans="1:63" ht="22.5" customHeight="1" x14ac:dyDescent="0.2">
      <c r="A72" s="270"/>
      <c r="B72" s="353"/>
      <c r="C72" s="353"/>
      <c r="D72" s="278"/>
      <c r="E72" s="227"/>
      <c r="F72" s="353"/>
      <c r="G72" s="353"/>
      <c r="H72" s="355"/>
      <c r="I72" s="354"/>
      <c r="J72" s="218"/>
      <c r="K72" s="25"/>
      <c r="L72" s="25"/>
      <c r="N72" s="382"/>
      <c r="O72" s="382"/>
      <c r="P72" s="39"/>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row>
    <row r="73" spans="1:63" ht="18" customHeight="1" x14ac:dyDescent="0.2">
      <c r="A73" s="270"/>
      <c r="B73" s="25"/>
      <c r="C73" s="249"/>
      <c r="D73" s="267"/>
      <c r="E73" s="267"/>
      <c r="F73" s="267"/>
      <c r="G73" s="267"/>
      <c r="H73" s="278"/>
      <c r="I73" s="25"/>
      <c r="J73" s="218"/>
      <c r="K73" s="25"/>
      <c r="L73" s="25"/>
      <c r="N73" s="39"/>
      <c r="O73" s="39"/>
      <c r="P73" s="39"/>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372" t="str">
        <f>Presentazione!$H$23</f>
        <v/>
      </c>
    </row>
    <row r="74" spans="1:63" ht="18" customHeight="1" x14ac:dyDescent="0.2">
      <c r="A74" s="270"/>
      <c r="B74" s="408" t="str">
        <f>STORICO!B74</f>
        <v>www.marcopiccoli.it - Registro Contabile Giornaliero 6.0.7 - per EXCEL .xlsm</v>
      </c>
      <c r="C74" s="249"/>
      <c r="D74" s="267"/>
      <c r="E74" s="267"/>
      <c r="F74" s="267"/>
      <c r="G74" s="267"/>
      <c r="H74" s="278"/>
      <c r="I74" s="25"/>
      <c r="J74" s="218"/>
      <c r="K74" s="25"/>
      <c r="L74" s="25"/>
      <c r="N74" s="39"/>
      <c r="O74" s="39"/>
      <c r="P74" s="39"/>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409" t="str">
        <f>IF(Presentazione!$J$173=Presentazione!$K$95,CONCATENATE(Presentazione!$F$89,"   -   ","P.I./C.F ",Presentazione!$K$91),Presentazione!$I$165)</f>
        <v>Sistema attivato dal 01/01 al 31/03. Modifica il trimestre dal foglio Presentazione.</v>
      </c>
    </row>
    <row r="75" spans="1:63" ht="22.5" customHeight="1" x14ac:dyDescent="0.2">
      <c r="A75" s="270"/>
      <c r="B75" s="25"/>
      <c r="C75" s="249"/>
      <c r="D75" s="267"/>
      <c r="E75" s="267"/>
      <c r="F75" s="267"/>
      <c r="G75" s="267"/>
      <c r="H75" s="278"/>
      <c r="I75" s="352"/>
      <c r="J75" s="355"/>
      <c r="K75" s="354"/>
      <c r="L75" s="81"/>
      <c r="M75" s="382"/>
      <c r="N75" s="382"/>
      <c r="O75" s="382"/>
      <c r="P75" s="39"/>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row>
    <row r="76" spans="1:63" ht="4.5" hidden="1" customHeight="1" x14ac:dyDescent="0.2">
      <c r="A76" s="572"/>
    </row>
    <row r="77" spans="1:63" ht="4.5" hidden="1" customHeight="1" x14ac:dyDescent="0.2">
      <c r="A77" s="572"/>
    </row>
    <row r="78" spans="1:63" ht="4.5" hidden="1" customHeight="1" x14ac:dyDescent="0.2">
      <c r="A78" s="572"/>
    </row>
    <row r="79" spans="1:63" ht="19.5" customHeight="1" x14ac:dyDescent="0.3">
      <c r="A79" s="270"/>
      <c r="B79" s="952" t="str">
        <f>RIEPILOGO!C114</f>
        <v>Riepilogo degli importi annotati nelle COLONNE ESCLUSE</v>
      </c>
      <c r="C79" s="466"/>
      <c r="D79" s="467"/>
      <c r="E79" s="466"/>
      <c r="F79" s="25"/>
      <c r="G79" s="465"/>
      <c r="H79" s="465"/>
      <c r="I79" s="465"/>
      <c r="J79" s="218"/>
      <c r="K79" s="25"/>
      <c r="L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row>
    <row r="80" spans="1:63" ht="19.5" customHeight="1" x14ac:dyDescent="0.2">
      <c r="A80" s="270"/>
      <c r="B80" s="25"/>
      <c r="C80" s="250"/>
      <c r="D80" s="380" t="s">
        <v>370</v>
      </c>
      <c r="E80" s="206" t="s">
        <v>114</v>
      </c>
      <c r="F80" s="2348" t="s">
        <v>108</v>
      </c>
      <c r="G80" s="2348"/>
      <c r="H80" s="2348" t="s">
        <v>154</v>
      </c>
      <c r="I80" s="2348"/>
      <c r="J80" s="25"/>
      <c r="K80" s="25"/>
      <c r="L80" s="25"/>
      <c r="N80" s="500">
        <f>IF(O80=0,0,N$17)</f>
        <v>0</v>
      </c>
      <c r="O80" s="500">
        <f>IF(AB15="",0,MAX(D82:E94))</f>
        <v>0</v>
      </c>
      <c r="P80" s="25"/>
      <c r="Q80" s="506"/>
      <c r="R80" s="2344" t="s">
        <v>84</v>
      </c>
      <c r="S80" s="2344"/>
      <c r="T80" s="2344"/>
      <c r="U80" s="2344"/>
      <c r="V80" s="2344"/>
      <c r="W80" s="2344"/>
      <c r="X80" s="2344"/>
      <c r="Y80" s="2344"/>
      <c r="Z80" s="2344"/>
      <c r="AB80" s="2345">
        <f>IF(AB$15=B$118,N80/10,O80/10)</f>
        <v>0</v>
      </c>
      <c r="AC80" s="2345"/>
      <c r="AD80" s="2345"/>
      <c r="AE80" s="2345"/>
      <c r="AF80" s="2345"/>
      <c r="AG80" s="2345"/>
      <c r="AH80" s="2345"/>
      <c r="AI80" s="2345"/>
      <c r="AJ80" s="2345"/>
      <c r="AK80" s="2345"/>
      <c r="AL80" s="25"/>
      <c r="AM80" s="506"/>
      <c r="AN80" s="2344" t="s">
        <v>153</v>
      </c>
      <c r="AO80" s="2344"/>
      <c r="AP80" s="2344"/>
      <c r="AQ80" s="2344"/>
      <c r="AR80" s="2344"/>
      <c r="AS80" s="2344"/>
      <c r="AT80" s="2344"/>
      <c r="AU80" s="2344"/>
      <c r="AV80" s="2344"/>
      <c r="AX80" s="2343">
        <v>10</v>
      </c>
      <c r="AY80" s="2343"/>
      <c r="AZ80" s="2343"/>
      <c r="BA80" s="2343"/>
      <c r="BB80" s="2343"/>
      <c r="BC80" s="2343"/>
      <c r="BD80" s="2343"/>
      <c r="BE80" s="2343"/>
      <c r="BF80" s="2343"/>
      <c r="BG80" s="2343"/>
      <c r="BH80" s="25"/>
      <c r="BI80" s="25"/>
      <c r="BJ80" s="25"/>
      <c r="BK80" s="25"/>
    </row>
    <row r="81" spans="1:63" ht="19.5" customHeight="1" x14ac:dyDescent="0.2">
      <c r="A81" s="270"/>
      <c r="B81" s="25"/>
      <c r="C81" s="394" t="s">
        <v>112</v>
      </c>
      <c r="D81" s="381" t="s">
        <v>391</v>
      </c>
      <c r="E81" s="204" t="e">
        <f>VLOOKUP(TRUE,J127:K131,2,FALSE)</f>
        <v>#N/A</v>
      </c>
      <c r="F81" s="387" t="s">
        <v>109</v>
      </c>
      <c r="G81" s="388" t="s">
        <v>107</v>
      </c>
      <c r="H81" s="387" t="s">
        <v>110</v>
      </c>
      <c r="I81" s="388" t="s">
        <v>111</v>
      </c>
      <c r="J81" s="25"/>
      <c r="K81" s="25"/>
      <c r="L81" s="25"/>
      <c r="N81" s="81"/>
      <c r="O81" s="501"/>
      <c r="P81" s="25"/>
      <c r="Q81" s="497"/>
      <c r="R81" s="497"/>
      <c r="S81" s="498"/>
      <c r="T81" s="81"/>
      <c r="U81" s="81"/>
      <c r="V81" s="81"/>
      <c r="W81" s="81"/>
      <c r="X81" s="81"/>
      <c r="Y81" s="81"/>
      <c r="Z81" s="81"/>
      <c r="AA81" s="81"/>
      <c r="AB81" s="81"/>
      <c r="AC81" s="25"/>
      <c r="AD81" s="25"/>
      <c r="AE81" s="25"/>
      <c r="AF81" s="25"/>
      <c r="AG81" s="25"/>
      <c r="AH81" s="25"/>
      <c r="AI81" s="25"/>
      <c r="AJ81" s="25"/>
      <c r="AK81" s="25"/>
      <c r="AL81" s="25"/>
      <c r="AM81" s="497"/>
      <c r="AN81" s="497"/>
      <c r="AO81" s="498"/>
      <c r="AP81" s="81"/>
      <c r="AQ81" s="81"/>
      <c r="AR81" s="81"/>
      <c r="AS81" s="81"/>
      <c r="AT81" s="81"/>
      <c r="AU81" s="81"/>
      <c r="AV81" s="81"/>
      <c r="AW81" s="81"/>
      <c r="AX81" s="81"/>
      <c r="AY81" s="25"/>
      <c r="AZ81" s="25"/>
      <c r="BA81" s="25"/>
      <c r="BB81" s="25"/>
      <c r="BC81" s="25"/>
      <c r="BD81" s="25"/>
      <c r="BE81" s="25"/>
      <c r="BF81" s="25"/>
      <c r="BG81" s="25"/>
      <c r="BH81" s="25"/>
      <c r="BI81" s="25"/>
      <c r="BJ81" s="25"/>
      <c r="BK81" s="25"/>
    </row>
    <row r="82" spans="1:63" ht="19.5" customHeight="1" x14ac:dyDescent="0.2">
      <c r="A82" s="270"/>
      <c r="B82" s="25"/>
      <c r="C82" s="940" t="str">
        <f>C19</f>
        <v>INSERITO</v>
      </c>
      <c r="D82" s="941">
        <f>SUMIF(CASSA!AM180:AM545,"X",CASSA!CX180:CX545)</f>
        <v>0</v>
      </c>
      <c r="E82" s="942">
        <f>SUMIF(CASSA!AL180:AL545,"Y",CASSA!CX180:CX545)</f>
        <v>0</v>
      </c>
      <c r="F82" s="1027">
        <f>IF(AND(D82=0,E82=0),0,D82/D$82*100)</f>
        <v>0</v>
      </c>
      <c r="G82" s="1028">
        <f>IF(AND(D82=0,E82=0),0,E82/E$82*100)</f>
        <v>0</v>
      </c>
      <c r="H82" s="1029">
        <f>IF(AND(D82=0,E82=0),0,(D82-E82)/E82*100)</f>
        <v>0</v>
      </c>
      <c r="I82" s="1030">
        <f>IF(AND(D82=0,E82=0),0,(E82-D82)/D82*100)</f>
        <v>0</v>
      </c>
      <c r="J82" s="25"/>
      <c r="K82" s="25"/>
      <c r="L82" s="25"/>
      <c r="N82" s="25"/>
      <c r="O82" s="502">
        <f>D82+E82</f>
        <v>0</v>
      </c>
      <c r="P82" s="25"/>
      <c r="Q82" s="1039">
        <f>IF(AND(D82&lt;&gt;0,D82&gt;0),IF((AB$80*9)&gt;=D82,0,1),IF(AND(D82&lt;&gt;0,D82&lt;0),IF((AB$80*9)&lt;=D82,0,1),0))</f>
        <v>0</v>
      </c>
      <c r="R82" s="1039">
        <f>IF(AND(D82&lt;&gt;0,D82&gt;0),IF((AB$80*8)&gt;=D82,0,1),IF(AND(D82&lt;&gt;0,D82&lt;0),IF((AB$80*8)&lt;=D82,0,1),0))</f>
        <v>0</v>
      </c>
      <c r="S82" s="1039">
        <f>IF(AND(D82&lt;&gt;0,D82&gt;0),IF((AB$80*7)&gt;=D82,0,1),IF(AND(D82&lt;&gt;0,D82&lt;0),IF((AB$80*7)&lt;=D82,0,1),0))</f>
        <v>0</v>
      </c>
      <c r="T82" s="1039">
        <f>IF(AND(D82&lt;&gt;0,D82&gt;0),IF((AB$80*6)&gt;=D82,0,1),IF(AND(D82&lt;&gt;0,D82&lt;0),IF((AB$80*6)&lt;=D82,0,1),0))</f>
        <v>0</v>
      </c>
      <c r="U82" s="1039">
        <f>IF(AND(D82&lt;&gt;0,D82&gt;0),IF((AB$80*5)&gt;=D82,0,1),IF(AND(D82&lt;&gt;0,D82&lt;0),IF((AB$80*5)&lt;=D82,0,1),0))</f>
        <v>0</v>
      </c>
      <c r="V82" s="1039">
        <f>IF(AND(D82&lt;&gt;0,D82&gt;0),IF((AB$80*4)&gt;=D82,0,1),IF(AND(D82&lt;&gt;0,D82&lt;0),IF((AB$80*4)&lt;=D82,0,1),0))</f>
        <v>0</v>
      </c>
      <c r="W82" s="1039">
        <f>IF(AND(D82&lt;&gt;0,D82&gt;0),IF((AB$80*3)&gt;=D82,0,1),IF(AND(D82&lt;&gt;0,D82&lt;0),IF((AB$80*3)&lt;=D82,0,1),0))</f>
        <v>0</v>
      </c>
      <c r="X82" s="1039">
        <f>IF(AND(D82&lt;&gt;0,D82&gt;0),IF((AB$80*2)&gt;=D82,0,1),IF(AND(D82&lt;&gt;0,D82&lt;0),IF((AB$80*2)&lt;=D82,0,1),0))</f>
        <v>0</v>
      </c>
      <c r="Y82" s="1039">
        <f>IF(AND(D82&lt;&gt;0,D82&gt;0),IF((AB$80*1)&gt;=D82,0,1),IF(AND(D82&lt;&gt;0,D82&lt;0),IF((AB$80*1)&lt;=D82,0,1),0))</f>
        <v>0</v>
      </c>
      <c r="Z82" s="1039">
        <f>IF(D82&lt;&gt;0,1,0)</f>
        <v>0</v>
      </c>
      <c r="AA82" s="1040"/>
      <c r="AB82" s="1039">
        <f>IF(E82&lt;&gt;0,1,0)</f>
        <v>0</v>
      </c>
      <c r="AC82" s="1039">
        <f>IF(AND(E82&lt;&gt;0,E82&gt;0),IF((AB$80*1)&gt;=E82,0,1),IF(AND(E82&lt;&gt;0,E82&lt;0),IF((AB$80*1)&lt;=E82,0,1),0))</f>
        <v>0</v>
      </c>
      <c r="AD82" s="1039">
        <f>IF(AND(E82&lt;&gt;0,E82&gt;0),IF((AB$80*2)&gt;=E82,0,1),IF(AND(E82&lt;&gt;0,E82&lt;0),IF((AB$80*2)&lt;=E82,0,1),0))</f>
        <v>0</v>
      </c>
      <c r="AE82" s="1039">
        <f>IF(AND(E82&lt;&gt;0,E82&gt;0),IF((AB$80*3)&gt;=E82,0,1),IF(AND(E82&lt;&gt;0,E82&lt;0),IF((AB$80*3)&lt;=E82,0,1),0))</f>
        <v>0</v>
      </c>
      <c r="AF82" s="1039">
        <f>IF(AND(E82&lt;&gt;0,E82&gt;0),IF((AB$80*4)&gt;=E82,0,1),IF(AND(E82&lt;&gt;0,E82&lt;0),IF((AB$80*4)&lt;=E82,0,1),0))</f>
        <v>0</v>
      </c>
      <c r="AG82" s="1039">
        <f>IF(AND(E82&lt;&gt;0,E82&gt;0),IF((AB$80*5)&gt;=E82,0,1),IF(AND(E82&lt;&gt;0,E82&lt;0),IF((AB$80*5)&lt;=E82,0,1),0))</f>
        <v>0</v>
      </c>
      <c r="AH82" s="1039">
        <f>IF(AND(E82&lt;&gt;0,E82&gt;0),IF((AB$80*6)&gt;=E82,0,1),IF(AND(E82&lt;&gt;0,E82&lt;0),IF((AB$80*6)&lt;=E82,0,1),0))</f>
        <v>0</v>
      </c>
      <c r="AI82" s="1039">
        <f>IF(AND(E82&lt;&gt;0,E82&gt;0),IF((AB$80*7)&gt;=E82,0,1),IF(AND(E82&lt;&gt;0,E82&lt;0),IF((AB$80*7)&lt;=E82,0,1),0))</f>
        <v>0</v>
      </c>
      <c r="AJ82" s="1039">
        <f>IF(AND(E82&lt;&gt;0,E82&gt;0),IF((AB$80*8)&gt;=E82,0,1),IF(AND(E82&lt;&gt;0,E82&lt;0),IF((AB$80*8)&lt;=E82,0,1),0))</f>
        <v>0</v>
      </c>
      <c r="AK82" s="1039">
        <f>IF(AND(E82&lt;&gt;0,E82&gt;0),IF((AB$80*9)&gt;=E82,0,1),IF(AND(E82&lt;&gt;0,E82&lt;0),IF((AB$80*9)&lt;=E82,0,1),0))</f>
        <v>0</v>
      </c>
      <c r="AL82" s="25"/>
      <c r="AM82" s="1039">
        <f>IF(AND(BI82&lt;&gt;0,BI82&gt;0),IF((AX$80*9)&gt;=BI82,0,1),IF(AND(BI82&lt;&gt;0,BI82&lt;0),IF((AX$80*9)&lt;=BI82,0,1),0))</f>
        <v>0</v>
      </c>
      <c r="AN82" s="1039">
        <f>IF(AND(BI82&lt;&gt;0,BI82&gt;0),IF((AX$80*8)&gt;=BI82,0,1),IF(AND(BI82&lt;&gt;0,BI82&lt;0),IF((AX$80*8)&lt;=BI82,0,1),0))</f>
        <v>0</v>
      </c>
      <c r="AO82" s="1039">
        <f>IF(AND(BI82&lt;&gt;0,BI82&gt;0),IF((AX$80*7)&gt;=BI82,0,1),IF(AND(BI82&lt;&gt;0,BI82&lt;0),IF((AX$80*7)&lt;=BI82,0,1),0))</f>
        <v>0</v>
      </c>
      <c r="AP82" s="1039">
        <f>IF(AND(BI82&lt;&gt;0,BI82&gt;0),IF((AX$80*6)&gt;=BI82,0,1),IF(AND(BI82&lt;&gt;0,BI82&lt;0),IF((AX$80*6)&lt;=BI82,0,1),0))</f>
        <v>0</v>
      </c>
      <c r="AQ82" s="1039">
        <f>IF(AND(BI82&lt;&gt;0,BI82&gt;0),IF((AX$80*5)&gt;=BI82,0,1),IF(AND(BI82&lt;&gt;0,BI82&lt;0),IF((AX$80*5)&lt;=BI82,0,1),0))</f>
        <v>0</v>
      </c>
      <c r="AR82" s="1039">
        <f>IF(AND(BI82&lt;&gt;0,BI82&gt;0),IF((AX$80*4)&gt;=BI82,0,1),IF(AND(BI82&lt;&gt;0,BI82&lt;0),IF((AX$80*4)&lt;=BI82,0,1),0))</f>
        <v>0</v>
      </c>
      <c r="AS82" s="1039">
        <f>IF(AND(BI82&lt;&gt;0,BI82&gt;0),IF((AX$80*3)&gt;=BI82,0,1),IF(AND(BI82&lt;&gt;0,BI82&lt;0),IF((AX$80*3)&lt;=BI82,0,1),0))</f>
        <v>0</v>
      </c>
      <c r="AT82" s="1039">
        <f>IF(AND(BI82&lt;&gt;0,BI82&gt;0),IF((AX$80*2)&gt;=BI82,0,1),IF(AND(BI82&lt;&gt;0,BI82&lt;0),IF((AX$80*2)&lt;=BI82,0,1),0))</f>
        <v>0</v>
      </c>
      <c r="AU82" s="1039">
        <f>IF(AND(BI82&lt;&gt;0,BI82&gt;0),IF((AX$80*1)&gt;=BI82,0,1),IF(AND(BI82&lt;&gt;0,BI82&lt;0),IF((AX$80*1)&lt;=BI82,0,1),0))</f>
        <v>0</v>
      </c>
      <c r="AV82" s="1039">
        <f>IF(BI82&lt;&gt;0,1,0)</f>
        <v>0</v>
      </c>
      <c r="AW82" s="1040"/>
      <c r="AX82" s="1039">
        <f>IF(BJ82&lt;&gt;0,1,0)</f>
        <v>0</v>
      </c>
      <c r="AY82" s="1039">
        <f>IF(AND(BJ82&lt;&gt;0,BJ82&gt;0),IF((AX$80*1)&gt;=BJ82,0,1),IF(AND(BJ82&lt;&gt;0,BJ82&lt;0),IF((AX$80*1)&lt;=BJ82,0,1),0))</f>
        <v>0</v>
      </c>
      <c r="AZ82" s="1039">
        <f>IF(AND(BJ82&lt;&gt;0,BJ82&gt;0),IF((AX$80*2)&gt;=BJ82,0,1),IF(AND(BJ82&lt;&gt;0,BJ82&lt;0),IF((AX$80*2)&lt;=BJ82,0,1),0))</f>
        <v>0</v>
      </c>
      <c r="BA82" s="1039">
        <f>IF(AND(BJ82&lt;&gt;0,BJ82&gt;0),IF((AX$80*3)&gt;=BJ82,0,1),IF(AND(BJ82&lt;&gt;0,BJ82&lt;0),IF((AX$80*3)&lt;=BJ82,0,1),0))</f>
        <v>0</v>
      </c>
      <c r="BB82" s="1039">
        <f>IF(AND(BJ82&lt;&gt;0,BJ82&gt;0),IF((AX$80*4)&gt;=BJ82,0,1),IF(AND(BJ82&lt;&gt;0,BJ82&lt;0),IF((AX$80*4)&lt;=BJ82,0,1),0))</f>
        <v>0</v>
      </c>
      <c r="BC82" s="1039">
        <f>IF(AND(BJ82&lt;&gt;0,BJ82&gt;0),IF((AX$80*5)&gt;=BJ82,0,1),IF(AND(BJ82&lt;&gt;0,BJ82&lt;0),IF((AX$80*5)&lt;=BJ82,0,1),0))</f>
        <v>0</v>
      </c>
      <c r="BD82" s="1039">
        <f>IF(AND(BJ82&lt;&gt;0,BJ82&gt;0),IF((AX$80*6)&gt;=BJ82,0,1),IF(AND(BJ82&lt;&gt;0,BJ82&lt;0),IF((AX$80*6)&lt;=BJ82,0,1),0))</f>
        <v>0</v>
      </c>
      <c r="BE82" s="1039">
        <f>IF(AND(BJ82&lt;&gt;0,BJ82&gt;0),IF((AX$80*7)&gt;=BJ82,0,1),IF(AND(BJ82&lt;&gt;0,BJ82&lt;0),IF((AX$80*7)&lt;=BJ82,0,1),0))</f>
        <v>0</v>
      </c>
      <c r="BF82" s="1039">
        <f>IF(AND(BJ82&lt;&gt;0,BJ82&gt;0),IF((AX$80*8)&gt;=BJ82,0,1),IF(AND(BJ82&lt;&gt;0,BJ82&lt;0),IF((AX$80*8)&lt;=BJ82,0,1),0))</f>
        <v>0</v>
      </c>
      <c r="BG82" s="1039">
        <f>IF(AND(BJ82&lt;&gt;0,BJ82&gt;0),IF((AX$80*9)&gt;=BJ82,0,1),IF(AND(BJ82&lt;&gt;0,BJ82&lt;0),IF((AX$80*9)&lt;=BJ82,0,1),0))</f>
        <v>0</v>
      </c>
      <c r="BH82" s="25"/>
      <c r="BI82" s="499">
        <f>IF(ISERROR(D82/O82*100),0,IF(D82&gt;=E82,ROUND(D82/O82*100,-1),100-BJ82))</f>
        <v>0</v>
      </c>
      <c r="BJ82" s="499">
        <f>IF(ISERROR(E82/O82*100),0,IF(E82&gt;=D82,ROUND(E82/O82*100,-1),100-BI82))</f>
        <v>0</v>
      </c>
      <c r="BK82" s="25"/>
    </row>
    <row r="83" spans="1:63" ht="19.5" customHeight="1" x14ac:dyDescent="0.2">
      <c r="A83" s="270"/>
      <c r="B83" s="25"/>
      <c r="C83" s="944" t="str">
        <f>C20</f>
        <v>a CONTO</v>
      </c>
      <c r="D83" s="945">
        <f>SUMIF(CASSA!AM180:AM545,"X",CASSA!CH180:CH545)</f>
        <v>0</v>
      </c>
      <c r="E83" s="1015">
        <f>SUMIF(CASSA!AL180:AL545,"Y",CASSA!CH180:CH545)</f>
        <v>0</v>
      </c>
      <c r="F83" s="1027">
        <f>IF(AND(D83=0,E83=0),0,D83/D$82*100)</f>
        <v>0</v>
      </c>
      <c r="G83" s="1028">
        <f>IF(AND(D83=0,E83=0),0,E83/E$82*100)</f>
        <v>0</v>
      </c>
      <c r="H83" s="1029">
        <f>IF(AND(D83=0,E83=0),0,(D83-E83)/E83*100)</f>
        <v>0</v>
      </c>
      <c r="I83" s="1030">
        <f>IF(AND(D83=0,E83=0),0,(E83-D83)/D83*100)</f>
        <v>0</v>
      </c>
      <c r="J83" s="25"/>
      <c r="K83" s="25"/>
      <c r="L83" s="25"/>
      <c r="N83" s="25"/>
      <c r="O83" s="503">
        <f>D83+E83</f>
        <v>0</v>
      </c>
      <c r="P83" s="25"/>
      <c r="Q83" s="1039">
        <f>IF(AND(D83&lt;&gt;0,D83&gt;0),IF((AB$80*9)&gt;=D83,0,1),IF(AND(D83&lt;&gt;0,D83&lt;0),IF((AB$80*9)&lt;=D83,0,1),0))</f>
        <v>0</v>
      </c>
      <c r="R83" s="1039">
        <f>IF(AND(D83&lt;&gt;0,D83&gt;0),IF((AB$80*8)&gt;=D83,0,1),IF(AND(D83&lt;&gt;0,D83&lt;0),IF((AB$80*8)&lt;=D83,0,1),0))</f>
        <v>0</v>
      </c>
      <c r="S83" s="1039">
        <f>IF(AND(D83&lt;&gt;0,D83&gt;0),IF((AB$80*7)&gt;=D83,0,1),IF(AND(D83&lt;&gt;0,D83&lt;0),IF((AB$80*7)&lt;=D83,0,1),0))</f>
        <v>0</v>
      </c>
      <c r="T83" s="1039">
        <f>IF(AND(D83&lt;&gt;0,D83&gt;0),IF((AB$80*6)&gt;=D83,0,1),IF(AND(D83&lt;&gt;0,D83&lt;0),IF((AB$80*6)&lt;=D83,0,1),0))</f>
        <v>0</v>
      </c>
      <c r="U83" s="1039">
        <f>IF(AND(D83&lt;&gt;0,D83&gt;0),IF((AB$80*5)&gt;=D83,0,1),IF(AND(D83&lt;&gt;0,D83&lt;0),IF((AB$80*5)&lt;=D83,0,1),0))</f>
        <v>0</v>
      </c>
      <c r="V83" s="1039">
        <f>IF(AND(D83&lt;&gt;0,D83&gt;0),IF((AB$80*4)&gt;=D83,0,1),IF(AND(D83&lt;&gt;0,D83&lt;0),IF((AB$80*4)&lt;=D83,0,1),0))</f>
        <v>0</v>
      </c>
      <c r="W83" s="1039">
        <f>IF(AND(D83&lt;&gt;0,D83&gt;0),IF((AB$80*3)&gt;=D83,0,1),IF(AND(D83&lt;&gt;0,D83&lt;0),IF((AB$80*3)&lt;=D83,0,1),0))</f>
        <v>0</v>
      </c>
      <c r="X83" s="1039">
        <f>IF(AND(D83&lt;&gt;0,D83&gt;0),IF((AB$80*2)&gt;=D83,0,1),IF(AND(D83&lt;&gt;0,D83&lt;0),IF((AB$80*2)&lt;=D83,0,1),0))</f>
        <v>0</v>
      </c>
      <c r="Y83" s="1039">
        <f>IF(AND(D83&lt;&gt;0,D83&gt;0),IF((AB$80*1)&gt;=D83,0,1),IF(AND(D83&lt;&gt;0,D83&lt;0),IF((AB$80*1)&lt;=D83,0,1),0))</f>
        <v>0</v>
      </c>
      <c r="Z83" s="1039">
        <f>IF(D83&lt;&gt;0,1,0)</f>
        <v>0</v>
      </c>
      <c r="AA83" s="1040"/>
      <c r="AB83" s="1039">
        <f>IF(E83&lt;&gt;0,1,0)</f>
        <v>0</v>
      </c>
      <c r="AC83" s="1039">
        <f>IF(AND(E83&lt;&gt;0,E83&gt;0),IF((AB$80*1)&gt;=E83,0,1),IF(AND(E83&lt;&gt;0,E83&lt;0),IF((AB$80*1)&lt;=E83,0,1),0))</f>
        <v>0</v>
      </c>
      <c r="AD83" s="1039">
        <f>IF(AND(E83&lt;&gt;0,E83&gt;0),IF((AB$80*2)&gt;=E83,0,1),IF(AND(E83&lt;&gt;0,E83&lt;0),IF((AB$80*2)&lt;=E83,0,1),0))</f>
        <v>0</v>
      </c>
      <c r="AE83" s="1039">
        <f>IF(AND(E83&lt;&gt;0,E83&gt;0),IF((AB$80*3)&gt;=E83,0,1),IF(AND(E83&lt;&gt;0,E83&lt;0),IF((AB$80*3)&lt;=E83,0,1),0))</f>
        <v>0</v>
      </c>
      <c r="AF83" s="1039">
        <f>IF(AND(E83&lt;&gt;0,E83&gt;0),IF((AB$80*4)&gt;=E83,0,1),IF(AND(E83&lt;&gt;0,E83&lt;0),IF((AB$80*4)&lt;=E83,0,1),0))</f>
        <v>0</v>
      </c>
      <c r="AG83" s="1039">
        <f>IF(AND(E83&lt;&gt;0,E83&gt;0),IF((AB$80*5)&gt;=E83,0,1),IF(AND(E83&lt;&gt;0,E83&lt;0),IF((AB$80*5)&lt;=E83,0,1),0))</f>
        <v>0</v>
      </c>
      <c r="AH83" s="1039">
        <f>IF(AND(E83&lt;&gt;0,E83&gt;0),IF((AB$80*6)&gt;=E83,0,1),IF(AND(E83&lt;&gt;0,E83&lt;0),IF((AB$80*6)&lt;=E83,0,1),0))</f>
        <v>0</v>
      </c>
      <c r="AI83" s="1039">
        <f>IF(AND(E83&lt;&gt;0,E83&gt;0),IF((AB$80*7)&gt;=E83,0,1),IF(AND(E83&lt;&gt;0,E83&lt;0),IF((AB$80*7)&lt;=E83,0,1),0))</f>
        <v>0</v>
      </c>
      <c r="AJ83" s="1039">
        <f>IF(AND(E83&lt;&gt;0,E83&gt;0),IF((AB$80*8)&gt;=E83,0,1),IF(AND(E83&lt;&gt;0,E83&lt;0),IF((AB$80*8)&lt;=E83,0,1),0))</f>
        <v>0</v>
      </c>
      <c r="AK83" s="1039">
        <f>IF(AND(E83&lt;&gt;0,E83&gt;0),IF((AB$80*9)&gt;=E83,0,1),IF(AND(E83&lt;&gt;0,E83&lt;0),IF((AB$80*9)&lt;=E83,0,1),0))</f>
        <v>0</v>
      </c>
      <c r="AL83" s="25"/>
      <c r="AM83" s="1039">
        <f>IF(AND(BI83&lt;&gt;0,BI83&gt;0),IF((AX$80*9)&gt;=BI83,0,1),IF(AND(BI83&lt;&gt;0,BI83&lt;0),IF((AX$80*9)&lt;=BI83,0,1),0))</f>
        <v>0</v>
      </c>
      <c r="AN83" s="1039">
        <f>IF(AND(BI83&lt;&gt;0,BI83&gt;0),IF((AX$80*8)&gt;=BI83,0,1),IF(AND(BI83&lt;&gt;0,BI83&lt;0),IF((AX$80*8)&lt;=BI83,0,1),0))</f>
        <v>0</v>
      </c>
      <c r="AO83" s="1039">
        <f>IF(AND(BI83&lt;&gt;0,BI83&gt;0),IF((AX$80*7)&gt;=BI83,0,1),IF(AND(BI83&lt;&gt;0,BI83&lt;0),IF((AX$80*7)&lt;=BI83,0,1),0))</f>
        <v>0</v>
      </c>
      <c r="AP83" s="1039">
        <f>IF(AND(BI83&lt;&gt;0,BI83&gt;0),IF((AX$80*6)&gt;=BI83,0,1),IF(AND(BI83&lt;&gt;0,BI83&lt;0),IF((AX$80*6)&lt;=BI83,0,1),0))</f>
        <v>0</v>
      </c>
      <c r="AQ83" s="1039">
        <f>IF(AND(BI83&lt;&gt;0,BI83&gt;0),IF((AX$80*5)&gt;=BI83,0,1),IF(AND(BI83&lt;&gt;0,BI83&lt;0),IF((AX$80*5)&lt;=BI83,0,1),0))</f>
        <v>0</v>
      </c>
      <c r="AR83" s="1039">
        <f>IF(AND(BI83&lt;&gt;0,BI83&gt;0),IF((AX$80*4)&gt;=BI83,0,1),IF(AND(BI83&lt;&gt;0,BI83&lt;0),IF((AX$80*4)&lt;=BI83,0,1),0))</f>
        <v>0</v>
      </c>
      <c r="AS83" s="1039">
        <f>IF(AND(BI83&lt;&gt;0,BI83&gt;0),IF((AX$80*3)&gt;=BI83,0,1),IF(AND(BI83&lt;&gt;0,BI83&lt;0),IF((AX$80*3)&lt;=BI83,0,1),0))</f>
        <v>0</v>
      </c>
      <c r="AT83" s="1039">
        <f>IF(AND(BI83&lt;&gt;0,BI83&gt;0),IF((AX$80*2)&gt;=BI83,0,1),IF(AND(BI83&lt;&gt;0,BI83&lt;0),IF((AX$80*2)&lt;=BI83,0,1),0))</f>
        <v>0</v>
      </c>
      <c r="AU83" s="1039">
        <f>IF(AND(BI83&lt;&gt;0,BI83&gt;0),IF((AX$80*1)&gt;=BI83,0,1),IF(AND(BI83&lt;&gt;0,BI83&lt;0),IF((AX$80*1)&lt;=BI83,0,1),0))</f>
        <v>0</v>
      </c>
      <c r="AV83" s="1039">
        <f>IF(BI83&lt;&gt;0,1,0)</f>
        <v>0</v>
      </c>
      <c r="AW83" s="1040"/>
      <c r="AX83" s="1039">
        <f>IF(BJ83&lt;&gt;0,1,0)</f>
        <v>0</v>
      </c>
      <c r="AY83" s="1039">
        <f>IF(AND(BJ83&lt;&gt;0,BJ83&gt;0),IF((AX$80*1)&gt;=BJ83,0,1),IF(AND(BJ83&lt;&gt;0,BJ83&lt;0),IF((AX$80*1)&lt;=BJ83,0,1),0))</f>
        <v>0</v>
      </c>
      <c r="AZ83" s="1039">
        <f>IF(AND(BJ83&lt;&gt;0,BJ83&gt;0),IF((AX$80*2)&gt;=BJ83,0,1),IF(AND(BJ83&lt;&gt;0,BJ83&lt;0),IF((AX$80*2)&lt;=BJ83,0,1),0))</f>
        <v>0</v>
      </c>
      <c r="BA83" s="1039">
        <f>IF(AND(BJ83&lt;&gt;0,BJ83&gt;0),IF((AX$80*3)&gt;=BJ83,0,1),IF(AND(BJ83&lt;&gt;0,BJ83&lt;0),IF((AX$80*3)&lt;=BJ83,0,1),0))</f>
        <v>0</v>
      </c>
      <c r="BB83" s="1039">
        <f>IF(AND(BJ83&lt;&gt;0,BJ83&gt;0),IF((AX$80*4)&gt;=BJ83,0,1),IF(AND(BJ83&lt;&gt;0,BJ83&lt;0),IF((AX$80*4)&lt;=BJ83,0,1),0))</f>
        <v>0</v>
      </c>
      <c r="BC83" s="1039">
        <f>IF(AND(BJ83&lt;&gt;0,BJ83&gt;0),IF((AX$80*5)&gt;=BJ83,0,1),IF(AND(BJ83&lt;&gt;0,BJ83&lt;0),IF((AX$80*5)&lt;=BJ83,0,1),0))</f>
        <v>0</v>
      </c>
      <c r="BD83" s="1039">
        <f>IF(AND(BJ83&lt;&gt;0,BJ83&gt;0),IF((AX$80*6)&gt;=BJ83,0,1),IF(AND(BJ83&lt;&gt;0,BJ83&lt;0),IF((AX$80*6)&lt;=BJ83,0,1),0))</f>
        <v>0</v>
      </c>
      <c r="BE83" s="1039">
        <f>IF(AND(BJ83&lt;&gt;0,BJ83&gt;0),IF((AX$80*7)&gt;=BJ83,0,1),IF(AND(BJ83&lt;&gt;0,BJ83&lt;0),IF((AX$80*7)&lt;=BJ83,0,1),0))</f>
        <v>0</v>
      </c>
      <c r="BF83" s="1039">
        <f>IF(AND(BJ83&lt;&gt;0,BJ83&gt;0),IF((AX$80*8)&gt;=BJ83,0,1),IF(AND(BJ83&lt;&gt;0,BJ83&lt;0),IF((AX$80*8)&lt;=BJ83,0,1),0))</f>
        <v>0</v>
      </c>
      <c r="BG83" s="1039">
        <f>IF(AND(BJ83&lt;&gt;0,BJ83&gt;0),IF((AX$80*9)&gt;=BJ83,0,1),IF(AND(BJ83&lt;&gt;0,BJ83&lt;0),IF((AX$80*9)&lt;=BJ83,0,1),0))</f>
        <v>0</v>
      </c>
      <c r="BH83" s="25"/>
      <c r="BI83" s="499">
        <f>IF(ISERROR(D83/O83*100),0,IF(D83&gt;=E83,ROUND(D83/O83*100,-1),100-BJ83))</f>
        <v>0</v>
      </c>
      <c r="BJ83" s="499">
        <f>IF(ISERROR(E83/O83*100),0,IF(E83&gt;=D83,ROUND(E83/O83*100,-1),100-BI83))</f>
        <v>0</v>
      </c>
      <c r="BK83" s="25"/>
    </row>
    <row r="84" spans="1:63" ht="15.75" customHeight="1" x14ac:dyDescent="0.2">
      <c r="A84" s="270"/>
      <c r="B84" s="25"/>
      <c r="C84" s="951" t="str">
        <f>$C$21</f>
        <v>Valori percentuali:</v>
      </c>
      <c r="D84" s="948"/>
      <c r="E84" s="190"/>
      <c r="F84" s="1031"/>
      <c r="G84" s="1032"/>
      <c r="H84" s="1029"/>
      <c r="I84" s="1030"/>
      <c r="J84" s="25"/>
      <c r="K84" s="25"/>
      <c r="L84" s="25"/>
      <c r="N84" s="25"/>
      <c r="O84" s="504"/>
      <c r="P84" s="25"/>
      <c r="Q84" s="25"/>
      <c r="R84" s="25"/>
      <c r="S84" s="25"/>
      <c r="T84" s="25"/>
      <c r="U84" s="25"/>
      <c r="V84" s="25"/>
      <c r="W84" s="25"/>
      <c r="X84" s="25"/>
      <c r="Y84" s="25"/>
      <c r="Z84" s="81"/>
      <c r="AA84" s="1040"/>
      <c r="AB84" s="25"/>
      <c r="AC84" s="25"/>
      <c r="AD84" s="25"/>
      <c r="AE84" s="25"/>
      <c r="AF84" s="25"/>
      <c r="AG84" s="25"/>
      <c r="AH84" s="25"/>
      <c r="AI84" s="25"/>
      <c r="AJ84" s="25"/>
      <c r="AK84" s="25"/>
      <c r="AL84" s="25"/>
      <c r="AM84" s="25"/>
      <c r="AN84" s="25"/>
      <c r="AO84" s="25"/>
      <c r="AP84" s="25"/>
      <c r="AQ84" s="25"/>
      <c r="AR84" s="25"/>
      <c r="AS84" s="25"/>
      <c r="AT84" s="25"/>
      <c r="AU84" s="25"/>
      <c r="AV84" s="25"/>
      <c r="AW84" s="1040"/>
      <c r="AX84" s="25"/>
      <c r="AY84" s="25"/>
      <c r="AZ84" s="25"/>
      <c r="BA84" s="25"/>
      <c r="BB84" s="25"/>
      <c r="BC84" s="25"/>
      <c r="BD84" s="25"/>
      <c r="BE84" s="25"/>
      <c r="BF84" s="25"/>
      <c r="BG84" s="25"/>
      <c r="BH84" s="25"/>
      <c r="BI84" s="25"/>
      <c r="BJ84" s="25"/>
      <c r="BK84" s="25"/>
    </row>
    <row r="85" spans="1:63" ht="16.5" customHeight="1" x14ac:dyDescent="0.2">
      <c r="A85" s="270"/>
      <c r="B85" s="25"/>
      <c r="C85" s="1023" t="str">
        <f>C22</f>
        <v>Descrizione #1 0 %</v>
      </c>
      <c r="D85" s="949">
        <f>IF(C112=0,0,SUMIF(CASSA!AM180:AM545,"X",CASSA!CI180:CI545))</f>
        <v>0</v>
      </c>
      <c r="E85" s="376">
        <f>IF(C112=0,0,SUMIF(CASSA!AL180:AL545,"Y",CASSA!CI180:CI545))</f>
        <v>0</v>
      </c>
      <c r="F85" s="1033">
        <f t="shared" ref="F85:F94" si="227">IF(AND(D85=0,E85=0),0,D85/D$82*100)</f>
        <v>0</v>
      </c>
      <c r="G85" s="1028">
        <f t="shared" ref="G85:G94" si="228">IF(AND(D85=0,E85=0),0,E85/E$82*100)</f>
        <v>0</v>
      </c>
      <c r="H85" s="1034">
        <f t="shared" ref="H85:H94" si="229">IF(AND(D85=0,E85=0),0,(D85-E85)/E85*100)</f>
        <v>0</v>
      </c>
      <c r="I85" s="1030">
        <f t="shared" ref="I85:I94" si="230">IF(AND(D85=0,E85=0),0,(E85-D85)/D85*100)</f>
        <v>0</v>
      </c>
      <c r="J85" s="25"/>
      <c r="K85" s="25"/>
      <c r="L85" s="25"/>
      <c r="N85" s="25"/>
      <c r="O85" s="503">
        <f t="shared" ref="O85:O94" si="231">D85+E85</f>
        <v>0</v>
      </c>
      <c r="P85" s="25"/>
      <c r="Q85" s="1039">
        <f>IF(AND(D85&lt;&gt;0,D85&gt;0),IF((AB$80*9)&gt;=D85,0,1),IF(AND(D85&lt;&gt;0,D85&lt;0),IF((AB$80*9)&lt;=D85,0,1),0))</f>
        <v>0</v>
      </c>
      <c r="R85" s="1039">
        <f>IF(AND(D85&lt;&gt;0,D85&gt;0),IF((AB$80*8)&gt;=D85,0,1),IF(AND(D85&lt;&gt;0,D85&lt;0),IF((AB$80*8)&lt;=D85,0,1),0))</f>
        <v>0</v>
      </c>
      <c r="S85" s="1039">
        <f>IF(AND(D85&lt;&gt;0,D85&gt;0),IF((AB$80*7)&gt;=D85,0,1),IF(AND(D85&lt;&gt;0,D85&lt;0),IF((AB$80*7)&lt;=D85,0,1),0))</f>
        <v>0</v>
      </c>
      <c r="T85" s="1039">
        <f>IF(AND(D85&lt;&gt;0,D85&gt;0),IF((AB$80*6)&gt;=D85,0,1),IF(AND(D85&lt;&gt;0,D85&lt;0),IF((AB$80*6)&lt;=D85,0,1),0))</f>
        <v>0</v>
      </c>
      <c r="U85" s="1039">
        <f>IF(AND(D85&lt;&gt;0,D85&gt;0),IF((AB$80*5)&gt;=D85,0,1),IF(AND(D85&lt;&gt;0,D85&lt;0),IF((AB$80*5)&lt;=D85,0,1),0))</f>
        <v>0</v>
      </c>
      <c r="V85" s="1039">
        <f>IF(AND(D85&lt;&gt;0,D85&gt;0),IF((AB$80*4)&gt;=D85,0,1),IF(AND(D85&lt;&gt;0,D85&lt;0),IF((AB$80*4)&lt;=D85,0,1),0))</f>
        <v>0</v>
      </c>
      <c r="W85" s="1039">
        <f>IF(AND(D85&lt;&gt;0,D85&gt;0),IF((AB$80*3)&gt;=D85,0,1),IF(AND(D85&lt;&gt;0,D85&lt;0),IF((AB$80*3)&lt;=D85,0,1),0))</f>
        <v>0</v>
      </c>
      <c r="X85" s="1039">
        <f>IF(AND(D85&lt;&gt;0,D85&gt;0),IF((AB$80*2)&gt;=D85,0,1),IF(AND(D85&lt;&gt;0,D85&lt;0),IF((AB$80*2)&lt;=D85,0,1),0))</f>
        <v>0</v>
      </c>
      <c r="Y85" s="1039">
        <f>IF(AND(D85&lt;&gt;0,D85&gt;0),IF((AB$80*1)&gt;=D85,0,1),IF(AND(D85&lt;&gt;0,D85&lt;0),IF((AB$80*1)&lt;=D85,0,1),0))</f>
        <v>0</v>
      </c>
      <c r="Z85" s="1039">
        <f t="shared" ref="Z85:Z86" si="232">IF(D85&lt;&gt;0,1,0)</f>
        <v>0</v>
      </c>
      <c r="AA85" s="1040"/>
      <c r="AB85" s="1039">
        <f t="shared" ref="AB85:AB86" si="233">IF(E85&lt;&gt;0,1,0)</f>
        <v>0</v>
      </c>
      <c r="AC85" s="1039">
        <f>IF(AND(E85&lt;&gt;0,E85&gt;0),IF((AB$80*1)&gt;=E85,0,1),IF(AND(E85&lt;&gt;0,E85&lt;0),IF((AB$80*1)&lt;=E85,0,1),0))</f>
        <v>0</v>
      </c>
      <c r="AD85" s="1039">
        <f>IF(AND(E85&lt;&gt;0,E85&gt;0),IF((AB$80*2)&gt;=E85,0,1),IF(AND(E85&lt;&gt;0,E85&lt;0),IF((AB$80*2)&lt;=E85,0,1),0))</f>
        <v>0</v>
      </c>
      <c r="AE85" s="1039">
        <f>IF(AND(E85&lt;&gt;0,E85&gt;0),IF((AB$80*3)&gt;=E85,0,1),IF(AND(E85&lt;&gt;0,E85&lt;0),IF((AB$80*3)&lt;=E85,0,1),0))</f>
        <v>0</v>
      </c>
      <c r="AF85" s="1039">
        <f>IF(AND(E85&lt;&gt;0,E85&gt;0),IF((AB$80*4)&gt;=E85,0,1),IF(AND(E85&lt;&gt;0,E85&lt;0),IF((AB$80*4)&lt;=E85,0,1),0))</f>
        <v>0</v>
      </c>
      <c r="AG85" s="1039">
        <f>IF(AND(E85&lt;&gt;0,E85&gt;0),IF((AB$80*5)&gt;=E85,0,1),IF(AND(E85&lt;&gt;0,E85&lt;0),IF((AB$80*5)&lt;=E85,0,1),0))</f>
        <v>0</v>
      </c>
      <c r="AH85" s="1039">
        <f>IF(AND(E85&lt;&gt;0,E85&gt;0),IF((AB$80*6)&gt;=E85,0,1),IF(AND(E85&lt;&gt;0,E85&lt;0),IF((AB$80*6)&lt;=E85,0,1),0))</f>
        <v>0</v>
      </c>
      <c r="AI85" s="1039">
        <f>IF(AND(E85&lt;&gt;0,E85&gt;0),IF((AB$80*7)&gt;=E85,0,1),IF(AND(E85&lt;&gt;0,E85&lt;0),IF((AB$80*7)&lt;=E85,0,1),0))</f>
        <v>0</v>
      </c>
      <c r="AJ85" s="1039">
        <f>IF(AND(E85&lt;&gt;0,E85&gt;0),IF((AB$80*8)&gt;=E85,0,1),IF(AND(E85&lt;&gt;0,E85&lt;0),IF((AB$80*8)&lt;=E85,0,1),0))</f>
        <v>0</v>
      </c>
      <c r="AK85" s="1039">
        <f>IF(AND(E85&lt;&gt;0,E85&gt;0),IF((AB$80*9)&gt;=E85,0,1),IF(AND(E85&lt;&gt;0,E85&lt;0),IF((AB$80*9)&lt;=E85,0,1),0))</f>
        <v>0</v>
      </c>
      <c r="AL85" s="25"/>
      <c r="AM85" s="1039">
        <f>IF(AND(BI85&lt;&gt;0,BI85&gt;0),IF((AX$80*9)&gt;=BI85,0,1),IF(AND(BI85&lt;&gt;0,BI85&lt;0),IF((AX$80*9)&lt;=BI85,0,1),0))</f>
        <v>0</v>
      </c>
      <c r="AN85" s="1039">
        <f>IF(AND(BI85&lt;&gt;0,BI85&gt;0),IF((AX$80*8)&gt;=BI85,0,1),IF(AND(BI85&lt;&gt;0,BI85&lt;0),IF((AX$80*8)&lt;=BI85,0,1),0))</f>
        <v>0</v>
      </c>
      <c r="AO85" s="1039">
        <f>IF(AND(BI85&lt;&gt;0,BI85&gt;0),IF((AX$80*7)&gt;=BI85,0,1),IF(AND(BI85&lt;&gt;0,BI85&lt;0),IF((AX$80*7)&lt;=BI85,0,1),0))</f>
        <v>0</v>
      </c>
      <c r="AP85" s="1039">
        <f>IF(AND(BI85&lt;&gt;0,BI85&gt;0),IF((AX$80*6)&gt;=BI85,0,1),IF(AND(BI85&lt;&gt;0,BI85&lt;0),IF((AX$80*6)&lt;=BI85,0,1),0))</f>
        <v>0</v>
      </c>
      <c r="AQ85" s="1039">
        <f>IF(AND(BI85&lt;&gt;0,BI85&gt;0),IF((AX$80*5)&gt;=BI85,0,1),IF(AND(BI85&lt;&gt;0,BI85&lt;0),IF((AX$80*5)&lt;=BI85,0,1),0))</f>
        <v>0</v>
      </c>
      <c r="AR85" s="1039">
        <f>IF(AND(BI85&lt;&gt;0,BI85&gt;0),IF((AX$80*4)&gt;=BI85,0,1),IF(AND(BI85&lt;&gt;0,BI85&lt;0),IF((AX$80*4)&lt;=BI85,0,1),0))</f>
        <v>0</v>
      </c>
      <c r="AS85" s="1039">
        <f>IF(AND(BI85&lt;&gt;0,BI85&gt;0),IF((AX$80*3)&gt;=BI85,0,1),IF(AND(BI85&lt;&gt;0,BI85&lt;0),IF((AX$80*3)&lt;=BI85,0,1),0))</f>
        <v>0</v>
      </c>
      <c r="AT85" s="1039">
        <f>IF(AND(BI85&lt;&gt;0,BI85&gt;0),IF((AX$80*2)&gt;=BI85,0,1),IF(AND(BI85&lt;&gt;0,BI85&lt;0),IF((AX$80*2)&lt;=BI85,0,1),0))</f>
        <v>0</v>
      </c>
      <c r="AU85" s="1039">
        <f>IF(AND(BI85&lt;&gt;0,BI85&gt;0),IF((AX$80*1)&gt;=BI85,0,1),IF(AND(BI85&lt;&gt;0,BI85&lt;0),IF((AX$80*1)&lt;=BI85,0,1),0))</f>
        <v>0</v>
      </c>
      <c r="AV85" s="1039">
        <f t="shared" ref="AV85:AV86" si="234">IF(BI85&lt;&gt;0,1,0)</f>
        <v>0</v>
      </c>
      <c r="AW85" s="1040"/>
      <c r="AX85" s="1039">
        <f t="shared" ref="AX85:AX86" si="235">IF(BJ85&lt;&gt;0,1,0)</f>
        <v>0</v>
      </c>
      <c r="AY85" s="1039">
        <f>IF(AND(BJ85&lt;&gt;0,BJ85&gt;0),IF((AX$80*1)&gt;=BJ85,0,1),IF(AND(BJ85&lt;&gt;0,BJ85&lt;0),IF((AX$80*1)&lt;=BJ85,0,1),0))</f>
        <v>0</v>
      </c>
      <c r="AZ85" s="1039">
        <f>IF(AND(BJ85&lt;&gt;0,BJ85&gt;0),IF((AX$80*2)&gt;=BJ85,0,1),IF(AND(BJ85&lt;&gt;0,BJ85&lt;0),IF((AX$80*2)&lt;=BJ85,0,1),0))</f>
        <v>0</v>
      </c>
      <c r="BA85" s="1039">
        <f>IF(AND(BJ85&lt;&gt;0,BJ85&gt;0),IF((AX$80*3)&gt;=BJ85,0,1),IF(AND(BJ85&lt;&gt;0,BJ85&lt;0),IF((AX$80*3)&lt;=BJ85,0,1),0))</f>
        <v>0</v>
      </c>
      <c r="BB85" s="1039">
        <f>IF(AND(BJ85&lt;&gt;0,BJ85&gt;0),IF((AX$80*4)&gt;=BJ85,0,1),IF(AND(BJ85&lt;&gt;0,BJ85&lt;0),IF((AX$80*4)&lt;=BJ85,0,1),0))</f>
        <v>0</v>
      </c>
      <c r="BC85" s="1039">
        <f>IF(AND(BJ85&lt;&gt;0,BJ85&gt;0),IF((AX$80*5)&gt;=BJ85,0,1),IF(AND(BJ85&lt;&gt;0,BJ85&lt;0),IF((AX$80*5)&lt;=BJ85,0,1),0))</f>
        <v>0</v>
      </c>
      <c r="BD85" s="1039">
        <f>IF(AND(BJ85&lt;&gt;0,BJ85&gt;0),IF((AX$80*6)&gt;=BJ85,0,1),IF(AND(BJ85&lt;&gt;0,BJ85&lt;0),IF((AX$80*6)&lt;=BJ85,0,1),0))</f>
        <v>0</v>
      </c>
      <c r="BE85" s="1039">
        <f>IF(AND(BJ85&lt;&gt;0,BJ85&gt;0),IF((AX$80*7)&gt;=BJ85,0,1),IF(AND(BJ85&lt;&gt;0,BJ85&lt;0),IF((AX$80*7)&lt;=BJ85,0,1),0))</f>
        <v>0</v>
      </c>
      <c r="BF85" s="1039">
        <f>IF(AND(BJ85&lt;&gt;0,BJ85&gt;0),IF((AX$80*8)&gt;=BJ85,0,1),IF(AND(BJ85&lt;&gt;0,BJ85&lt;0),IF((AX$80*8)&lt;=BJ85,0,1),0))</f>
        <v>0</v>
      </c>
      <c r="BG85" s="1039">
        <f>IF(AND(BJ85&lt;&gt;0,BJ85&gt;0),IF((AX$80*9)&gt;=BJ85,0,1),IF(AND(BJ85&lt;&gt;0,BJ85&lt;0),IF((AX$80*9)&lt;=BJ85,0,1),0))</f>
        <v>0</v>
      </c>
      <c r="BH85" s="25"/>
      <c r="BI85" s="499">
        <f t="shared" ref="BI85:BI94" si="236">IF(ISERROR(D85/O85*100),0,IF(D85&gt;=E85,ROUND(D85/O85*100,-1),100-BJ85))</f>
        <v>0</v>
      </c>
      <c r="BJ85" s="499">
        <f t="shared" ref="BJ85:BJ94" si="237">IF(ISERROR(E85/O85*100),0,IF(E85&gt;=D85,ROUND(E85/O85*100,-1),100-BI85))</f>
        <v>0</v>
      </c>
      <c r="BK85" s="25"/>
    </row>
    <row r="86" spans="1:63" ht="16.5" customHeight="1" x14ac:dyDescent="0.2">
      <c r="A86" s="270"/>
      <c r="B86" s="25"/>
      <c r="C86" s="1024" t="str">
        <f t="shared" ref="C86:C94" si="238">C23</f>
        <v>Descrizione #2 10 %</v>
      </c>
      <c r="D86" s="950">
        <f>IF(C112=0,0,SUMIF(CASSA!AM180:AM545,"X",CASSA!CJ180:CJ545))</f>
        <v>0</v>
      </c>
      <c r="E86" s="191">
        <f>IF(C112=0,0,SUMIF(CASSA!AL180:AL545,"Y",CASSA!CJ180:CJ545))</f>
        <v>0</v>
      </c>
      <c r="F86" s="1033">
        <f t="shared" si="227"/>
        <v>0</v>
      </c>
      <c r="G86" s="1028">
        <f t="shared" si="228"/>
        <v>0</v>
      </c>
      <c r="H86" s="1034">
        <f t="shared" si="229"/>
        <v>0</v>
      </c>
      <c r="I86" s="1030">
        <f t="shared" si="230"/>
        <v>0</v>
      </c>
      <c r="J86" s="25"/>
      <c r="K86" s="25"/>
      <c r="L86" s="25"/>
      <c r="N86" s="25"/>
      <c r="O86" s="503">
        <f t="shared" si="231"/>
        <v>0</v>
      </c>
      <c r="P86" s="25"/>
      <c r="Q86" s="1039">
        <f>IF(AND(D86&lt;&gt;0,D86&gt;0),IF((AB$80*9)&gt;=D86,0,1),IF(AND(D86&lt;&gt;0,D86&lt;0),IF((AB$80*9)&lt;=D86,0,1),0))</f>
        <v>0</v>
      </c>
      <c r="R86" s="1039">
        <f>IF(AND(D86&lt;&gt;0,D86&gt;0),IF((AB$80*8)&gt;=D86,0,1),IF(AND(D86&lt;&gt;0,D86&lt;0),IF((AB$80*8)&lt;=D86,0,1),0))</f>
        <v>0</v>
      </c>
      <c r="S86" s="1039">
        <f>IF(AND(D86&lt;&gt;0,D86&gt;0),IF((AB$80*7)&gt;=D86,0,1),IF(AND(D86&lt;&gt;0,D86&lt;0),IF((AB$80*7)&lt;=D86,0,1),0))</f>
        <v>0</v>
      </c>
      <c r="T86" s="1039">
        <f>IF(AND(D86&lt;&gt;0,D86&gt;0),IF((AB$80*6)&gt;=D86,0,1),IF(AND(D86&lt;&gt;0,D86&lt;0),IF((AB$80*6)&lt;=D86,0,1),0))</f>
        <v>0</v>
      </c>
      <c r="U86" s="1039">
        <f>IF(AND(D86&lt;&gt;0,D86&gt;0),IF((AB$80*5)&gt;=D86,0,1),IF(AND(D86&lt;&gt;0,D86&lt;0),IF((AB$80*5)&lt;=D86,0,1),0))</f>
        <v>0</v>
      </c>
      <c r="V86" s="1039">
        <f>IF(AND(D86&lt;&gt;0,D86&gt;0),IF((AB$80*4)&gt;=D86,0,1),IF(AND(D86&lt;&gt;0,D86&lt;0),IF((AB$80*4)&lt;=D86,0,1),0))</f>
        <v>0</v>
      </c>
      <c r="W86" s="1039">
        <f>IF(AND(D86&lt;&gt;0,D86&gt;0),IF((AB$80*3)&gt;=D86,0,1),IF(AND(D86&lt;&gt;0,D86&lt;0),IF((AB$80*3)&lt;=D86,0,1),0))</f>
        <v>0</v>
      </c>
      <c r="X86" s="1039">
        <f>IF(AND(D86&lt;&gt;0,D86&gt;0),IF((AB$80*2)&gt;=D86,0,1),IF(AND(D86&lt;&gt;0,D86&lt;0),IF((AB$80*2)&lt;=D86,0,1),0))</f>
        <v>0</v>
      </c>
      <c r="Y86" s="1039">
        <f>IF(AND(D86&lt;&gt;0,D86&gt;0),IF((AB$80*1)&gt;=D86,0,1),IF(AND(D86&lt;&gt;0,D86&lt;0),IF((AB$80*1)&lt;=D86,0,1),0))</f>
        <v>0</v>
      </c>
      <c r="Z86" s="1039">
        <f t="shared" si="232"/>
        <v>0</v>
      </c>
      <c r="AA86" s="1040"/>
      <c r="AB86" s="1039">
        <f t="shared" si="233"/>
        <v>0</v>
      </c>
      <c r="AC86" s="1039">
        <f>IF(AND(E86&lt;&gt;0,E86&gt;0),IF((AB$80*1)&gt;=E86,0,1),IF(AND(E86&lt;&gt;0,E86&lt;0),IF((AB$80*1)&lt;=E86,0,1),0))</f>
        <v>0</v>
      </c>
      <c r="AD86" s="1039">
        <f>IF(AND(E86&lt;&gt;0,E86&gt;0),IF((AB$80*2)&gt;=E86,0,1),IF(AND(E86&lt;&gt;0,E86&lt;0),IF((AB$80*2)&lt;=E86,0,1),0))</f>
        <v>0</v>
      </c>
      <c r="AE86" s="1039">
        <f>IF(AND(E86&lt;&gt;0,E86&gt;0),IF((AB$80*3)&gt;=E86,0,1),IF(AND(E86&lt;&gt;0,E86&lt;0),IF((AB$80*3)&lt;=E86,0,1),0))</f>
        <v>0</v>
      </c>
      <c r="AF86" s="1039">
        <f>IF(AND(E86&lt;&gt;0,E86&gt;0),IF((AB$80*4)&gt;=E86,0,1),IF(AND(E86&lt;&gt;0,E86&lt;0),IF((AB$80*4)&lt;=E86,0,1),0))</f>
        <v>0</v>
      </c>
      <c r="AG86" s="1039">
        <f>IF(AND(E86&lt;&gt;0,E86&gt;0),IF((AB$80*5)&gt;=E86,0,1),IF(AND(E86&lt;&gt;0,E86&lt;0),IF((AB$80*5)&lt;=E86,0,1),0))</f>
        <v>0</v>
      </c>
      <c r="AH86" s="1039">
        <f>IF(AND(E86&lt;&gt;0,E86&gt;0),IF((AB$80*6)&gt;=E86,0,1),IF(AND(E86&lt;&gt;0,E86&lt;0),IF((AB$80*6)&lt;=E86,0,1),0))</f>
        <v>0</v>
      </c>
      <c r="AI86" s="1039">
        <f>IF(AND(E86&lt;&gt;0,E86&gt;0),IF((AB$80*7)&gt;=E86,0,1),IF(AND(E86&lt;&gt;0,E86&lt;0),IF((AB$80*7)&lt;=E86,0,1),0))</f>
        <v>0</v>
      </c>
      <c r="AJ86" s="1039">
        <f>IF(AND(E86&lt;&gt;0,E86&gt;0),IF((AB$80*8)&gt;=E86,0,1),IF(AND(E86&lt;&gt;0,E86&lt;0),IF((AB$80*8)&lt;=E86,0,1),0))</f>
        <v>0</v>
      </c>
      <c r="AK86" s="1039">
        <f>IF(AND(E86&lt;&gt;0,E86&gt;0),IF((AB$80*9)&gt;=E86,0,1),IF(AND(E86&lt;&gt;0,E86&lt;0),IF((AB$80*9)&lt;=E86,0,1),0))</f>
        <v>0</v>
      </c>
      <c r="AL86" s="25"/>
      <c r="AM86" s="1039">
        <f>IF(AND(BI86&lt;&gt;0,BI86&gt;0),IF((AX$80*9)&gt;=BI86,0,1),IF(AND(BI86&lt;&gt;0,BI86&lt;0),IF((AX$80*9)&lt;=BI86,0,1),0))</f>
        <v>0</v>
      </c>
      <c r="AN86" s="1039">
        <f>IF(AND(BI86&lt;&gt;0,BI86&gt;0),IF((AX$80*8)&gt;=BI86,0,1),IF(AND(BI86&lt;&gt;0,BI86&lt;0),IF((AX$80*8)&lt;=BI86,0,1),0))</f>
        <v>0</v>
      </c>
      <c r="AO86" s="1039">
        <f>IF(AND(BI86&lt;&gt;0,BI86&gt;0),IF((AX$80*7)&gt;=BI86,0,1),IF(AND(BI86&lt;&gt;0,BI86&lt;0),IF((AX$80*7)&lt;=BI86,0,1),0))</f>
        <v>0</v>
      </c>
      <c r="AP86" s="1039">
        <f>IF(AND(BI86&lt;&gt;0,BI86&gt;0),IF((AX$80*6)&gt;=BI86,0,1),IF(AND(BI86&lt;&gt;0,BI86&lt;0),IF((AX$80*6)&lt;=BI86,0,1),0))</f>
        <v>0</v>
      </c>
      <c r="AQ86" s="1039">
        <f>IF(AND(BI86&lt;&gt;0,BI86&gt;0),IF((AX$80*5)&gt;=BI86,0,1),IF(AND(BI86&lt;&gt;0,BI86&lt;0),IF((AX$80*5)&lt;=BI86,0,1),0))</f>
        <v>0</v>
      </c>
      <c r="AR86" s="1039">
        <f>IF(AND(BI86&lt;&gt;0,BI86&gt;0),IF((AX$80*4)&gt;=BI86,0,1),IF(AND(BI86&lt;&gt;0,BI86&lt;0),IF((AX$80*4)&lt;=BI86,0,1),0))</f>
        <v>0</v>
      </c>
      <c r="AS86" s="1039">
        <f>IF(AND(BI86&lt;&gt;0,BI86&gt;0),IF((AX$80*3)&gt;=BI86,0,1),IF(AND(BI86&lt;&gt;0,BI86&lt;0),IF((AX$80*3)&lt;=BI86,0,1),0))</f>
        <v>0</v>
      </c>
      <c r="AT86" s="1039">
        <f>IF(AND(BI86&lt;&gt;0,BI86&gt;0),IF((AX$80*2)&gt;=BI86,0,1),IF(AND(BI86&lt;&gt;0,BI86&lt;0),IF((AX$80*2)&lt;=BI86,0,1),0))</f>
        <v>0</v>
      </c>
      <c r="AU86" s="1039">
        <f>IF(AND(BI86&lt;&gt;0,BI86&gt;0),IF((AX$80*1)&gt;=BI86,0,1),IF(AND(BI86&lt;&gt;0,BI86&lt;0),IF((AX$80*1)&lt;=BI86,0,1),0))</f>
        <v>0</v>
      </c>
      <c r="AV86" s="1039">
        <f t="shared" si="234"/>
        <v>0</v>
      </c>
      <c r="AW86" s="1040"/>
      <c r="AX86" s="1039">
        <f t="shared" si="235"/>
        <v>0</v>
      </c>
      <c r="AY86" s="1039">
        <f>IF(AND(BJ86&lt;&gt;0,BJ86&gt;0),IF((AX$80*1)&gt;=BJ86,0,1),IF(AND(BJ86&lt;&gt;0,BJ86&lt;0),IF((AX$80*1)&lt;=BJ86,0,1),0))</f>
        <v>0</v>
      </c>
      <c r="AZ86" s="1039">
        <f>IF(AND(BJ86&lt;&gt;0,BJ86&gt;0),IF((AX$80*2)&gt;=BJ86,0,1),IF(AND(BJ86&lt;&gt;0,BJ86&lt;0),IF((AX$80*2)&lt;=BJ86,0,1),0))</f>
        <v>0</v>
      </c>
      <c r="BA86" s="1039">
        <f>IF(AND(BJ86&lt;&gt;0,BJ86&gt;0),IF((AX$80*3)&gt;=BJ86,0,1),IF(AND(BJ86&lt;&gt;0,BJ86&lt;0),IF((AX$80*3)&lt;=BJ86,0,1),0))</f>
        <v>0</v>
      </c>
      <c r="BB86" s="1039">
        <f>IF(AND(BJ86&lt;&gt;0,BJ86&gt;0),IF((AX$80*4)&gt;=BJ86,0,1),IF(AND(BJ86&lt;&gt;0,BJ86&lt;0),IF((AX$80*4)&lt;=BJ86,0,1),0))</f>
        <v>0</v>
      </c>
      <c r="BC86" s="1039">
        <f>IF(AND(BJ86&lt;&gt;0,BJ86&gt;0),IF((AX$80*5)&gt;=BJ86,0,1),IF(AND(BJ86&lt;&gt;0,BJ86&lt;0),IF((AX$80*5)&lt;=BJ86,0,1),0))</f>
        <v>0</v>
      </c>
      <c r="BD86" s="1039">
        <f>IF(AND(BJ86&lt;&gt;0,BJ86&gt;0),IF((AX$80*6)&gt;=BJ86,0,1),IF(AND(BJ86&lt;&gt;0,BJ86&lt;0),IF((AX$80*6)&lt;=BJ86,0,1),0))</f>
        <v>0</v>
      </c>
      <c r="BE86" s="1039">
        <f>IF(AND(BJ86&lt;&gt;0,BJ86&gt;0),IF((AX$80*7)&gt;=BJ86,0,1),IF(AND(BJ86&lt;&gt;0,BJ86&lt;0),IF((AX$80*7)&lt;=BJ86,0,1),0))</f>
        <v>0</v>
      </c>
      <c r="BF86" s="1039">
        <f>IF(AND(BJ86&lt;&gt;0,BJ86&gt;0),IF((AX$80*8)&gt;=BJ86,0,1),IF(AND(BJ86&lt;&gt;0,BJ86&lt;0),IF((AX$80*8)&lt;=BJ86,0,1),0))</f>
        <v>0</v>
      </c>
      <c r="BG86" s="1039">
        <f>IF(AND(BJ86&lt;&gt;0,BJ86&gt;0),IF((AX$80*9)&gt;=BJ86,0,1),IF(AND(BJ86&lt;&gt;0,BJ86&lt;0),IF((AX$80*9)&lt;=BJ86,0,1),0))</f>
        <v>0</v>
      </c>
      <c r="BH86" s="25"/>
      <c r="BI86" s="499">
        <f t="shared" si="236"/>
        <v>0</v>
      </c>
      <c r="BJ86" s="499">
        <f t="shared" si="237"/>
        <v>0</v>
      </c>
      <c r="BK86" s="25"/>
    </row>
    <row r="87" spans="1:63" ht="16.5" customHeight="1" x14ac:dyDescent="0.2">
      <c r="A87" s="270"/>
      <c r="B87" s="25"/>
      <c r="C87" s="1024" t="str">
        <f t="shared" si="238"/>
        <v>Descrizione #3 22 %</v>
      </c>
      <c r="D87" s="950">
        <f>IF(C112=0,0,SUMIF(CASSA!AM180:AM545,"X",CASSA!CK180:CK545))</f>
        <v>0</v>
      </c>
      <c r="E87" s="191">
        <f>IF(C112=0,0,SUMIF(CASSA!AL180:AL545,"Y",CASSA!CK180:CK545))</f>
        <v>0</v>
      </c>
      <c r="F87" s="1033">
        <f t="shared" si="227"/>
        <v>0</v>
      </c>
      <c r="G87" s="1028">
        <f t="shared" si="228"/>
        <v>0</v>
      </c>
      <c r="H87" s="1034">
        <f t="shared" si="229"/>
        <v>0</v>
      </c>
      <c r="I87" s="1030">
        <f t="shared" si="230"/>
        <v>0</v>
      </c>
      <c r="J87" s="25"/>
      <c r="K87" s="25"/>
      <c r="L87" s="25"/>
      <c r="N87" s="25"/>
      <c r="O87" s="503">
        <f t="shared" si="231"/>
        <v>0</v>
      </c>
      <c r="P87" s="25"/>
      <c r="Q87" s="1039">
        <f t="shared" ref="Q87:Q94" si="239">IF(AND(D87&lt;&gt;0,D87&gt;0),IF((AB$80*9)&gt;=D87,0,1),IF(AND(D87&lt;&gt;0,D87&lt;0),IF((AB$80*9)&lt;=D87,0,1),0))</f>
        <v>0</v>
      </c>
      <c r="R87" s="1039">
        <f t="shared" ref="R87:R94" si="240">IF(AND(D87&lt;&gt;0,D87&gt;0),IF((AB$80*8)&gt;=D87,0,1),IF(AND(D87&lt;&gt;0,D87&lt;0),IF((AB$80*8)&lt;=D87,0,1),0))</f>
        <v>0</v>
      </c>
      <c r="S87" s="1039">
        <f t="shared" ref="S87:S94" si="241">IF(AND(D87&lt;&gt;0,D87&gt;0),IF((AB$80*7)&gt;=D87,0,1),IF(AND(D87&lt;&gt;0,D87&lt;0),IF((AB$80*7)&lt;=D87,0,1),0))</f>
        <v>0</v>
      </c>
      <c r="T87" s="1039">
        <f t="shared" ref="T87:T94" si="242">IF(AND(D87&lt;&gt;0,D87&gt;0),IF((AB$80*6)&gt;=D87,0,1),IF(AND(D87&lt;&gt;0,D87&lt;0),IF((AB$80*6)&lt;=D87,0,1),0))</f>
        <v>0</v>
      </c>
      <c r="U87" s="1039">
        <f t="shared" ref="U87:U94" si="243">IF(AND(D87&lt;&gt;0,D87&gt;0),IF((AB$80*5)&gt;=D87,0,1),IF(AND(D87&lt;&gt;0,D87&lt;0),IF((AB$80*5)&lt;=D87,0,1),0))</f>
        <v>0</v>
      </c>
      <c r="V87" s="1039">
        <f t="shared" ref="V87:V94" si="244">IF(AND(D87&lt;&gt;0,D87&gt;0),IF((AB$80*4)&gt;=D87,0,1),IF(AND(D87&lt;&gt;0,D87&lt;0),IF((AB$80*4)&lt;=D87,0,1),0))</f>
        <v>0</v>
      </c>
      <c r="W87" s="1039">
        <f t="shared" ref="W87:W94" si="245">IF(AND(D87&lt;&gt;0,D87&gt;0),IF((AB$80*3)&gt;=D87,0,1),IF(AND(D87&lt;&gt;0,D87&lt;0),IF((AB$80*3)&lt;=D87,0,1),0))</f>
        <v>0</v>
      </c>
      <c r="X87" s="1039">
        <f t="shared" ref="X87:X94" si="246">IF(AND(D87&lt;&gt;0,D87&gt;0),IF((AB$80*2)&gt;=D87,0,1),IF(AND(D87&lt;&gt;0,D87&lt;0),IF((AB$80*2)&lt;=D87,0,1),0))</f>
        <v>0</v>
      </c>
      <c r="Y87" s="1039">
        <f t="shared" ref="Y87:Y94" si="247">IF(AND(D87&lt;&gt;0,D87&gt;0),IF((AB$80*1)&gt;=D87,0,1),IF(AND(D87&lt;&gt;0,D87&lt;0),IF((AB$80*1)&lt;=D87,0,1),0))</f>
        <v>0</v>
      </c>
      <c r="Z87" s="1039">
        <f t="shared" ref="Z87:Z94" si="248">IF(D87&lt;&gt;0,1,0)</f>
        <v>0</v>
      </c>
      <c r="AA87" s="1040"/>
      <c r="AB87" s="1039">
        <f t="shared" ref="AB87:AB94" si="249">IF(E87&lt;&gt;0,1,0)</f>
        <v>0</v>
      </c>
      <c r="AC87" s="1039">
        <f t="shared" ref="AC87:AC94" si="250">IF(AND(E87&lt;&gt;0,E87&gt;0),IF((AB$80*1)&gt;=E87,0,1),IF(AND(E87&lt;&gt;0,E87&lt;0),IF((AB$80*1)&lt;=E87,0,1),0))</f>
        <v>0</v>
      </c>
      <c r="AD87" s="1039">
        <f t="shared" ref="AD87:AD94" si="251">IF(AND(E87&lt;&gt;0,E87&gt;0),IF((AB$80*2)&gt;=E87,0,1),IF(AND(E87&lt;&gt;0,E87&lt;0),IF((AB$80*2)&lt;=E87,0,1),0))</f>
        <v>0</v>
      </c>
      <c r="AE87" s="1039">
        <f t="shared" ref="AE87:AE94" si="252">IF(AND(E87&lt;&gt;0,E87&gt;0),IF((AB$80*3)&gt;=E87,0,1),IF(AND(E87&lt;&gt;0,E87&lt;0),IF((AB$80*3)&lt;=E87,0,1),0))</f>
        <v>0</v>
      </c>
      <c r="AF87" s="1039">
        <f t="shared" ref="AF87:AF94" si="253">IF(AND(E87&lt;&gt;0,E87&gt;0),IF((AB$80*4)&gt;=E87,0,1),IF(AND(E87&lt;&gt;0,E87&lt;0),IF((AB$80*4)&lt;=E87,0,1),0))</f>
        <v>0</v>
      </c>
      <c r="AG87" s="1039">
        <f t="shared" ref="AG87:AG94" si="254">IF(AND(E87&lt;&gt;0,E87&gt;0),IF((AB$80*5)&gt;=E87,0,1),IF(AND(E87&lt;&gt;0,E87&lt;0),IF((AB$80*5)&lt;=E87,0,1),0))</f>
        <v>0</v>
      </c>
      <c r="AH87" s="1039">
        <f t="shared" ref="AH87:AH94" si="255">IF(AND(E87&lt;&gt;0,E87&gt;0),IF((AB$80*6)&gt;=E87,0,1),IF(AND(E87&lt;&gt;0,E87&lt;0),IF((AB$80*6)&lt;=E87,0,1),0))</f>
        <v>0</v>
      </c>
      <c r="AI87" s="1039">
        <f t="shared" ref="AI87:AI94" si="256">IF(AND(E87&lt;&gt;0,E87&gt;0),IF((AB$80*7)&gt;=E87,0,1),IF(AND(E87&lt;&gt;0,E87&lt;0),IF((AB$80*7)&lt;=E87,0,1),0))</f>
        <v>0</v>
      </c>
      <c r="AJ87" s="1039">
        <f t="shared" ref="AJ87:AJ94" si="257">IF(AND(E87&lt;&gt;0,E87&gt;0),IF((AB$80*8)&gt;=E87,0,1),IF(AND(E87&lt;&gt;0,E87&lt;0),IF((AB$80*8)&lt;=E87,0,1),0))</f>
        <v>0</v>
      </c>
      <c r="AK87" s="1039">
        <f t="shared" ref="AK87:AK94" si="258">IF(AND(E87&lt;&gt;0,E87&gt;0),IF((AB$80*9)&gt;=E87,0,1),IF(AND(E87&lt;&gt;0,E87&lt;0),IF((AB$80*9)&lt;=E87,0,1),0))</f>
        <v>0</v>
      </c>
      <c r="AL87" s="25"/>
      <c r="AM87" s="1039">
        <f t="shared" ref="AM87:AM94" si="259">IF(AND(BI87&lt;&gt;0,BI87&gt;0),IF((AX$80*9)&gt;=BI87,0,1),IF(AND(BI87&lt;&gt;0,BI87&lt;0),IF((AX$80*9)&lt;=BI87,0,1),0))</f>
        <v>0</v>
      </c>
      <c r="AN87" s="1039">
        <f t="shared" ref="AN87:AN94" si="260">IF(AND(BI87&lt;&gt;0,BI87&gt;0),IF((AX$80*8)&gt;=BI87,0,1),IF(AND(BI87&lt;&gt;0,BI87&lt;0),IF((AX$80*8)&lt;=BI87,0,1),0))</f>
        <v>0</v>
      </c>
      <c r="AO87" s="1039">
        <f t="shared" ref="AO87:AO94" si="261">IF(AND(BI87&lt;&gt;0,BI87&gt;0),IF((AX$80*7)&gt;=BI87,0,1),IF(AND(BI87&lt;&gt;0,BI87&lt;0),IF((AX$80*7)&lt;=BI87,0,1),0))</f>
        <v>0</v>
      </c>
      <c r="AP87" s="1039">
        <f t="shared" ref="AP87:AP94" si="262">IF(AND(BI87&lt;&gt;0,BI87&gt;0),IF((AX$80*6)&gt;=BI87,0,1),IF(AND(BI87&lt;&gt;0,BI87&lt;0),IF((AX$80*6)&lt;=BI87,0,1),0))</f>
        <v>0</v>
      </c>
      <c r="AQ87" s="1039">
        <f t="shared" ref="AQ87:AQ94" si="263">IF(AND(BI87&lt;&gt;0,BI87&gt;0),IF((AX$80*5)&gt;=BI87,0,1),IF(AND(BI87&lt;&gt;0,BI87&lt;0),IF((AX$80*5)&lt;=BI87,0,1),0))</f>
        <v>0</v>
      </c>
      <c r="AR87" s="1039">
        <f t="shared" ref="AR87:AR94" si="264">IF(AND(BI87&lt;&gt;0,BI87&gt;0),IF((AX$80*4)&gt;=BI87,0,1),IF(AND(BI87&lt;&gt;0,BI87&lt;0),IF((AX$80*4)&lt;=BI87,0,1),0))</f>
        <v>0</v>
      </c>
      <c r="AS87" s="1039">
        <f t="shared" ref="AS87:AS94" si="265">IF(AND(BI87&lt;&gt;0,BI87&gt;0),IF((AX$80*3)&gt;=BI87,0,1),IF(AND(BI87&lt;&gt;0,BI87&lt;0),IF((AX$80*3)&lt;=BI87,0,1),0))</f>
        <v>0</v>
      </c>
      <c r="AT87" s="1039">
        <f t="shared" ref="AT87:AT94" si="266">IF(AND(BI87&lt;&gt;0,BI87&gt;0),IF((AX$80*2)&gt;=BI87,0,1),IF(AND(BI87&lt;&gt;0,BI87&lt;0),IF((AX$80*2)&lt;=BI87,0,1),0))</f>
        <v>0</v>
      </c>
      <c r="AU87" s="1039">
        <f t="shared" ref="AU87:AU94" si="267">IF(AND(BI87&lt;&gt;0,BI87&gt;0),IF((AX$80*1)&gt;=BI87,0,1),IF(AND(BI87&lt;&gt;0,BI87&lt;0),IF((AX$80*1)&lt;=BI87,0,1),0))</f>
        <v>0</v>
      </c>
      <c r="AV87" s="1039">
        <f t="shared" ref="AV87:AV94" si="268">IF(BI87&lt;&gt;0,1,0)</f>
        <v>0</v>
      </c>
      <c r="AW87" s="1040"/>
      <c r="AX87" s="1039">
        <f t="shared" ref="AX87:AX94" si="269">IF(BJ87&lt;&gt;0,1,0)</f>
        <v>0</v>
      </c>
      <c r="AY87" s="1039">
        <f t="shared" ref="AY87:AY94" si="270">IF(AND(BJ87&lt;&gt;0,BJ87&gt;0),IF((AX$80*1)&gt;=BJ87,0,1),IF(AND(BJ87&lt;&gt;0,BJ87&lt;0),IF((AX$80*1)&lt;=BJ87,0,1),0))</f>
        <v>0</v>
      </c>
      <c r="AZ87" s="1039">
        <f t="shared" ref="AZ87:AZ94" si="271">IF(AND(BJ87&lt;&gt;0,BJ87&gt;0),IF((AX$80*2)&gt;=BJ87,0,1),IF(AND(BJ87&lt;&gt;0,BJ87&lt;0),IF((AX$80*2)&lt;=BJ87,0,1),0))</f>
        <v>0</v>
      </c>
      <c r="BA87" s="1039">
        <f t="shared" ref="BA87:BA94" si="272">IF(AND(BJ87&lt;&gt;0,BJ87&gt;0),IF((AX$80*3)&gt;=BJ87,0,1),IF(AND(BJ87&lt;&gt;0,BJ87&lt;0),IF((AX$80*3)&lt;=BJ87,0,1),0))</f>
        <v>0</v>
      </c>
      <c r="BB87" s="1039">
        <f t="shared" ref="BB87:BB94" si="273">IF(AND(BJ87&lt;&gt;0,BJ87&gt;0),IF((AX$80*4)&gt;=BJ87,0,1),IF(AND(BJ87&lt;&gt;0,BJ87&lt;0),IF((AX$80*4)&lt;=BJ87,0,1),0))</f>
        <v>0</v>
      </c>
      <c r="BC87" s="1039">
        <f t="shared" ref="BC87:BC94" si="274">IF(AND(BJ87&lt;&gt;0,BJ87&gt;0),IF((AX$80*5)&gt;=BJ87,0,1),IF(AND(BJ87&lt;&gt;0,BJ87&lt;0),IF((AX$80*5)&lt;=BJ87,0,1),0))</f>
        <v>0</v>
      </c>
      <c r="BD87" s="1039">
        <f t="shared" ref="BD87:BD94" si="275">IF(AND(BJ87&lt;&gt;0,BJ87&gt;0),IF((AX$80*6)&gt;=BJ87,0,1),IF(AND(BJ87&lt;&gt;0,BJ87&lt;0),IF((AX$80*6)&lt;=BJ87,0,1),0))</f>
        <v>0</v>
      </c>
      <c r="BE87" s="1039">
        <f t="shared" ref="BE87:BE94" si="276">IF(AND(BJ87&lt;&gt;0,BJ87&gt;0),IF((AX$80*7)&gt;=BJ87,0,1),IF(AND(BJ87&lt;&gt;0,BJ87&lt;0),IF((AX$80*7)&lt;=BJ87,0,1),0))</f>
        <v>0</v>
      </c>
      <c r="BF87" s="1039">
        <f t="shared" ref="BF87:BF94" si="277">IF(AND(BJ87&lt;&gt;0,BJ87&gt;0),IF((AX$80*8)&gt;=BJ87,0,1),IF(AND(BJ87&lt;&gt;0,BJ87&lt;0),IF((AX$80*8)&lt;=BJ87,0,1),0))</f>
        <v>0</v>
      </c>
      <c r="BG87" s="1039">
        <f t="shared" ref="BG87:BG94" si="278">IF(AND(BJ87&lt;&gt;0,BJ87&gt;0),IF((AX$80*9)&gt;=BJ87,0,1),IF(AND(BJ87&lt;&gt;0,BJ87&lt;0),IF((AX$80*9)&lt;=BJ87,0,1),0))</f>
        <v>0</v>
      </c>
      <c r="BH87" s="25"/>
      <c r="BI87" s="499">
        <f t="shared" si="236"/>
        <v>0</v>
      </c>
      <c r="BJ87" s="499">
        <f t="shared" si="237"/>
        <v>0</v>
      </c>
      <c r="BK87" s="25"/>
    </row>
    <row r="88" spans="1:63" ht="16.5" customHeight="1" x14ac:dyDescent="0.2">
      <c r="A88" s="270"/>
      <c r="B88" s="25"/>
      <c r="C88" s="1025" t="str">
        <f t="shared" si="238"/>
        <v/>
      </c>
      <c r="D88" s="950">
        <f>IF(C112=0,0,SUMIF(CASSA!AM180:AM545,"X",CASSA!CL180:CL545))</f>
        <v>0</v>
      </c>
      <c r="E88" s="191">
        <f>IF(C112=0,0,SUMIF(CASSA!AL180:AL545,"Y",CASSA!CL180:CL545))</f>
        <v>0</v>
      </c>
      <c r="F88" s="1033">
        <f t="shared" si="227"/>
        <v>0</v>
      </c>
      <c r="G88" s="1028">
        <f t="shared" si="228"/>
        <v>0</v>
      </c>
      <c r="H88" s="1034">
        <f t="shared" si="229"/>
        <v>0</v>
      </c>
      <c r="I88" s="1030">
        <f t="shared" si="230"/>
        <v>0</v>
      </c>
      <c r="J88" s="25"/>
      <c r="K88" s="25"/>
      <c r="L88" s="25"/>
      <c r="N88" s="25"/>
      <c r="O88" s="503">
        <f t="shared" si="231"/>
        <v>0</v>
      </c>
      <c r="P88" s="25"/>
      <c r="Q88" s="1039">
        <f t="shared" si="239"/>
        <v>0</v>
      </c>
      <c r="R88" s="1039">
        <f t="shared" si="240"/>
        <v>0</v>
      </c>
      <c r="S88" s="1039">
        <f t="shared" si="241"/>
        <v>0</v>
      </c>
      <c r="T88" s="1039">
        <f t="shared" si="242"/>
        <v>0</v>
      </c>
      <c r="U88" s="1039">
        <f t="shared" si="243"/>
        <v>0</v>
      </c>
      <c r="V88" s="1039">
        <f t="shared" si="244"/>
        <v>0</v>
      </c>
      <c r="W88" s="1039">
        <f t="shared" si="245"/>
        <v>0</v>
      </c>
      <c r="X88" s="1039">
        <f t="shared" si="246"/>
        <v>0</v>
      </c>
      <c r="Y88" s="1039">
        <f t="shared" si="247"/>
        <v>0</v>
      </c>
      <c r="Z88" s="1039">
        <f t="shared" si="248"/>
        <v>0</v>
      </c>
      <c r="AA88" s="1040"/>
      <c r="AB88" s="1039">
        <f t="shared" si="249"/>
        <v>0</v>
      </c>
      <c r="AC88" s="1039">
        <f t="shared" si="250"/>
        <v>0</v>
      </c>
      <c r="AD88" s="1039">
        <f t="shared" si="251"/>
        <v>0</v>
      </c>
      <c r="AE88" s="1039">
        <f t="shared" si="252"/>
        <v>0</v>
      </c>
      <c r="AF88" s="1039">
        <f t="shared" si="253"/>
        <v>0</v>
      </c>
      <c r="AG88" s="1039">
        <f t="shared" si="254"/>
        <v>0</v>
      </c>
      <c r="AH88" s="1039">
        <f t="shared" si="255"/>
        <v>0</v>
      </c>
      <c r="AI88" s="1039">
        <f t="shared" si="256"/>
        <v>0</v>
      </c>
      <c r="AJ88" s="1039">
        <f t="shared" si="257"/>
        <v>0</v>
      </c>
      <c r="AK88" s="1039">
        <f t="shared" si="258"/>
        <v>0</v>
      </c>
      <c r="AL88" s="25"/>
      <c r="AM88" s="1039">
        <f t="shared" si="259"/>
        <v>0</v>
      </c>
      <c r="AN88" s="1039">
        <f t="shared" si="260"/>
        <v>0</v>
      </c>
      <c r="AO88" s="1039">
        <f t="shared" si="261"/>
        <v>0</v>
      </c>
      <c r="AP88" s="1039">
        <f t="shared" si="262"/>
        <v>0</v>
      </c>
      <c r="AQ88" s="1039">
        <f t="shared" si="263"/>
        <v>0</v>
      </c>
      <c r="AR88" s="1039">
        <f t="shared" si="264"/>
        <v>0</v>
      </c>
      <c r="AS88" s="1039">
        <f t="shared" si="265"/>
        <v>0</v>
      </c>
      <c r="AT88" s="1039">
        <f t="shared" si="266"/>
        <v>0</v>
      </c>
      <c r="AU88" s="1039">
        <f t="shared" si="267"/>
        <v>0</v>
      </c>
      <c r="AV88" s="1039">
        <f t="shared" si="268"/>
        <v>0</v>
      </c>
      <c r="AW88" s="1040"/>
      <c r="AX88" s="1039">
        <f t="shared" si="269"/>
        <v>0</v>
      </c>
      <c r="AY88" s="1039">
        <f t="shared" si="270"/>
        <v>0</v>
      </c>
      <c r="AZ88" s="1039">
        <f t="shared" si="271"/>
        <v>0</v>
      </c>
      <c r="BA88" s="1039">
        <f t="shared" si="272"/>
        <v>0</v>
      </c>
      <c r="BB88" s="1039">
        <f t="shared" si="273"/>
        <v>0</v>
      </c>
      <c r="BC88" s="1039">
        <f t="shared" si="274"/>
        <v>0</v>
      </c>
      <c r="BD88" s="1039">
        <f t="shared" si="275"/>
        <v>0</v>
      </c>
      <c r="BE88" s="1039">
        <f t="shared" si="276"/>
        <v>0</v>
      </c>
      <c r="BF88" s="1039">
        <f t="shared" si="277"/>
        <v>0</v>
      </c>
      <c r="BG88" s="1039">
        <f t="shared" si="278"/>
        <v>0</v>
      </c>
      <c r="BH88" s="25"/>
      <c r="BI88" s="499">
        <f t="shared" ref="BI88:BI92" si="279">IF(ISERROR(D88/O88*100),0,IF(D88&gt;=E88,ROUND(D88/O88*100,-1),100-BJ88))</f>
        <v>0</v>
      </c>
      <c r="BJ88" s="499">
        <f t="shared" ref="BJ88:BJ92" si="280">IF(ISERROR(E88/O88*100),0,IF(E88&gt;=D88,ROUND(E88/O88*100,-1),100-BI88))</f>
        <v>0</v>
      </c>
      <c r="BK88" s="25"/>
    </row>
    <row r="89" spans="1:63" ht="16.5" customHeight="1" x14ac:dyDescent="0.2">
      <c r="A89" s="270"/>
      <c r="B89" s="25"/>
      <c r="C89" s="1025" t="str">
        <f t="shared" si="238"/>
        <v/>
      </c>
      <c r="D89" s="950">
        <f>IF(C112=0,0,SUMIF(CASSA!AM180:AM545,"X",CASSA!CM180:CM545))</f>
        <v>0</v>
      </c>
      <c r="E89" s="191">
        <f>IF(C112=0,0,SUMIF(CASSA!AL180:AL545,"Y",CASSA!CM180:CM545))</f>
        <v>0</v>
      </c>
      <c r="F89" s="1033">
        <f t="shared" si="227"/>
        <v>0</v>
      </c>
      <c r="G89" s="1028">
        <f t="shared" si="228"/>
        <v>0</v>
      </c>
      <c r="H89" s="1034">
        <f t="shared" si="229"/>
        <v>0</v>
      </c>
      <c r="I89" s="1030">
        <f t="shared" si="230"/>
        <v>0</v>
      </c>
      <c r="J89" s="25"/>
      <c r="K89" s="25"/>
      <c r="L89" s="25"/>
      <c r="N89" s="25"/>
      <c r="O89" s="503">
        <f t="shared" si="231"/>
        <v>0</v>
      </c>
      <c r="P89" s="25"/>
      <c r="Q89" s="1039">
        <f t="shared" si="239"/>
        <v>0</v>
      </c>
      <c r="R89" s="1039">
        <f t="shared" si="240"/>
        <v>0</v>
      </c>
      <c r="S89" s="1039">
        <f t="shared" si="241"/>
        <v>0</v>
      </c>
      <c r="T89" s="1039">
        <f t="shared" si="242"/>
        <v>0</v>
      </c>
      <c r="U89" s="1039">
        <f t="shared" si="243"/>
        <v>0</v>
      </c>
      <c r="V89" s="1039">
        <f t="shared" si="244"/>
        <v>0</v>
      </c>
      <c r="W89" s="1039">
        <f t="shared" si="245"/>
        <v>0</v>
      </c>
      <c r="X89" s="1039">
        <f t="shared" si="246"/>
        <v>0</v>
      </c>
      <c r="Y89" s="1039">
        <f t="shared" si="247"/>
        <v>0</v>
      </c>
      <c r="Z89" s="1039">
        <f t="shared" si="248"/>
        <v>0</v>
      </c>
      <c r="AA89" s="1040"/>
      <c r="AB89" s="1039">
        <f t="shared" si="249"/>
        <v>0</v>
      </c>
      <c r="AC89" s="1039">
        <f t="shared" si="250"/>
        <v>0</v>
      </c>
      <c r="AD89" s="1039">
        <f t="shared" si="251"/>
        <v>0</v>
      </c>
      <c r="AE89" s="1039">
        <f t="shared" si="252"/>
        <v>0</v>
      </c>
      <c r="AF89" s="1039">
        <f t="shared" si="253"/>
        <v>0</v>
      </c>
      <c r="AG89" s="1039">
        <f t="shared" si="254"/>
        <v>0</v>
      </c>
      <c r="AH89" s="1039">
        <f t="shared" si="255"/>
        <v>0</v>
      </c>
      <c r="AI89" s="1039">
        <f t="shared" si="256"/>
        <v>0</v>
      </c>
      <c r="AJ89" s="1039">
        <f t="shared" si="257"/>
        <v>0</v>
      </c>
      <c r="AK89" s="1039">
        <f t="shared" si="258"/>
        <v>0</v>
      </c>
      <c r="AL89" s="25"/>
      <c r="AM89" s="1039">
        <f t="shared" si="259"/>
        <v>0</v>
      </c>
      <c r="AN89" s="1039">
        <f t="shared" si="260"/>
        <v>0</v>
      </c>
      <c r="AO89" s="1039">
        <f t="shared" si="261"/>
        <v>0</v>
      </c>
      <c r="AP89" s="1039">
        <f t="shared" si="262"/>
        <v>0</v>
      </c>
      <c r="AQ89" s="1039">
        <f t="shared" si="263"/>
        <v>0</v>
      </c>
      <c r="AR89" s="1039">
        <f t="shared" si="264"/>
        <v>0</v>
      </c>
      <c r="AS89" s="1039">
        <f t="shared" si="265"/>
        <v>0</v>
      </c>
      <c r="AT89" s="1039">
        <f t="shared" si="266"/>
        <v>0</v>
      </c>
      <c r="AU89" s="1039">
        <f t="shared" si="267"/>
        <v>0</v>
      </c>
      <c r="AV89" s="1039">
        <f t="shared" si="268"/>
        <v>0</v>
      </c>
      <c r="AW89" s="1040"/>
      <c r="AX89" s="1039">
        <f t="shared" si="269"/>
        <v>0</v>
      </c>
      <c r="AY89" s="1039">
        <f t="shared" si="270"/>
        <v>0</v>
      </c>
      <c r="AZ89" s="1039">
        <f t="shared" si="271"/>
        <v>0</v>
      </c>
      <c r="BA89" s="1039">
        <f t="shared" si="272"/>
        <v>0</v>
      </c>
      <c r="BB89" s="1039">
        <f t="shared" si="273"/>
        <v>0</v>
      </c>
      <c r="BC89" s="1039">
        <f t="shared" si="274"/>
        <v>0</v>
      </c>
      <c r="BD89" s="1039">
        <f t="shared" si="275"/>
        <v>0</v>
      </c>
      <c r="BE89" s="1039">
        <f t="shared" si="276"/>
        <v>0</v>
      </c>
      <c r="BF89" s="1039">
        <f t="shared" si="277"/>
        <v>0</v>
      </c>
      <c r="BG89" s="1039">
        <f t="shared" si="278"/>
        <v>0</v>
      </c>
      <c r="BH89" s="25"/>
      <c r="BI89" s="499">
        <f t="shared" si="279"/>
        <v>0</v>
      </c>
      <c r="BJ89" s="499">
        <f t="shared" si="280"/>
        <v>0</v>
      </c>
      <c r="BK89" s="25"/>
    </row>
    <row r="90" spans="1:63" ht="16.5" customHeight="1" x14ac:dyDescent="0.2">
      <c r="A90" s="270"/>
      <c r="B90" s="25"/>
      <c r="C90" s="1025" t="str">
        <f t="shared" si="238"/>
        <v/>
      </c>
      <c r="D90" s="950">
        <f>IF(C112=0,0,SUMIF(CASSA!AM180:AM545,"X",CASSA!CN180:CN545))</f>
        <v>0</v>
      </c>
      <c r="E90" s="191">
        <f>IF(C112=0,0,SUMIF(CASSA!AL180:AL545,"Y",CASSA!CN180:CN545))</f>
        <v>0</v>
      </c>
      <c r="F90" s="1033">
        <f t="shared" si="227"/>
        <v>0</v>
      </c>
      <c r="G90" s="1028">
        <f t="shared" si="228"/>
        <v>0</v>
      </c>
      <c r="H90" s="1034">
        <f t="shared" si="229"/>
        <v>0</v>
      </c>
      <c r="I90" s="1030">
        <f t="shared" si="230"/>
        <v>0</v>
      </c>
      <c r="J90" s="25"/>
      <c r="K90" s="25"/>
      <c r="L90" s="25"/>
      <c r="N90" s="25"/>
      <c r="O90" s="503">
        <f t="shared" si="231"/>
        <v>0</v>
      </c>
      <c r="P90" s="25"/>
      <c r="Q90" s="1039">
        <f t="shared" si="239"/>
        <v>0</v>
      </c>
      <c r="R90" s="1039">
        <f t="shared" si="240"/>
        <v>0</v>
      </c>
      <c r="S90" s="1039">
        <f t="shared" si="241"/>
        <v>0</v>
      </c>
      <c r="T90" s="1039">
        <f t="shared" si="242"/>
        <v>0</v>
      </c>
      <c r="U90" s="1039">
        <f t="shared" si="243"/>
        <v>0</v>
      </c>
      <c r="V90" s="1039">
        <f t="shared" si="244"/>
        <v>0</v>
      </c>
      <c r="W90" s="1039">
        <f t="shared" si="245"/>
        <v>0</v>
      </c>
      <c r="X90" s="1039">
        <f t="shared" si="246"/>
        <v>0</v>
      </c>
      <c r="Y90" s="1039">
        <f t="shared" si="247"/>
        <v>0</v>
      </c>
      <c r="Z90" s="1039">
        <f t="shared" si="248"/>
        <v>0</v>
      </c>
      <c r="AA90" s="1040"/>
      <c r="AB90" s="1039">
        <f t="shared" si="249"/>
        <v>0</v>
      </c>
      <c r="AC90" s="1039">
        <f t="shared" si="250"/>
        <v>0</v>
      </c>
      <c r="AD90" s="1039">
        <f t="shared" si="251"/>
        <v>0</v>
      </c>
      <c r="AE90" s="1039">
        <f t="shared" si="252"/>
        <v>0</v>
      </c>
      <c r="AF90" s="1039">
        <f t="shared" si="253"/>
        <v>0</v>
      </c>
      <c r="AG90" s="1039">
        <f t="shared" si="254"/>
        <v>0</v>
      </c>
      <c r="AH90" s="1039">
        <f t="shared" si="255"/>
        <v>0</v>
      </c>
      <c r="AI90" s="1039">
        <f t="shared" si="256"/>
        <v>0</v>
      </c>
      <c r="AJ90" s="1039">
        <f t="shared" si="257"/>
        <v>0</v>
      </c>
      <c r="AK90" s="1039">
        <f t="shared" si="258"/>
        <v>0</v>
      </c>
      <c r="AL90" s="25"/>
      <c r="AM90" s="1039">
        <f t="shared" si="259"/>
        <v>0</v>
      </c>
      <c r="AN90" s="1039">
        <f t="shared" si="260"/>
        <v>0</v>
      </c>
      <c r="AO90" s="1039">
        <f t="shared" si="261"/>
        <v>0</v>
      </c>
      <c r="AP90" s="1039">
        <f t="shared" si="262"/>
        <v>0</v>
      </c>
      <c r="AQ90" s="1039">
        <f t="shared" si="263"/>
        <v>0</v>
      </c>
      <c r="AR90" s="1039">
        <f t="shared" si="264"/>
        <v>0</v>
      </c>
      <c r="AS90" s="1039">
        <f t="shared" si="265"/>
        <v>0</v>
      </c>
      <c r="AT90" s="1039">
        <f t="shared" si="266"/>
        <v>0</v>
      </c>
      <c r="AU90" s="1039">
        <f t="shared" si="267"/>
        <v>0</v>
      </c>
      <c r="AV90" s="1039">
        <f t="shared" si="268"/>
        <v>0</v>
      </c>
      <c r="AW90" s="1040"/>
      <c r="AX90" s="1039">
        <f t="shared" si="269"/>
        <v>0</v>
      </c>
      <c r="AY90" s="1039">
        <f t="shared" si="270"/>
        <v>0</v>
      </c>
      <c r="AZ90" s="1039">
        <f t="shared" si="271"/>
        <v>0</v>
      </c>
      <c r="BA90" s="1039">
        <f t="shared" si="272"/>
        <v>0</v>
      </c>
      <c r="BB90" s="1039">
        <f t="shared" si="273"/>
        <v>0</v>
      </c>
      <c r="BC90" s="1039">
        <f t="shared" si="274"/>
        <v>0</v>
      </c>
      <c r="BD90" s="1039">
        <f t="shared" si="275"/>
        <v>0</v>
      </c>
      <c r="BE90" s="1039">
        <f t="shared" si="276"/>
        <v>0</v>
      </c>
      <c r="BF90" s="1039">
        <f t="shared" si="277"/>
        <v>0</v>
      </c>
      <c r="BG90" s="1039">
        <f t="shared" si="278"/>
        <v>0</v>
      </c>
      <c r="BH90" s="25"/>
      <c r="BI90" s="499">
        <f t="shared" si="279"/>
        <v>0</v>
      </c>
      <c r="BJ90" s="499">
        <f t="shared" si="280"/>
        <v>0</v>
      </c>
      <c r="BK90" s="25"/>
    </row>
    <row r="91" spans="1:63" ht="16.5" customHeight="1" x14ac:dyDescent="0.2">
      <c r="A91" s="270"/>
      <c r="B91" s="25"/>
      <c r="C91" s="1025" t="str">
        <f t="shared" si="238"/>
        <v/>
      </c>
      <c r="D91" s="950">
        <f>IF(C112=0,0,SUMIF(CASSA!AM180:AM545,"X",CASSA!CO180:CO545))</f>
        <v>0</v>
      </c>
      <c r="E91" s="191">
        <f>IF(C112=0,0,SUMIF(CASSA!AL180:AL545,"Y",CASSA!CO180:CO545))</f>
        <v>0</v>
      </c>
      <c r="F91" s="1033">
        <f t="shared" si="227"/>
        <v>0</v>
      </c>
      <c r="G91" s="1028">
        <f t="shared" si="228"/>
        <v>0</v>
      </c>
      <c r="H91" s="1034">
        <f t="shared" si="229"/>
        <v>0</v>
      </c>
      <c r="I91" s="1030">
        <f t="shared" si="230"/>
        <v>0</v>
      </c>
      <c r="J91" s="25"/>
      <c r="K91" s="25"/>
      <c r="L91" s="25"/>
      <c r="N91" s="25"/>
      <c r="O91" s="503">
        <f t="shared" si="231"/>
        <v>0</v>
      </c>
      <c r="P91" s="25"/>
      <c r="Q91" s="1039">
        <f t="shared" si="239"/>
        <v>0</v>
      </c>
      <c r="R91" s="1039">
        <f t="shared" si="240"/>
        <v>0</v>
      </c>
      <c r="S91" s="1039">
        <f t="shared" si="241"/>
        <v>0</v>
      </c>
      <c r="T91" s="1039">
        <f t="shared" si="242"/>
        <v>0</v>
      </c>
      <c r="U91" s="1039">
        <f t="shared" si="243"/>
        <v>0</v>
      </c>
      <c r="V91" s="1039">
        <f t="shared" si="244"/>
        <v>0</v>
      </c>
      <c r="W91" s="1039">
        <f t="shared" si="245"/>
        <v>0</v>
      </c>
      <c r="X91" s="1039">
        <f t="shared" si="246"/>
        <v>0</v>
      </c>
      <c r="Y91" s="1039">
        <f t="shared" si="247"/>
        <v>0</v>
      </c>
      <c r="Z91" s="1039">
        <f t="shared" si="248"/>
        <v>0</v>
      </c>
      <c r="AA91" s="1040"/>
      <c r="AB91" s="1039">
        <f t="shared" si="249"/>
        <v>0</v>
      </c>
      <c r="AC91" s="1039">
        <f t="shared" si="250"/>
        <v>0</v>
      </c>
      <c r="AD91" s="1039">
        <f t="shared" si="251"/>
        <v>0</v>
      </c>
      <c r="AE91" s="1039">
        <f t="shared" si="252"/>
        <v>0</v>
      </c>
      <c r="AF91" s="1039">
        <f t="shared" si="253"/>
        <v>0</v>
      </c>
      <c r="AG91" s="1039">
        <f t="shared" si="254"/>
        <v>0</v>
      </c>
      <c r="AH91" s="1039">
        <f t="shared" si="255"/>
        <v>0</v>
      </c>
      <c r="AI91" s="1039">
        <f t="shared" si="256"/>
        <v>0</v>
      </c>
      <c r="AJ91" s="1039">
        <f t="shared" si="257"/>
        <v>0</v>
      </c>
      <c r="AK91" s="1039">
        <f t="shared" si="258"/>
        <v>0</v>
      </c>
      <c r="AL91" s="25"/>
      <c r="AM91" s="1039">
        <f t="shared" si="259"/>
        <v>0</v>
      </c>
      <c r="AN91" s="1039">
        <f t="shared" si="260"/>
        <v>0</v>
      </c>
      <c r="AO91" s="1039">
        <f t="shared" si="261"/>
        <v>0</v>
      </c>
      <c r="AP91" s="1039">
        <f t="shared" si="262"/>
        <v>0</v>
      </c>
      <c r="AQ91" s="1039">
        <f t="shared" si="263"/>
        <v>0</v>
      </c>
      <c r="AR91" s="1039">
        <f t="shared" si="264"/>
        <v>0</v>
      </c>
      <c r="AS91" s="1039">
        <f t="shared" si="265"/>
        <v>0</v>
      </c>
      <c r="AT91" s="1039">
        <f t="shared" si="266"/>
        <v>0</v>
      </c>
      <c r="AU91" s="1039">
        <f t="shared" si="267"/>
        <v>0</v>
      </c>
      <c r="AV91" s="1039">
        <f t="shared" si="268"/>
        <v>0</v>
      </c>
      <c r="AW91" s="1040"/>
      <c r="AX91" s="1039">
        <f t="shared" si="269"/>
        <v>0</v>
      </c>
      <c r="AY91" s="1039">
        <f t="shared" si="270"/>
        <v>0</v>
      </c>
      <c r="AZ91" s="1039">
        <f t="shared" si="271"/>
        <v>0</v>
      </c>
      <c r="BA91" s="1039">
        <f t="shared" si="272"/>
        <v>0</v>
      </c>
      <c r="BB91" s="1039">
        <f t="shared" si="273"/>
        <v>0</v>
      </c>
      <c r="BC91" s="1039">
        <f t="shared" si="274"/>
        <v>0</v>
      </c>
      <c r="BD91" s="1039">
        <f t="shared" si="275"/>
        <v>0</v>
      </c>
      <c r="BE91" s="1039">
        <f t="shared" si="276"/>
        <v>0</v>
      </c>
      <c r="BF91" s="1039">
        <f t="shared" si="277"/>
        <v>0</v>
      </c>
      <c r="BG91" s="1039">
        <f t="shared" si="278"/>
        <v>0</v>
      </c>
      <c r="BH91" s="25"/>
      <c r="BI91" s="499">
        <f t="shared" si="279"/>
        <v>0</v>
      </c>
      <c r="BJ91" s="499">
        <f t="shared" si="280"/>
        <v>0</v>
      </c>
      <c r="BK91" s="25"/>
    </row>
    <row r="92" spans="1:63" ht="16.5" customHeight="1" x14ac:dyDescent="0.2">
      <c r="A92" s="270"/>
      <c r="B92" s="25"/>
      <c r="C92" s="1025" t="str">
        <f t="shared" si="238"/>
        <v/>
      </c>
      <c r="D92" s="950">
        <f>IF(C112=0,0,SUMIF(CASSA!AM180:AM545,"X",CASSA!CP180:CP545))</f>
        <v>0</v>
      </c>
      <c r="E92" s="191">
        <f>IF(C112=0,0,SUMIF(CASSA!AL180:AL545,"Y",CASSA!CP180:CP545))</f>
        <v>0</v>
      </c>
      <c r="F92" s="1033">
        <f t="shared" si="227"/>
        <v>0</v>
      </c>
      <c r="G92" s="1028">
        <f t="shared" si="228"/>
        <v>0</v>
      </c>
      <c r="H92" s="1034">
        <f t="shared" si="229"/>
        <v>0</v>
      </c>
      <c r="I92" s="1030">
        <f t="shared" si="230"/>
        <v>0</v>
      </c>
      <c r="J92" s="25"/>
      <c r="K92" s="25"/>
      <c r="L92" s="25"/>
      <c r="N92" s="25"/>
      <c r="O92" s="503">
        <f t="shared" si="231"/>
        <v>0</v>
      </c>
      <c r="P92" s="25"/>
      <c r="Q92" s="1039">
        <f t="shared" si="239"/>
        <v>0</v>
      </c>
      <c r="R92" s="1039">
        <f t="shared" si="240"/>
        <v>0</v>
      </c>
      <c r="S92" s="1039">
        <f t="shared" si="241"/>
        <v>0</v>
      </c>
      <c r="T92" s="1039">
        <f t="shared" si="242"/>
        <v>0</v>
      </c>
      <c r="U92" s="1039">
        <f t="shared" si="243"/>
        <v>0</v>
      </c>
      <c r="V92" s="1039">
        <f t="shared" si="244"/>
        <v>0</v>
      </c>
      <c r="W92" s="1039">
        <f t="shared" si="245"/>
        <v>0</v>
      </c>
      <c r="X92" s="1039">
        <f t="shared" si="246"/>
        <v>0</v>
      </c>
      <c r="Y92" s="1039">
        <f t="shared" si="247"/>
        <v>0</v>
      </c>
      <c r="Z92" s="1039">
        <f t="shared" si="248"/>
        <v>0</v>
      </c>
      <c r="AA92" s="1040"/>
      <c r="AB92" s="1039">
        <f t="shared" si="249"/>
        <v>0</v>
      </c>
      <c r="AC92" s="1039">
        <f t="shared" si="250"/>
        <v>0</v>
      </c>
      <c r="AD92" s="1039">
        <f t="shared" si="251"/>
        <v>0</v>
      </c>
      <c r="AE92" s="1039">
        <f t="shared" si="252"/>
        <v>0</v>
      </c>
      <c r="AF92" s="1039">
        <f t="shared" si="253"/>
        <v>0</v>
      </c>
      <c r="AG92" s="1039">
        <f t="shared" si="254"/>
        <v>0</v>
      </c>
      <c r="AH92" s="1039">
        <f t="shared" si="255"/>
        <v>0</v>
      </c>
      <c r="AI92" s="1039">
        <f t="shared" si="256"/>
        <v>0</v>
      </c>
      <c r="AJ92" s="1039">
        <f t="shared" si="257"/>
        <v>0</v>
      </c>
      <c r="AK92" s="1039">
        <f t="shared" si="258"/>
        <v>0</v>
      </c>
      <c r="AL92" s="25"/>
      <c r="AM92" s="1039">
        <f t="shared" si="259"/>
        <v>0</v>
      </c>
      <c r="AN92" s="1039">
        <f t="shared" si="260"/>
        <v>0</v>
      </c>
      <c r="AO92" s="1039">
        <f t="shared" si="261"/>
        <v>0</v>
      </c>
      <c r="AP92" s="1039">
        <f t="shared" si="262"/>
        <v>0</v>
      </c>
      <c r="AQ92" s="1039">
        <f t="shared" si="263"/>
        <v>0</v>
      </c>
      <c r="AR92" s="1039">
        <f t="shared" si="264"/>
        <v>0</v>
      </c>
      <c r="AS92" s="1039">
        <f t="shared" si="265"/>
        <v>0</v>
      </c>
      <c r="AT92" s="1039">
        <f t="shared" si="266"/>
        <v>0</v>
      </c>
      <c r="AU92" s="1039">
        <f t="shared" si="267"/>
        <v>0</v>
      </c>
      <c r="AV92" s="1039">
        <f t="shared" si="268"/>
        <v>0</v>
      </c>
      <c r="AW92" s="1040"/>
      <c r="AX92" s="1039">
        <f t="shared" si="269"/>
        <v>0</v>
      </c>
      <c r="AY92" s="1039">
        <f t="shared" si="270"/>
        <v>0</v>
      </c>
      <c r="AZ92" s="1039">
        <f t="shared" si="271"/>
        <v>0</v>
      </c>
      <c r="BA92" s="1039">
        <f t="shared" si="272"/>
        <v>0</v>
      </c>
      <c r="BB92" s="1039">
        <f t="shared" si="273"/>
        <v>0</v>
      </c>
      <c r="BC92" s="1039">
        <f t="shared" si="274"/>
        <v>0</v>
      </c>
      <c r="BD92" s="1039">
        <f t="shared" si="275"/>
        <v>0</v>
      </c>
      <c r="BE92" s="1039">
        <f t="shared" si="276"/>
        <v>0</v>
      </c>
      <c r="BF92" s="1039">
        <f t="shared" si="277"/>
        <v>0</v>
      </c>
      <c r="BG92" s="1039">
        <f t="shared" si="278"/>
        <v>0</v>
      </c>
      <c r="BH92" s="25"/>
      <c r="BI92" s="499">
        <f t="shared" si="279"/>
        <v>0</v>
      </c>
      <c r="BJ92" s="499">
        <f t="shared" si="280"/>
        <v>0</v>
      </c>
      <c r="BK92" s="25"/>
    </row>
    <row r="93" spans="1:63" ht="16.5" customHeight="1" x14ac:dyDescent="0.2">
      <c r="A93" s="270"/>
      <c r="B93" s="25"/>
      <c r="C93" s="1026" t="str">
        <f t="shared" si="238"/>
        <v/>
      </c>
      <c r="D93" s="943">
        <f>IF(C112=0,0,SUMIF(CASSA!AM180:AM545,"X",CASSA!CQ180:CQ545))</f>
        <v>0</v>
      </c>
      <c r="E93" s="192">
        <f>IF(C112=0,0,SUMIF(CASSA!AL180:AL545,"Y",CASSA!CQ180:CQ545))</f>
        <v>0</v>
      </c>
      <c r="F93" s="1033">
        <f t="shared" si="227"/>
        <v>0</v>
      </c>
      <c r="G93" s="1028">
        <f t="shared" si="228"/>
        <v>0</v>
      </c>
      <c r="H93" s="1034">
        <f t="shared" si="229"/>
        <v>0</v>
      </c>
      <c r="I93" s="1030">
        <f t="shared" si="230"/>
        <v>0</v>
      </c>
      <c r="J93" s="25"/>
      <c r="K93" s="25"/>
      <c r="L93" s="25"/>
      <c r="N93" s="25"/>
      <c r="O93" s="503">
        <f t="shared" si="231"/>
        <v>0</v>
      </c>
      <c r="P93" s="25"/>
      <c r="Q93" s="1039">
        <f t="shared" si="239"/>
        <v>0</v>
      </c>
      <c r="R93" s="1039">
        <f t="shared" si="240"/>
        <v>0</v>
      </c>
      <c r="S93" s="1039">
        <f t="shared" si="241"/>
        <v>0</v>
      </c>
      <c r="T93" s="1039">
        <f t="shared" si="242"/>
        <v>0</v>
      </c>
      <c r="U93" s="1039">
        <f t="shared" si="243"/>
        <v>0</v>
      </c>
      <c r="V93" s="1039">
        <f t="shared" si="244"/>
        <v>0</v>
      </c>
      <c r="W93" s="1039">
        <f t="shared" si="245"/>
        <v>0</v>
      </c>
      <c r="X93" s="1039">
        <f t="shared" si="246"/>
        <v>0</v>
      </c>
      <c r="Y93" s="1039">
        <f t="shared" si="247"/>
        <v>0</v>
      </c>
      <c r="Z93" s="1039">
        <f t="shared" si="248"/>
        <v>0</v>
      </c>
      <c r="AA93" s="1040"/>
      <c r="AB93" s="1039">
        <f t="shared" si="249"/>
        <v>0</v>
      </c>
      <c r="AC93" s="1039">
        <f t="shared" si="250"/>
        <v>0</v>
      </c>
      <c r="AD93" s="1039">
        <f t="shared" si="251"/>
        <v>0</v>
      </c>
      <c r="AE93" s="1039">
        <f t="shared" si="252"/>
        <v>0</v>
      </c>
      <c r="AF93" s="1039">
        <f t="shared" si="253"/>
        <v>0</v>
      </c>
      <c r="AG93" s="1039">
        <f t="shared" si="254"/>
        <v>0</v>
      </c>
      <c r="AH93" s="1039">
        <f t="shared" si="255"/>
        <v>0</v>
      </c>
      <c r="AI93" s="1039">
        <f t="shared" si="256"/>
        <v>0</v>
      </c>
      <c r="AJ93" s="1039">
        <f t="shared" si="257"/>
        <v>0</v>
      </c>
      <c r="AK93" s="1039">
        <f t="shared" si="258"/>
        <v>0</v>
      </c>
      <c r="AL93" s="25"/>
      <c r="AM93" s="1039">
        <f t="shared" si="259"/>
        <v>0</v>
      </c>
      <c r="AN93" s="1039">
        <f t="shared" si="260"/>
        <v>0</v>
      </c>
      <c r="AO93" s="1039">
        <f t="shared" si="261"/>
        <v>0</v>
      </c>
      <c r="AP93" s="1039">
        <f t="shared" si="262"/>
        <v>0</v>
      </c>
      <c r="AQ93" s="1039">
        <f t="shared" si="263"/>
        <v>0</v>
      </c>
      <c r="AR93" s="1039">
        <f t="shared" si="264"/>
        <v>0</v>
      </c>
      <c r="AS93" s="1039">
        <f t="shared" si="265"/>
        <v>0</v>
      </c>
      <c r="AT93" s="1039">
        <f t="shared" si="266"/>
        <v>0</v>
      </c>
      <c r="AU93" s="1039">
        <f t="shared" si="267"/>
        <v>0</v>
      </c>
      <c r="AV93" s="1039">
        <f t="shared" si="268"/>
        <v>0</v>
      </c>
      <c r="AW93" s="1040"/>
      <c r="AX93" s="1039">
        <f t="shared" si="269"/>
        <v>0</v>
      </c>
      <c r="AY93" s="1039">
        <f t="shared" si="270"/>
        <v>0</v>
      </c>
      <c r="AZ93" s="1039">
        <f t="shared" si="271"/>
        <v>0</v>
      </c>
      <c r="BA93" s="1039">
        <f t="shared" si="272"/>
        <v>0</v>
      </c>
      <c r="BB93" s="1039">
        <f t="shared" si="273"/>
        <v>0</v>
      </c>
      <c r="BC93" s="1039">
        <f t="shared" si="274"/>
        <v>0</v>
      </c>
      <c r="BD93" s="1039">
        <f t="shared" si="275"/>
        <v>0</v>
      </c>
      <c r="BE93" s="1039">
        <f t="shared" si="276"/>
        <v>0</v>
      </c>
      <c r="BF93" s="1039">
        <f t="shared" si="277"/>
        <v>0</v>
      </c>
      <c r="BG93" s="1039">
        <f t="shared" si="278"/>
        <v>0</v>
      </c>
      <c r="BH93" s="25"/>
      <c r="BI93" s="499">
        <f t="shared" si="236"/>
        <v>0</v>
      </c>
      <c r="BJ93" s="499">
        <f t="shared" si="237"/>
        <v>0</v>
      </c>
      <c r="BK93" s="25"/>
    </row>
    <row r="94" spans="1:63" ht="19.5" customHeight="1" x14ac:dyDescent="0.2">
      <c r="A94" s="270"/>
      <c r="B94" s="25"/>
      <c r="C94" s="946" t="str">
        <f t="shared" si="238"/>
        <v>Somma percentuali</v>
      </c>
      <c r="D94" s="947">
        <f>SUM(D85:D93)</f>
        <v>0</v>
      </c>
      <c r="E94" s="1016">
        <f>SUM(E85:E93)</f>
        <v>0</v>
      </c>
      <c r="F94" s="1027">
        <f t="shared" si="227"/>
        <v>0</v>
      </c>
      <c r="G94" s="1028">
        <f t="shared" si="228"/>
        <v>0</v>
      </c>
      <c r="H94" s="1029">
        <f t="shared" si="229"/>
        <v>0</v>
      </c>
      <c r="I94" s="1030">
        <f t="shared" si="230"/>
        <v>0</v>
      </c>
      <c r="J94" s="25"/>
      <c r="K94" s="25"/>
      <c r="L94" s="25"/>
      <c r="N94" s="25"/>
      <c r="O94" s="505">
        <f t="shared" si="231"/>
        <v>0</v>
      </c>
      <c r="P94" s="25"/>
      <c r="Q94" s="1039">
        <f t="shared" si="239"/>
        <v>0</v>
      </c>
      <c r="R94" s="1039">
        <f t="shared" si="240"/>
        <v>0</v>
      </c>
      <c r="S94" s="1039">
        <f t="shared" si="241"/>
        <v>0</v>
      </c>
      <c r="T94" s="1039">
        <f t="shared" si="242"/>
        <v>0</v>
      </c>
      <c r="U94" s="1039">
        <f t="shared" si="243"/>
        <v>0</v>
      </c>
      <c r="V94" s="1039">
        <f t="shared" si="244"/>
        <v>0</v>
      </c>
      <c r="W94" s="1039">
        <f t="shared" si="245"/>
        <v>0</v>
      </c>
      <c r="X94" s="1039">
        <f t="shared" si="246"/>
        <v>0</v>
      </c>
      <c r="Y94" s="1039">
        <f t="shared" si="247"/>
        <v>0</v>
      </c>
      <c r="Z94" s="1039">
        <f t="shared" si="248"/>
        <v>0</v>
      </c>
      <c r="AA94" s="1040"/>
      <c r="AB94" s="1039">
        <f t="shared" si="249"/>
        <v>0</v>
      </c>
      <c r="AC94" s="1039">
        <f t="shared" si="250"/>
        <v>0</v>
      </c>
      <c r="AD94" s="1039">
        <f t="shared" si="251"/>
        <v>0</v>
      </c>
      <c r="AE94" s="1039">
        <f t="shared" si="252"/>
        <v>0</v>
      </c>
      <c r="AF94" s="1039">
        <f t="shared" si="253"/>
        <v>0</v>
      </c>
      <c r="AG94" s="1039">
        <f t="shared" si="254"/>
        <v>0</v>
      </c>
      <c r="AH94" s="1039">
        <f t="shared" si="255"/>
        <v>0</v>
      </c>
      <c r="AI94" s="1039">
        <f t="shared" si="256"/>
        <v>0</v>
      </c>
      <c r="AJ94" s="1039">
        <f t="shared" si="257"/>
        <v>0</v>
      </c>
      <c r="AK94" s="1039">
        <f t="shared" si="258"/>
        <v>0</v>
      </c>
      <c r="AL94" s="25"/>
      <c r="AM94" s="1039">
        <f t="shared" si="259"/>
        <v>0</v>
      </c>
      <c r="AN94" s="1039">
        <f t="shared" si="260"/>
        <v>0</v>
      </c>
      <c r="AO94" s="1039">
        <f t="shared" si="261"/>
        <v>0</v>
      </c>
      <c r="AP94" s="1039">
        <f t="shared" si="262"/>
        <v>0</v>
      </c>
      <c r="AQ94" s="1039">
        <f t="shared" si="263"/>
        <v>0</v>
      </c>
      <c r="AR94" s="1039">
        <f t="shared" si="264"/>
        <v>0</v>
      </c>
      <c r="AS94" s="1039">
        <f t="shared" si="265"/>
        <v>0</v>
      </c>
      <c r="AT94" s="1039">
        <f t="shared" si="266"/>
        <v>0</v>
      </c>
      <c r="AU94" s="1039">
        <f t="shared" si="267"/>
        <v>0</v>
      </c>
      <c r="AV94" s="1039">
        <f t="shared" si="268"/>
        <v>0</v>
      </c>
      <c r="AW94" s="1040"/>
      <c r="AX94" s="1039">
        <f t="shared" si="269"/>
        <v>0</v>
      </c>
      <c r="AY94" s="1039">
        <f t="shared" si="270"/>
        <v>0</v>
      </c>
      <c r="AZ94" s="1039">
        <f t="shared" si="271"/>
        <v>0</v>
      </c>
      <c r="BA94" s="1039">
        <f t="shared" si="272"/>
        <v>0</v>
      </c>
      <c r="BB94" s="1039">
        <f t="shared" si="273"/>
        <v>0</v>
      </c>
      <c r="BC94" s="1039">
        <f t="shared" si="274"/>
        <v>0</v>
      </c>
      <c r="BD94" s="1039">
        <f t="shared" si="275"/>
        <v>0</v>
      </c>
      <c r="BE94" s="1039">
        <f t="shared" si="276"/>
        <v>0</v>
      </c>
      <c r="BF94" s="1039">
        <f t="shared" si="277"/>
        <v>0</v>
      </c>
      <c r="BG94" s="1039">
        <f t="shared" si="278"/>
        <v>0</v>
      </c>
      <c r="BH94" s="25"/>
      <c r="BI94" s="499">
        <f t="shared" si="236"/>
        <v>0</v>
      </c>
      <c r="BJ94" s="499">
        <f t="shared" si="237"/>
        <v>0</v>
      </c>
      <c r="BK94" s="25"/>
    </row>
    <row r="95" spans="1:63" ht="19.5" customHeight="1" x14ac:dyDescent="0.2">
      <c r="A95" s="270"/>
      <c r="B95" s="25"/>
      <c r="C95" s="614"/>
      <c r="D95" s="614"/>
      <c r="E95" s="614"/>
      <c r="F95" s="29"/>
      <c r="G95" s="25"/>
      <c r="H95" s="25"/>
      <c r="I95" s="25"/>
      <c r="J95" s="81"/>
      <c r="K95" s="81"/>
      <c r="L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row>
    <row r="96" spans="1:63" ht="33.75" customHeight="1" x14ac:dyDescent="0.2">
      <c r="A96" s="270"/>
      <c r="B96" s="25"/>
      <c r="C96" s="226"/>
      <c r="D96" s="226"/>
      <c r="E96" s="226"/>
      <c r="F96" s="44"/>
      <c r="G96" s="25"/>
      <c r="H96" s="25"/>
      <c r="I96" s="110"/>
      <c r="J96" s="110"/>
      <c r="K96" s="25"/>
      <c r="L96" s="81"/>
      <c r="M96" s="382"/>
      <c r="N96" s="382"/>
      <c r="O96" s="382"/>
      <c r="P96" s="39"/>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row>
    <row r="97" spans="1:60" ht="18" customHeight="1" x14ac:dyDescent="0.2">
      <c r="A97" s="1268"/>
      <c r="B97" s="259"/>
      <c r="C97" s="2353" t="str">
        <f>C66</f>
        <v>Impostazioni attive: Selezione per DATE dal 00/01/1900 al 00/01/1900  |  A confronto con:  NON SELEZIONATO</v>
      </c>
      <c r="D97" s="2353"/>
      <c r="E97" s="2353"/>
      <c r="F97" s="2353"/>
      <c r="G97" s="2353"/>
      <c r="H97" s="2353"/>
      <c r="I97" s="2353"/>
      <c r="J97" s="260"/>
      <c r="K97" s="259"/>
      <c r="L97" s="81"/>
      <c r="M97" s="382"/>
      <c r="N97" s="382"/>
      <c r="O97" s="382"/>
      <c r="P97" s="3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row>
    <row r="98" spans="1:60" ht="22.5" customHeight="1" x14ac:dyDescent="0.2">
      <c r="A98" s="270"/>
      <c r="B98" s="25"/>
      <c r="C98" s="25"/>
      <c r="D98" s="25"/>
      <c r="E98" s="25"/>
      <c r="F98" s="44"/>
      <c r="G98" s="25"/>
      <c r="H98" s="25"/>
      <c r="I98" s="110"/>
      <c r="J98" s="110"/>
      <c r="K98" s="25"/>
      <c r="L98" s="81"/>
      <c r="M98" s="382"/>
      <c r="N98" s="382"/>
      <c r="O98" s="382"/>
      <c r="P98" s="39"/>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row>
    <row r="99" spans="1:60" ht="4.5" hidden="1" customHeight="1" x14ac:dyDescent="0.2">
      <c r="A99" s="572"/>
    </row>
    <row r="100" spans="1:60" ht="22.5" customHeight="1" x14ac:dyDescent="0.2">
      <c r="A100" s="25"/>
      <c r="B100" s="407" t="s">
        <v>266</v>
      </c>
      <c r="C100" s="2352"/>
      <c r="D100" s="2352"/>
      <c r="E100" s="2352"/>
      <c r="F100" s="2352"/>
      <c r="G100" s="2352"/>
      <c r="H100" s="2352"/>
      <c r="I100" s="2352"/>
      <c r="J100" s="110"/>
      <c r="K100" s="25"/>
      <c r="L100" s="81"/>
      <c r="M100" s="382"/>
      <c r="N100" s="382"/>
      <c r="O100" s="382"/>
      <c r="P100" s="39"/>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row>
    <row r="101" spans="1:60" ht="22.5" customHeight="1" x14ac:dyDescent="0.2">
      <c r="A101" s="25"/>
      <c r="B101" s="81"/>
      <c r="C101" s="2352"/>
      <c r="D101" s="2352"/>
      <c r="E101" s="2352"/>
      <c r="F101" s="2352"/>
      <c r="G101" s="2352"/>
      <c r="H101" s="2352"/>
      <c r="I101" s="2352"/>
      <c r="J101" s="110"/>
      <c r="K101" s="25"/>
      <c r="L101" s="81"/>
      <c r="M101" s="382"/>
      <c r="N101" s="382"/>
      <c r="O101" s="382"/>
      <c r="P101" s="39"/>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row>
    <row r="102" spans="1:60" ht="22.5" customHeight="1" x14ac:dyDescent="0.2">
      <c r="A102" s="25"/>
      <c r="B102" s="81"/>
      <c r="C102" s="2352"/>
      <c r="D102" s="2352"/>
      <c r="E102" s="2352"/>
      <c r="F102" s="2352"/>
      <c r="G102" s="2352"/>
      <c r="H102" s="2352"/>
      <c r="I102" s="2352"/>
      <c r="J102" s="110"/>
      <c r="K102" s="25"/>
      <c r="L102" s="81"/>
      <c r="M102" s="382"/>
      <c r="N102" s="382"/>
      <c r="O102" s="382"/>
      <c r="P102" s="39"/>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row>
    <row r="103" spans="1:60" ht="22.5" customHeight="1" x14ac:dyDescent="0.2">
      <c r="A103" s="25"/>
      <c r="B103" s="81"/>
      <c r="C103" s="2352"/>
      <c r="D103" s="2352"/>
      <c r="E103" s="2352"/>
      <c r="F103" s="2352"/>
      <c r="G103" s="2352"/>
      <c r="H103" s="2352"/>
      <c r="I103" s="2352"/>
      <c r="J103" s="110"/>
      <c r="K103" s="25"/>
      <c r="L103" s="81"/>
      <c r="M103" s="382"/>
      <c r="N103" s="382"/>
      <c r="O103" s="382"/>
      <c r="P103" s="39"/>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row>
    <row r="104" spans="1:60" ht="22.5" customHeight="1" x14ac:dyDescent="0.2">
      <c r="A104" s="25"/>
      <c r="B104" s="81"/>
      <c r="C104" s="2352"/>
      <c r="D104" s="2352"/>
      <c r="E104" s="2352"/>
      <c r="F104" s="2352"/>
      <c r="G104" s="2352"/>
      <c r="H104" s="2352"/>
      <c r="I104" s="2352"/>
      <c r="J104" s="110"/>
      <c r="K104" s="25"/>
      <c r="L104" s="81"/>
      <c r="M104" s="382"/>
      <c r="N104" s="382"/>
      <c r="O104" s="382"/>
      <c r="P104" s="39"/>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row>
    <row r="105" spans="1:60" ht="22.5" customHeight="1" x14ac:dyDescent="0.2">
      <c r="A105" s="25"/>
      <c r="B105" s="81"/>
      <c r="C105" s="2352"/>
      <c r="D105" s="2352"/>
      <c r="E105" s="2352"/>
      <c r="F105" s="2352"/>
      <c r="G105" s="2352"/>
      <c r="H105" s="2352"/>
      <c r="I105" s="2352"/>
      <c r="J105" s="110"/>
      <c r="K105" s="25"/>
      <c r="L105" s="81"/>
      <c r="M105" s="382"/>
      <c r="N105" s="382"/>
      <c r="O105" s="382"/>
      <c r="P105" s="39"/>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row>
    <row r="106" spans="1:60" ht="22.5" customHeight="1" x14ac:dyDescent="0.2">
      <c r="A106" s="25"/>
      <c r="B106" s="81"/>
      <c r="C106" s="2352"/>
      <c r="D106" s="2352"/>
      <c r="E106" s="2352"/>
      <c r="F106" s="2352"/>
      <c r="G106" s="2352"/>
      <c r="H106" s="2352"/>
      <c r="I106" s="2352"/>
      <c r="J106" s="110"/>
      <c r="K106" s="25"/>
      <c r="L106" s="81"/>
      <c r="M106" s="382"/>
      <c r="N106" s="382"/>
      <c r="O106" s="382"/>
      <c r="P106" s="39"/>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row>
    <row r="107" spans="1:60" ht="33.75" customHeight="1" x14ac:dyDescent="0.2">
      <c r="A107" s="270"/>
      <c r="B107" s="25"/>
      <c r="C107" s="249"/>
      <c r="D107" s="267"/>
      <c r="E107" s="267"/>
      <c r="F107" s="267"/>
      <c r="G107" s="267"/>
      <c r="H107" s="278"/>
      <c r="I107" s="227"/>
      <c r="J107" s="355"/>
      <c r="K107" s="354"/>
      <c r="L107" s="81"/>
      <c r="M107" s="382"/>
      <c r="N107" s="382"/>
      <c r="O107" s="39"/>
      <c r="P107" s="39"/>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row>
    <row r="108" spans="1:60" ht="18" customHeight="1" x14ac:dyDescent="0.2">
      <c r="A108" s="25"/>
      <c r="B108" s="25"/>
      <c r="C108" s="249"/>
      <c r="D108" s="267"/>
      <c r="E108" s="267"/>
      <c r="F108" s="267"/>
      <c r="G108" s="267"/>
      <c r="H108" s="278"/>
      <c r="I108" s="25"/>
      <c r="J108" s="355"/>
      <c r="K108" s="354"/>
      <c r="L108" s="81"/>
      <c r="M108" s="382"/>
      <c r="N108" s="382"/>
      <c r="O108" s="39"/>
      <c r="P108" s="39"/>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372" t="str">
        <f>BH73</f>
        <v/>
      </c>
    </row>
    <row r="109" spans="1:60" ht="18" customHeight="1" x14ac:dyDescent="0.2">
      <c r="A109" s="25"/>
      <c r="B109" s="408" t="str">
        <f>B74</f>
        <v>www.marcopiccoli.it - Registro Contabile Giornaliero 6.0.7 - per EXCEL .xlsm</v>
      </c>
      <c r="C109" s="249"/>
      <c r="D109" s="267"/>
      <c r="E109" s="267"/>
      <c r="F109" s="267"/>
      <c r="G109" s="267"/>
      <c r="H109" s="278"/>
      <c r="I109" s="25"/>
      <c r="J109" s="355"/>
      <c r="K109" s="354"/>
      <c r="L109" s="81"/>
      <c r="M109" s="382"/>
      <c r="N109" s="382"/>
      <c r="O109" s="39"/>
      <c r="P109" s="39"/>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409" t="str">
        <f>BH74</f>
        <v>Sistema attivato dal 01/01 al 31/03. Modifica il trimestre dal foglio Presentazione.</v>
      </c>
    </row>
    <row r="110" spans="1:60" x14ac:dyDescent="0.2">
      <c r="A110" s="25"/>
      <c r="B110" s="25"/>
      <c r="C110" s="25"/>
      <c r="D110" s="25"/>
      <c r="E110" s="25"/>
      <c r="G110" s="507"/>
      <c r="H110" s="25"/>
      <c r="I110" s="25"/>
      <c r="J110" s="25"/>
      <c r="K110" s="25"/>
      <c r="L110" s="25"/>
    </row>
    <row r="111" spans="1:60" hidden="1" x14ac:dyDescent="0.2">
      <c r="A111" s="25"/>
      <c r="B111" s="25"/>
      <c r="C111" s="25"/>
      <c r="D111" s="25"/>
      <c r="E111" s="25"/>
      <c r="F111" s="25"/>
      <c r="G111" s="25"/>
      <c r="H111" s="103" t="s">
        <v>47</v>
      </c>
      <c r="I111" s="25"/>
      <c r="J111" s="25"/>
      <c r="K111" s="25"/>
      <c r="L111" s="25"/>
      <c r="M111" s="25"/>
      <c r="N111" s="25"/>
      <c r="O111" s="25"/>
    </row>
    <row r="112" spans="1:60" hidden="1" x14ac:dyDescent="0.2">
      <c r="A112" s="25"/>
      <c r="B112" s="25"/>
      <c r="C112" s="142">
        <f>IMPOSTAZIONI!D143</f>
        <v>0</v>
      </c>
      <c r="D112" s="91" t="s">
        <v>442</v>
      </c>
      <c r="E112" s="980" t="s">
        <v>129</v>
      </c>
      <c r="F112" s="981">
        <f>Presentazione!Q26</f>
        <v>45292</v>
      </c>
      <c r="G112" s="614"/>
      <c r="H112" s="103"/>
      <c r="I112" s="614"/>
      <c r="J112" s="25"/>
      <c r="K112" s="25"/>
      <c r="L112" s="614"/>
      <c r="M112" s="614"/>
      <c r="N112" s="25"/>
      <c r="O112" s="25"/>
    </row>
    <row r="113" spans="1:15" hidden="1" x14ac:dyDescent="0.2">
      <c r="A113" s="25"/>
      <c r="B113" s="142" t="s">
        <v>365</v>
      </c>
      <c r="C113" s="142" t="str">
        <f>IMPOSTAZIONI!D145</f>
        <v>OK</v>
      </c>
      <c r="D113" s="25"/>
      <c r="E113" s="982" t="s">
        <v>564</v>
      </c>
      <c r="F113" s="981">
        <f>Presentazione!R26</f>
        <v>45382</v>
      </c>
      <c r="G113" s="614"/>
      <c r="H113" s="82">
        <f>CASSA!E180</f>
        <v>45292</v>
      </c>
      <c r="I113" s="985" t="str">
        <f>IF($C$121=1,"",IF(OR(H113&lt;$F$112,H113&gt;$F$113),$E$113,""))</f>
        <v/>
      </c>
      <c r="J113" s="82"/>
      <c r="K113" s="101">
        <v>0</v>
      </c>
      <c r="L113" s="614"/>
      <c r="M113" s="614"/>
      <c r="N113" s="245" t="s">
        <v>43</v>
      </c>
      <c r="O113" s="246">
        <v>1</v>
      </c>
    </row>
    <row r="114" spans="1:15" hidden="1" x14ac:dyDescent="0.2">
      <c r="A114" s="25"/>
      <c r="B114" s="614"/>
      <c r="C114" s="25"/>
      <c r="D114" s="25"/>
      <c r="E114" s="25"/>
      <c r="F114" s="25"/>
      <c r="G114" s="25"/>
      <c r="H114" s="83">
        <f>CASSA!E181</f>
        <v>45293</v>
      </c>
      <c r="I114" s="985" t="str">
        <f t="shared" ref="I114:I177" si="281">IF($C$121=1,"",IF(OR(H114&lt;$F$112,H114&gt;$F$113),$E$113,""))</f>
        <v/>
      </c>
      <c r="J114" s="83" t="s">
        <v>373</v>
      </c>
      <c r="K114" s="101">
        <v>1</v>
      </c>
      <c r="L114" s="91">
        <v>31</v>
      </c>
      <c r="M114" s="25"/>
      <c r="N114" s="245" t="s">
        <v>44</v>
      </c>
      <c r="O114" s="246">
        <v>2</v>
      </c>
    </row>
    <row r="115" spans="1:15" hidden="1" x14ac:dyDescent="0.2">
      <c r="A115" s="25"/>
      <c r="B115" s="614"/>
      <c r="C115" s="25"/>
      <c r="D115" s="25"/>
      <c r="E115" s="379"/>
      <c r="F115" s="379">
        <v>0</v>
      </c>
      <c r="G115" s="614"/>
      <c r="H115" s="83">
        <f>CASSA!E182</f>
        <v>45294</v>
      </c>
      <c r="I115" s="985" t="str">
        <f t="shared" si="281"/>
        <v/>
      </c>
      <c r="J115" s="83" t="s">
        <v>374</v>
      </c>
      <c r="K115" s="101">
        <v>2</v>
      </c>
      <c r="L115" s="104">
        <f>IF(D137=365,28,29)</f>
        <v>29</v>
      </c>
      <c r="M115" s="25"/>
      <c r="N115" s="245"/>
      <c r="O115" s="246">
        <v>3</v>
      </c>
    </row>
    <row r="116" spans="1:15" hidden="1" x14ac:dyDescent="0.2">
      <c r="A116" s="25"/>
      <c r="B116" s="965"/>
      <c r="C116" s="36">
        <v>1</v>
      </c>
      <c r="D116" s="117" t="s">
        <v>395</v>
      </c>
      <c r="E116" s="379">
        <v>1</v>
      </c>
      <c r="F116" s="379">
        <v>1</v>
      </c>
      <c r="G116" s="985" t="str">
        <f>IF($C$121=1,"",VLOOKUP(VLOOKUP(E116,CASSA!$L$180:$R$545,6,FALSE),$H$113:$I$478,2,FALSE))</f>
        <v/>
      </c>
      <c r="H116" s="83">
        <f>CASSA!E183</f>
        <v>45295</v>
      </c>
      <c r="I116" s="985" t="str">
        <f t="shared" si="281"/>
        <v/>
      </c>
      <c r="J116" s="83" t="s">
        <v>375</v>
      </c>
      <c r="K116" s="101">
        <v>3</v>
      </c>
      <c r="L116" s="91">
        <v>31</v>
      </c>
      <c r="M116" s="25"/>
      <c r="N116" s="25"/>
      <c r="O116" s="25"/>
    </row>
    <row r="117" spans="1:15" hidden="1" x14ac:dyDescent="0.2">
      <c r="A117" s="25"/>
      <c r="B117" s="966" t="s">
        <v>155</v>
      </c>
      <c r="C117" s="25"/>
      <c r="D117" s="25"/>
      <c r="E117" s="379">
        <v>2</v>
      </c>
      <c r="F117" s="379">
        <v>2</v>
      </c>
      <c r="G117" s="985" t="str">
        <f>IF($C$121=1,"",VLOOKUP(VLOOKUP(E117,CASSA!$L$180:$R$545,6,FALSE),$H$113:$I$478,2,FALSE))</f>
        <v/>
      </c>
      <c r="H117" s="83">
        <f>CASSA!E184</f>
        <v>45296</v>
      </c>
      <c r="I117" s="985" t="str">
        <f t="shared" si="281"/>
        <v/>
      </c>
      <c r="J117" s="83" t="s">
        <v>376</v>
      </c>
      <c r="K117" s="101">
        <v>4</v>
      </c>
      <c r="L117" s="91">
        <v>30</v>
      </c>
      <c r="M117" s="25"/>
      <c r="N117" s="25"/>
      <c r="O117" s="25"/>
    </row>
    <row r="118" spans="1:15" hidden="1" x14ac:dyDescent="0.2">
      <c r="A118" s="25"/>
      <c r="B118" s="1038" t="s">
        <v>578</v>
      </c>
      <c r="C118" s="36">
        <f>Presentazione!K167</f>
        <v>18</v>
      </c>
      <c r="D118" s="117" t="s">
        <v>395</v>
      </c>
      <c r="E118" s="379">
        <v>3</v>
      </c>
      <c r="F118" s="379">
        <v>3</v>
      </c>
      <c r="G118" s="985" t="str">
        <f>IF($C$121=1,"",VLOOKUP(VLOOKUP(E118,CASSA!$L$180:$R$545,6,FALSE),$H$113:$I$478,2,FALSE))</f>
        <v/>
      </c>
      <c r="H118" s="83">
        <f>CASSA!E185</f>
        <v>45297</v>
      </c>
      <c r="I118" s="985" t="str">
        <f t="shared" si="281"/>
        <v/>
      </c>
      <c r="J118" s="83" t="s">
        <v>377</v>
      </c>
      <c r="K118" s="101">
        <v>5</v>
      </c>
      <c r="L118" s="91">
        <v>31</v>
      </c>
      <c r="M118" s="25"/>
      <c r="N118" s="25"/>
      <c r="O118" s="25"/>
    </row>
    <row r="119" spans="1:15" hidden="1" x14ac:dyDescent="0.2">
      <c r="A119" s="25"/>
      <c r="B119" s="25"/>
      <c r="C119" s="25"/>
      <c r="D119" s="25"/>
      <c r="E119" s="379">
        <v>4</v>
      </c>
      <c r="F119" s="379">
        <v>4</v>
      </c>
      <c r="G119" s="985" t="str">
        <f>IF($C$121=1,"",VLOOKUP(VLOOKUP(E119,CASSA!$L$180:$R$545,6,FALSE),$H$113:$I$478,2,FALSE))</f>
        <v/>
      </c>
      <c r="H119" s="83">
        <f>CASSA!E186</f>
        <v>45298</v>
      </c>
      <c r="I119" s="985" t="str">
        <f t="shared" si="281"/>
        <v/>
      </c>
      <c r="J119" s="83" t="s">
        <v>378</v>
      </c>
      <c r="K119" s="101">
        <v>6</v>
      </c>
      <c r="L119" s="91">
        <v>30</v>
      </c>
      <c r="M119" s="25"/>
      <c r="N119" s="25"/>
      <c r="O119" s="25"/>
    </row>
    <row r="120" spans="1:15" hidden="1" x14ac:dyDescent="0.2">
      <c r="A120" s="25"/>
      <c r="B120" s="25"/>
      <c r="C120" s="32">
        <f>Presentazione!H167</f>
        <v>0</v>
      </c>
      <c r="D120" s="286" t="s">
        <v>563</v>
      </c>
      <c r="E120" s="379">
        <v>5</v>
      </c>
      <c r="F120" s="379">
        <v>5</v>
      </c>
      <c r="G120" s="985" t="str">
        <f>IF($C$121=1,"",VLOOKUP(VLOOKUP(E120,CASSA!$L$180:$R$545,6,FALSE),$H$113:$I$478,2,FALSE))</f>
        <v/>
      </c>
      <c r="H120" s="83">
        <f>CASSA!E187</f>
        <v>45299</v>
      </c>
      <c r="I120" s="985" t="str">
        <f t="shared" si="281"/>
        <v/>
      </c>
      <c r="J120" s="83" t="s">
        <v>379</v>
      </c>
      <c r="K120" s="101">
        <v>7</v>
      </c>
      <c r="L120" s="91">
        <v>31</v>
      </c>
      <c r="M120" s="25"/>
      <c r="N120" s="25"/>
      <c r="O120" s="25"/>
    </row>
    <row r="121" spans="1:15" hidden="1" x14ac:dyDescent="0.2">
      <c r="A121" s="25"/>
      <c r="B121" s="25"/>
      <c r="C121" s="32">
        <f>Presentazione!E167</f>
        <v>0</v>
      </c>
      <c r="D121" s="287" t="s">
        <v>53</v>
      </c>
      <c r="E121" s="379">
        <v>6</v>
      </c>
      <c r="F121" s="379">
        <v>6</v>
      </c>
      <c r="G121" s="985" t="str">
        <f>IF($C$121=1,"",VLOOKUP(VLOOKUP(E121,CASSA!$L$180:$R$545,6,FALSE),$H$113:$I$478,2,FALSE))</f>
        <v/>
      </c>
      <c r="H121" s="83">
        <f>CASSA!E188</f>
        <v>45300</v>
      </c>
      <c r="I121" s="985" t="str">
        <f t="shared" si="281"/>
        <v/>
      </c>
      <c r="J121" s="83" t="s">
        <v>380</v>
      </c>
      <c r="K121" s="101">
        <v>8</v>
      </c>
      <c r="L121" s="91">
        <v>31</v>
      </c>
      <c r="M121" s="25"/>
      <c r="N121" s="25"/>
      <c r="O121" s="25"/>
    </row>
    <row r="122" spans="1:15" hidden="1" x14ac:dyDescent="0.2">
      <c r="A122" s="25"/>
      <c r="B122" s="25"/>
      <c r="C122" s="25"/>
      <c r="D122" s="25"/>
      <c r="E122" s="379">
        <v>7</v>
      </c>
      <c r="F122" s="379">
        <v>7</v>
      </c>
      <c r="G122" s="985" t="str">
        <f>IF($C$121=1,"",VLOOKUP(VLOOKUP(E122,CASSA!$L$180:$R$545,6,FALSE),$H$113:$I$478,2,FALSE))</f>
        <v/>
      </c>
      <c r="H122" s="83">
        <f>CASSA!E189</f>
        <v>45301</v>
      </c>
      <c r="I122" s="985" t="str">
        <f t="shared" si="281"/>
        <v/>
      </c>
      <c r="J122" s="83" t="s">
        <v>381</v>
      </c>
      <c r="K122" s="101">
        <v>9</v>
      </c>
      <c r="L122" s="91">
        <v>30</v>
      </c>
      <c r="M122" s="25"/>
      <c r="N122" s="25"/>
      <c r="O122" s="25"/>
    </row>
    <row r="123" spans="1:15" hidden="1" x14ac:dyDescent="0.2">
      <c r="A123" s="25"/>
      <c r="B123" s="25"/>
      <c r="C123" s="25"/>
      <c r="D123" s="25"/>
      <c r="E123" s="379">
        <v>8</v>
      </c>
      <c r="F123" s="379">
        <v>8</v>
      </c>
      <c r="G123" s="985" t="str">
        <f>IF($C$121=1,"",VLOOKUP(VLOOKUP(E123,CASSA!$L$180:$R$545,6,FALSE),$H$113:$I$478,2,FALSE))</f>
        <v/>
      </c>
      <c r="H123" s="83">
        <f>CASSA!E190</f>
        <v>45302</v>
      </c>
      <c r="I123" s="985" t="str">
        <f t="shared" si="281"/>
        <v/>
      </c>
      <c r="J123" s="90" t="s">
        <v>382</v>
      </c>
      <c r="K123" s="101">
        <v>10</v>
      </c>
      <c r="L123" s="91">
        <v>31</v>
      </c>
      <c r="M123" s="25"/>
      <c r="N123" s="25"/>
      <c r="O123" s="25"/>
    </row>
    <row r="124" spans="1:15" hidden="1" x14ac:dyDescent="0.2">
      <c r="A124" s="25"/>
      <c r="B124" s="25"/>
      <c r="C124" s="25"/>
      <c r="D124" s="456">
        <f>DATE(YEAR(H113),1,1)</f>
        <v>45292</v>
      </c>
      <c r="E124" s="379">
        <v>9</v>
      </c>
      <c r="F124" s="379">
        <v>9</v>
      </c>
      <c r="G124" s="985" t="str">
        <f>IF($C$121=1,"",VLOOKUP(VLOOKUP(E124,CASSA!$L$180:$R$545,6,FALSE),$H$113:$I$478,2,FALSE))</f>
        <v/>
      </c>
      <c r="H124" s="83">
        <f>CASSA!E191</f>
        <v>45303</v>
      </c>
      <c r="I124" s="985" t="str">
        <f t="shared" si="281"/>
        <v/>
      </c>
      <c r="J124" s="90" t="s">
        <v>383</v>
      </c>
      <c r="K124" s="101">
        <v>11</v>
      </c>
      <c r="L124" s="91">
        <v>30</v>
      </c>
      <c r="M124" s="25"/>
      <c r="N124" s="25"/>
      <c r="O124" s="25"/>
    </row>
    <row r="125" spans="1:15" hidden="1" x14ac:dyDescent="0.2">
      <c r="A125" s="25"/>
      <c r="B125" s="433" t="str">
        <f>J114</f>
        <v>GEN</v>
      </c>
      <c r="C125" s="434" t="s">
        <v>270</v>
      </c>
      <c r="D125" s="455">
        <f>DATE(YEAR(H$113),VLOOKUP(B125,J$114:K$125,2,FALSE),VLOOKUP(B125,J$114:L$125,3,FALSE))</f>
        <v>45322</v>
      </c>
      <c r="E125" s="379">
        <v>10</v>
      </c>
      <c r="F125" s="379">
        <v>10</v>
      </c>
      <c r="G125" s="985" t="str">
        <f>IF($C$121=1,"",VLOOKUP(VLOOKUP(E125,CASSA!$L$180:$R$545,6,FALSE),$H$113:$I$478,2,FALSE))</f>
        <v/>
      </c>
      <c r="H125" s="83">
        <f>CASSA!E192</f>
        <v>45304</v>
      </c>
      <c r="I125" s="985" t="str">
        <f t="shared" si="281"/>
        <v/>
      </c>
      <c r="J125" s="84" t="s">
        <v>384</v>
      </c>
      <c r="K125" s="101">
        <v>12</v>
      </c>
      <c r="L125" s="91">
        <v>31</v>
      </c>
      <c r="M125" s="25"/>
      <c r="N125" s="25"/>
      <c r="O125" s="25"/>
    </row>
    <row r="126" spans="1:15" hidden="1" x14ac:dyDescent="0.2">
      <c r="A126" s="25"/>
      <c r="B126" s="435" t="str">
        <f t="shared" ref="B126:B136" si="282">J115</f>
        <v>FEB</v>
      </c>
      <c r="C126" s="436" t="s">
        <v>271</v>
      </c>
      <c r="D126" s="456">
        <f>D127-31</f>
        <v>45351</v>
      </c>
      <c r="E126" s="379">
        <v>11</v>
      </c>
      <c r="F126" s="379">
        <v>11</v>
      </c>
      <c r="G126" s="985" t="str">
        <f>IF($C$121=1,"",VLOOKUP(VLOOKUP(E126,CASSA!$L$180:$R$545,6,FALSE),$H$113:$I$478,2,FALSE))</f>
        <v/>
      </c>
      <c r="H126" s="83">
        <f>CASSA!E193</f>
        <v>45305</v>
      </c>
      <c r="I126" s="985" t="str">
        <f t="shared" si="281"/>
        <v/>
      </c>
      <c r="J126" s="25"/>
      <c r="K126" s="25"/>
      <c r="L126" s="25"/>
      <c r="M126" s="25"/>
      <c r="N126" s="25"/>
      <c r="O126" s="25"/>
    </row>
    <row r="127" spans="1:15" hidden="1" x14ac:dyDescent="0.2">
      <c r="A127" s="25"/>
      <c r="B127" s="435" t="str">
        <f t="shared" si="282"/>
        <v>MAR</v>
      </c>
      <c r="C127" s="436" t="s">
        <v>272</v>
      </c>
      <c r="D127" s="455">
        <f t="shared" ref="D127:D136" si="283">DATE(YEAR(H$113),VLOOKUP(B127,J$114:K$125,2,FALSE),VLOOKUP(B127,J$114:L$125,3,FALSE))</f>
        <v>45382</v>
      </c>
      <c r="E127" s="379">
        <v>12</v>
      </c>
      <c r="F127" s="379">
        <v>12</v>
      </c>
      <c r="G127" s="985" t="str">
        <f>IF($C$121=1,"",VLOOKUP(VLOOKUP(E127,CASSA!$L$180:$R$545,6,FALSE),$H$113:$I$478,2,FALSE))</f>
        <v/>
      </c>
      <c r="H127" s="83">
        <f>CASSA!E194</f>
        <v>45306</v>
      </c>
      <c r="I127" s="985" t="str">
        <f t="shared" si="281"/>
        <v/>
      </c>
      <c r="J127" s="294" t="b">
        <f>IF(C$11=J134,TRUE,FALSE)</f>
        <v>0</v>
      </c>
      <c r="K127" s="149" t="s">
        <v>113</v>
      </c>
      <c r="L127" s="223">
        <v>1</v>
      </c>
      <c r="M127" s="225">
        <f>I10-G10+1</f>
        <v>1</v>
      </c>
      <c r="N127" s="125" t="s">
        <v>121</v>
      </c>
      <c r="O127" s="25"/>
    </row>
    <row r="128" spans="1:15" hidden="1" x14ac:dyDescent="0.2">
      <c r="A128" s="25"/>
      <c r="B128" s="435" t="str">
        <f t="shared" si="282"/>
        <v>APR</v>
      </c>
      <c r="C128" s="436" t="s">
        <v>274</v>
      </c>
      <c r="D128" s="455">
        <f t="shared" si="283"/>
        <v>45412</v>
      </c>
      <c r="E128" s="379">
        <v>13</v>
      </c>
      <c r="F128" s="379">
        <v>13</v>
      </c>
      <c r="G128" s="985" t="str">
        <f>IF($C$121=1,"",VLOOKUP(VLOOKUP(E128,CASSA!$L$180:$R$545,6,FALSE),$H$113:$I$478,2,FALSE))</f>
        <v/>
      </c>
      <c r="H128" s="83">
        <f>CASSA!E195</f>
        <v>45307</v>
      </c>
      <c r="I128" s="985" t="str">
        <f t="shared" si="281"/>
        <v/>
      </c>
      <c r="J128" s="294" t="b">
        <f>IF(C$11=J135,TRUE,FALSE)</f>
        <v>0</v>
      </c>
      <c r="K128" s="149" t="str">
        <f>CONCATENATE("Mese ",E$13)</f>
        <v xml:space="preserve">Mese </v>
      </c>
      <c r="L128" s="223">
        <v>2</v>
      </c>
      <c r="M128" s="225" t="e">
        <f>VLOOKUP(E13,J114:L125,3,FALSE)</f>
        <v>#N/A</v>
      </c>
      <c r="N128" s="125" t="str">
        <f>CONCATENATE("Singolo mese specificato [ ",E$13," ]")</f>
        <v>Singolo mese specificato [  ]</v>
      </c>
      <c r="O128" s="25"/>
    </row>
    <row r="129" spans="1:16" hidden="1" x14ac:dyDescent="0.2">
      <c r="A129" s="25"/>
      <c r="B129" s="435" t="str">
        <f t="shared" si="282"/>
        <v>MAG</v>
      </c>
      <c r="C129" s="436" t="s">
        <v>275</v>
      </c>
      <c r="D129" s="455">
        <f t="shared" si="283"/>
        <v>45443</v>
      </c>
      <c r="E129" s="379">
        <v>14</v>
      </c>
      <c r="F129" s="379">
        <v>14</v>
      </c>
      <c r="G129" s="985" t="str">
        <f>IF($C$121=1,"",VLOOKUP(VLOOKUP(E129,CASSA!$L$180:$R$545,6,FALSE),$H$113:$I$478,2,FALSE))</f>
        <v>Disattivato</v>
      </c>
      <c r="H129" s="83">
        <f>CASSA!E196</f>
        <v>45308</v>
      </c>
      <c r="I129" s="985" t="str">
        <f t="shared" si="281"/>
        <v/>
      </c>
      <c r="J129" s="294" t="b">
        <f>IF(C$11=J136,TRUE,FALSE)</f>
        <v>0</v>
      </c>
      <c r="K129" s="149" t="s">
        <v>119</v>
      </c>
      <c r="L129" s="243">
        <v>4</v>
      </c>
      <c r="M129" s="225">
        <f>I13-G13+1</f>
        <v>1</v>
      </c>
      <c r="N129" s="125" t="str">
        <f>CONCATENATE("Date specificate  dal ",TEXT(G$13,"gg/mm/aaaa")," al ",TEXT(I$13,"gg/mm/aaaa"))</f>
        <v>Date specificate  dal 00/01/1900 al 00/01/1900</v>
      </c>
      <c r="O129" s="25"/>
    </row>
    <row r="130" spans="1:16" hidden="1" x14ac:dyDescent="0.2">
      <c r="A130" s="25"/>
      <c r="B130" s="435" t="str">
        <f t="shared" si="282"/>
        <v>GIU</v>
      </c>
      <c r="C130" s="436" t="s">
        <v>276</v>
      </c>
      <c r="D130" s="455">
        <f t="shared" si="283"/>
        <v>45473</v>
      </c>
      <c r="E130" s="379">
        <v>15</v>
      </c>
      <c r="F130" s="379">
        <v>15</v>
      </c>
      <c r="G130" s="985" t="str">
        <f>IF($C$121=1,"",VLOOKUP(VLOOKUP(E130,CASSA!$L$180:$R$545,6,FALSE),$H$113:$I$478,2,FALSE))</f>
        <v>Disattivato</v>
      </c>
      <c r="H130" s="83">
        <f>CASSA!E197</f>
        <v>45309</v>
      </c>
      <c r="I130" s="985" t="str">
        <f t="shared" si="281"/>
        <v/>
      </c>
      <c r="J130" s="294" t="b">
        <f>IF(C$11=J137,TRUE,FALSE)</f>
        <v>0</v>
      </c>
      <c r="K130" s="149" t="s">
        <v>120</v>
      </c>
      <c r="L130" s="243">
        <v>5</v>
      </c>
      <c r="M130" s="406">
        <f>I10-G10+1</f>
        <v>1</v>
      </c>
      <c r="N130" s="125" t="str">
        <f>CONCATENATE("Settimane specificate dalla ",CONCATENATE(G$15," °")," alla ",CONCATENATE(I$15," °"))</f>
        <v>Settimane specificate dalla  ° alla  °</v>
      </c>
      <c r="O130" s="25"/>
    </row>
    <row r="131" spans="1:16" hidden="1" x14ac:dyDescent="0.2">
      <c r="A131" s="25"/>
      <c r="B131" s="435" t="str">
        <f t="shared" si="282"/>
        <v>LUG</v>
      </c>
      <c r="C131" s="436" t="s">
        <v>278</v>
      </c>
      <c r="D131" s="455">
        <f t="shared" si="283"/>
        <v>45504</v>
      </c>
      <c r="E131" s="379">
        <v>16</v>
      </c>
      <c r="F131" s="379">
        <v>16</v>
      </c>
      <c r="G131" s="985" t="str">
        <f>IF($C$121=1,"",VLOOKUP(VLOOKUP(E131,CASSA!$L$180:$R$545,6,FALSE),$H$113:$I$478,2,FALSE))</f>
        <v>Disattivato</v>
      </c>
      <c r="H131" s="83">
        <f>CASSA!E198</f>
        <v>45310</v>
      </c>
      <c r="I131" s="985" t="str">
        <f t="shared" si="281"/>
        <v/>
      </c>
      <c r="J131" s="294" t="b">
        <f>IF(C$11=J138,TRUE,FALSE)</f>
        <v>0</v>
      </c>
      <c r="K131" s="224" t="str">
        <f>CONCATENATE("ANNO ",RIEPILOGO!T4)</f>
        <v>ANNO 2024</v>
      </c>
      <c r="L131" s="243">
        <v>3</v>
      </c>
      <c r="M131" s="406">
        <f>I10-G10+1</f>
        <v>1</v>
      </c>
      <c r="N131" s="125" t="str">
        <f>CONCATENATE("Totali nel sistema per ",K131)</f>
        <v>Totali nel sistema per ANNO 2024</v>
      </c>
      <c r="O131" s="25"/>
    </row>
    <row r="132" spans="1:16" hidden="1" x14ac:dyDescent="0.2">
      <c r="A132" s="25"/>
      <c r="B132" s="435" t="str">
        <f t="shared" si="282"/>
        <v>AGO</v>
      </c>
      <c r="C132" s="436" t="s">
        <v>279</v>
      </c>
      <c r="D132" s="455">
        <f t="shared" si="283"/>
        <v>45535</v>
      </c>
      <c r="E132" s="379">
        <v>17</v>
      </c>
      <c r="F132" s="379">
        <v>17</v>
      </c>
      <c r="G132" s="985" t="str">
        <f>IF($C$121=1,"",VLOOKUP(VLOOKUP(E132,CASSA!$L$180:$R$545,6,FALSE),$H$113:$I$478,2,FALSE))</f>
        <v>Disattivato</v>
      </c>
      <c r="H132" s="83">
        <f>CASSA!E199</f>
        <v>45311</v>
      </c>
      <c r="I132" s="985" t="str">
        <f t="shared" si="281"/>
        <v/>
      </c>
      <c r="J132" s="25"/>
      <c r="K132" s="25"/>
      <c r="L132" s="25"/>
      <c r="M132" s="25"/>
      <c r="N132" s="25"/>
      <c r="O132" s="25"/>
    </row>
    <row r="133" spans="1:16" hidden="1" x14ac:dyDescent="0.2">
      <c r="A133" s="25"/>
      <c r="B133" s="435" t="str">
        <f t="shared" si="282"/>
        <v>SET</v>
      </c>
      <c r="C133" s="436" t="s">
        <v>280</v>
      </c>
      <c r="D133" s="455">
        <f t="shared" si="283"/>
        <v>45565</v>
      </c>
      <c r="E133" s="379">
        <v>18</v>
      </c>
      <c r="F133" s="379">
        <v>18</v>
      </c>
      <c r="G133" s="985" t="str">
        <f>IF($C$121=1,"",VLOOKUP(VLOOKUP(E133,CASSA!$L$180:$R$545,6,FALSE),$H$113:$I$478,2,FALSE))</f>
        <v>Disattivato</v>
      </c>
      <c r="H133" s="83">
        <f>CASSA!E200</f>
        <v>45312</v>
      </c>
      <c r="I133" s="985" t="str">
        <f t="shared" si="281"/>
        <v/>
      </c>
      <c r="J133" s="1897"/>
      <c r="K133" s="1899"/>
      <c r="L133" s="125">
        <v>0</v>
      </c>
      <c r="M133" s="25"/>
      <c r="N133" s="25"/>
      <c r="O133" s="25"/>
    </row>
    <row r="134" spans="1:16" hidden="1" x14ac:dyDescent="0.2">
      <c r="A134" s="25"/>
      <c r="B134" s="435" t="str">
        <f t="shared" si="282"/>
        <v>OTT</v>
      </c>
      <c r="C134" s="436" t="s">
        <v>282</v>
      </c>
      <c r="D134" s="455">
        <f t="shared" si="283"/>
        <v>45596</v>
      </c>
      <c r="E134" s="379">
        <v>19</v>
      </c>
      <c r="F134" s="379">
        <v>19</v>
      </c>
      <c r="G134" s="985" t="str">
        <f>IF($C$121=1,"",VLOOKUP(VLOOKUP(E134,CASSA!$L$180:$R$545,6,FALSE),$H$113:$I$478,2,FALSE))</f>
        <v>Disattivato</v>
      </c>
      <c r="H134" s="83">
        <f>CASSA!E201</f>
        <v>45313</v>
      </c>
      <c r="I134" s="985" t="str">
        <f t="shared" si="281"/>
        <v/>
      </c>
      <c r="J134" s="1897" t="s">
        <v>574</v>
      </c>
      <c r="K134" s="1899"/>
      <c r="L134" s="125">
        <v>2</v>
      </c>
      <c r="M134" s="25"/>
      <c r="N134" s="25"/>
      <c r="O134" s="25"/>
    </row>
    <row r="135" spans="1:16" hidden="1" x14ac:dyDescent="0.2">
      <c r="A135" s="25"/>
      <c r="B135" s="435" t="str">
        <f t="shared" si="282"/>
        <v>NOV</v>
      </c>
      <c r="C135" s="436" t="s">
        <v>283</v>
      </c>
      <c r="D135" s="455">
        <f t="shared" si="283"/>
        <v>45626</v>
      </c>
      <c r="E135" s="379">
        <v>20</v>
      </c>
      <c r="F135" s="379">
        <v>20</v>
      </c>
      <c r="G135" s="985" t="str">
        <f>IF($C$121=1,"",VLOOKUP(VLOOKUP(E135,CASSA!$L$180:$R$545,6,FALSE),$H$113:$I$478,2,FALSE))</f>
        <v>Disattivato</v>
      </c>
      <c r="H135" s="83">
        <f>CASSA!E202</f>
        <v>45314</v>
      </c>
      <c r="I135" s="985" t="str">
        <f t="shared" si="281"/>
        <v/>
      </c>
      <c r="J135" s="1897" t="s">
        <v>575</v>
      </c>
      <c r="K135" s="1899"/>
      <c r="L135" s="125">
        <v>1</v>
      </c>
      <c r="M135" s="25"/>
      <c r="N135" s="25"/>
      <c r="O135" s="25"/>
    </row>
    <row r="136" spans="1:16" hidden="1" x14ac:dyDescent="0.2">
      <c r="A136" s="25"/>
      <c r="B136" s="437" t="str">
        <f t="shared" si="282"/>
        <v>DIC</v>
      </c>
      <c r="C136" s="438" t="s">
        <v>284</v>
      </c>
      <c r="D136" s="455">
        <f t="shared" si="283"/>
        <v>45657</v>
      </c>
      <c r="E136" s="379">
        <v>21</v>
      </c>
      <c r="F136" s="379">
        <v>21</v>
      </c>
      <c r="G136" s="985" t="str">
        <f>IF($C$121=1,"",VLOOKUP(VLOOKUP(E136,CASSA!$L$180:$R$545,6,FALSE),$H$113:$I$478,2,FALSE))</f>
        <v>Disattivato</v>
      </c>
      <c r="H136" s="83">
        <f>CASSA!E203</f>
        <v>45315</v>
      </c>
      <c r="I136" s="985" t="str">
        <f t="shared" si="281"/>
        <v/>
      </c>
      <c r="J136" s="1897" t="s">
        <v>576</v>
      </c>
      <c r="K136" s="1899"/>
      <c r="L136" s="125">
        <v>1</v>
      </c>
      <c r="M136" s="25"/>
      <c r="N136" s="25"/>
      <c r="O136" s="25"/>
    </row>
    <row r="137" spans="1:16" hidden="1" x14ac:dyDescent="0.2">
      <c r="A137" s="25"/>
      <c r="B137" s="614"/>
      <c r="C137" s="614"/>
      <c r="D137" s="485">
        <f>D136-D124+1</f>
        <v>366</v>
      </c>
      <c r="E137" s="379">
        <v>22</v>
      </c>
      <c r="F137" s="379">
        <v>22</v>
      </c>
      <c r="G137" s="985" t="str">
        <f>IF($C$121=1,"",VLOOKUP(VLOOKUP(E137,CASSA!$L$180:$R$545,6,FALSE),$H$113:$I$478,2,FALSE))</f>
        <v>Disattivato</v>
      </c>
      <c r="H137" s="83">
        <f>CASSA!E204</f>
        <v>45316</v>
      </c>
      <c r="I137" s="985" t="str">
        <f t="shared" si="281"/>
        <v/>
      </c>
      <c r="J137" s="1897" t="s">
        <v>577</v>
      </c>
      <c r="K137" s="1899"/>
      <c r="L137" s="125">
        <v>1</v>
      </c>
      <c r="M137" s="25"/>
      <c r="N137" s="25"/>
      <c r="O137" s="25"/>
    </row>
    <row r="138" spans="1:16" hidden="1" x14ac:dyDescent="0.2">
      <c r="A138" s="25"/>
      <c r="B138" s="614"/>
      <c r="C138" s="614"/>
      <c r="D138" s="25"/>
      <c r="E138" s="379">
        <v>23</v>
      </c>
      <c r="F138" s="379">
        <v>23</v>
      </c>
      <c r="G138" s="985" t="str">
        <f>IF($C$121=1,"",VLOOKUP(VLOOKUP(E138,CASSA!$L$180:$R$545,6,FALSE),$H$113:$I$478,2,FALSE))</f>
        <v>Disattivato</v>
      </c>
      <c r="H138" s="83">
        <f>CASSA!E205</f>
        <v>45317</v>
      </c>
      <c r="I138" s="985" t="str">
        <f t="shared" si="281"/>
        <v/>
      </c>
      <c r="J138" s="1897" t="s">
        <v>41</v>
      </c>
      <c r="K138" s="1899"/>
      <c r="L138" s="125">
        <v>1</v>
      </c>
      <c r="M138" s="25"/>
      <c r="N138" s="25"/>
      <c r="O138" s="25"/>
    </row>
    <row r="139" spans="1:16" hidden="1" x14ac:dyDescent="0.2">
      <c r="A139" s="25"/>
      <c r="B139" s="25"/>
      <c r="C139" s="410" t="s">
        <v>471</v>
      </c>
      <c r="D139" s="25"/>
      <c r="E139" s="379">
        <v>24</v>
      </c>
      <c r="F139" s="379">
        <v>24</v>
      </c>
      <c r="G139" s="985" t="str">
        <f>IF($C$121=1,"",VLOOKUP(VLOOKUP(E139,CASSA!$L$180:$R$545,6,FALSE),$H$113:$I$478,2,FALSE))</f>
        <v>Disattivato</v>
      </c>
      <c r="H139" s="83">
        <f>CASSA!E206</f>
        <v>45318</v>
      </c>
      <c r="I139" s="985" t="str">
        <f t="shared" si="281"/>
        <v/>
      </c>
      <c r="J139" s="25"/>
      <c r="K139" s="25"/>
      <c r="L139" s="25"/>
      <c r="M139" s="25"/>
      <c r="N139" s="25"/>
      <c r="O139" s="25"/>
    </row>
    <row r="140" spans="1:16" hidden="1" x14ac:dyDescent="0.2">
      <c r="A140" s="25"/>
      <c r="B140" s="25"/>
      <c r="C140" s="411" t="s">
        <v>472</v>
      </c>
      <c r="D140" s="25"/>
      <c r="E140" s="379">
        <v>25</v>
      </c>
      <c r="F140" s="379">
        <v>25</v>
      </c>
      <c r="G140" s="985" t="str">
        <f>IF($C$121=1,"",VLOOKUP(VLOOKUP(E140,CASSA!$L$180:$R$545,6,FALSE),$H$113:$I$478,2,FALSE))</f>
        <v>Disattivato</v>
      </c>
      <c r="H140" s="83">
        <f>CASSA!E207</f>
        <v>45319</v>
      </c>
      <c r="I140" s="985" t="str">
        <f t="shared" si="281"/>
        <v/>
      </c>
      <c r="J140" s="25"/>
      <c r="K140" s="25"/>
      <c r="L140" s="25"/>
      <c r="M140" s="25"/>
      <c r="N140" s="25"/>
      <c r="O140" s="25"/>
    </row>
    <row r="141" spans="1:16" hidden="1" x14ac:dyDescent="0.2">
      <c r="A141" s="25"/>
      <c r="B141" s="25"/>
      <c r="C141" s="25"/>
      <c r="D141" s="25"/>
      <c r="E141" s="379">
        <v>26</v>
      </c>
      <c r="F141" s="379">
        <v>26</v>
      </c>
      <c r="G141" s="985" t="str">
        <f>IF($C$121=1,"",VLOOKUP(VLOOKUP(E141,CASSA!$L$180:$R$545,6,FALSE),$H$113:$I$478,2,FALSE))</f>
        <v>Disattivato</v>
      </c>
      <c r="H141" s="83">
        <f>CASSA!E208</f>
        <v>45320</v>
      </c>
      <c r="I141" s="985" t="str">
        <f t="shared" si="281"/>
        <v/>
      </c>
      <c r="J141" s="410" t="s">
        <v>122</v>
      </c>
      <c r="K141" s="25"/>
      <c r="L141" s="25"/>
      <c r="M141" s="25"/>
      <c r="N141" s="25"/>
      <c r="O141" s="25"/>
      <c r="P141" s="39"/>
    </row>
    <row r="142" spans="1:16" hidden="1" x14ac:dyDescent="0.2">
      <c r="A142" s="25"/>
      <c r="B142" s="25"/>
      <c r="C142" s="25"/>
      <c r="D142" s="25"/>
      <c r="E142" s="379">
        <v>27</v>
      </c>
      <c r="F142" s="379">
        <v>27</v>
      </c>
      <c r="G142" s="985" t="str">
        <f>IF($C$121=1,"",VLOOKUP(VLOOKUP(E142,CASSA!$L$180:$R$545,6,FALSE),$H$113:$I$478,2,FALSE))</f>
        <v>Disattivato</v>
      </c>
      <c r="H142" s="83">
        <f>CASSA!E209</f>
        <v>45321</v>
      </c>
      <c r="I142" s="985" t="str">
        <f t="shared" si="281"/>
        <v/>
      </c>
      <c r="J142" s="979" t="str">
        <f>VLOOKUP(TRUE,J152:O153,5,FALSE)</f>
        <v>Selezione per DATE dal</v>
      </c>
      <c r="K142" s="25"/>
      <c r="L142" s="25"/>
      <c r="M142" s="971" t="str">
        <f>IF(J152,CONCATENATE(TEXT(K148,"gg/mm/aaaa")," ",VLOOKUP(TRUE,J152:O153,6,FALSE)," ",TEXT(K149,"gg/mm/aaaa")),CONCATENATE(CONCATENATE(J148," °")," ",VLOOKUP(TRUE,J152:O153,6,FALSE)," ",CONCATENATE(J149," °")))</f>
        <v>00/01/1900 al 00/01/1900</v>
      </c>
      <c r="N142" s="25"/>
      <c r="O142" s="25"/>
      <c r="P142" s="39"/>
    </row>
    <row r="143" spans="1:16" hidden="1" x14ac:dyDescent="0.2">
      <c r="A143" s="614"/>
      <c r="B143" s="25"/>
      <c r="C143" s="25"/>
      <c r="D143" s="25"/>
      <c r="E143" s="379">
        <v>28</v>
      </c>
      <c r="F143" s="379">
        <v>28</v>
      </c>
      <c r="G143" s="985" t="str">
        <f>IF($C$121=1,"",VLOOKUP(VLOOKUP(E143,CASSA!$L$180:$R$545,6,FALSE),$H$113:$I$478,2,FALSE))</f>
        <v>Disattivato</v>
      </c>
      <c r="H143" s="83">
        <f>CASSA!E210</f>
        <v>45322</v>
      </c>
      <c r="I143" s="985" t="str">
        <f t="shared" si="281"/>
        <v/>
      </c>
      <c r="J143" s="410" t="s">
        <v>123</v>
      </c>
      <c r="K143" s="25"/>
      <c r="L143" s="25"/>
      <c r="M143" s="25"/>
      <c r="N143" s="25"/>
      <c r="O143" s="25"/>
      <c r="P143" s="39"/>
    </row>
    <row r="144" spans="1:16" hidden="1" x14ac:dyDescent="0.2">
      <c r="B144" s="39"/>
      <c r="C144" s="39"/>
      <c r="D144" s="39"/>
      <c r="E144" s="379">
        <v>29</v>
      </c>
      <c r="F144" s="379">
        <v>29</v>
      </c>
      <c r="G144" s="985" t="str">
        <f>IF($C$121=1,"",VLOOKUP(VLOOKUP(E144,CASSA!$L$180:$R$545,6,FALSE),$H$113:$I$478,2,FALSE))</f>
        <v>Disattivato</v>
      </c>
      <c r="H144" s="83">
        <f>CASSA!E211</f>
        <v>45323</v>
      </c>
      <c r="I144" s="985" t="str">
        <f t="shared" si="281"/>
        <v/>
      </c>
      <c r="J144" s="411" t="str">
        <f>IF(ISERROR(VLOOKUP(TRUE,J127:N131,5,FALSE))," NON SELEZIONATO",VLOOKUP(TRUE,J127:N131,5,FALSE))</f>
        <v xml:space="preserve"> NON SELEZIONATO</v>
      </c>
      <c r="K144" s="25"/>
      <c r="L144" s="25"/>
      <c r="M144" s="25"/>
      <c r="N144" s="25"/>
      <c r="O144" s="25"/>
      <c r="P144" s="39"/>
    </row>
    <row r="145" spans="5:16" hidden="1" x14ac:dyDescent="0.2">
      <c r="E145" s="379">
        <v>30</v>
      </c>
      <c r="F145" s="379">
        <v>30</v>
      </c>
      <c r="G145" s="985" t="str">
        <f>IF($C$121=1,"",VLOOKUP(VLOOKUP(E145,CASSA!$L$180:$R$545,6,FALSE),$H$113:$I$478,2,FALSE))</f>
        <v>Disattivato</v>
      </c>
      <c r="H145" s="83">
        <f>CASSA!E212</f>
        <v>45324</v>
      </c>
      <c r="I145" s="985" t="str">
        <f t="shared" si="281"/>
        <v/>
      </c>
      <c r="J145" s="25"/>
      <c r="K145" s="25"/>
      <c r="L145" s="25"/>
      <c r="M145" s="25"/>
      <c r="N145" s="25"/>
      <c r="O145" s="25"/>
      <c r="P145" s="39"/>
    </row>
    <row r="146" spans="5:16" hidden="1" x14ac:dyDescent="0.2">
      <c r="E146" s="379">
        <v>31</v>
      </c>
      <c r="F146" s="379">
        <v>31</v>
      </c>
      <c r="G146" s="985" t="str">
        <f>IF($C$121=1,"",VLOOKUP(VLOOKUP(E146,CASSA!$L$180:$R$545,6,FALSE),$H$113:$I$478,2,FALSE))</f>
        <v>Disattivato</v>
      </c>
      <c r="H146" s="83">
        <f>CASSA!E213</f>
        <v>45325</v>
      </c>
      <c r="I146" s="985" t="str">
        <f t="shared" si="281"/>
        <v/>
      </c>
      <c r="J146" s="117" t="str">
        <f>CONCATENATE(J141," ",J142," ",M142,"  |  ",J143," ",J144)</f>
        <v>Impostazioni attive: Selezione per DATE dal 00/01/1900 al 00/01/1900  |  A confronto con:  NON SELEZIONATO</v>
      </c>
      <c r="K146" s="25"/>
      <c r="L146" s="25"/>
      <c r="M146" s="25"/>
      <c r="N146" s="25"/>
      <c r="O146" s="25"/>
      <c r="P146" s="39"/>
    </row>
    <row r="147" spans="5:16" hidden="1" x14ac:dyDescent="0.2">
      <c r="E147" s="379">
        <v>32</v>
      </c>
      <c r="F147" s="379">
        <v>32</v>
      </c>
      <c r="G147" s="985" t="str">
        <f>IF($C$121=1,"",VLOOKUP(VLOOKUP(E147,CASSA!$L$180:$R$545,6,FALSE),$H$113:$I$478,2,FALSE))</f>
        <v>Disattivato</v>
      </c>
      <c r="H147" s="83">
        <f>CASSA!E214</f>
        <v>45326</v>
      </c>
      <c r="I147" s="985" t="str">
        <f t="shared" si="281"/>
        <v/>
      </c>
      <c r="J147" s="25"/>
      <c r="K147" s="25"/>
      <c r="L147" s="25"/>
      <c r="M147" s="25"/>
      <c r="N147" s="25"/>
      <c r="O147" s="25"/>
      <c r="P147" s="39"/>
    </row>
    <row r="148" spans="5:16" hidden="1" x14ac:dyDescent="0.2">
      <c r="E148" s="379">
        <v>33</v>
      </c>
      <c r="F148" s="379">
        <v>33</v>
      </c>
      <c r="G148" s="985" t="str">
        <f>IF($C$121=1,"",VLOOKUP(VLOOKUP(E148,CASSA!$L$180:$R$545,6,FALSE),$H$113:$I$478,2,FALSE))</f>
        <v>Disattivato</v>
      </c>
      <c r="H148" s="83">
        <f>CASSA!E215</f>
        <v>45327</v>
      </c>
      <c r="I148" s="985" t="str">
        <f t="shared" si="281"/>
        <v/>
      </c>
      <c r="J148" s="412">
        <f>D7</f>
        <v>0</v>
      </c>
      <c r="K148" s="294">
        <f>D5</f>
        <v>0</v>
      </c>
      <c r="L148" s="25"/>
      <c r="M148" s="25"/>
      <c r="N148" s="25"/>
      <c r="O148" s="25"/>
      <c r="P148" s="39"/>
    </row>
    <row r="149" spans="5:16" hidden="1" x14ac:dyDescent="0.2">
      <c r="E149" s="379">
        <v>34</v>
      </c>
      <c r="F149" s="379">
        <v>34</v>
      </c>
      <c r="G149" s="985" t="str">
        <f>IF($C$121=1,"",VLOOKUP(VLOOKUP(E149,CASSA!$L$180:$R$545,6,FALSE),$H$113:$I$478,2,FALSE))</f>
        <v>Disattivato</v>
      </c>
      <c r="H149" s="83">
        <f>CASSA!E216</f>
        <v>45328</v>
      </c>
      <c r="I149" s="985" t="str">
        <f t="shared" si="281"/>
        <v/>
      </c>
      <c r="J149" s="412">
        <f>E7</f>
        <v>0</v>
      </c>
      <c r="K149" s="294">
        <f>E5</f>
        <v>0</v>
      </c>
      <c r="L149" s="25"/>
      <c r="M149" s="25"/>
      <c r="N149" s="25"/>
      <c r="O149" s="25"/>
      <c r="P149" s="39"/>
    </row>
    <row r="150" spans="5:16" hidden="1" x14ac:dyDescent="0.2">
      <c r="E150" s="379">
        <v>35</v>
      </c>
      <c r="F150" s="379">
        <v>35</v>
      </c>
      <c r="G150" s="985" t="str">
        <f>IF($C$121=1,"",VLOOKUP(VLOOKUP(E150,CASSA!$L$180:$R$545,6,FALSE),$H$113:$I$478,2,FALSE))</f>
        <v>Disattivato</v>
      </c>
      <c r="H150" s="83">
        <f>CASSA!E217</f>
        <v>45329</v>
      </c>
      <c r="I150" s="985" t="str">
        <f t="shared" si="281"/>
        <v/>
      </c>
      <c r="J150" s="25"/>
      <c r="K150" s="25"/>
      <c r="L150" s="25"/>
      <c r="M150" s="25"/>
      <c r="N150" s="25"/>
      <c r="O150" s="25"/>
      <c r="P150" s="39"/>
    </row>
    <row r="151" spans="5:16" hidden="1" x14ac:dyDescent="0.2">
      <c r="E151" s="379">
        <v>36</v>
      </c>
      <c r="F151" s="379">
        <v>36</v>
      </c>
      <c r="G151" s="985" t="str">
        <f>IF($C$121=1,"",VLOOKUP(VLOOKUP(E151,CASSA!$L$180:$R$545,6,FALSE),$H$113:$I$478,2,FALSE))</f>
        <v>Disattivato</v>
      </c>
      <c r="H151" s="83">
        <f>CASSA!E218</f>
        <v>45330</v>
      </c>
      <c r="I151" s="985" t="str">
        <f t="shared" si="281"/>
        <v/>
      </c>
      <c r="J151" s="614"/>
      <c r="K151" s="976"/>
      <c r="L151" s="614"/>
      <c r="M151" s="614"/>
      <c r="N151" s="614"/>
      <c r="O151" s="614"/>
      <c r="P151" s="39"/>
    </row>
    <row r="152" spans="5:16" hidden="1" x14ac:dyDescent="0.2">
      <c r="E152" s="379">
        <v>37</v>
      </c>
      <c r="F152" s="379">
        <v>37</v>
      </c>
      <c r="G152" s="985" t="str">
        <f>IF($C$121=1,"",VLOOKUP(VLOOKUP(E152,CASSA!$L$180:$R$545,6,FALSE),$H$113:$I$478,2,FALSE))</f>
        <v>Disattivato</v>
      </c>
      <c r="H152" s="83">
        <f>CASSA!E219</f>
        <v>45331</v>
      </c>
      <c r="I152" s="985" t="str">
        <f t="shared" si="281"/>
        <v/>
      </c>
      <c r="J152" s="972" t="b">
        <f>IF(B$5=K152,TRUE,FALSE)</f>
        <v>1</v>
      </c>
      <c r="K152" s="977" t="s">
        <v>101</v>
      </c>
      <c r="L152" s="974" t="s">
        <v>117</v>
      </c>
      <c r="M152" s="967" t="s">
        <v>118</v>
      </c>
      <c r="N152" s="967" t="s">
        <v>124</v>
      </c>
      <c r="O152" s="968" t="s">
        <v>125</v>
      </c>
      <c r="P152" s="39"/>
    </row>
    <row r="153" spans="5:16" hidden="1" x14ac:dyDescent="0.2">
      <c r="E153" s="379">
        <v>38</v>
      </c>
      <c r="F153" s="379">
        <v>38</v>
      </c>
      <c r="G153" s="985" t="str">
        <f>IF($C$121=1,"",VLOOKUP(VLOOKUP(E153,CASSA!$L$180:$R$545,6,FALSE),$H$113:$I$478,2,FALSE))</f>
        <v>Disattivato</v>
      </c>
      <c r="H153" s="83">
        <f>CASSA!E220</f>
        <v>45332</v>
      </c>
      <c r="I153" s="985" t="str">
        <f t="shared" si="281"/>
        <v/>
      </c>
      <c r="J153" s="973" t="b">
        <f>IF(B$5=K153,TRUE,FALSE)</f>
        <v>0</v>
      </c>
      <c r="K153" s="978" t="s">
        <v>102</v>
      </c>
      <c r="L153" s="975" t="s">
        <v>321</v>
      </c>
      <c r="M153" s="969" t="s">
        <v>104</v>
      </c>
      <c r="N153" s="969" t="s">
        <v>126</v>
      </c>
      <c r="O153" s="970" t="s">
        <v>127</v>
      </c>
      <c r="P153" s="39"/>
    </row>
    <row r="154" spans="5:16" hidden="1" x14ac:dyDescent="0.2">
      <c r="E154" s="379">
        <v>39</v>
      </c>
      <c r="F154" s="379">
        <v>39</v>
      </c>
      <c r="G154" s="985" t="str">
        <f>IF($C$121=1,"",VLOOKUP(VLOOKUP(E154,CASSA!$L$180:$R$545,6,FALSE),$H$113:$I$478,2,FALSE))</f>
        <v>Disattivato</v>
      </c>
      <c r="H154" s="83">
        <f>CASSA!E221</f>
        <v>45333</v>
      </c>
      <c r="I154" s="985" t="str">
        <f t="shared" si="281"/>
        <v/>
      </c>
      <c r="J154" s="614"/>
      <c r="K154" s="614"/>
      <c r="L154" s="614"/>
      <c r="M154" s="614"/>
      <c r="N154" s="614"/>
      <c r="O154" s="614"/>
      <c r="P154" s="39"/>
    </row>
    <row r="155" spans="5:16" hidden="1" x14ac:dyDescent="0.2">
      <c r="E155" s="379">
        <v>40</v>
      </c>
      <c r="F155" s="379">
        <v>40</v>
      </c>
      <c r="G155" s="985" t="str">
        <f>IF($C$121=1,"",VLOOKUP(VLOOKUP(E155,CASSA!$L$180:$R$545,6,FALSE),$H$113:$I$478,2,FALSE))</f>
        <v>Disattivato</v>
      </c>
      <c r="H155" s="83">
        <f>CASSA!E222</f>
        <v>45334</v>
      </c>
      <c r="I155" s="985" t="str">
        <f t="shared" si="281"/>
        <v/>
      </c>
      <c r="J155" s="614"/>
      <c r="K155" s="614"/>
      <c r="L155" s="1005" t="str">
        <f>K152</f>
        <v>Seleziona per data</v>
      </c>
      <c r="M155" s="1006" t="s">
        <v>570</v>
      </c>
      <c r="N155" s="1007" t="s">
        <v>571</v>
      </c>
      <c r="O155" s="2341" t="s">
        <v>564</v>
      </c>
      <c r="P155" s="39"/>
    </row>
    <row r="156" spans="5:16" hidden="1" x14ac:dyDescent="0.2">
      <c r="E156" s="379">
        <v>41</v>
      </c>
      <c r="F156" s="379">
        <v>41</v>
      </c>
      <c r="G156" s="985" t="str">
        <f>IF($C$121=1,"",VLOOKUP(VLOOKUP(E156,CASSA!$L$180:$R$545,6,FALSE),$H$113:$I$478,2,FALSE))</f>
        <v>Disattivato</v>
      </c>
      <c r="H156" s="83">
        <f>CASSA!E223</f>
        <v>45335</v>
      </c>
      <c r="I156" s="985" t="str">
        <f t="shared" si="281"/>
        <v/>
      </c>
      <c r="J156" s="614"/>
      <c r="K156" s="614"/>
      <c r="L156" s="1005" t="str">
        <f>K153</f>
        <v>Seleziona per settimana</v>
      </c>
      <c r="M156" s="1008" t="s">
        <v>572</v>
      </c>
      <c r="N156" s="1009" t="s">
        <v>573</v>
      </c>
      <c r="O156" s="2342"/>
      <c r="P156" s="39"/>
    </row>
    <row r="157" spans="5:16" hidden="1" x14ac:dyDescent="0.2">
      <c r="E157" s="379">
        <v>42</v>
      </c>
      <c r="F157" s="379">
        <v>42</v>
      </c>
      <c r="G157" s="985" t="str">
        <f>IF($C$121=1,"",VLOOKUP(VLOOKUP(E157,CASSA!$L$180:$R$545,6,FALSE),$H$113:$I$478,2,FALSE))</f>
        <v>Disattivato</v>
      </c>
      <c r="H157" s="83">
        <f>CASSA!E224</f>
        <v>45336</v>
      </c>
      <c r="I157" s="985" t="str">
        <f t="shared" si="281"/>
        <v/>
      </c>
      <c r="J157" s="614"/>
      <c r="K157" s="614"/>
      <c r="L157" s="614"/>
      <c r="M157" s="614"/>
      <c r="N157" s="614"/>
      <c r="O157" s="614"/>
      <c r="P157" s="39"/>
    </row>
    <row r="158" spans="5:16" hidden="1" x14ac:dyDescent="0.2">
      <c r="E158" s="379">
        <v>43</v>
      </c>
      <c r="F158" s="379">
        <v>43</v>
      </c>
      <c r="G158" s="985" t="str">
        <f>IF($C$121=1,"",VLOOKUP(VLOOKUP(E158,CASSA!$L$180:$R$545,6,FALSE),$H$113:$I$478,2,FALSE))</f>
        <v>Disattivato</v>
      </c>
      <c r="H158" s="83">
        <f>CASSA!E225</f>
        <v>45337</v>
      </c>
      <c r="I158" s="985" t="str">
        <f t="shared" si="281"/>
        <v/>
      </c>
      <c r="J158" s="39"/>
      <c r="K158" s="39"/>
      <c r="L158" s="39"/>
      <c r="M158" s="39"/>
      <c r="N158" s="39"/>
      <c r="O158" s="39"/>
      <c r="P158" s="39"/>
    </row>
    <row r="159" spans="5:16" hidden="1" x14ac:dyDescent="0.2">
      <c r="E159" s="379">
        <v>44</v>
      </c>
      <c r="F159" s="379">
        <v>44</v>
      </c>
      <c r="G159" s="985" t="str">
        <f>IF($C$121=1,"",VLOOKUP(VLOOKUP(E159,CASSA!$L$180:$R$545,6,FALSE),$H$113:$I$478,2,FALSE))</f>
        <v>Disattivato</v>
      </c>
      <c r="H159" s="83">
        <f>CASSA!E226</f>
        <v>45338</v>
      </c>
      <c r="I159" s="985" t="str">
        <f t="shared" si="281"/>
        <v/>
      </c>
      <c r="J159" s="39"/>
      <c r="K159" s="39"/>
      <c r="L159" s="39"/>
      <c r="M159" s="39"/>
      <c r="N159" s="39"/>
      <c r="O159" s="39"/>
      <c r="P159" s="39"/>
    </row>
    <row r="160" spans="5:16" hidden="1" x14ac:dyDescent="0.2">
      <c r="E160" s="379">
        <v>45</v>
      </c>
      <c r="F160" s="379">
        <v>45</v>
      </c>
      <c r="G160" s="985" t="str">
        <f>IF($C$121=1,"",VLOOKUP(VLOOKUP(E160,CASSA!$L$180:$R$545,6,FALSE),$H$113:$I$478,2,FALSE))</f>
        <v>Disattivato</v>
      </c>
      <c r="H160" s="83">
        <f>CASSA!E227</f>
        <v>45339</v>
      </c>
      <c r="I160" s="985" t="str">
        <f t="shared" si="281"/>
        <v/>
      </c>
      <c r="J160" s="39"/>
      <c r="K160" s="39"/>
      <c r="L160" s="39"/>
      <c r="M160" s="39"/>
      <c r="N160" s="39"/>
      <c r="O160" s="39"/>
      <c r="P160" s="39"/>
    </row>
    <row r="161" spans="5:16" hidden="1" x14ac:dyDescent="0.2">
      <c r="E161" s="379">
        <v>46</v>
      </c>
      <c r="F161" s="379">
        <v>46</v>
      </c>
      <c r="G161" s="985" t="str">
        <f>IF($C$121=1,"",VLOOKUP(VLOOKUP(E161,CASSA!$L$180:$R$545,6,FALSE),$H$113:$I$478,2,FALSE))</f>
        <v>Disattivato</v>
      </c>
      <c r="H161" s="83">
        <f>CASSA!E228</f>
        <v>45340</v>
      </c>
      <c r="I161" s="985" t="str">
        <f t="shared" si="281"/>
        <v/>
      </c>
      <c r="J161" s="39"/>
      <c r="K161" s="39"/>
      <c r="L161" s="39"/>
      <c r="M161" s="39"/>
      <c r="N161" s="39"/>
      <c r="O161" s="39"/>
      <c r="P161" s="39"/>
    </row>
    <row r="162" spans="5:16" hidden="1" x14ac:dyDescent="0.2">
      <c r="E162" s="379">
        <v>47</v>
      </c>
      <c r="F162" s="379">
        <v>47</v>
      </c>
      <c r="G162" s="985" t="str">
        <f>IF($C$121=1,"",VLOOKUP(VLOOKUP(E162,CASSA!$L$180:$R$545,6,FALSE),$H$113:$I$478,2,FALSE))</f>
        <v>Disattivato</v>
      </c>
      <c r="H162" s="83">
        <f>CASSA!E229</f>
        <v>45341</v>
      </c>
      <c r="I162" s="985" t="str">
        <f t="shared" si="281"/>
        <v/>
      </c>
      <c r="J162" s="39"/>
      <c r="K162" s="39"/>
      <c r="L162" s="39"/>
      <c r="M162" s="39"/>
      <c r="N162" s="39"/>
      <c r="O162" s="39"/>
      <c r="P162" s="39"/>
    </row>
    <row r="163" spans="5:16" hidden="1" x14ac:dyDescent="0.2">
      <c r="E163" s="379">
        <v>48</v>
      </c>
      <c r="F163" s="379">
        <v>48</v>
      </c>
      <c r="G163" s="985" t="str">
        <f>IF($C$121=1,"",VLOOKUP(VLOOKUP(E163,CASSA!$L$180:$R$545,6,FALSE),$H$113:$I$478,2,FALSE))</f>
        <v>Disattivato</v>
      </c>
      <c r="H163" s="83">
        <f>CASSA!E230</f>
        <v>45342</v>
      </c>
      <c r="I163" s="985" t="str">
        <f t="shared" si="281"/>
        <v/>
      </c>
      <c r="J163" s="39"/>
      <c r="K163" s="39"/>
      <c r="L163" s="39"/>
      <c r="M163" s="39"/>
      <c r="N163" s="39"/>
      <c r="O163" s="39"/>
      <c r="P163" s="39"/>
    </row>
    <row r="164" spans="5:16" hidden="1" x14ac:dyDescent="0.2">
      <c r="E164" s="379">
        <v>49</v>
      </c>
      <c r="F164" s="379">
        <v>49</v>
      </c>
      <c r="G164" s="985" t="str">
        <f>IF($C$121=1,"",VLOOKUP(VLOOKUP(E164,CASSA!$L$180:$R$545,6,FALSE),$H$113:$I$478,2,FALSE))</f>
        <v>Disattivato</v>
      </c>
      <c r="H164" s="83">
        <f>CASSA!E231</f>
        <v>45343</v>
      </c>
      <c r="I164" s="985" t="str">
        <f t="shared" si="281"/>
        <v/>
      </c>
      <c r="J164" s="39"/>
      <c r="K164" s="39"/>
      <c r="L164" s="39"/>
      <c r="M164" s="39"/>
      <c r="N164" s="39"/>
      <c r="O164" s="39"/>
      <c r="P164" s="39"/>
    </row>
    <row r="165" spans="5:16" hidden="1" x14ac:dyDescent="0.2">
      <c r="E165" s="379">
        <v>50</v>
      </c>
      <c r="F165" s="379">
        <v>50</v>
      </c>
      <c r="G165" s="985" t="str">
        <f>IF($C$121=1,"",VLOOKUP(VLOOKUP(E165,CASSA!$L$180:$R$545,6,FALSE),$H$113:$I$478,2,FALSE))</f>
        <v>Disattivato</v>
      </c>
      <c r="H165" s="83">
        <f>CASSA!E232</f>
        <v>45344</v>
      </c>
      <c r="I165" s="985" t="str">
        <f t="shared" si="281"/>
        <v/>
      </c>
      <c r="J165" s="39"/>
      <c r="K165" s="39"/>
      <c r="L165" s="39"/>
      <c r="M165" s="39"/>
      <c r="N165" s="39"/>
      <c r="O165" s="39"/>
      <c r="P165" s="39"/>
    </row>
    <row r="166" spans="5:16" hidden="1" x14ac:dyDescent="0.2">
      <c r="E166" s="379">
        <v>51</v>
      </c>
      <c r="F166" s="379">
        <v>51</v>
      </c>
      <c r="G166" s="985" t="str">
        <f>IF($C$121=1,"",VLOOKUP(VLOOKUP(E166,CASSA!$L$180:$R$545,6,FALSE),$H$113:$I$478,2,FALSE))</f>
        <v>Disattivato</v>
      </c>
      <c r="H166" s="83">
        <f>CASSA!E233</f>
        <v>45345</v>
      </c>
      <c r="I166" s="985" t="str">
        <f t="shared" si="281"/>
        <v/>
      </c>
      <c r="J166" s="39"/>
      <c r="K166" s="39"/>
      <c r="L166" s="39"/>
      <c r="M166" s="39"/>
      <c r="N166" s="39"/>
      <c r="O166" s="39"/>
      <c r="P166" s="39"/>
    </row>
    <row r="167" spans="5:16" hidden="1" x14ac:dyDescent="0.2">
      <c r="E167" s="986" t="str">
        <f>IF(E168=7,52,"")</f>
        <v/>
      </c>
      <c r="F167" s="379">
        <v>52</v>
      </c>
      <c r="G167" s="987" t="e">
        <f>IF($C$121=1,"",VLOOKUP(E167,$H$113:$I$478,2,FALSE))</f>
        <v>#N/A</v>
      </c>
      <c r="H167" s="83">
        <f>CASSA!E234</f>
        <v>45346</v>
      </c>
      <c r="I167" s="985" t="str">
        <f t="shared" si="281"/>
        <v/>
      </c>
      <c r="J167" s="39"/>
      <c r="K167" s="39"/>
      <c r="L167" s="39"/>
      <c r="M167" s="39"/>
      <c r="N167" s="39"/>
      <c r="O167" s="39"/>
      <c r="P167" s="39"/>
    </row>
    <row r="168" spans="5:16" hidden="1" x14ac:dyDescent="0.2">
      <c r="E168" s="400">
        <f>CASSA!N545</f>
        <v>5</v>
      </c>
      <c r="F168" s="25"/>
      <c r="H168" s="83">
        <f>CASSA!E235</f>
        <v>45347</v>
      </c>
      <c r="I168" s="985" t="str">
        <f t="shared" si="281"/>
        <v/>
      </c>
      <c r="J168" s="39"/>
      <c r="K168" s="39"/>
      <c r="L168" s="39"/>
      <c r="M168" s="39"/>
      <c r="N168" s="39"/>
      <c r="O168" s="39"/>
      <c r="P168" s="39"/>
    </row>
    <row r="169" spans="5:16" hidden="1" x14ac:dyDescent="0.2">
      <c r="E169" s="25"/>
      <c r="F169" s="25"/>
      <c r="G169" s="25"/>
      <c r="H169" s="83">
        <f>CASSA!E236</f>
        <v>45348</v>
      </c>
      <c r="I169" s="985" t="str">
        <f t="shared" si="281"/>
        <v/>
      </c>
      <c r="J169" s="39"/>
      <c r="K169" s="39"/>
      <c r="L169" s="39"/>
      <c r="M169" s="39"/>
      <c r="N169" s="39"/>
      <c r="O169" s="39"/>
      <c r="P169" s="39"/>
    </row>
    <row r="170" spans="5:16" hidden="1" x14ac:dyDescent="0.2">
      <c r="E170" s="39"/>
      <c r="G170" s="25"/>
      <c r="H170" s="83">
        <f>CASSA!E237</f>
        <v>45349</v>
      </c>
      <c r="I170" s="985" t="str">
        <f t="shared" si="281"/>
        <v/>
      </c>
      <c r="J170" s="39"/>
      <c r="K170" s="39"/>
      <c r="L170" s="39"/>
      <c r="M170" s="39"/>
      <c r="N170" s="39"/>
      <c r="O170" s="39"/>
      <c r="P170" s="39"/>
    </row>
    <row r="171" spans="5:16" hidden="1" x14ac:dyDescent="0.2">
      <c r="G171" s="25"/>
      <c r="H171" s="83">
        <f>CASSA!E238</f>
        <v>45350</v>
      </c>
      <c r="I171" s="985" t="str">
        <f t="shared" si="281"/>
        <v/>
      </c>
      <c r="J171" s="39"/>
      <c r="K171" s="39"/>
      <c r="L171" s="39"/>
      <c r="M171" s="39"/>
      <c r="N171" s="39"/>
      <c r="O171" s="39"/>
      <c r="P171" s="39"/>
    </row>
    <row r="172" spans="5:16" hidden="1" x14ac:dyDescent="0.2">
      <c r="G172" s="25"/>
      <c r="H172" s="83">
        <f>CASSA!E239</f>
        <v>45351</v>
      </c>
      <c r="I172" s="985" t="str">
        <f t="shared" si="281"/>
        <v/>
      </c>
      <c r="J172" s="39"/>
      <c r="K172" s="39"/>
      <c r="L172" s="39"/>
      <c r="M172" s="39"/>
      <c r="N172" s="39"/>
      <c r="O172" s="39"/>
      <c r="P172" s="39"/>
    </row>
    <row r="173" spans="5:16" hidden="1" x14ac:dyDescent="0.2">
      <c r="G173" s="25"/>
      <c r="H173" s="83">
        <f>CASSA!E240</f>
        <v>45352</v>
      </c>
      <c r="I173" s="985" t="str">
        <f t="shared" si="281"/>
        <v/>
      </c>
      <c r="J173" s="39"/>
      <c r="K173" s="39"/>
      <c r="L173" s="39"/>
      <c r="M173" s="39"/>
      <c r="N173" s="39"/>
      <c r="O173" s="39"/>
      <c r="P173" s="39"/>
    </row>
    <row r="174" spans="5:16" hidden="1" x14ac:dyDescent="0.2">
      <c r="G174" s="25"/>
      <c r="H174" s="83">
        <f>CASSA!E241</f>
        <v>45353</v>
      </c>
      <c r="I174" s="985" t="str">
        <f t="shared" si="281"/>
        <v/>
      </c>
      <c r="J174" s="39"/>
      <c r="K174" s="39"/>
      <c r="L174" s="39"/>
      <c r="M174" s="39"/>
      <c r="N174" s="39"/>
      <c r="O174" s="39"/>
      <c r="P174" s="39"/>
    </row>
    <row r="175" spans="5:16" hidden="1" x14ac:dyDescent="0.2">
      <c r="G175" s="25"/>
      <c r="H175" s="83">
        <f>CASSA!E242</f>
        <v>45354</v>
      </c>
      <c r="I175" s="985" t="str">
        <f t="shared" si="281"/>
        <v/>
      </c>
      <c r="J175" s="39"/>
      <c r="K175" s="39"/>
      <c r="L175" s="39"/>
      <c r="M175" s="39"/>
      <c r="N175" s="39"/>
      <c r="O175" s="39"/>
      <c r="P175" s="39"/>
    </row>
    <row r="176" spans="5:16" hidden="1" x14ac:dyDescent="0.2">
      <c r="G176" s="25"/>
      <c r="H176" s="83">
        <f>CASSA!E243</f>
        <v>45355</v>
      </c>
      <c r="I176" s="985" t="str">
        <f t="shared" si="281"/>
        <v/>
      </c>
      <c r="J176" s="39"/>
      <c r="K176" s="39"/>
      <c r="L176" s="39"/>
      <c r="M176" s="39"/>
      <c r="N176" s="39"/>
      <c r="O176" s="39"/>
      <c r="P176" s="39"/>
    </row>
    <row r="177" spans="7:16" hidden="1" x14ac:dyDescent="0.2">
      <c r="G177" s="25"/>
      <c r="H177" s="83">
        <f>CASSA!E244</f>
        <v>45356</v>
      </c>
      <c r="I177" s="985" t="str">
        <f t="shared" si="281"/>
        <v/>
      </c>
      <c r="J177" s="39"/>
      <c r="K177" s="39"/>
      <c r="L177" s="39"/>
      <c r="M177" s="39"/>
      <c r="N177" s="39"/>
      <c r="O177" s="39"/>
      <c r="P177" s="39"/>
    </row>
    <row r="178" spans="7:16" hidden="1" x14ac:dyDescent="0.2">
      <c r="G178" s="25"/>
      <c r="H178" s="83">
        <f>CASSA!E245</f>
        <v>45357</v>
      </c>
      <c r="I178" s="985" t="str">
        <f t="shared" ref="I178:I241" si="284">IF($C$121=1,"",IF(OR(H178&lt;$F$112,H178&gt;$F$113),$E$113,""))</f>
        <v/>
      </c>
      <c r="J178" s="39"/>
      <c r="K178" s="39"/>
      <c r="L178" s="39"/>
      <c r="M178" s="39"/>
      <c r="N178" s="39"/>
      <c r="O178" s="39"/>
      <c r="P178" s="39"/>
    </row>
    <row r="179" spans="7:16" hidden="1" x14ac:dyDescent="0.2">
      <c r="G179" s="25"/>
      <c r="H179" s="83">
        <f>CASSA!E246</f>
        <v>45358</v>
      </c>
      <c r="I179" s="985" t="str">
        <f t="shared" si="284"/>
        <v/>
      </c>
      <c r="J179" s="39"/>
      <c r="K179" s="39"/>
      <c r="L179" s="39"/>
      <c r="M179" s="39"/>
      <c r="N179" s="39"/>
      <c r="O179" s="39"/>
      <c r="P179" s="39"/>
    </row>
    <row r="180" spans="7:16" hidden="1" x14ac:dyDescent="0.2">
      <c r="G180" s="25"/>
      <c r="H180" s="83">
        <f>CASSA!E247</f>
        <v>45359</v>
      </c>
      <c r="I180" s="985" t="str">
        <f t="shared" si="284"/>
        <v/>
      </c>
      <c r="J180" s="39"/>
      <c r="K180" s="39"/>
      <c r="L180" s="39"/>
      <c r="M180" s="39"/>
    </row>
    <row r="181" spans="7:16" hidden="1" x14ac:dyDescent="0.2">
      <c r="G181" s="25"/>
      <c r="H181" s="83">
        <f>CASSA!E248</f>
        <v>45360</v>
      </c>
      <c r="I181" s="985" t="str">
        <f t="shared" si="284"/>
        <v/>
      </c>
      <c r="J181" s="39"/>
      <c r="K181" s="39"/>
    </row>
    <row r="182" spans="7:16" hidden="1" x14ac:dyDescent="0.2">
      <c r="G182" s="25"/>
      <c r="H182" s="83">
        <f>CASSA!E249</f>
        <v>45361</v>
      </c>
      <c r="I182" s="985" t="str">
        <f t="shared" si="284"/>
        <v/>
      </c>
    </row>
    <row r="183" spans="7:16" hidden="1" x14ac:dyDescent="0.2">
      <c r="G183" s="25"/>
      <c r="H183" s="83">
        <f>CASSA!E250</f>
        <v>45362</v>
      </c>
      <c r="I183" s="985" t="str">
        <f t="shared" si="284"/>
        <v/>
      </c>
    </row>
    <row r="184" spans="7:16" hidden="1" x14ac:dyDescent="0.2">
      <c r="G184" s="25"/>
      <c r="H184" s="83">
        <f>CASSA!E251</f>
        <v>45363</v>
      </c>
      <c r="I184" s="985" t="str">
        <f t="shared" si="284"/>
        <v/>
      </c>
    </row>
    <row r="185" spans="7:16" hidden="1" x14ac:dyDescent="0.2">
      <c r="G185" s="25"/>
      <c r="H185" s="83">
        <f>CASSA!E252</f>
        <v>45364</v>
      </c>
      <c r="I185" s="985" t="str">
        <f t="shared" si="284"/>
        <v/>
      </c>
    </row>
    <row r="186" spans="7:16" hidden="1" x14ac:dyDescent="0.2">
      <c r="G186" s="25"/>
      <c r="H186" s="83">
        <f>CASSA!E253</f>
        <v>45365</v>
      </c>
      <c r="I186" s="985" t="str">
        <f t="shared" si="284"/>
        <v/>
      </c>
    </row>
    <row r="187" spans="7:16" hidden="1" x14ac:dyDescent="0.2">
      <c r="G187" s="25"/>
      <c r="H187" s="83">
        <f>CASSA!E254</f>
        <v>45366</v>
      </c>
      <c r="I187" s="985" t="str">
        <f t="shared" si="284"/>
        <v/>
      </c>
    </row>
    <row r="188" spans="7:16" hidden="1" x14ac:dyDescent="0.2">
      <c r="G188" s="25"/>
      <c r="H188" s="83">
        <f>CASSA!E255</f>
        <v>45367</v>
      </c>
      <c r="I188" s="985" t="str">
        <f t="shared" si="284"/>
        <v/>
      </c>
    </row>
    <row r="189" spans="7:16" hidden="1" x14ac:dyDescent="0.2">
      <c r="G189" s="25"/>
      <c r="H189" s="83">
        <f>CASSA!E256</f>
        <v>45368</v>
      </c>
      <c r="I189" s="985" t="str">
        <f t="shared" si="284"/>
        <v/>
      </c>
    </row>
    <row r="190" spans="7:16" hidden="1" x14ac:dyDescent="0.2">
      <c r="G190" s="25"/>
      <c r="H190" s="83">
        <f>CASSA!E257</f>
        <v>45369</v>
      </c>
      <c r="I190" s="985" t="str">
        <f t="shared" si="284"/>
        <v/>
      </c>
    </row>
    <row r="191" spans="7:16" hidden="1" x14ac:dyDescent="0.2">
      <c r="G191" s="25"/>
      <c r="H191" s="83">
        <f>CASSA!E258</f>
        <v>45370</v>
      </c>
      <c r="I191" s="985" t="str">
        <f t="shared" si="284"/>
        <v/>
      </c>
    </row>
    <row r="192" spans="7:16" hidden="1" x14ac:dyDescent="0.2">
      <c r="G192" s="25"/>
      <c r="H192" s="83">
        <f>CASSA!E259</f>
        <v>45371</v>
      </c>
      <c r="I192" s="985" t="str">
        <f t="shared" si="284"/>
        <v/>
      </c>
    </row>
    <row r="193" spans="7:9" hidden="1" x14ac:dyDescent="0.2">
      <c r="G193" s="25"/>
      <c r="H193" s="83">
        <f>CASSA!E260</f>
        <v>45372</v>
      </c>
      <c r="I193" s="985" t="str">
        <f t="shared" si="284"/>
        <v/>
      </c>
    </row>
    <row r="194" spans="7:9" hidden="1" x14ac:dyDescent="0.2">
      <c r="G194" s="25"/>
      <c r="H194" s="83">
        <f>CASSA!E261</f>
        <v>45373</v>
      </c>
      <c r="I194" s="985" t="str">
        <f t="shared" si="284"/>
        <v/>
      </c>
    </row>
    <row r="195" spans="7:9" hidden="1" x14ac:dyDescent="0.2">
      <c r="G195" s="25"/>
      <c r="H195" s="83">
        <f>CASSA!E262</f>
        <v>45374</v>
      </c>
      <c r="I195" s="985" t="str">
        <f t="shared" si="284"/>
        <v/>
      </c>
    </row>
    <row r="196" spans="7:9" hidden="1" x14ac:dyDescent="0.2">
      <c r="G196" s="25"/>
      <c r="H196" s="83">
        <f>CASSA!E263</f>
        <v>45375</v>
      </c>
      <c r="I196" s="985" t="str">
        <f t="shared" si="284"/>
        <v/>
      </c>
    </row>
    <row r="197" spans="7:9" hidden="1" x14ac:dyDescent="0.2">
      <c r="G197" s="25"/>
      <c r="H197" s="83">
        <f>CASSA!E264</f>
        <v>45376</v>
      </c>
      <c r="I197" s="985" t="str">
        <f t="shared" si="284"/>
        <v/>
      </c>
    </row>
    <row r="198" spans="7:9" hidden="1" x14ac:dyDescent="0.2">
      <c r="G198" s="25"/>
      <c r="H198" s="83">
        <f>CASSA!E265</f>
        <v>45377</v>
      </c>
      <c r="I198" s="985" t="str">
        <f t="shared" si="284"/>
        <v/>
      </c>
    </row>
    <row r="199" spans="7:9" hidden="1" x14ac:dyDescent="0.2">
      <c r="G199" s="25"/>
      <c r="H199" s="83">
        <f>CASSA!E266</f>
        <v>45378</v>
      </c>
      <c r="I199" s="985" t="str">
        <f t="shared" si="284"/>
        <v/>
      </c>
    </row>
    <row r="200" spans="7:9" hidden="1" x14ac:dyDescent="0.2">
      <c r="G200" s="25"/>
      <c r="H200" s="83">
        <f>CASSA!E267</f>
        <v>45379</v>
      </c>
      <c r="I200" s="985" t="str">
        <f t="shared" si="284"/>
        <v/>
      </c>
    </row>
    <row r="201" spans="7:9" hidden="1" x14ac:dyDescent="0.2">
      <c r="G201" s="25"/>
      <c r="H201" s="83">
        <f>CASSA!E268</f>
        <v>45380</v>
      </c>
      <c r="I201" s="985" t="str">
        <f t="shared" si="284"/>
        <v/>
      </c>
    </row>
    <row r="202" spans="7:9" hidden="1" x14ac:dyDescent="0.2">
      <c r="G202" s="25"/>
      <c r="H202" s="83">
        <f>CASSA!E269</f>
        <v>45381</v>
      </c>
      <c r="I202" s="985" t="str">
        <f t="shared" si="284"/>
        <v/>
      </c>
    </row>
    <row r="203" spans="7:9" hidden="1" x14ac:dyDescent="0.2">
      <c r="G203" s="25"/>
      <c r="H203" s="83">
        <f>CASSA!E270</f>
        <v>45382</v>
      </c>
      <c r="I203" s="985" t="str">
        <f t="shared" si="284"/>
        <v/>
      </c>
    </row>
    <row r="204" spans="7:9" hidden="1" x14ac:dyDescent="0.2">
      <c r="G204" s="25"/>
      <c r="H204" s="83">
        <f>CASSA!E271</f>
        <v>45383</v>
      </c>
      <c r="I204" s="985" t="str">
        <f t="shared" si="284"/>
        <v>Disattivato</v>
      </c>
    </row>
    <row r="205" spans="7:9" hidden="1" x14ac:dyDescent="0.2">
      <c r="G205" s="25"/>
      <c r="H205" s="83">
        <f>CASSA!E272</f>
        <v>45384</v>
      </c>
      <c r="I205" s="985" t="str">
        <f t="shared" si="284"/>
        <v>Disattivato</v>
      </c>
    </row>
    <row r="206" spans="7:9" hidden="1" x14ac:dyDescent="0.2">
      <c r="G206" s="25"/>
      <c r="H206" s="83">
        <f>CASSA!E273</f>
        <v>45385</v>
      </c>
      <c r="I206" s="985" t="str">
        <f t="shared" si="284"/>
        <v>Disattivato</v>
      </c>
    </row>
    <row r="207" spans="7:9" hidden="1" x14ac:dyDescent="0.2">
      <c r="G207" s="25"/>
      <c r="H207" s="83">
        <f>CASSA!E274</f>
        <v>45386</v>
      </c>
      <c r="I207" s="985" t="str">
        <f t="shared" si="284"/>
        <v>Disattivato</v>
      </c>
    </row>
    <row r="208" spans="7:9" hidden="1" x14ac:dyDescent="0.2">
      <c r="G208" s="25"/>
      <c r="H208" s="83">
        <f>CASSA!E275</f>
        <v>45387</v>
      </c>
      <c r="I208" s="985" t="str">
        <f t="shared" si="284"/>
        <v>Disattivato</v>
      </c>
    </row>
    <row r="209" spans="7:9" hidden="1" x14ac:dyDescent="0.2">
      <c r="G209" s="25"/>
      <c r="H209" s="83">
        <f>CASSA!E276</f>
        <v>45388</v>
      </c>
      <c r="I209" s="985" t="str">
        <f t="shared" si="284"/>
        <v>Disattivato</v>
      </c>
    </row>
    <row r="210" spans="7:9" hidden="1" x14ac:dyDescent="0.2">
      <c r="G210" s="25"/>
      <c r="H210" s="83">
        <f>CASSA!E277</f>
        <v>45389</v>
      </c>
      <c r="I210" s="985" t="str">
        <f t="shared" si="284"/>
        <v>Disattivato</v>
      </c>
    </row>
    <row r="211" spans="7:9" hidden="1" x14ac:dyDescent="0.2">
      <c r="G211" s="25"/>
      <c r="H211" s="83">
        <f>CASSA!E278</f>
        <v>45390</v>
      </c>
      <c r="I211" s="985" t="str">
        <f t="shared" si="284"/>
        <v>Disattivato</v>
      </c>
    </row>
    <row r="212" spans="7:9" hidden="1" x14ac:dyDescent="0.2">
      <c r="G212" s="25"/>
      <c r="H212" s="83">
        <f>CASSA!E279</f>
        <v>45391</v>
      </c>
      <c r="I212" s="985" t="str">
        <f t="shared" si="284"/>
        <v>Disattivato</v>
      </c>
    </row>
    <row r="213" spans="7:9" hidden="1" x14ac:dyDescent="0.2">
      <c r="G213" s="25"/>
      <c r="H213" s="83">
        <f>CASSA!E280</f>
        <v>45392</v>
      </c>
      <c r="I213" s="985" t="str">
        <f t="shared" si="284"/>
        <v>Disattivato</v>
      </c>
    </row>
    <row r="214" spans="7:9" hidden="1" x14ac:dyDescent="0.2">
      <c r="G214" s="25"/>
      <c r="H214" s="83">
        <f>CASSA!E281</f>
        <v>45393</v>
      </c>
      <c r="I214" s="985" t="str">
        <f t="shared" si="284"/>
        <v>Disattivato</v>
      </c>
    </row>
    <row r="215" spans="7:9" hidden="1" x14ac:dyDescent="0.2">
      <c r="G215" s="25"/>
      <c r="H215" s="83">
        <f>CASSA!E282</f>
        <v>45394</v>
      </c>
      <c r="I215" s="985" t="str">
        <f t="shared" si="284"/>
        <v>Disattivato</v>
      </c>
    </row>
    <row r="216" spans="7:9" hidden="1" x14ac:dyDescent="0.2">
      <c r="G216" s="25"/>
      <c r="H216" s="83">
        <f>CASSA!E283</f>
        <v>45395</v>
      </c>
      <c r="I216" s="985" t="str">
        <f t="shared" si="284"/>
        <v>Disattivato</v>
      </c>
    </row>
    <row r="217" spans="7:9" hidden="1" x14ac:dyDescent="0.2">
      <c r="G217" s="25"/>
      <c r="H217" s="83">
        <f>CASSA!E284</f>
        <v>45396</v>
      </c>
      <c r="I217" s="985" t="str">
        <f t="shared" si="284"/>
        <v>Disattivato</v>
      </c>
    </row>
    <row r="218" spans="7:9" hidden="1" x14ac:dyDescent="0.2">
      <c r="G218" s="25"/>
      <c r="H218" s="83">
        <f>CASSA!E285</f>
        <v>45397</v>
      </c>
      <c r="I218" s="985" t="str">
        <f t="shared" si="284"/>
        <v>Disattivato</v>
      </c>
    </row>
    <row r="219" spans="7:9" hidden="1" x14ac:dyDescent="0.2">
      <c r="G219" s="25"/>
      <c r="H219" s="83">
        <f>CASSA!E286</f>
        <v>45398</v>
      </c>
      <c r="I219" s="985" t="str">
        <f t="shared" si="284"/>
        <v>Disattivato</v>
      </c>
    </row>
    <row r="220" spans="7:9" hidden="1" x14ac:dyDescent="0.2">
      <c r="G220" s="25"/>
      <c r="H220" s="83">
        <f>CASSA!E287</f>
        <v>45399</v>
      </c>
      <c r="I220" s="985" t="str">
        <f t="shared" si="284"/>
        <v>Disattivato</v>
      </c>
    </row>
    <row r="221" spans="7:9" hidden="1" x14ac:dyDescent="0.2">
      <c r="G221" s="25"/>
      <c r="H221" s="83">
        <f>CASSA!E288</f>
        <v>45400</v>
      </c>
      <c r="I221" s="985" t="str">
        <f t="shared" si="284"/>
        <v>Disattivato</v>
      </c>
    </row>
    <row r="222" spans="7:9" hidden="1" x14ac:dyDescent="0.2">
      <c r="G222" s="25"/>
      <c r="H222" s="83">
        <f>CASSA!E289</f>
        <v>45401</v>
      </c>
      <c r="I222" s="985" t="str">
        <f t="shared" si="284"/>
        <v>Disattivato</v>
      </c>
    </row>
    <row r="223" spans="7:9" hidden="1" x14ac:dyDescent="0.2">
      <c r="G223" s="25"/>
      <c r="H223" s="83">
        <f>CASSA!E290</f>
        <v>45402</v>
      </c>
      <c r="I223" s="985" t="str">
        <f t="shared" si="284"/>
        <v>Disattivato</v>
      </c>
    </row>
    <row r="224" spans="7:9" hidden="1" x14ac:dyDescent="0.2">
      <c r="G224" s="25"/>
      <c r="H224" s="83">
        <f>CASSA!E291</f>
        <v>45403</v>
      </c>
      <c r="I224" s="985" t="str">
        <f t="shared" si="284"/>
        <v>Disattivato</v>
      </c>
    </row>
    <row r="225" spans="7:9" hidden="1" x14ac:dyDescent="0.2">
      <c r="G225" s="25"/>
      <c r="H225" s="83">
        <f>CASSA!E292</f>
        <v>45404</v>
      </c>
      <c r="I225" s="985" t="str">
        <f t="shared" si="284"/>
        <v>Disattivato</v>
      </c>
    </row>
    <row r="226" spans="7:9" hidden="1" x14ac:dyDescent="0.2">
      <c r="G226" s="25"/>
      <c r="H226" s="83">
        <f>CASSA!E293</f>
        <v>45405</v>
      </c>
      <c r="I226" s="985" t="str">
        <f t="shared" si="284"/>
        <v>Disattivato</v>
      </c>
    </row>
    <row r="227" spans="7:9" hidden="1" x14ac:dyDescent="0.2">
      <c r="G227" s="25"/>
      <c r="H227" s="83">
        <f>CASSA!E294</f>
        <v>45406</v>
      </c>
      <c r="I227" s="985" t="str">
        <f t="shared" si="284"/>
        <v>Disattivato</v>
      </c>
    </row>
    <row r="228" spans="7:9" hidden="1" x14ac:dyDescent="0.2">
      <c r="G228" s="25"/>
      <c r="H228" s="83">
        <f>CASSA!E295</f>
        <v>45407</v>
      </c>
      <c r="I228" s="985" t="str">
        <f t="shared" si="284"/>
        <v>Disattivato</v>
      </c>
    </row>
    <row r="229" spans="7:9" hidden="1" x14ac:dyDescent="0.2">
      <c r="G229" s="25"/>
      <c r="H229" s="83">
        <f>CASSA!E296</f>
        <v>45408</v>
      </c>
      <c r="I229" s="985" t="str">
        <f t="shared" si="284"/>
        <v>Disattivato</v>
      </c>
    </row>
    <row r="230" spans="7:9" hidden="1" x14ac:dyDescent="0.2">
      <c r="G230" s="25"/>
      <c r="H230" s="83">
        <f>CASSA!E297</f>
        <v>45409</v>
      </c>
      <c r="I230" s="985" t="str">
        <f t="shared" si="284"/>
        <v>Disattivato</v>
      </c>
    </row>
    <row r="231" spans="7:9" hidden="1" x14ac:dyDescent="0.2">
      <c r="G231" s="25"/>
      <c r="H231" s="83">
        <f>CASSA!E298</f>
        <v>45410</v>
      </c>
      <c r="I231" s="985" t="str">
        <f t="shared" si="284"/>
        <v>Disattivato</v>
      </c>
    </row>
    <row r="232" spans="7:9" hidden="1" x14ac:dyDescent="0.2">
      <c r="G232" s="25"/>
      <c r="H232" s="83">
        <f>CASSA!E299</f>
        <v>45411</v>
      </c>
      <c r="I232" s="985" t="str">
        <f t="shared" si="284"/>
        <v>Disattivato</v>
      </c>
    </row>
    <row r="233" spans="7:9" hidden="1" x14ac:dyDescent="0.2">
      <c r="G233" s="25"/>
      <c r="H233" s="83">
        <f>CASSA!E300</f>
        <v>45412</v>
      </c>
      <c r="I233" s="985" t="str">
        <f t="shared" si="284"/>
        <v>Disattivato</v>
      </c>
    </row>
    <row r="234" spans="7:9" hidden="1" x14ac:dyDescent="0.2">
      <c r="G234" s="25"/>
      <c r="H234" s="83">
        <f>CASSA!E301</f>
        <v>45413</v>
      </c>
      <c r="I234" s="985" t="str">
        <f t="shared" si="284"/>
        <v>Disattivato</v>
      </c>
    </row>
    <row r="235" spans="7:9" hidden="1" x14ac:dyDescent="0.2">
      <c r="G235" s="25"/>
      <c r="H235" s="83">
        <f>CASSA!E302</f>
        <v>45414</v>
      </c>
      <c r="I235" s="985" t="str">
        <f t="shared" si="284"/>
        <v>Disattivato</v>
      </c>
    </row>
    <row r="236" spans="7:9" hidden="1" x14ac:dyDescent="0.2">
      <c r="G236" s="25"/>
      <c r="H236" s="83">
        <f>CASSA!E303</f>
        <v>45415</v>
      </c>
      <c r="I236" s="985" t="str">
        <f t="shared" si="284"/>
        <v>Disattivato</v>
      </c>
    </row>
    <row r="237" spans="7:9" hidden="1" x14ac:dyDescent="0.2">
      <c r="G237" s="25"/>
      <c r="H237" s="83">
        <f>CASSA!E304</f>
        <v>45416</v>
      </c>
      <c r="I237" s="985" t="str">
        <f t="shared" si="284"/>
        <v>Disattivato</v>
      </c>
    </row>
    <row r="238" spans="7:9" hidden="1" x14ac:dyDescent="0.2">
      <c r="G238" s="25"/>
      <c r="H238" s="83">
        <f>CASSA!E305</f>
        <v>45417</v>
      </c>
      <c r="I238" s="985" t="str">
        <f t="shared" si="284"/>
        <v>Disattivato</v>
      </c>
    </row>
    <row r="239" spans="7:9" hidden="1" x14ac:dyDescent="0.2">
      <c r="G239" s="25"/>
      <c r="H239" s="83">
        <f>CASSA!E306</f>
        <v>45418</v>
      </c>
      <c r="I239" s="985" t="str">
        <f t="shared" si="284"/>
        <v>Disattivato</v>
      </c>
    </row>
    <row r="240" spans="7:9" hidden="1" x14ac:dyDescent="0.2">
      <c r="G240" s="25"/>
      <c r="H240" s="83">
        <f>CASSA!E307</f>
        <v>45419</v>
      </c>
      <c r="I240" s="985" t="str">
        <f t="shared" si="284"/>
        <v>Disattivato</v>
      </c>
    </row>
    <row r="241" spans="7:9" hidden="1" x14ac:dyDescent="0.2">
      <c r="G241" s="25"/>
      <c r="H241" s="83">
        <f>CASSA!E308</f>
        <v>45420</v>
      </c>
      <c r="I241" s="985" t="str">
        <f t="shared" si="284"/>
        <v>Disattivato</v>
      </c>
    </row>
    <row r="242" spans="7:9" hidden="1" x14ac:dyDescent="0.2">
      <c r="G242" s="25"/>
      <c r="H242" s="83">
        <f>CASSA!E309</f>
        <v>45421</v>
      </c>
      <c r="I242" s="985" t="str">
        <f t="shared" ref="I242:I305" si="285">IF($C$121=1,"",IF(OR(H242&lt;$F$112,H242&gt;$F$113),$E$113,""))</f>
        <v>Disattivato</v>
      </c>
    </row>
    <row r="243" spans="7:9" hidden="1" x14ac:dyDescent="0.2">
      <c r="G243" s="25"/>
      <c r="H243" s="83">
        <f>CASSA!E310</f>
        <v>45422</v>
      </c>
      <c r="I243" s="985" t="str">
        <f t="shared" si="285"/>
        <v>Disattivato</v>
      </c>
    </row>
    <row r="244" spans="7:9" hidden="1" x14ac:dyDescent="0.2">
      <c r="G244" s="25"/>
      <c r="H244" s="83">
        <f>CASSA!E311</f>
        <v>45423</v>
      </c>
      <c r="I244" s="985" t="str">
        <f t="shared" si="285"/>
        <v>Disattivato</v>
      </c>
    </row>
    <row r="245" spans="7:9" hidden="1" x14ac:dyDescent="0.2">
      <c r="G245" s="25"/>
      <c r="H245" s="83">
        <f>CASSA!E312</f>
        <v>45424</v>
      </c>
      <c r="I245" s="985" t="str">
        <f t="shared" si="285"/>
        <v>Disattivato</v>
      </c>
    </row>
    <row r="246" spans="7:9" hidden="1" x14ac:dyDescent="0.2">
      <c r="G246" s="25"/>
      <c r="H246" s="83">
        <f>CASSA!E313</f>
        <v>45425</v>
      </c>
      <c r="I246" s="985" t="str">
        <f t="shared" si="285"/>
        <v>Disattivato</v>
      </c>
    </row>
    <row r="247" spans="7:9" hidden="1" x14ac:dyDescent="0.2">
      <c r="G247" s="25"/>
      <c r="H247" s="83">
        <f>CASSA!E314</f>
        <v>45426</v>
      </c>
      <c r="I247" s="985" t="str">
        <f t="shared" si="285"/>
        <v>Disattivato</v>
      </c>
    </row>
    <row r="248" spans="7:9" hidden="1" x14ac:dyDescent="0.2">
      <c r="G248" s="25"/>
      <c r="H248" s="83">
        <f>CASSA!E315</f>
        <v>45427</v>
      </c>
      <c r="I248" s="985" t="str">
        <f t="shared" si="285"/>
        <v>Disattivato</v>
      </c>
    </row>
    <row r="249" spans="7:9" hidden="1" x14ac:dyDescent="0.2">
      <c r="G249" s="25"/>
      <c r="H249" s="83">
        <f>CASSA!E316</f>
        <v>45428</v>
      </c>
      <c r="I249" s="985" t="str">
        <f t="shared" si="285"/>
        <v>Disattivato</v>
      </c>
    </row>
    <row r="250" spans="7:9" hidden="1" x14ac:dyDescent="0.2">
      <c r="G250" s="25"/>
      <c r="H250" s="83">
        <f>CASSA!E317</f>
        <v>45429</v>
      </c>
      <c r="I250" s="985" t="str">
        <f t="shared" si="285"/>
        <v>Disattivato</v>
      </c>
    </row>
    <row r="251" spans="7:9" hidden="1" x14ac:dyDescent="0.2">
      <c r="G251" s="25"/>
      <c r="H251" s="83">
        <f>CASSA!E318</f>
        <v>45430</v>
      </c>
      <c r="I251" s="985" t="str">
        <f t="shared" si="285"/>
        <v>Disattivato</v>
      </c>
    </row>
    <row r="252" spans="7:9" hidden="1" x14ac:dyDescent="0.2">
      <c r="G252" s="25"/>
      <c r="H252" s="83">
        <f>CASSA!E319</f>
        <v>45431</v>
      </c>
      <c r="I252" s="985" t="str">
        <f t="shared" si="285"/>
        <v>Disattivato</v>
      </c>
    </row>
    <row r="253" spans="7:9" hidden="1" x14ac:dyDescent="0.2">
      <c r="G253" s="25"/>
      <c r="H253" s="83">
        <f>CASSA!E320</f>
        <v>45432</v>
      </c>
      <c r="I253" s="985" t="str">
        <f t="shared" si="285"/>
        <v>Disattivato</v>
      </c>
    </row>
    <row r="254" spans="7:9" hidden="1" x14ac:dyDescent="0.2">
      <c r="G254" s="25"/>
      <c r="H254" s="83">
        <f>CASSA!E321</f>
        <v>45433</v>
      </c>
      <c r="I254" s="985" t="str">
        <f t="shared" si="285"/>
        <v>Disattivato</v>
      </c>
    </row>
    <row r="255" spans="7:9" hidden="1" x14ac:dyDescent="0.2">
      <c r="G255" s="25"/>
      <c r="H255" s="83">
        <f>CASSA!E322</f>
        <v>45434</v>
      </c>
      <c r="I255" s="985" t="str">
        <f t="shared" si="285"/>
        <v>Disattivato</v>
      </c>
    </row>
    <row r="256" spans="7:9" hidden="1" x14ac:dyDescent="0.2">
      <c r="G256" s="25"/>
      <c r="H256" s="83">
        <f>CASSA!E323</f>
        <v>45435</v>
      </c>
      <c r="I256" s="985" t="str">
        <f t="shared" si="285"/>
        <v>Disattivato</v>
      </c>
    </row>
    <row r="257" spans="7:9" hidden="1" x14ac:dyDescent="0.2">
      <c r="G257" s="25"/>
      <c r="H257" s="83">
        <f>CASSA!E324</f>
        <v>45436</v>
      </c>
      <c r="I257" s="985" t="str">
        <f t="shared" si="285"/>
        <v>Disattivato</v>
      </c>
    </row>
    <row r="258" spans="7:9" hidden="1" x14ac:dyDescent="0.2">
      <c r="G258" s="25"/>
      <c r="H258" s="83">
        <f>CASSA!E325</f>
        <v>45437</v>
      </c>
      <c r="I258" s="985" t="str">
        <f t="shared" si="285"/>
        <v>Disattivato</v>
      </c>
    </row>
    <row r="259" spans="7:9" hidden="1" x14ac:dyDescent="0.2">
      <c r="G259" s="25"/>
      <c r="H259" s="83">
        <f>CASSA!E326</f>
        <v>45438</v>
      </c>
      <c r="I259" s="985" t="str">
        <f t="shared" si="285"/>
        <v>Disattivato</v>
      </c>
    </row>
    <row r="260" spans="7:9" hidden="1" x14ac:dyDescent="0.2">
      <c r="G260" s="25"/>
      <c r="H260" s="83">
        <f>CASSA!E327</f>
        <v>45439</v>
      </c>
      <c r="I260" s="985" t="str">
        <f t="shared" si="285"/>
        <v>Disattivato</v>
      </c>
    </row>
    <row r="261" spans="7:9" hidden="1" x14ac:dyDescent="0.2">
      <c r="G261" s="25"/>
      <c r="H261" s="83">
        <f>CASSA!E328</f>
        <v>45440</v>
      </c>
      <c r="I261" s="985" t="str">
        <f t="shared" si="285"/>
        <v>Disattivato</v>
      </c>
    </row>
    <row r="262" spans="7:9" hidden="1" x14ac:dyDescent="0.2">
      <c r="G262" s="25"/>
      <c r="H262" s="83">
        <f>CASSA!E329</f>
        <v>45441</v>
      </c>
      <c r="I262" s="985" t="str">
        <f t="shared" si="285"/>
        <v>Disattivato</v>
      </c>
    </row>
    <row r="263" spans="7:9" hidden="1" x14ac:dyDescent="0.2">
      <c r="G263" s="25"/>
      <c r="H263" s="83">
        <f>CASSA!E330</f>
        <v>45442</v>
      </c>
      <c r="I263" s="985" t="str">
        <f t="shared" si="285"/>
        <v>Disattivato</v>
      </c>
    </row>
    <row r="264" spans="7:9" hidden="1" x14ac:dyDescent="0.2">
      <c r="G264" s="25"/>
      <c r="H264" s="83">
        <f>CASSA!E331</f>
        <v>45443</v>
      </c>
      <c r="I264" s="985" t="str">
        <f t="shared" si="285"/>
        <v>Disattivato</v>
      </c>
    </row>
    <row r="265" spans="7:9" hidden="1" x14ac:dyDescent="0.2">
      <c r="G265" s="25"/>
      <c r="H265" s="83">
        <f>CASSA!E332</f>
        <v>45444</v>
      </c>
      <c r="I265" s="985" t="str">
        <f t="shared" si="285"/>
        <v>Disattivato</v>
      </c>
    </row>
    <row r="266" spans="7:9" hidden="1" x14ac:dyDescent="0.2">
      <c r="G266" s="25"/>
      <c r="H266" s="83">
        <f>CASSA!E333</f>
        <v>45445</v>
      </c>
      <c r="I266" s="985" t="str">
        <f t="shared" si="285"/>
        <v>Disattivato</v>
      </c>
    </row>
    <row r="267" spans="7:9" hidden="1" x14ac:dyDescent="0.2">
      <c r="G267" s="25"/>
      <c r="H267" s="83">
        <f>CASSA!E334</f>
        <v>45446</v>
      </c>
      <c r="I267" s="985" t="str">
        <f t="shared" si="285"/>
        <v>Disattivato</v>
      </c>
    </row>
    <row r="268" spans="7:9" hidden="1" x14ac:dyDescent="0.2">
      <c r="G268" s="25"/>
      <c r="H268" s="83">
        <f>CASSA!E335</f>
        <v>45447</v>
      </c>
      <c r="I268" s="985" t="str">
        <f t="shared" si="285"/>
        <v>Disattivato</v>
      </c>
    </row>
    <row r="269" spans="7:9" hidden="1" x14ac:dyDescent="0.2">
      <c r="G269" s="25"/>
      <c r="H269" s="83">
        <f>CASSA!E336</f>
        <v>45448</v>
      </c>
      <c r="I269" s="985" t="str">
        <f t="shared" si="285"/>
        <v>Disattivato</v>
      </c>
    </row>
    <row r="270" spans="7:9" hidden="1" x14ac:dyDescent="0.2">
      <c r="G270" s="25"/>
      <c r="H270" s="83">
        <f>CASSA!E337</f>
        <v>45449</v>
      </c>
      <c r="I270" s="985" t="str">
        <f t="shared" si="285"/>
        <v>Disattivato</v>
      </c>
    </row>
    <row r="271" spans="7:9" hidden="1" x14ac:dyDescent="0.2">
      <c r="G271" s="25"/>
      <c r="H271" s="83">
        <f>CASSA!E338</f>
        <v>45450</v>
      </c>
      <c r="I271" s="985" t="str">
        <f t="shared" si="285"/>
        <v>Disattivato</v>
      </c>
    </row>
    <row r="272" spans="7:9" hidden="1" x14ac:dyDescent="0.2">
      <c r="G272" s="25"/>
      <c r="H272" s="83">
        <f>CASSA!E339</f>
        <v>45451</v>
      </c>
      <c r="I272" s="985" t="str">
        <f t="shared" si="285"/>
        <v>Disattivato</v>
      </c>
    </row>
    <row r="273" spans="7:9" hidden="1" x14ac:dyDescent="0.2">
      <c r="G273" s="25"/>
      <c r="H273" s="83">
        <f>CASSA!E340</f>
        <v>45452</v>
      </c>
      <c r="I273" s="985" t="str">
        <f t="shared" si="285"/>
        <v>Disattivato</v>
      </c>
    </row>
    <row r="274" spans="7:9" hidden="1" x14ac:dyDescent="0.2">
      <c r="G274" s="25"/>
      <c r="H274" s="83">
        <f>CASSA!E341</f>
        <v>45453</v>
      </c>
      <c r="I274" s="985" t="str">
        <f t="shared" si="285"/>
        <v>Disattivato</v>
      </c>
    </row>
    <row r="275" spans="7:9" hidden="1" x14ac:dyDescent="0.2">
      <c r="G275" s="25"/>
      <c r="H275" s="83">
        <f>CASSA!E342</f>
        <v>45454</v>
      </c>
      <c r="I275" s="985" t="str">
        <f t="shared" si="285"/>
        <v>Disattivato</v>
      </c>
    </row>
    <row r="276" spans="7:9" hidden="1" x14ac:dyDescent="0.2">
      <c r="G276" s="25"/>
      <c r="H276" s="83">
        <f>CASSA!E343</f>
        <v>45455</v>
      </c>
      <c r="I276" s="985" t="str">
        <f t="shared" si="285"/>
        <v>Disattivato</v>
      </c>
    </row>
    <row r="277" spans="7:9" hidden="1" x14ac:dyDescent="0.2">
      <c r="G277" s="25"/>
      <c r="H277" s="83">
        <f>CASSA!E344</f>
        <v>45456</v>
      </c>
      <c r="I277" s="985" t="str">
        <f t="shared" si="285"/>
        <v>Disattivato</v>
      </c>
    </row>
    <row r="278" spans="7:9" hidden="1" x14ac:dyDescent="0.2">
      <c r="G278" s="25"/>
      <c r="H278" s="83">
        <f>CASSA!E345</f>
        <v>45457</v>
      </c>
      <c r="I278" s="985" t="str">
        <f t="shared" si="285"/>
        <v>Disattivato</v>
      </c>
    </row>
    <row r="279" spans="7:9" hidden="1" x14ac:dyDescent="0.2">
      <c r="G279" s="25"/>
      <c r="H279" s="83">
        <f>CASSA!E346</f>
        <v>45458</v>
      </c>
      <c r="I279" s="985" t="str">
        <f t="shared" si="285"/>
        <v>Disattivato</v>
      </c>
    </row>
    <row r="280" spans="7:9" hidden="1" x14ac:dyDescent="0.2">
      <c r="G280" s="25"/>
      <c r="H280" s="83">
        <f>CASSA!E347</f>
        <v>45459</v>
      </c>
      <c r="I280" s="985" t="str">
        <f t="shared" si="285"/>
        <v>Disattivato</v>
      </c>
    </row>
    <row r="281" spans="7:9" hidden="1" x14ac:dyDescent="0.2">
      <c r="G281" s="25"/>
      <c r="H281" s="83">
        <f>CASSA!E348</f>
        <v>45460</v>
      </c>
      <c r="I281" s="985" t="str">
        <f t="shared" si="285"/>
        <v>Disattivato</v>
      </c>
    </row>
    <row r="282" spans="7:9" hidden="1" x14ac:dyDescent="0.2">
      <c r="G282" s="25"/>
      <c r="H282" s="83">
        <f>CASSA!E349</f>
        <v>45461</v>
      </c>
      <c r="I282" s="985" t="str">
        <f t="shared" si="285"/>
        <v>Disattivato</v>
      </c>
    </row>
    <row r="283" spans="7:9" hidden="1" x14ac:dyDescent="0.2">
      <c r="G283" s="25"/>
      <c r="H283" s="83">
        <f>CASSA!E350</f>
        <v>45462</v>
      </c>
      <c r="I283" s="985" t="str">
        <f t="shared" si="285"/>
        <v>Disattivato</v>
      </c>
    </row>
    <row r="284" spans="7:9" hidden="1" x14ac:dyDescent="0.2">
      <c r="G284" s="25"/>
      <c r="H284" s="83">
        <f>CASSA!E351</f>
        <v>45463</v>
      </c>
      <c r="I284" s="985" t="str">
        <f t="shared" si="285"/>
        <v>Disattivato</v>
      </c>
    </row>
    <row r="285" spans="7:9" hidden="1" x14ac:dyDescent="0.2">
      <c r="G285" s="25"/>
      <c r="H285" s="83">
        <f>CASSA!E352</f>
        <v>45464</v>
      </c>
      <c r="I285" s="985" t="str">
        <f t="shared" si="285"/>
        <v>Disattivato</v>
      </c>
    </row>
    <row r="286" spans="7:9" hidden="1" x14ac:dyDescent="0.2">
      <c r="G286" s="25"/>
      <c r="H286" s="83">
        <f>CASSA!E353</f>
        <v>45465</v>
      </c>
      <c r="I286" s="985" t="str">
        <f t="shared" si="285"/>
        <v>Disattivato</v>
      </c>
    </row>
    <row r="287" spans="7:9" hidden="1" x14ac:dyDescent="0.2">
      <c r="G287" s="25"/>
      <c r="H287" s="83">
        <f>CASSA!E354</f>
        <v>45466</v>
      </c>
      <c r="I287" s="985" t="str">
        <f t="shared" si="285"/>
        <v>Disattivato</v>
      </c>
    </row>
    <row r="288" spans="7:9" hidden="1" x14ac:dyDescent="0.2">
      <c r="G288" s="25"/>
      <c r="H288" s="83">
        <f>CASSA!E355</f>
        <v>45467</v>
      </c>
      <c r="I288" s="985" t="str">
        <f t="shared" si="285"/>
        <v>Disattivato</v>
      </c>
    </row>
    <row r="289" spans="7:9" hidden="1" x14ac:dyDescent="0.2">
      <c r="G289" s="25"/>
      <c r="H289" s="83">
        <f>CASSA!E356</f>
        <v>45468</v>
      </c>
      <c r="I289" s="985" t="str">
        <f t="shared" si="285"/>
        <v>Disattivato</v>
      </c>
    </row>
    <row r="290" spans="7:9" hidden="1" x14ac:dyDescent="0.2">
      <c r="G290" s="25"/>
      <c r="H290" s="83">
        <f>CASSA!E357</f>
        <v>45469</v>
      </c>
      <c r="I290" s="985" t="str">
        <f t="shared" si="285"/>
        <v>Disattivato</v>
      </c>
    </row>
    <row r="291" spans="7:9" hidden="1" x14ac:dyDescent="0.2">
      <c r="G291" s="25"/>
      <c r="H291" s="83">
        <f>CASSA!E358</f>
        <v>45470</v>
      </c>
      <c r="I291" s="985" t="str">
        <f t="shared" si="285"/>
        <v>Disattivato</v>
      </c>
    </row>
    <row r="292" spans="7:9" hidden="1" x14ac:dyDescent="0.2">
      <c r="G292" s="25"/>
      <c r="H292" s="83">
        <f>CASSA!E359</f>
        <v>45471</v>
      </c>
      <c r="I292" s="985" t="str">
        <f t="shared" si="285"/>
        <v>Disattivato</v>
      </c>
    </row>
    <row r="293" spans="7:9" hidden="1" x14ac:dyDescent="0.2">
      <c r="G293" s="25"/>
      <c r="H293" s="83">
        <f>CASSA!E360</f>
        <v>45472</v>
      </c>
      <c r="I293" s="985" t="str">
        <f t="shared" si="285"/>
        <v>Disattivato</v>
      </c>
    </row>
    <row r="294" spans="7:9" hidden="1" x14ac:dyDescent="0.2">
      <c r="G294" s="25"/>
      <c r="H294" s="83">
        <f>CASSA!E361</f>
        <v>45473</v>
      </c>
      <c r="I294" s="985" t="str">
        <f t="shared" si="285"/>
        <v>Disattivato</v>
      </c>
    </row>
    <row r="295" spans="7:9" hidden="1" x14ac:dyDescent="0.2">
      <c r="G295" s="25"/>
      <c r="H295" s="83">
        <f>CASSA!E362</f>
        <v>45474</v>
      </c>
      <c r="I295" s="985" t="str">
        <f t="shared" si="285"/>
        <v>Disattivato</v>
      </c>
    </row>
    <row r="296" spans="7:9" hidden="1" x14ac:dyDescent="0.2">
      <c r="G296" s="25"/>
      <c r="H296" s="83">
        <f>CASSA!E363</f>
        <v>45475</v>
      </c>
      <c r="I296" s="985" t="str">
        <f t="shared" si="285"/>
        <v>Disattivato</v>
      </c>
    </row>
    <row r="297" spans="7:9" hidden="1" x14ac:dyDescent="0.2">
      <c r="G297" s="25"/>
      <c r="H297" s="83">
        <f>CASSA!E364</f>
        <v>45476</v>
      </c>
      <c r="I297" s="985" t="str">
        <f t="shared" si="285"/>
        <v>Disattivato</v>
      </c>
    </row>
    <row r="298" spans="7:9" hidden="1" x14ac:dyDescent="0.2">
      <c r="G298" s="25"/>
      <c r="H298" s="83">
        <f>CASSA!E365</f>
        <v>45477</v>
      </c>
      <c r="I298" s="985" t="str">
        <f t="shared" si="285"/>
        <v>Disattivato</v>
      </c>
    </row>
    <row r="299" spans="7:9" hidden="1" x14ac:dyDescent="0.2">
      <c r="G299" s="25"/>
      <c r="H299" s="83">
        <f>CASSA!E366</f>
        <v>45478</v>
      </c>
      <c r="I299" s="985" t="str">
        <f t="shared" si="285"/>
        <v>Disattivato</v>
      </c>
    </row>
    <row r="300" spans="7:9" hidden="1" x14ac:dyDescent="0.2">
      <c r="G300" s="25"/>
      <c r="H300" s="83">
        <f>CASSA!E367</f>
        <v>45479</v>
      </c>
      <c r="I300" s="985" t="str">
        <f t="shared" si="285"/>
        <v>Disattivato</v>
      </c>
    </row>
    <row r="301" spans="7:9" hidden="1" x14ac:dyDescent="0.2">
      <c r="G301" s="25"/>
      <c r="H301" s="83">
        <f>CASSA!E368</f>
        <v>45480</v>
      </c>
      <c r="I301" s="985" t="str">
        <f t="shared" si="285"/>
        <v>Disattivato</v>
      </c>
    </row>
    <row r="302" spans="7:9" hidden="1" x14ac:dyDescent="0.2">
      <c r="G302" s="25"/>
      <c r="H302" s="83">
        <f>CASSA!E369</f>
        <v>45481</v>
      </c>
      <c r="I302" s="985" t="str">
        <f t="shared" si="285"/>
        <v>Disattivato</v>
      </c>
    </row>
    <row r="303" spans="7:9" hidden="1" x14ac:dyDescent="0.2">
      <c r="G303" s="25"/>
      <c r="H303" s="83">
        <f>CASSA!E370</f>
        <v>45482</v>
      </c>
      <c r="I303" s="985" t="str">
        <f t="shared" si="285"/>
        <v>Disattivato</v>
      </c>
    </row>
    <row r="304" spans="7:9" hidden="1" x14ac:dyDescent="0.2">
      <c r="G304" s="25"/>
      <c r="H304" s="83">
        <f>CASSA!E371</f>
        <v>45483</v>
      </c>
      <c r="I304" s="985" t="str">
        <f t="shared" si="285"/>
        <v>Disattivato</v>
      </c>
    </row>
    <row r="305" spans="7:9" hidden="1" x14ac:dyDescent="0.2">
      <c r="G305" s="25"/>
      <c r="H305" s="83">
        <f>CASSA!E372</f>
        <v>45484</v>
      </c>
      <c r="I305" s="985" t="str">
        <f t="shared" si="285"/>
        <v>Disattivato</v>
      </c>
    </row>
    <row r="306" spans="7:9" hidden="1" x14ac:dyDescent="0.2">
      <c r="G306" s="25"/>
      <c r="H306" s="83">
        <f>CASSA!E373</f>
        <v>45485</v>
      </c>
      <c r="I306" s="985" t="str">
        <f t="shared" ref="I306:I369" si="286">IF($C$121=1,"",IF(OR(H306&lt;$F$112,H306&gt;$F$113),$E$113,""))</f>
        <v>Disattivato</v>
      </c>
    </row>
    <row r="307" spans="7:9" hidden="1" x14ac:dyDescent="0.2">
      <c r="G307" s="25"/>
      <c r="H307" s="83">
        <f>CASSA!E374</f>
        <v>45486</v>
      </c>
      <c r="I307" s="985" t="str">
        <f t="shared" si="286"/>
        <v>Disattivato</v>
      </c>
    </row>
    <row r="308" spans="7:9" hidden="1" x14ac:dyDescent="0.2">
      <c r="G308" s="25"/>
      <c r="H308" s="83">
        <f>CASSA!E375</f>
        <v>45487</v>
      </c>
      <c r="I308" s="985" t="str">
        <f t="shared" si="286"/>
        <v>Disattivato</v>
      </c>
    </row>
    <row r="309" spans="7:9" hidden="1" x14ac:dyDescent="0.2">
      <c r="G309" s="25"/>
      <c r="H309" s="83">
        <f>CASSA!E376</f>
        <v>45488</v>
      </c>
      <c r="I309" s="985" t="str">
        <f t="shared" si="286"/>
        <v>Disattivato</v>
      </c>
    </row>
    <row r="310" spans="7:9" hidden="1" x14ac:dyDescent="0.2">
      <c r="G310" s="25"/>
      <c r="H310" s="83">
        <f>CASSA!E377</f>
        <v>45489</v>
      </c>
      <c r="I310" s="985" t="str">
        <f t="shared" si="286"/>
        <v>Disattivato</v>
      </c>
    </row>
    <row r="311" spans="7:9" hidden="1" x14ac:dyDescent="0.2">
      <c r="G311" s="25"/>
      <c r="H311" s="83">
        <f>CASSA!E378</f>
        <v>45490</v>
      </c>
      <c r="I311" s="985" t="str">
        <f t="shared" si="286"/>
        <v>Disattivato</v>
      </c>
    </row>
    <row r="312" spans="7:9" hidden="1" x14ac:dyDescent="0.2">
      <c r="G312" s="25"/>
      <c r="H312" s="83">
        <f>CASSA!E379</f>
        <v>45491</v>
      </c>
      <c r="I312" s="985" t="str">
        <f t="shared" si="286"/>
        <v>Disattivato</v>
      </c>
    </row>
    <row r="313" spans="7:9" hidden="1" x14ac:dyDescent="0.2">
      <c r="G313" s="25"/>
      <c r="H313" s="83">
        <f>CASSA!E380</f>
        <v>45492</v>
      </c>
      <c r="I313" s="985" t="str">
        <f t="shared" si="286"/>
        <v>Disattivato</v>
      </c>
    </row>
    <row r="314" spans="7:9" hidden="1" x14ac:dyDescent="0.2">
      <c r="G314" s="25"/>
      <c r="H314" s="83">
        <f>CASSA!E381</f>
        <v>45493</v>
      </c>
      <c r="I314" s="985" t="str">
        <f t="shared" si="286"/>
        <v>Disattivato</v>
      </c>
    </row>
    <row r="315" spans="7:9" hidden="1" x14ac:dyDescent="0.2">
      <c r="G315" s="25"/>
      <c r="H315" s="83">
        <f>CASSA!E382</f>
        <v>45494</v>
      </c>
      <c r="I315" s="985" t="str">
        <f t="shared" si="286"/>
        <v>Disattivato</v>
      </c>
    </row>
    <row r="316" spans="7:9" hidden="1" x14ac:dyDescent="0.2">
      <c r="G316" s="25"/>
      <c r="H316" s="83">
        <f>CASSA!E383</f>
        <v>45495</v>
      </c>
      <c r="I316" s="985" t="str">
        <f t="shared" si="286"/>
        <v>Disattivato</v>
      </c>
    </row>
    <row r="317" spans="7:9" hidden="1" x14ac:dyDescent="0.2">
      <c r="G317" s="25"/>
      <c r="H317" s="83">
        <f>CASSA!E384</f>
        <v>45496</v>
      </c>
      <c r="I317" s="985" t="str">
        <f t="shared" si="286"/>
        <v>Disattivato</v>
      </c>
    </row>
    <row r="318" spans="7:9" hidden="1" x14ac:dyDescent="0.2">
      <c r="G318" s="25"/>
      <c r="H318" s="83">
        <f>CASSA!E385</f>
        <v>45497</v>
      </c>
      <c r="I318" s="985" t="str">
        <f t="shared" si="286"/>
        <v>Disattivato</v>
      </c>
    </row>
    <row r="319" spans="7:9" hidden="1" x14ac:dyDescent="0.2">
      <c r="G319" s="25"/>
      <c r="H319" s="83">
        <f>CASSA!E386</f>
        <v>45498</v>
      </c>
      <c r="I319" s="985" t="str">
        <f t="shared" si="286"/>
        <v>Disattivato</v>
      </c>
    </row>
    <row r="320" spans="7:9" hidden="1" x14ac:dyDescent="0.2">
      <c r="G320" s="25"/>
      <c r="H320" s="83">
        <f>CASSA!E387</f>
        <v>45499</v>
      </c>
      <c r="I320" s="985" t="str">
        <f t="shared" si="286"/>
        <v>Disattivato</v>
      </c>
    </row>
    <row r="321" spans="7:9" hidden="1" x14ac:dyDescent="0.2">
      <c r="G321" s="25"/>
      <c r="H321" s="83">
        <f>CASSA!E388</f>
        <v>45500</v>
      </c>
      <c r="I321" s="985" t="str">
        <f t="shared" si="286"/>
        <v>Disattivato</v>
      </c>
    </row>
    <row r="322" spans="7:9" hidden="1" x14ac:dyDescent="0.2">
      <c r="G322" s="25"/>
      <c r="H322" s="83">
        <f>CASSA!E389</f>
        <v>45501</v>
      </c>
      <c r="I322" s="985" t="str">
        <f t="shared" si="286"/>
        <v>Disattivato</v>
      </c>
    </row>
    <row r="323" spans="7:9" hidden="1" x14ac:dyDescent="0.2">
      <c r="G323" s="25"/>
      <c r="H323" s="83">
        <f>CASSA!E390</f>
        <v>45502</v>
      </c>
      <c r="I323" s="985" t="str">
        <f t="shared" si="286"/>
        <v>Disattivato</v>
      </c>
    </row>
    <row r="324" spans="7:9" hidden="1" x14ac:dyDescent="0.2">
      <c r="G324" s="25"/>
      <c r="H324" s="83">
        <f>CASSA!E391</f>
        <v>45503</v>
      </c>
      <c r="I324" s="985" t="str">
        <f t="shared" si="286"/>
        <v>Disattivato</v>
      </c>
    </row>
    <row r="325" spans="7:9" hidden="1" x14ac:dyDescent="0.2">
      <c r="G325" s="25"/>
      <c r="H325" s="83">
        <f>CASSA!E392</f>
        <v>45504</v>
      </c>
      <c r="I325" s="985" t="str">
        <f t="shared" si="286"/>
        <v>Disattivato</v>
      </c>
    </row>
    <row r="326" spans="7:9" hidden="1" x14ac:dyDescent="0.2">
      <c r="G326" s="25"/>
      <c r="H326" s="83">
        <f>CASSA!E393</f>
        <v>45505</v>
      </c>
      <c r="I326" s="985" t="str">
        <f t="shared" si="286"/>
        <v>Disattivato</v>
      </c>
    </row>
    <row r="327" spans="7:9" hidden="1" x14ac:dyDescent="0.2">
      <c r="G327" s="25"/>
      <c r="H327" s="83">
        <f>CASSA!E394</f>
        <v>45506</v>
      </c>
      <c r="I327" s="985" t="str">
        <f t="shared" si="286"/>
        <v>Disattivato</v>
      </c>
    </row>
    <row r="328" spans="7:9" hidden="1" x14ac:dyDescent="0.2">
      <c r="G328" s="25"/>
      <c r="H328" s="83">
        <f>CASSA!E395</f>
        <v>45507</v>
      </c>
      <c r="I328" s="985" t="str">
        <f t="shared" si="286"/>
        <v>Disattivato</v>
      </c>
    </row>
    <row r="329" spans="7:9" hidden="1" x14ac:dyDescent="0.2">
      <c r="G329" s="25"/>
      <c r="H329" s="83">
        <f>CASSA!E396</f>
        <v>45508</v>
      </c>
      <c r="I329" s="985" t="str">
        <f t="shared" si="286"/>
        <v>Disattivato</v>
      </c>
    </row>
    <row r="330" spans="7:9" hidden="1" x14ac:dyDescent="0.2">
      <c r="G330" s="25"/>
      <c r="H330" s="83">
        <f>CASSA!E397</f>
        <v>45509</v>
      </c>
      <c r="I330" s="985" t="str">
        <f t="shared" si="286"/>
        <v>Disattivato</v>
      </c>
    </row>
    <row r="331" spans="7:9" hidden="1" x14ac:dyDescent="0.2">
      <c r="G331" s="25"/>
      <c r="H331" s="83">
        <f>CASSA!E398</f>
        <v>45510</v>
      </c>
      <c r="I331" s="985" t="str">
        <f t="shared" si="286"/>
        <v>Disattivato</v>
      </c>
    </row>
    <row r="332" spans="7:9" hidden="1" x14ac:dyDescent="0.2">
      <c r="G332" s="25"/>
      <c r="H332" s="83">
        <f>CASSA!E399</f>
        <v>45511</v>
      </c>
      <c r="I332" s="985" t="str">
        <f t="shared" si="286"/>
        <v>Disattivato</v>
      </c>
    </row>
    <row r="333" spans="7:9" hidden="1" x14ac:dyDescent="0.2">
      <c r="G333" s="25"/>
      <c r="H333" s="83">
        <f>CASSA!E400</f>
        <v>45512</v>
      </c>
      <c r="I333" s="985" t="str">
        <f t="shared" si="286"/>
        <v>Disattivato</v>
      </c>
    </row>
    <row r="334" spans="7:9" hidden="1" x14ac:dyDescent="0.2">
      <c r="G334" s="25"/>
      <c r="H334" s="83">
        <f>CASSA!E401</f>
        <v>45513</v>
      </c>
      <c r="I334" s="985" t="str">
        <f t="shared" si="286"/>
        <v>Disattivato</v>
      </c>
    </row>
    <row r="335" spans="7:9" hidden="1" x14ac:dyDescent="0.2">
      <c r="G335" s="25"/>
      <c r="H335" s="83">
        <f>CASSA!E402</f>
        <v>45514</v>
      </c>
      <c r="I335" s="985" t="str">
        <f t="shared" si="286"/>
        <v>Disattivato</v>
      </c>
    </row>
    <row r="336" spans="7:9" hidden="1" x14ac:dyDescent="0.2">
      <c r="G336" s="25"/>
      <c r="H336" s="83">
        <f>CASSA!E403</f>
        <v>45515</v>
      </c>
      <c r="I336" s="985" t="str">
        <f t="shared" si="286"/>
        <v>Disattivato</v>
      </c>
    </row>
    <row r="337" spans="7:9" hidden="1" x14ac:dyDescent="0.2">
      <c r="G337" s="25"/>
      <c r="H337" s="83">
        <f>CASSA!E404</f>
        <v>45516</v>
      </c>
      <c r="I337" s="985" t="str">
        <f t="shared" si="286"/>
        <v>Disattivato</v>
      </c>
    </row>
    <row r="338" spans="7:9" hidden="1" x14ac:dyDescent="0.2">
      <c r="G338" s="25"/>
      <c r="H338" s="83">
        <f>CASSA!E405</f>
        <v>45517</v>
      </c>
      <c r="I338" s="985" t="str">
        <f t="shared" si="286"/>
        <v>Disattivato</v>
      </c>
    </row>
    <row r="339" spans="7:9" hidden="1" x14ac:dyDescent="0.2">
      <c r="G339" s="25"/>
      <c r="H339" s="83">
        <f>CASSA!E406</f>
        <v>45518</v>
      </c>
      <c r="I339" s="985" t="str">
        <f t="shared" si="286"/>
        <v>Disattivato</v>
      </c>
    </row>
    <row r="340" spans="7:9" hidden="1" x14ac:dyDescent="0.2">
      <c r="G340" s="25"/>
      <c r="H340" s="83">
        <f>CASSA!E407</f>
        <v>45519</v>
      </c>
      <c r="I340" s="985" t="str">
        <f t="shared" si="286"/>
        <v>Disattivato</v>
      </c>
    </row>
    <row r="341" spans="7:9" hidden="1" x14ac:dyDescent="0.2">
      <c r="G341" s="25"/>
      <c r="H341" s="83">
        <f>CASSA!E408</f>
        <v>45520</v>
      </c>
      <c r="I341" s="985" t="str">
        <f t="shared" si="286"/>
        <v>Disattivato</v>
      </c>
    </row>
    <row r="342" spans="7:9" hidden="1" x14ac:dyDescent="0.2">
      <c r="G342" s="25"/>
      <c r="H342" s="83">
        <f>CASSA!E409</f>
        <v>45521</v>
      </c>
      <c r="I342" s="985" t="str">
        <f t="shared" si="286"/>
        <v>Disattivato</v>
      </c>
    </row>
    <row r="343" spans="7:9" hidden="1" x14ac:dyDescent="0.2">
      <c r="G343" s="25"/>
      <c r="H343" s="83">
        <f>CASSA!E410</f>
        <v>45522</v>
      </c>
      <c r="I343" s="985" t="str">
        <f t="shared" si="286"/>
        <v>Disattivato</v>
      </c>
    </row>
    <row r="344" spans="7:9" hidden="1" x14ac:dyDescent="0.2">
      <c r="G344" s="25"/>
      <c r="H344" s="83">
        <f>CASSA!E411</f>
        <v>45523</v>
      </c>
      <c r="I344" s="985" t="str">
        <f t="shared" si="286"/>
        <v>Disattivato</v>
      </c>
    </row>
    <row r="345" spans="7:9" hidden="1" x14ac:dyDescent="0.2">
      <c r="G345" s="25"/>
      <c r="H345" s="83">
        <f>CASSA!E412</f>
        <v>45524</v>
      </c>
      <c r="I345" s="985" t="str">
        <f t="shared" si="286"/>
        <v>Disattivato</v>
      </c>
    </row>
    <row r="346" spans="7:9" hidden="1" x14ac:dyDescent="0.2">
      <c r="G346" s="25"/>
      <c r="H346" s="83">
        <f>CASSA!E413</f>
        <v>45525</v>
      </c>
      <c r="I346" s="985" t="str">
        <f t="shared" si="286"/>
        <v>Disattivato</v>
      </c>
    </row>
    <row r="347" spans="7:9" hidden="1" x14ac:dyDescent="0.2">
      <c r="G347" s="25"/>
      <c r="H347" s="83">
        <f>CASSA!E414</f>
        <v>45526</v>
      </c>
      <c r="I347" s="985" t="str">
        <f t="shared" si="286"/>
        <v>Disattivato</v>
      </c>
    </row>
    <row r="348" spans="7:9" hidden="1" x14ac:dyDescent="0.2">
      <c r="G348" s="25"/>
      <c r="H348" s="83">
        <f>CASSA!E415</f>
        <v>45527</v>
      </c>
      <c r="I348" s="985" t="str">
        <f t="shared" si="286"/>
        <v>Disattivato</v>
      </c>
    </row>
    <row r="349" spans="7:9" hidden="1" x14ac:dyDescent="0.2">
      <c r="G349" s="25"/>
      <c r="H349" s="83">
        <f>CASSA!E416</f>
        <v>45528</v>
      </c>
      <c r="I349" s="985" t="str">
        <f t="shared" si="286"/>
        <v>Disattivato</v>
      </c>
    </row>
    <row r="350" spans="7:9" hidden="1" x14ac:dyDescent="0.2">
      <c r="G350" s="25"/>
      <c r="H350" s="83">
        <f>CASSA!E417</f>
        <v>45529</v>
      </c>
      <c r="I350" s="985" t="str">
        <f t="shared" si="286"/>
        <v>Disattivato</v>
      </c>
    </row>
    <row r="351" spans="7:9" hidden="1" x14ac:dyDescent="0.2">
      <c r="G351" s="25"/>
      <c r="H351" s="83">
        <f>CASSA!E418</f>
        <v>45530</v>
      </c>
      <c r="I351" s="985" t="str">
        <f t="shared" si="286"/>
        <v>Disattivato</v>
      </c>
    </row>
    <row r="352" spans="7:9" hidden="1" x14ac:dyDescent="0.2">
      <c r="G352" s="25"/>
      <c r="H352" s="83">
        <f>CASSA!E419</f>
        <v>45531</v>
      </c>
      <c r="I352" s="985" t="str">
        <f t="shared" si="286"/>
        <v>Disattivato</v>
      </c>
    </row>
    <row r="353" spans="7:9" hidden="1" x14ac:dyDescent="0.2">
      <c r="G353" s="25"/>
      <c r="H353" s="83">
        <f>CASSA!E420</f>
        <v>45532</v>
      </c>
      <c r="I353" s="985" t="str">
        <f t="shared" si="286"/>
        <v>Disattivato</v>
      </c>
    </row>
    <row r="354" spans="7:9" hidden="1" x14ac:dyDescent="0.2">
      <c r="G354" s="25"/>
      <c r="H354" s="83">
        <f>CASSA!E421</f>
        <v>45533</v>
      </c>
      <c r="I354" s="985" t="str">
        <f t="shared" si="286"/>
        <v>Disattivato</v>
      </c>
    </row>
    <row r="355" spans="7:9" hidden="1" x14ac:dyDescent="0.2">
      <c r="G355" s="25"/>
      <c r="H355" s="83">
        <f>CASSA!E422</f>
        <v>45534</v>
      </c>
      <c r="I355" s="985" t="str">
        <f t="shared" si="286"/>
        <v>Disattivato</v>
      </c>
    </row>
    <row r="356" spans="7:9" hidden="1" x14ac:dyDescent="0.2">
      <c r="G356" s="25"/>
      <c r="H356" s="83">
        <f>CASSA!E423</f>
        <v>45535</v>
      </c>
      <c r="I356" s="985" t="str">
        <f t="shared" si="286"/>
        <v>Disattivato</v>
      </c>
    </row>
    <row r="357" spans="7:9" hidden="1" x14ac:dyDescent="0.2">
      <c r="G357" s="25"/>
      <c r="H357" s="83">
        <f>CASSA!E424</f>
        <v>45536</v>
      </c>
      <c r="I357" s="985" t="str">
        <f t="shared" si="286"/>
        <v>Disattivato</v>
      </c>
    </row>
    <row r="358" spans="7:9" hidden="1" x14ac:dyDescent="0.2">
      <c r="G358" s="25"/>
      <c r="H358" s="83">
        <f>CASSA!E425</f>
        <v>45537</v>
      </c>
      <c r="I358" s="985" t="str">
        <f t="shared" si="286"/>
        <v>Disattivato</v>
      </c>
    </row>
    <row r="359" spans="7:9" hidden="1" x14ac:dyDescent="0.2">
      <c r="G359" s="25"/>
      <c r="H359" s="83">
        <f>CASSA!E426</f>
        <v>45538</v>
      </c>
      <c r="I359" s="985" t="str">
        <f t="shared" si="286"/>
        <v>Disattivato</v>
      </c>
    </row>
    <row r="360" spans="7:9" hidden="1" x14ac:dyDescent="0.2">
      <c r="G360" s="25"/>
      <c r="H360" s="83">
        <f>CASSA!E427</f>
        <v>45539</v>
      </c>
      <c r="I360" s="985" t="str">
        <f t="shared" si="286"/>
        <v>Disattivato</v>
      </c>
    </row>
    <row r="361" spans="7:9" hidden="1" x14ac:dyDescent="0.2">
      <c r="G361" s="25"/>
      <c r="H361" s="83">
        <f>CASSA!E428</f>
        <v>45540</v>
      </c>
      <c r="I361" s="985" t="str">
        <f t="shared" si="286"/>
        <v>Disattivato</v>
      </c>
    </row>
    <row r="362" spans="7:9" hidden="1" x14ac:dyDescent="0.2">
      <c r="G362" s="25"/>
      <c r="H362" s="83">
        <f>CASSA!E429</f>
        <v>45541</v>
      </c>
      <c r="I362" s="985" t="str">
        <f t="shared" si="286"/>
        <v>Disattivato</v>
      </c>
    </row>
    <row r="363" spans="7:9" hidden="1" x14ac:dyDescent="0.2">
      <c r="G363" s="25"/>
      <c r="H363" s="83">
        <f>CASSA!E430</f>
        <v>45542</v>
      </c>
      <c r="I363" s="985" t="str">
        <f t="shared" si="286"/>
        <v>Disattivato</v>
      </c>
    </row>
    <row r="364" spans="7:9" hidden="1" x14ac:dyDescent="0.2">
      <c r="G364" s="25"/>
      <c r="H364" s="83">
        <f>CASSA!E431</f>
        <v>45543</v>
      </c>
      <c r="I364" s="985" t="str">
        <f t="shared" si="286"/>
        <v>Disattivato</v>
      </c>
    </row>
    <row r="365" spans="7:9" hidden="1" x14ac:dyDescent="0.2">
      <c r="G365" s="25"/>
      <c r="H365" s="83">
        <f>CASSA!E432</f>
        <v>45544</v>
      </c>
      <c r="I365" s="985" t="str">
        <f t="shared" si="286"/>
        <v>Disattivato</v>
      </c>
    </row>
    <row r="366" spans="7:9" hidden="1" x14ac:dyDescent="0.2">
      <c r="G366" s="25"/>
      <c r="H366" s="83">
        <f>CASSA!E433</f>
        <v>45545</v>
      </c>
      <c r="I366" s="985" t="str">
        <f t="shared" si="286"/>
        <v>Disattivato</v>
      </c>
    </row>
    <row r="367" spans="7:9" hidden="1" x14ac:dyDescent="0.2">
      <c r="G367" s="25"/>
      <c r="H367" s="83">
        <f>CASSA!E434</f>
        <v>45546</v>
      </c>
      <c r="I367" s="985" t="str">
        <f t="shared" si="286"/>
        <v>Disattivato</v>
      </c>
    </row>
    <row r="368" spans="7:9" hidden="1" x14ac:dyDescent="0.2">
      <c r="G368" s="25"/>
      <c r="H368" s="83">
        <f>CASSA!E435</f>
        <v>45547</v>
      </c>
      <c r="I368" s="985" t="str">
        <f t="shared" si="286"/>
        <v>Disattivato</v>
      </c>
    </row>
    <row r="369" spans="7:9" hidden="1" x14ac:dyDescent="0.2">
      <c r="G369" s="25"/>
      <c r="H369" s="83">
        <f>CASSA!E436</f>
        <v>45548</v>
      </c>
      <c r="I369" s="985" t="str">
        <f t="shared" si="286"/>
        <v>Disattivato</v>
      </c>
    </row>
    <row r="370" spans="7:9" hidden="1" x14ac:dyDescent="0.2">
      <c r="G370" s="25"/>
      <c r="H370" s="83">
        <f>CASSA!E437</f>
        <v>45549</v>
      </c>
      <c r="I370" s="985" t="str">
        <f t="shared" ref="I370:I433" si="287">IF($C$121=1,"",IF(OR(H370&lt;$F$112,H370&gt;$F$113),$E$113,""))</f>
        <v>Disattivato</v>
      </c>
    </row>
    <row r="371" spans="7:9" hidden="1" x14ac:dyDescent="0.2">
      <c r="G371" s="25"/>
      <c r="H371" s="83">
        <f>CASSA!E438</f>
        <v>45550</v>
      </c>
      <c r="I371" s="985" t="str">
        <f t="shared" si="287"/>
        <v>Disattivato</v>
      </c>
    </row>
    <row r="372" spans="7:9" hidden="1" x14ac:dyDescent="0.2">
      <c r="G372" s="25"/>
      <c r="H372" s="83">
        <f>CASSA!E439</f>
        <v>45551</v>
      </c>
      <c r="I372" s="985" t="str">
        <f t="shared" si="287"/>
        <v>Disattivato</v>
      </c>
    </row>
    <row r="373" spans="7:9" hidden="1" x14ac:dyDescent="0.2">
      <c r="G373" s="25"/>
      <c r="H373" s="83">
        <f>CASSA!E440</f>
        <v>45552</v>
      </c>
      <c r="I373" s="985" t="str">
        <f t="shared" si="287"/>
        <v>Disattivato</v>
      </c>
    </row>
    <row r="374" spans="7:9" hidden="1" x14ac:dyDescent="0.2">
      <c r="G374" s="25"/>
      <c r="H374" s="83">
        <f>CASSA!E441</f>
        <v>45553</v>
      </c>
      <c r="I374" s="985" t="str">
        <f t="shared" si="287"/>
        <v>Disattivato</v>
      </c>
    </row>
    <row r="375" spans="7:9" hidden="1" x14ac:dyDescent="0.2">
      <c r="G375" s="25"/>
      <c r="H375" s="83">
        <f>CASSA!E442</f>
        <v>45554</v>
      </c>
      <c r="I375" s="985" t="str">
        <f t="shared" si="287"/>
        <v>Disattivato</v>
      </c>
    </row>
    <row r="376" spans="7:9" hidden="1" x14ac:dyDescent="0.2">
      <c r="G376" s="25"/>
      <c r="H376" s="83">
        <f>CASSA!E443</f>
        <v>45555</v>
      </c>
      <c r="I376" s="985" t="str">
        <f t="shared" si="287"/>
        <v>Disattivato</v>
      </c>
    </row>
    <row r="377" spans="7:9" hidden="1" x14ac:dyDescent="0.2">
      <c r="G377" s="25"/>
      <c r="H377" s="83">
        <f>CASSA!E444</f>
        <v>45556</v>
      </c>
      <c r="I377" s="985" t="str">
        <f t="shared" si="287"/>
        <v>Disattivato</v>
      </c>
    </row>
    <row r="378" spans="7:9" hidden="1" x14ac:dyDescent="0.2">
      <c r="G378" s="25"/>
      <c r="H378" s="83">
        <f>CASSA!E445</f>
        <v>45557</v>
      </c>
      <c r="I378" s="985" t="str">
        <f t="shared" si="287"/>
        <v>Disattivato</v>
      </c>
    </row>
    <row r="379" spans="7:9" hidden="1" x14ac:dyDescent="0.2">
      <c r="G379" s="25"/>
      <c r="H379" s="83">
        <f>CASSA!E446</f>
        <v>45558</v>
      </c>
      <c r="I379" s="985" t="str">
        <f t="shared" si="287"/>
        <v>Disattivato</v>
      </c>
    </row>
    <row r="380" spans="7:9" hidden="1" x14ac:dyDescent="0.2">
      <c r="G380" s="25"/>
      <c r="H380" s="83">
        <f>CASSA!E447</f>
        <v>45559</v>
      </c>
      <c r="I380" s="985" t="str">
        <f t="shared" si="287"/>
        <v>Disattivato</v>
      </c>
    </row>
    <row r="381" spans="7:9" hidden="1" x14ac:dyDescent="0.2">
      <c r="G381" s="25"/>
      <c r="H381" s="83">
        <f>CASSA!E448</f>
        <v>45560</v>
      </c>
      <c r="I381" s="985" t="str">
        <f t="shared" si="287"/>
        <v>Disattivato</v>
      </c>
    </row>
    <row r="382" spans="7:9" hidden="1" x14ac:dyDescent="0.2">
      <c r="G382" s="25"/>
      <c r="H382" s="83">
        <f>CASSA!E449</f>
        <v>45561</v>
      </c>
      <c r="I382" s="985" t="str">
        <f t="shared" si="287"/>
        <v>Disattivato</v>
      </c>
    </row>
    <row r="383" spans="7:9" hidden="1" x14ac:dyDescent="0.2">
      <c r="G383" s="25"/>
      <c r="H383" s="83">
        <f>CASSA!E450</f>
        <v>45562</v>
      </c>
      <c r="I383" s="985" t="str">
        <f t="shared" si="287"/>
        <v>Disattivato</v>
      </c>
    </row>
    <row r="384" spans="7:9" hidden="1" x14ac:dyDescent="0.2">
      <c r="G384" s="25"/>
      <c r="H384" s="83">
        <f>CASSA!E451</f>
        <v>45563</v>
      </c>
      <c r="I384" s="985" t="str">
        <f t="shared" si="287"/>
        <v>Disattivato</v>
      </c>
    </row>
    <row r="385" spans="7:9" hidden="1" x14ac:dyDescent="0.2">
      <c r="G385" s="25"/>
      <c r="H385" s="83">
        <f>CASSA!E452</f>
        <v>45564</v>
      </c>
      <c r="I385" s="985" t="str">
        <f t="shared" si="287"/>
        <v>Disattivato</v>
      </c>
    </row>
    <row r="386" spans="7:9" hidden="1" x14ac:dyDescent="0.2">
      <c r="G386" s="25"/>
      <c r="H386" s="83">
        <f>CASSA!E453</f>
        <v>45565</v>
      </c>
      <c r="I386" s="985" t="str">
        <f t="shared" si="287"/>
        <v>Disattivato</v>
      </c>
    </row>
    <row r="387" spans="7:9" hidden="1" x14ac:dyDescent="0.2">
      <c r="G387" s="25"/>
      <c r="H387" s="83">
        <f>CASSA!E454</f>
        <v>45566</v>
      </c>
      <c r="I387" s="985" t="str">
        <f t="shared" si="287"/>
        <v>Disattivato</v>
      </c>
    </row>
    <row r="388" spans="7:9" hidden="1" x14ac:dyDescent="0.2">
      <c r="G388" s="25"/>
      <c r="H388" s="83">
        <f>CASSA!E455</f>
        <v>45567</v>
      </c>
      <c r="I388" s="985" t="str">
        <f t="shared" si="287"/>
        <v>Disattivato</v>
      </c>
    </row>
    <row r="389" spans="7:9" hidden="1" x14ac:dyDescent="0.2">
      <c r="G389" s="25"/>
      <c r="H389" s="83">
        <f>CASSA!E456</f>
        <v>45568</v>
      </c>
      <c r="I389" s="985" t="str">
        <f t="shared" si="287"/>
        <v>Disattivato</v>
      </c>
    </row>
    <row r="390" spans="7:9" hidden="1" x14ac:dyDescent="0.2">
      <c r="G390" s="25"/>
      <c r="H390" s="83">
        <f>CASSA!E457</f>
        <v>45569</v>
      </c>
      <c r="I390" s="985" t="str">
        <f t="shared" si="287"/>
        <v>Disattivato</v>
      </c>
    </row>
    <row r="391" spans="7:9" hidden="1" x14ac:dyDescent="0.2">
      <c r="G391" s="25"/>
      <c r="H391" s="83">
        <f>CASSA!E458</f>
        <v>45570</v>
      </c>
      <c r="I391" s="985" t="str">
        <f t="shared" si="287"/>
        <v>Disattivato</v>
      </c>
    </row>
    <row r="392" spans="7:9" hidden="1" x14ac:dyDescent="0.2">
      <c r="G392" s="25"/>
      <c r="H392" s="83">
        <f>CASSA!E459</f>
        <v>45571</v>
      </c>
      <c r="I392" s="985" t="str">
        <f t="shared" si="287"/>
        <v>Disattivato</v>
      </c>
    </row>
    <row r="393" spans="7:9" hidden="1" x14ac:dyDescent="0.2">
      <c r="G393" s="25"/>
      <c r="H393" s="83">
        <f>CASSA!E460</f>
        <v>45572</v>
      </c>
      <c r="I393" s="985" t="str">
        <f t="shared" si="287"/>
        <v>Disattivato</v>
      </c>
    </row>
    <row r="394" spans="7:9" hidden="1" x14ac:dyDescent="0.2">
      <c r="G394" s="25"/>
      <c r="H394" s="83">
        <f>CASSA!E461</f>
        <v>45573</v>
      </c>
      <c r="I394" s="985" t="str">
        <f t="shared" si="287"/>
        <v>Disattivato</v>
      </c>
    </row>
    <row r="395" spans="7:9" hidden="1" x14ac:dyDescent="0.2">
      <c r="G395" s="25"/>
      <c r="H395" s="83">
        <f>CASSA!E462</f>
        <v>45574</v>
      </c>
      <c r="I395" s="985" t="str">
        <f t="shared" si="287"/>
        <v>Disattivato</v>
      </c>
    </row>
    <row r="396" spans="7:9" hidden="1" x14ac:dyDescent="0.2">
      <c r="G396" s="25"/>
      <c r="H396" s="83">
        <f>CASSA!E463</f>
        <v>45575</v>
      </c>
      <c r="I396" s="985" t="str">
        <f t="shared" si="287"/>
        <v>Disattivato</v>
      </c>
    </row>
    <row r="397" spans="7:9" hidden="1" x14ac:dyDescent="0.2">
      <c r="G397" s="25"/>
      <c r="H397" s="83">
        <f>CASSA!E464</f>
        <v>45576</v>
      </c>
      <c r="I397" s="985" t="str">
        <f t="shared" si="287"/>
        <v>Disattivato</v>
      </c>
    </row>
    <row r="398" spans="7:9" hidden="1" x14ac:dyDescent="0.2">
      <c r="G398" s="25"/>
      <c r="H398" s="83">
        <f>CASSA!E465</f>
        <v>45577</v>
      </c>
      <c r="I398" s="985" t="str">
        <f t="shared" si="287"/>
        <v>Disattivato</v>
      </c>
    </row>
    <row r="399" spans="7:9" hidden="1" x14ac:dyDescent="0.2">
      <c r="G399" s="25"/>
      <c r="H399" s="83">
        <f>CASSA!E466</f>
        <v>45578</v>
      </c>
      <c r="I399" s="985" t="str">
        <f t="shared" si="287"/>
        <v>Disattivato</v>
      </c>
    </row>
    <row r="400" spans="7:9" hidden="1" x14ac:dyDescent="0.2">
      <c r="G400" s="25"/>
      <c r="H400" s="83">
        <f>CASSA!E467</f>
        <v>45579</v>
      </c>
      <c r="I400" s="985" t="str">
        <f t="shared" si="287"/>
        <v>Disattivato</v>
      </c>
    </row>
    <row r="401" spans="7:9" hidden="1" x14ac:dyDescent="0.2">
      <c r="G401" s="25"/>
      <c r="H401" s="83">
        <f>CASSA!E468</f>
        <v>45580</v>
      </c>
      <c r="I401" s="985" t="str">
        <f t="shared" si="287"/>
        <v>Disattivato</v>
      </c>
    </row>
    <row r="402" spans="7:9" hidden="1" x14ac:dyDescent="0.2">
      <c r="G402" s="25"/>
      <c r="H402" s="83">
        <f>CASSA!E469</f>
        <v>45581</v>
      </c>
      <c r="I402" s="985" t="str">
        <f t="shared" si="287"/>
        <v>Disattivato</v>
      </c>
    </row>
    <row r="403" spans="7:9" hidden="1" x14ac:dyDescent="0.2">
      <c r="G403" s="25"/>
      <c r="H403" s="83">
        <f>CASSA!E470</f>
        <v>45582</v>
      </c>
      <c r="I403" s="985" t="str">
        <f t="shared" si="287"/>
        <v>Disattivato</v>
      </c>
    </row>
    <row r="404" spans="7:9" hidden="1" x14ac:dyDescent="0.2">
      <c r="G404" s="25"/>
      <c r="H404" s="83">
        <f>CASSA!E471</f>
        <v>45583</v>
      </c>
      <c r="I404" s="985" t="str">
        <f t="shared" si="287"/>
        <v>Disattivato</v>
      </c>
    </row>
    <row r="405" spans="7:9" hidden="1" x14ac:dyDescent="0.2">
      <c r="G405" s="25"/>
      <c r="H405" s="83">
        <f>CASSA!E472</f>
        <v>45584</v>
      </c>
      <c r="I405" s="985" t="str">
        <f t="shared" si="287"/>
        <v>Disattivato</v>
      </c>
    </row>
    <row r="406" spans="7:9" hidden="1" x14ac:dyDescent="0.2">
      <c r="G406" s="25"/>
      <c r="H406" s="83">
        <f>CASSA!E473</f>
        <v>45585</v>
      </c>
      <c r="I406" s="985" t="str">
        <f t="shared" si="287"/>
        <v>Disattivato</v>
      </c>
    </row>
    <row r="407" spans="7:9" hidden="1" x14ac:dyDescent="0.2">
      <c r="G407" s="25"/>
      <c r="H407" s="83">
        <f>CASSA!E474</f>
        <v>45586</v>
      </c>
      <c r="I407" s="985" t="str">
        <f t="shared" si="287"/>
        <v>Disattivato</v>
      </c>
    </row>
    <row r="408" spans="7:9" hidden="1" x14ac:dyDescent="0.2">
      <c r="G408" s="25"/>
      <c r="H408" s="83">
        <f>CASSA!E475</f>
        <v>45587</v>
      </c>
      <c r="I408" s="985" t="str">
        <f t="shared" si="287"/>
        <v>Disattivato</v>
      </c>
    </row>
    <row r="409" spans="7:9" hidden="1" x14ac:dyDescent="0.2">
      <c r="G409" s="25"/>
      <c r="H409" s="83">
        <f>CASSA!E476</f>
        <v>45588</v>
      </c>
      <c r="I409" s="985" t="str">
        <f t="shared" si="287"/>
        <v>Disattivato</v>
      </c>
    </row>
    <row r="410" spans="7:9" hidden="1" x14ac:dyDescent="0.2">
      <c r="G410" s="25"/>
      <c r="H410" s="83">
        <f>CASSA!E477</f>
        <v>45589</v>
      </c>
      <c r="I410" s="985" t="str">
        <f t="shared" si="287"/>
        <v>Disattivato</v>
      </c>
    </row>
    <row r="411" spans="7:9" hidden="1" x14ac:dyDescent="0.2">
      <c r="G411" s="25"/>
      <c r="H411" s="83">
        <f>CASSA!E478</f>
        <v>45590</v>
      </c>
      <c r="I411" s="985" t="str">
        <f t="shared" si="287"/>
        <v>Disattivato</v>
      </c>
    </row>
    <row r="412" spans="7:9" hidden="1" x14ac:dyDescent="0.2">
      <c r="G412" s="25"/>
      <c r="H412" s="83">
        <f>CASSA!E479</f>
        <v>45591</v>
      </c>
      <c r="I412" s="985" t="str">
        <f t="shared" si="287"/>
        <v>Disattivato</v>
      </c>
    </row>
    <row r="413" spans="7:9" hidden="1" x14ac:dyDescent="0.2">
      <c r="G413" s="25"/>
      <c r="H413" s="83">
        <f>CASSA!E480</f>
        <v>45592</v>
      </c>
      <c r="I413" s="985" t="str">
        <f t="shared" si="287"/>
        <v>Disattivato</v>
      </c>
    </row>
    <row r="414" spans="7:9" hidden="1" x14ac:dyDescent="0.2">
      <c r="G414" s="25"/>
      <c r="H414" s="83">
        <f>CASSA!E481</f>
        <v>45593</v>
      </c>
      <c r="I414" s="985" t="str">
        <f t="shared" si="287"/>
        <v>Disattivato</v>
      </c>
    </row>
    <row r="415" spans="7:9" hidden="1" x14ac:dyDescent="0.2">
      <c r="G415" s="25"/>
      <c r="H415" s="83">
        <f>CASSA!E482</f>
        <v>45594</v>
      </c>
      <c r="I415" s="985" t="str">
        <f t="shared" si="287"/>
        <v>Disattivato</v>
      </c>
    </row>
    <row r="416" spans="7:9" hidden="1" x14ac:dyDescent="0.2">
      <c r="G416" s="25"/>
      <c r="H416" s="83">
        <f>CASSA!E483</f>
        <v>45595</v>
      </c>
      <c r="I416" s="985" t="str">
        <f t="shared" si="287"/>
        <v>Disattivato</v>
      </c>
    </row>
    <row r="417" spans="7:9" hidden="1" x14ac:dyDescent="0.2">
      <c r="G417" s="25"/>
      <c r="H417" s="83">
        <f>CASSA!E484</f>
        <v>45596</v>
      </c>
      <c r="I417" s="985" t="str">
        <f t="shared" si="287"/>
        <v>Disattivato</v>
      </c>
    </row>
    <row r="418" spans="7:9" hidden="1" x14ac:dyDescent="0.2">
      <c r="G418" s="25"/>
      <c r="H418" s="83">
        <f>CASSA!E485</f>
        <v>45597</v>
      </c>
      <c r="I418" s="985" t="str">
        <f t="shared" si="287"/>
        <v>Disattivato</v>
      </c>
    </row>
    <row r="419" spans="7:9" hidden="1" x14ac:dyDescent="0.2">
      <c r="G419" s="25"/>
      <c r="H419" s="83">
        <f>CASSA!E486</f>
        <v>45598</v>
      </c>
      <c r="I419" s="985" t="str">
        <f t="shared" si="287"/>
        <v>Disattivato</v>
      </c>
    </row>
    <row r="420" spans="7:9" hidden="1" x14ac:dyDescent="0.2">
      <c r="G420" s="25"/>
      <c r="H420" s="83">
        <f>CASSA!E487</f>
        <v>45599</v>
      </c>
      <c r="I420" s="985" t="str">
        <f t="shared" si="287"/>
        <v>Disattivato</v>
      </c>
    </row>
    <row r="421" spans="7:9" hidden="1" x14ac:dyDescent="0.2">
      <c r="G421" s="25"/>
      <c r="H421" s="83">
        <f>CASSA!E488</f>
        <v>45600</v>
      </c>
      <c r="I421" s="985" t="str">
        <f t="shared" si="287"/>
        <v>Disattivato</v>
      </c>
    </row>
    <row r="422" spans="7:9" hidden="1" x14ac:dyDescent="0.2">
      <c r="G422" s="25"/>
      <c r="H422" s="83">
        <f>CASSA!E489</f>
        <v>45601</v>
      </c>
      <c r="I422" s="985" t="str">
        <f t="shared" si="287"/>
        <v>Disattivato</v>
      </c>
    </row>
    <row r="423" spans="7:9" hidden="1" x14ac:dyDescent="0.2">
      <c r="G423" s="25"/>
      <c r="H423" s="83">
        <f>CASSA!E490</f>
        <v>45602</v>
      </c>
      <c r="I423" s="985" t="str">
        <f t="shared" si="287"/>
        <v>Disattivato</v>
      </c>
    </row>
    <row r="424" spans="7:9" hidden="1" x14ac:dyDescent="0.2">
      <c r="G424" s="25"/>
      <c r="H424" s="83">
        <f>CASSA!E491</f>
        <v>45603</v>
      </c>
      <c r="I424" s="985" t="str">
        <f t="shared" si="287"/>
        <v>Disattivato</v>
      </c>
    </row>
    <row r="425" spans="7:9" hidden="1" x14ac:dyDescent="0.2">
      <c r="G425" s="25"/>
      <c r="H425" s="83">
        <f>CASSA!E492</f>
        <v>45604</v>
      </c>
      <c r="I425" s="985" t="str">
        <f t="shared" si="287"/>
        <v>Disattivato</v>
      </c>
    </row>
    <row r="426" spans="7:9" hidden="1" x14ac:dyDescent="0.2">
      <c r="G426" s="25"/>
      <c r="H426" s="83">
        <f>CASSA!E493</f>
        <v>45605</v>
      </c>
      <c r="I426" s="985" t="str">
        <f t="shared" si="287"/>
        <v>Disattivato</v>
      </c>
    </row>
    <row r="427" spans="7:9" hidden="1" x14ac:dyDescent="0.2">
      <c r="G427" s="25"/>
      <c r="H427" s="83">
        <f>CASSA!E494</f>
        <v>45606</v>
      </c>
      <c r="I427" s="985" t="str">
        <f t="shared" si="287"/>
        <v>Disattivato</v>
      </c>
    </row>
    <row r="428" spans="7:9" hidden="1" x14ac:dyDescent="0.2">
      <c r="G428" s="25"/>
      <c r="H428" s="83">
        <f>CASSA!E495</f>
        <v>45607</v>
      </c>
      <c r="I428" s="985" t="str">
        <f t="shared" si="287"/>
        <v>Disattivato</v>
      </c>
    </row>
    <row r="429" spans="7:9" hidden="1" x14ac:dyDescent="0.2">
      <c r="G429" s="25"/>
      <c r="H429" s="83">
        <f>CASSA!E496</f>
        <v>45608</v>
      </c>
      <c r="I429" s="985" t="str">
        <f t="shared" si="287"/>
        <v>Disattivato</v>
      </c>
    </row>
    <row r="430" spans="7:9" hidden="1" x14ac:dyDescent="0.2">
      <c r="G430" s="25"/>
      <c r="H430" s="83">
        <f>CASSA!E497</f>
        <v>45609</v>
      </c>
      <c r="I430" s="985" t="str">
        <f t="shared" si="287"/>
        <v>Disattivato</v>
      </c>
    </row>
    <row r="431" spans="7:9" hidden="1" x14ac:dyDescent="0.2">
      <c r="G431" s="25"/>
      <c r="H431" s="83">
        <f>CASSA!E498</f>
        <v>45610</v>
      </c>
      <c r="I431" s="985" t="str">
        <f t="shared" si="287"/>
        <v>Disattivato</v>
      </c>
    </row>
    <row r="432" spans="7:9" hidden="1" x14ac:dyDescent="0.2">
      <c r="G432" s="25"/>
      <c r="H432" s="83">
        <f>CASSA!E499</f>
        <v>45611</v>
      </c>
      <c r="I432" s="985" t="str">
        <f t="shared" si="287"/>
        <v>Disattivato</v>
      </c>
    </row>
    <row r="433" spans="7:9" hidden="1" x14ac:dyDescent="0.2">
      <c r="G433" s="25"/>
      <c r="H433" s="83">
        <f>CASSA!E500</f>
        <v>45612</v>
      </c>
      <c r="I433" s="985" t="str">
        <f t="shared" si="287"/>
        <v>Disattivato</v>
      </c>
    </row>
    <row r="434" spans="7:9" hidden="1" x14ac:dyDescent="0.2">
      <c r="G434" s="25"/>
      <c r="H434" s="83">
        <f>CASSA!E501</f>
        <v>45613</v>
      </c>
      <c r="I434" s="985" t="str">
        <f t="shared" ref="I434:I478" si="288">IF($C$121=1,"",IF(OR(H434&lt;$F$112,H434&gt;$F$113),$E$113,""))</f>
        <v>Disattivato</v>
      </c>
    </row>
    <row r="435" spans="7:9" hidden="1" x14ac:dyDescent="0.2">
      <c r="G435" s="25"/>
      <c r="H435" s="83">
        <f>CASSA!E502</f>
        <v>45614</v>
      </c>
      <c r="I435" s="985" t="str">
        <f t="shared" si="288"/>
        <v>Disattivato</v>
      </c>
    </row>
    <row r="436" spans="7:9" hidden="1" x14ac:dyDescent="0.2">
      <c r="G436" s="25"/>
      <c r="H436" s="83">
        <f>CASSA!E503</f>
        <v>45615</v>
      </c>
      <c r="I436" s="985" t="str">
        <f t="shared" si="288"/>
        <v>Disattivato</v>
      </c>
    </row>
    <row r="437" spans="7:9" hidden="1" x14ac:dyDescent="0.2">
      <c r="G437" s="25"/>
      <c r="H437" s="83">
        <f>CASSA!E504</f>
        <v>45616</v>
      </c>
      <c r="I437" s="985" t="str">
        <f t="shared" si="288"/>
        <v>Disattivato</v>
      </c>
    </row>
    <row r="438" spans="7:9" hidden="1" x14ac:dyDescent="0.2">
      <c r="G438" s="25"/>
      <c r="H438" s="83">
        <f>CASSA!E505</f>
        <v>45617</v>
      </c>
      <c r="I438" s="985" t="str">
        <f t="shared" si="288"/>
        <v>Disattivato</v>
      </c>
    </row>
    <row r="439" spans="7:9" hidden="1" x14ac:dyDescent="0.2">
      <c r="G439" s="25"/>
      <c r="H439" s="83">
        <f>CASSA!E506</f>
        <v>45618</v>
      </c>
      <c r="I439" s="985" t="str">
        <f t="shared" si="288"/>
        <v>Disattivato</v>
      </c>
    </row>
    <row r="440" spans="7:9" hidden="1" x14ac:dyDescent="0.2">
      <c r="G440" s="25"/>
      <c r="H440" s="83">
        <f>CASSA!E507</f>
        <v>45619</v>
      </c>
      <c r="I440" s="985" t="str">
        <f t="shared" si="288"/>
        <v>Disattivato</v>
      </c>
    </row>
    <row r="441" spans="7:9" hidden="1" x14ac:dyDescent="0.2">
      <c r="G441" s="25"/>
      <c r="H441" s="83">
        <f>CASSA!E508</f>
        <v>45620</v>
      </c>
      <c r="I441" s="985" t="str">
        <f t="shared" si="288"/>
        <v>Disattivato</v>
      </c>
    </row>
    <row r="442" spans="7:9" hidden="1" x14ac:dyDescent="0.2">
      <c r="G442" s="25"/>
      <c r="H442" s="83">
        <f>CASSA!E509</f>
        <v>45621</v>
      </c>
      <c r="I442" s="985" t="str">
        <f t="shared" si="288"/>
        <v>Disattivato</v>
      </c>
    </row>
    <row r="443" spans="7:9" hidden="1" x14ac:dyDescent="0.2">
      <c r="G443" s="25"/>
      <c r="H443" s="83">
        <f>CASSA!E510</f>
        <v>45622</v>
      </c>
      <c r="I443" s="985" t="str">
        <f t="shared" si="288"/>
        <v>Disattivato</v>
      </c>
    </row>
    <row r="444" spans="7:9" hidden="1" x14ac:dyDescent="0.2">
      <c r="G444" s="25"/>
      <c r="H444" s="83">
        <f>CASSA!E511</f>
        <v>45623</v>
      </c>
      <c r="I444" s="985" t="str">
        <f t="shared" si="288"/>
        <v>Disattivato</v>
      </c>
    </row>
    <row r="445" spans="7:9" hidden="1" x14ac:dyDescent="0.2">
      <c r="G445" s="25"/>
      <c r="H445" s="83">
        <f>CASSA!E512</f>
        <v>45624</v>
      </c>
      <c r="I445" s="985" t="str">
        <f t="shared" si="288"/>
        <v>Disattivato</v>
      </c>
    </row>
    <row r="446" spans="7:9" hidden="1" x14ac:dyDescent="0.2">
      <c r="G446" s="25"/>
      <c r="H446" s="83">
        <f>CASSA!E513</f>
        <v>45625</v>
      </c>
      <c r="I446" s="985" t="str">
        <f t="shared" si="288"/>
        <v>Disattivato</v>
      </c>
    </row>
    <row r="447" spans="7:9" hidden="1" x14ac:dyDescent="0.2">
      <c r="G447" s="25"/>
      <c r="H447" s="83">
        <f>CASSA!E514</f>
        <v>45626</v>
      </c>
      <c r="I447" s="985" t="str">
        <f t="shared" si="288"/>
        <v>Disattivato</v>
      </c>
    </row>
    <row r="448" spans="7:9" hidden="1" x14ac:dyDescent="0.2">
      <c r="G448" s="25"/>
      <c r="H448" s="83">
        <f>CASSA!E515</f>
        <v>45627</v>
      </c>
      <c r="I448" s="985" t="str">
        <f t="shared" si="288"/>
        <v>Disattivato</v>
      </c>
    </row>
    <row r="449" spans="7:9" hidden="1" x14ac:dyDescent="0.2">
      <c r="G449" s="25"/>
      <c r="H449" s="83">
        <f>CASSA!E516</f>
        <v>45628</v>
      </c>
      <c r="I449" s="985" t="str">
        <f t="shared" si="288"/>
        <v>Disattivato</v>
      </c>
    </row>
    <row r="450" spans="7:9" hidden="1" x14ac:dyDescent="0.2">
      <c r="G450" s="25"/>
      <c r="H450" s="83">
        <f>CASSA!E517</f>
        <v>45629</v>
      </c>
      <c r="I450" s="985" t="str">
        <f t="shared" si="288"/>
        <v>Disattivato</v>
      </c>
    </row>
    <row r="451" spans="7:9" hidden="1" x14ac:dyDescent="0.2">
      <c r="G451" s="25"/>
      <c r="H451" s="83">
        <f>CASSA!E518</f>
        <v>45630</v>
      </c>
      <c r="I451" s="985" t="str">
        <f t="shared" si="288"/>
        <v>Disattivato</v>
      </c>
    </row>
    <row r="452" spans="7:9" hidden="1" x14ac:dyDescent="0.2">
      <c r="G452" s="25"/>
      <c r="H452" s="83">
        <f>CASSA!E519</f>
        <v>45631</v>
      </c>
      <c r="I452" s="985" t="str">
        <f t="shared" si="288"/>
        <v>Disattivato</v>
      </c>
    </row>
    <row r="453" spans="7:9" hidden="1" x14ac:dyDescent="0.2">
      <c r="G453" s="25"/>
      <c r="H453" s="83">
        <f>CASSA!E520</f>
        <v>45632</v>
      </c>
      <c r="I453" s="985" t="str">
        <f t="shared" si="288"/>
        <v>Disattivato</v>
      </c>
    </row>
    <row r="454" spans="7:9" hidden="1" x14ac:dyDescent="0.2">
      <c r="G454" s="25"/>
      <c r="H454" s="83">
        <f>CASSA!E521</f>
        <v>45633</v>
      </c>
      <c r="I454" s="985" t="str">
        <f t="shared" si="288"/>
        <v>Disattivato</v>
      </c>
    </row>
    <row r="455" spans="7:9" hidden="1" x14ac:dyDescent="0.2">
      <c r="G455" s="25"/>
      <c r="H455" s="83">
        <f>CASSA!E522</f>
        <v>45634</v>
      </c>
      <c r="I455" s="985" t="str">
        <f t="shared" si="288"/>
        <v>Disattivato</v>
      </c>
    </row>
    <row r="456" spans="7:9" hidden="1" x14ac:dyDescent="0.2">
      <c r="G456" s="25"/>
      <c r="H456" s="83">
        <f>CASSA!E523</f>
        <v>45635</v>
      </c>
      <c r="I456" s="985" t="str">
        <f t="shared" si="288"/>
        <v>Disattivato</v>
      </c>
    </row>
    <row r="457" spans="7:9" hidden="1" x14ac:dyDescent="0.2">
      <c r="G457" s="25"/>
      <c r="H457" s="83">
        <f>CASSA!E524</f>
        <v>45636</v>
      </c>
      <c r="I457" s="985" t="str">
        <f t="shared" si="288"/>
        <v>Disattivato</v>
      </c>
    </row>
    <row r="458" spans="7:9" hidden="1" x14ac:dyDescent="0.2">
      <c r="G458" s="25"/>
      <c r="H458" s="83">
        <f>CASSA!E525</f>
        <v>45637</v>
      </c>
      <c r="I458" s="985" t="str">
        <f t="shared" si="288"/>
        <v>Disattivato</v>
      </c>
    </row>
    <row r="459" spans="7:9" hidden="1" x14ac:dyDescent="0.2">
      <c r="G459" s="25"/>
      <c r="H459" s="83">
        <f>CASSA!E526</f>
        <v>45638</v>
      </c>
      <c r="I459" s="985" t="str">
        <f t="shared" si="288"/>
        <v>Disattivato</v>
      </c>
    </row>
    <row r="460" spans="7:9" hidden="1" x14ac:dyDescent="0.2">
      <c r="G460" s="25"/>
      <c r="H460" s="83">
        <f>CASSA!E527</f>
        <v>45639</v>
      </c>
      <c r="I460" s="985" t="str">
        <f t="shared" si="288"/>
        <v>Disattivato</v>
      </c>
    </row>
    <row r="461" spans="7:9" hidden="1" x14ac:dyDescent="0.2">
      <c r="G461" s="25"/>
      <c r="H461" s="83">
        <f>CASSA!E528</f>
        <v>45640</v>
      </c>
      <c r="I461" s="985" t="str">
        <f t="shared" si="288"/>
        <v>Disattivato</v>
      </c>
    </row>
    <row r="462" spans="7:9" hidden="1" x14ac:dyDescent="0.2">
      <c r="G462" s="25"/>
      <c r="H462" s="83">
        <f>CASSA!E529</f>
        <v>45641</v>
      </c>
      <c r="I462" s="985" t="str">
        <f t="shared" si="288"/>
        <v>Disattivato</v>
      </c>
    </row>
    <row r="463" spans="7:9" hidden="1" x14ac:dyDescent="0.2">
      <c r="G463" s="25"/>
      <c r="H463" s="83">
        <f>CASSA!E530</f>
        <v>45642</v>
      </c>
      <c r="I463" s="985" t="str">
        <f t="shared" si="288"/>
        <v>Disattivato</v>
      </c>
    </row>
    <row r="464" spans="7:9" hidden="1" x14ac:dyDescent="0.2">
      <c r="G464" s="25"/>
      <c r="H464" s="83">
        <f>CASSA!E531</f>
        <v>45643</v>
      </c>
      <c r="I464" s="985" t="str">
        <f t="shared" si="288"/>
        <v>Disattivato</v>
      </c>
    </row>
    <row r="465" spans="1:9" hidden="1" x14ac:dyDescent="0.2">
      <c r="G465" s="25"/>
      <c r="H465" s="83">
        <f>CASSA!E532</f>
        <v>45644</v>
      </c>
      <c r="I465" s="985" t="str">
        <f t="shared" si="288"/>
        <v>Disattivato</v>
      </c>
    </row>
    <row r="466" spans="1:9" hidden="1" x14ac:dyDescent="0.2">
      <c r="G466" s="25"/>
      <c r="H466" s="83">
        <f>CASSA!E533</f>
        <v>45645</v>
      </c>
      <c r="I466" s="985" t="str">
        <f t="shared" si="288"/>
        <v>Disattivato</v>
      </c>
    </row>
    <row r="467" spans="1:9" hidden="1" x14ac:dyDescent="0.2">
      <c r="G467" s="25"/>
      <c r="H467" s="83">
        <f>CASSA!E534</f>
        <v>45646</v>
      </c>
      <c r="I467" s="985" t="str">
        <f t="shared" si="288"/>
        <v>Disattivato</v>
      </c>
    </row>
    <row r="468" spans="1:9" hidden="1" x14ac:dyDescent="0.2">
      <c r="G468" s="25"/>
      <c r="H468" s="83">
        <f>CASSA!E535</f>
        <v>45647</v>
      </c>
      <c r="I468" s="985" t="str">
        <f t="shared" si="288"/>
        <v>Disattivato</v>
      </c>
    </row>
    <row r="469" spans="1:9" hidden="1" x14ac:dyDescent="0.2">
      <c r="G469" s="25"/>
      <c r="H469" s="83">
        <f>CASSA!E536</f>
        <v>45648</v>
      </c>
      <c r="I469" s="985" t="str">
        <f t="shared" si="288"/>
        <v>Disattivato</v>
      </c>
    </row>
    <row r="470" spans="1:9" hidden="1" x14ac:dyDescent="0.2">
      <c r="G470" s="25"/>
      <c r="H470" s="83">
        <f>CASSA!E537</f>
        <v>45649</v>
      </c>
      <c r="I470" s="985" t="str">
        <f t="shared" si="288"/>
        <v>Disattivato</v>
      </c>
    </row>
    <row r="471" spans="1:9" hidden="1" x14ac:dyDescent="0.2">
      <c r="G471" s="25"/>
      <c r="H471" s="83">
        <f>CASSA!E538</f>
        <v>45650</v>
      </c>
      <c r="I471" s="985" t="str">
        <f t="shared" si="288"/>
        <v>Disattivato</v>
      </c>
    </row>
    <row r="472" spans="1:9" hidden="1" x14ac:dyDescent="0.2">
      <c r="G472" s="25"/>
      <c r="H472" s="83">
        <f>CASSA!E539</f>
        <v>45651</v>
      </c>
      <c r="I472" s="985" t="str">
        <f t="shared" si="288"/>
        <v>Disattivato</v>
      </c>
    </row>
    <row r="473" spans="1:9" hidden="1" x14ac:dyDescent="0.2">
      <c r="G473" s="25"/>
      <c r="H473" s="83">
        <f>CASSA!E540</f>
        <v>45652</v>
      </c>
      <c r="I473" s="985" t="str">
        <f t="shared" si="288"/>
        <v>Disattivato</v>
      </c>
    </row>
    <row r="474" spans="1:9" hidden="1" x14ac:dyDescent="0.2">
      <c r="G474" s="25"/>
      <c r="H474" s="83">
        <f>CASSA!E541</f>
        <v>45653</v>
      </c>
      <c r="I474" s="985" t="str">
        <f t="shared" si="288"/>
        <v>Disattivato</v>
      </c>
    </row>
    <row r="475" spans="1:9" hidden="1" x14ac:dyDescent="0.2">
      <c r="G475" s="25"/>
      <c r="H475" s="83">
        <f>CASSA!E542</f>
        <v>45654</v>
      </c>
      <c r="I475" s="985" t="str">
        <f t="shared" si="288"/>
        <v>Disattivato</v>
      </c>
    </row>
    <row r="476" spans="1:9" hidden="1" x14ac:dyDescent="0.2">
      <c r="G476" s="25"/>
      <c r="H476" s="83">
        <f>CASSA!E543</f>
        <v>45655</v>
      </c>
      <c r="I476" s="985" t="str">
        <f t="shared" si="288"/>
        <v>Disattivato</v>
      </c>
    </row>
    <row r="477" spans="1:9" hidden="1" x14ac:dyDescent="0.2">
      <c r="G477" s="25"/>
      <c r="H477" s="83">
        <f>CASSA!E544</f>
        <v>45656</v>
      </c>
      <c r="I477" s="985" t="str">
        <f t="shared" si="288"/>
        <v>Disattivato</v>
      </c>
    </row>
    <row r="478" spans="1:9" hidden="1" x14ac:dyDescent="0.2">
      <c r="G478" s="25"/>
      <c r="H478" s="84">
        <f>CASSA!E545</f>
        <v>45657</v>
      </c>
      <c r="I478" s="985" t="str">
        <f t="shared" si="288"/>
        <v>Disattivato</v>
      </c>
    </row>
    <row r="479" spans="1:9" hidden="1" x14ac:dyDescent="0.2">
      <c r="A479" s="39"/>
      <c r="B479" s="39"/>
      <c r="C479" s="39"/>
      <c r="D479" s="39"/>
      <c r="E479" s="39"/>
      <c r="F479" s="39"/>
      <c r="G479" s="25"/>
      <c r="H479" s="25"/>
      <c r="I479" s="81"/>
    </row>
    <row r="480" spans="1:9" hidden="1" x14ac:dyDescent="0.2">
      <c r="A480" s="39"/>
      <c r="B480" s="39"/>
      <c r="C480" s="39"/>
      <c r="D480" s="39"/>
      <c r="E480" s="39"/>
      <c r="F480" s="39"/>
      <c r="G480" s="25"/>
      <c r="H480" s="25"/>
      <c r="I480" s="81"/>
    </row>
    <row r="481" spans="1:60" hidden="1" x14ac:dyDescent="0.2">
      <c r="A481" s="39"/>
      <c r="B481" s="39"/>
      <c r="C481" s="39"/>
      <c r="D481" s="39"/>
      <c r="E481" s="39"/>
      <c r="F481" s="39"/>
      <c r="G481" s="25"/>
      <c r="H481" s="25"/>
      <c r="I481" s="81"/>
    </row>
    <row r="482" spans="1:60" hidden="1" x14ac:dyDescent="0.2">
      <c r="A482" s="39"/>
      <c r="B482" s="39"/>
      <c r="C482" s="39"/>
      <c r="D482" s="39"/>
      <c r="E482" s="39"/>
      <c r="F482" s="39"/>
      <c r="G482" s="25"/>
      <c r="H482" s="25"/>
      <c r="I482" s="81"/>
    </row>
    <row r="483" spans="1:60" hidden="1" x14ac:dyDescent="0.2">
      <c r="A483" s="39"/>
      <c r="B483" s="39"/>
      <c r="C483" s="39"/>
      <c r="D483" s="39"/>
      <c r="E483" s="39"/>
      <c r="F483" s="39"/>
      <c r="G483" s="25"/>
      <c r="H483" s="25"/>
      <c r="I483" s="81"/>
    </row>
    <row r="484" spans="1:60" ht="9" hidden="1" customHeight="1" x14ac:dyDescent="0.2">
      <c r="A484" s="39"/>
      <c r="B484" s="39"/>
      <c r="C484" s="39"/>
      <c r="D484" s="39"/>
      <c r="E484" s="39"/>
      <c r="F484" s="39"/>
      <c r="G484" s="25"/>
      <c r="H484" s="25"/>
      <c r="I484" s="25"/>
    </row>
    <row r="485" spans="1:60" ht="18" customHeight="1" x14ac:dyDescent="0.2">
      <c r="A485" s="25"/>
      <c r="B485" s="25"/>
      <c r="C485" s="25"/>
      <c r="D485" s="25"/>
      <c r="E485" s="25"/>
      <c r="F485" s="25"/>
      <c r="G485" s="614"/>
      <c r="H485" s="614"/>
      <c r="I485" s="614"/>
      <c r="J485" s="614"/>
      <c r="K485" s="614"/>
      <c r="L485" s="614"/>
    </row>
    <row r="486" spans="1:60" ht="18" customHeight="1" x14ac:dyDescent="0.2">
      <c r="A486" s="25"/>
      <c r="B486" s="25"/>
      <c r="C486" s="1261" t="s">
        <v>203</v>
      </c>
      <c r="D486" s="25"/>
      <c r="E486" s="25"/>
      <c r="F486" s="25"/>
      <c r="G486" s="614"/>
      <c r="H486" s="614"/>
      <c r="I486" s="614"/>
      <c r="J486" s="614"/>
      <c r="K486" s="614"/>
      <c r="L486" s="614"/>
    </row>
    <row r="487" spans="1:60" ht="16.5" customHeight="1" x14ac:dyDescent="0.2">
      <c r="A487" s="25"/>
      <c r="B487" s="25"/>
      <c r="C487" s="1263" t="s">
        <v>204</v>
      </c>
      <c r="D487" s="25"/>
      <c r="E487" s="25"/>
      <c r="F487" s="25"/>
      <c r="G487" s="614"/>
      <c r="H487" s="1273" t="s">
        <v>72</v>
      </c>
      <c r="I487" s="614"/>
      <c r="J487" s="614"/>
      <c r="K487" s="614"/>
      <c r="L487" s="614"/>
    </row>
    <row r="488" spans="1:60" ht="16.5" customHeight="1" x14ac:dyDescent="0.2">
      <c r="A488" s="614"/>
      <c r="B488" s="614"/>
      <c r="C488" s="1199" t="s">
        <v>700</v>
      </c>
      <c r="D488" s="614"/>
      <c r="E488" s="614"/>
      <c r="F488" s="614"/>
      <c r="G488" s="614"/>
      <c r="H488" s="614"/>
      <c r="I488" s="614"/>
      <c r="J488" s="614"/>
      <c r="K488" s="614"/>
      <c r="L488" s="614"/>
    </row>
    <row r="489" spans="1:60" ht="18" customHeight="1" x14ac:dyDescent="0.2">
      <c r="A489" s="614"/>
      <c r="B489" s="614"/>
      <c r="C489" s="1272" t="s">
        <v>701</v>
      </c>
      <c r="D489" s="614"/>
      <c r="E489" s="614"/>
      <c r="F489" s="614"/>
      <c r="G489" s="614"/>
      <c r="H489" s="1273" t="s">
        <v>72</v>
      </c>
      <c r="I489" s="614"/>
      <c r="J489" s="614"/>
      <c r="K489" s="614"/>
      <c r="L489" s="614"/>
    </row>
    <row r="490" spans="1:60" ht="18" customHeight="1" x14ac:dyDescent="0.2">
      <c r="A490" s="614"/>
      <c r="B490" s="614"/>
      <c r="C490" s="1262" t="s">
        <v>206</v>
      </c>
      <c r="D490" s="614"/>
      <c r="E490" s="614"/>
      <c r="F490" s="614"/>
      <c r="G490" s="614"/>
      <c r="H490" s="614"/>
      <c r="I490" s="614"/>
      <c r="J490" s="614"/>
      <c r="K490" s="614"/>
      <c r="L490" s="614"/>
    </row>
    <row r="491" spans="1:60" x14ac:dyDescent="0.2">
      <c r="A491" s="614"/>
      <c r="B491" s="614"/>
      <c r="C491" s="295" t="str">
        <f>CONCATENATE("Per i periodi iniziali, i giorni lavorativi PRECEDENTI per il sistema sono comunque solo quelli disponibili dall' 01/01/",IMPOSTAZIONI!AH53," in poi.")</f>
        <v>Per i periodi iniziali, i giorni lavorativi PRECEDENTI per il sistema sono comunque solo quelli disponibili dall' 01/01/2024 in poi.</v>
      </c>
      <c r="D491" s="614"/>
      <c r="E491" s="614"/>
      <c r="F491" s="614"/>
      <c r="G491" s="614"/>
      <c r="H491" s="614"/>
      <c r="I491" s="614"/>
      <c r="J491" s="614"/>
      <c r="K491" s="614"/>
      <c r="L491" s="614"/>
    </row>
    <row r="492" spans="1:60" x14ac:dyDescent="0.2">
      <c r="A492" s="614"/>
      <c r="B492" s="614"/>
      <c r="C492" s="614"/>
      <c r="D492" s="614"/>
      <c r="E492" s="614"/>
      <c r="F492" s="614"/>
      <c r="G492" s="614"/>
      <c r="H492" s="614"/>
      <c r="I492" s="614"/>
      <c r="J492" s="614"/>
      <c r="K492" s="614"/>
      <c r="L492" s="614"/>
      <c r="BH492" s="572"/>
    </row>
  </sheetData>
  <sheetProtection algorithmName="SHA-512" hashValue="VPys0V0NK0EoTvOsorsYKtuB9A9qIHg7RYxdUIQ9eBD2IA08YqIVFZ2Fv4gE+5Pu6Z4FfNpKYSdByyHHopwNcg==" saltValue="8tbcB3Z+/GKb/L757g317w==" spinCount="100000" sheet="1" objects="1" scenarios="1" selectLockedCells="1"/>
  <mergeCells count="80">
    <mergeCell ref="Q11:AK11"/>
    <mergeCell ref="AM11:BG11"/>
    <mergeCell ref="Q12:AK12"/>
    <mergeCell ref="AM12:BG12"/>
    <mergeCell ref="Q13:AK13"/>
    <mergeCell ref="AM13:BG13"/>
    <mergeCell ref="Q14:AK14"/>
    <mergeCell ref="AB15:AI15"/>
    <mergeCell ref="Q15:AA15"/>
    <mergeCell ref="AN80:AV80"/>
    <mergeCell ref="AX80:BG80"/>
    <mergeCell ref="AN52:AV52"/>
    <mergeCell ref="AX52:BG52"/>
    <mergeCell ref="R52:Z52"/>
    <mergeCell ref="AB52:AK52"/>
    <mergeCell ref="R80:Z80"/>
    <mergeCell ref="AB80:AK80"/>
    <mergeCell ref="AN17:AV17"/>
    <mergeCell ref="AX17:BG17"/>
    <mergeCell ref="R35:Z35"/>
    <mergeCell ref="AB35:AK35"/>
    <mergeCell ref="AN35:AV35"/>
    <mergeCell ref="B60:C60"/>
    <mergeCell ref="B63:C63"/>
    <mergeCell ref="B61:C61"/>
    <mergeCell ref="B56:C56"/>
    <mergeCell ref="B59:C59"/>
    <mergeCell ref="B57:C57"/>
    <mergeCell ref="B58:C58"/>
    <mergeCell ref="B5:C5"/>
    <mergeCell ref="B42:C42"/>
    <mergeCell ref="B43:C43"/>
    <mergeCell ref="B3:J3"/>
    <mergeCell ref="C11:E11"/>
    <mergeCell ref="B7:C7"/>
    <mergeCell ref="C9:E9"/>
    <mergeCell ref="C10:E10"/>
    <mergeCell ref="B41:C41"/>
    <mergeCell ref="B38:C38"/>
    <mergeCell ref="B39:C39"/>
    <mergeCell ref="H35:I35"/>
    <mergeCell ref="B55:C55"/>
    <mergeCell ref="C106:I106"/>
    <mergeCell ref="C102:I102"/>
    <mergeCell ref="C103:I103"/>
    <mergeCell ref="C104:I104"/>
    <mergeCell ref="C105:I105"/>
    <mergeCell ref="C97:I97"/>
    <mergeCell ref="C100:I100"/>
    <mergeCell ref="C101:I101"/>
    <mergeCell ref="F80:G80"/>
    <mergeCell ref="H80:I80"/>
    <mergeCell ref="C66:I66"/>
    <mergeCell ref="C70:I70"/>
    <mergeCell ref="C68:I68"/>
    <mergeCell ref="C69:I69"/>
    <mergeCell ref="C71:I71"/>
    <mergeCell ref="H52:I52"/>
    <mergeCell ref="B47:C47"/>
    <mergeCell ref="B49:C49"/>
    <mergeCell ref="F35:G35"/>
    <mergeCell ref="F17:G17"/>
    <mergeCell ref="H17:I17"/>
    <mergeCell ref="B37:C37"/>
    <mergeCell ref="B54:C54"/>
    <mergeCell ref="F52:G52"/>
    <mergeCell ref="B40:C40"/>
    <mergeCell ref="B44:C44"/>
    <mergeCell ref="B45:C45"/>
    <mergeCell ref="B46:C46"/>
    <mergeCell ref="O155:O156"/>
    <mergeCell ref="J133:K133"/>
    <mergeCell ref="AX35:BG35"/>
    <mergeCell ref="R17:Z17"/>
    <mergeCell ref="AB17:AK17"/>
    <mergeCell ref="J134:K134"/>
    <mergeCell ref="J135:K135"/>
    <mergeCell ref="J136:K136"/>
    <mergeCell ref="J138:K138"/>
    <mergeCell ref="J137:K137"/>
  </mergeCells>
  <phoneticPr fontId="4" type="noConversion"/>
  <conditionalFormatting sqref="F62:G62">
    <cfRule type="expression" dxfId="1897" priority="1297" stopIfTrue="1">
      <formula>ISERROR(F62)</formula>
    </cfRule>
    <cfRule type="expression" dxfId="1896" priority="1298" stopIfTrue="1">
      <formula>D62=0</formula>
    </cfRule>
    <cfRule type="cellIs" dxfId="1895" priority="1299" stopIfTrue="1" operator="equal">
      <formula>0</formula>
    </cfRule>
  </conditionalFormatting>
  <conditionalFormatting sqref="F5 F7">
    <cfRule type="expression" dxfId="1894" priority="1302" stopIfTrue="1">
      <formula>OR(ISBLANK($D5),ISBLANK($E5))</formula>
    </cfRule>
  </conditionalFormatting>
  <conditionalFormatting sqref="H73:H75 H107:H109">
    <cfRule type="expression" dxfId="1893" priority="1308" stopIfTrue="1">
      <formula>ISERROR(F73)</formula>
    </cfRule>
  </conditionalFormatting>
  <conditionalFormatting sqref="I107">
    <cfRule type="expression" dxfId="1892" priority="1384" stopIfTrue="1">
      <formula>ISERROR(F107)</formula>
    </cfRule>
  </conditionalFormatting>
  <conditionalFormatting sqref="F65 F67">
    <cfRule type="expression" dxfId="1891" priority="1403" stopIfTrue="1">
      <formula>OR(F65=0,ISERROR(F65))</formula>
    </cfRule>
    <cfRule type="expression" dxfId="1890" priority="1404" stopIfTrue="1">
      <formula>ISERROR(F65)</formula>
    </cfRule>
    <cfRule type="expression" dxfId="1889" priority="1405" stopIfTrue="1">
      <formula>$C$120=1</formula>
    </cfRule>
  </conditionalFormatting>
  <conditionalFormatting sqref="J75 J107:J109">
    <cfRule type="expression" dxfId="1888" priority="1406" stopIfTrue="1">
      <formula>ISERROR(#REF!)</formula>
    </cfRule>
  </conditionalFormatting>
  <conditionalFormatting sqref="K75 K107:K109">
    <cfRule type="expression" dxfId="1887" priority="1407" stopIfTrue="1">
      <formula>ISERROR(#REF!)</formula>
    </cfRule>
  </conditionalFormatting>
  <conditionalFormatting sqref="AO53 E49 E53 E15:E16 E36 E18 D63:E63 C66 S18 AX17 AO18 AB17 S36 AX35 AO36 AB52 AB35 S53 AX52 E81 S81 AX80 AO81 AB80 C97">
    <cfRule type="expression" dxfId="1886" priority="1408" stopIfTrue="1">
      <formula>ISERROR(C15)</formula>
    </cfRule>
  </conditionalFormatting>
  <conditionalFormatting sqref="H50 H64 C31">
    <cfRule type="cellIs" dxfId="1885" priority="1415" stopIfTrue="1" operator="equal">
      <formula>0</formula>
    </cfRule>
  </conditionalFormatting>
  <conditionalFormatting sqref="D49">
    <cfRule type="expression" dxfId="1884" priority="1416" stopIfTrue="1">
      <formula>ISERROR(D49)</formula>
    </cfRule>
  </conditionalFormatting>
  <conditionalFormatting sqref="D62:E62 D48:E48">
    <cfRule type="cellIs" dxfId="1883" priority="1417" stopIfTrue="1" operator="equal">
      <formula>0</formula>
    </cfRule>
    <cfRule type="expression" dxfId="1882" priority="1418" stopIfTrue="1">
      <formula>ISERROR(D48)</formula>
    </cfRule>
  </conditionalFormatting>
  <conditionalFormatting sqref="E20:E21 E31">
    <cfRule type="expression" dxfId="1881" priority="1421" stopIfTrue="1">
      <formula>OR(ISERROR($C$118),AND($C$120=1,$C$121=0))</formula>
    </cfRule>
    <cfRule type="expression" dxfId="1880" priority="1422" stopIfTrue="1">
      <formula>ISERROR(E20)</formula>
    </cfRule>
  </conditionalFormatting>
  <conditionalFormatting sqref="D20:D21 D31">
    <cfRule type="expression" dxfId="1879" priority="1425" stopIfTrue="1">
      <formula>OR(ISERROR($C$118),AND($C$120=1,$C$121=0))</formula>
    </cfRule>
    <cfRule type="expression" dxfId="1878" priority="1426" stopIfTrue="1">
      <formula>ISERROR(D20)</formula>
    </cfRule>
  </conditionalFormatting>
  <conditionalFormatting sqref="C17 C80">
    <cfRule type="expression" dxfId="1877" priority="1427" stopIfTrue="1">
      <formula>OR(ISBLANK($D$5),ISBLANK($E$5))</formula>
    </cfRule>
  </conditionalFormatting>
  <conditionalFormatting sqref="D22:D30">
    <cfRule type="expression" dxfId="1876" priority="1428" stopIfTrue="1">
      <formula>OR(ISERROR($C$118),AND($C$120=1,$C$121=0))</formula>
    </cfRule>
    <cfRule type="expression" dxfId="1875" priority="1429" stopIfTrue="1">
      <formula>ISERROR(D22)</formula>
    </cfRule>
    <cfRule type="cellIs" dxfId="1874" priority="1430" stopIfTrue="1" operator="equal">
      <formula>0</formula>
    </cfRule>
  </conditionalFormatting>
  <conditionalFormatting sqref="E22:E30">
    <cfRule type="expression" dxfId="1873" priority="1431" stopIfTrue="1">
      <formula>OR(ISERROR($C$118),AND($C$120=1,$C$121=0))</formula>
    </cfRule>
    <cfRule type="expression" dxfId="1872" priority="1432" stopIfTrue="1">
      <formula>ISERROR(E22)</formula>
    </cfRule>
    <cfRule type="cellIs" dxfId="1871" priority="1433" stopIfTrue="1" operator="equal">
      <formula>0</formula>
    </cfRule>
  </conditionalFormatting>
  <conditionalFormatting sqref="C12">
    <cfRule type="expression" dxfId="1870" priority="1441" stopIfTrue="1">
      <formula>ISERROR(C12)</formula>
    </cfRule>
    <cfRule type="expression" dxfId="1869" priority="1442" stopIfTrue="1">
      <formula>C12=0</formula>
    </cfRule>
    <cfRule type="expression" dxfId="1868" priority="1443" stopIfTrue="1">
      <formula>$C$120=1</formula>
    </cfRule>
  </conditionalFormatting>
  <conditionalFormatting sqref="D13">
    <cfRule type="expression" dxfId="1867" priority="1444" stopIfTrue="1">
      <formula>$F$13=0</formula>
    </cfRule>
    <cfRule type="expression" dxfId="1866" priority="1445" stopIfTrue="1">
      <formula>$E$13=""</formula>
    </cfRule>
  </conditionalFormatting>
  <conditionalFormatting sqref="J6 J8">
    <cfRule type="cellIs" dxfId="1865" priority="1446" stopIfTrue="1" operator="lessThan">
      <formula>0</formula>
    </cfRule>
    <cfRule type="expression" dxfId="1864" priority="1447" stopIfTrue="1">
      <formula>ISBLANK($D$5)</formula>
    </cfRule>
  </conditionalFormatting>
  <conditionalFormatting sqref="H62:I62">
    <cfRule type="expression" dxfId="1863" priority="1448" stopIfTrue="1">
      <formula>ISERROR(H62)</formula>
    </cfRule>
    <cfRule type="cellIs" dxfId="1862" priority="1449" stopIfTrue="1" operator="equal">
      <formula>0</formula>
    </cfRule>
  </conditionalFormatting>
  <conditionalFormatting sqref="G8 I8">
    <cfRule type="expression" dxfId="1861" priority="1234" stopIfTrue="1">
      <formula>$B$5=""</formula>
    </cfRule>
    <cfRule type="expression" dxfId="1860" priority="1459" stopIfTrue="1">
      <formula>ISERROR(G8)</formula>
    </cfRule>
    <cfRule type="expression" dxfId="1859" priority="1460" stopIfTrue="1">
      <formula>AND($D$5="",$E$5="",$D$7="",$E$7="")</formula>
    </cfRule>
  </conditionalFormatting>
  <conditionalFormatting sqref="F8">
    <cfRule type="expression" dxfId="1858" priority="1461" stopIfTrue="1">
      <formula>ISERROR($F$8)</formula>
    </cfRule>
    <cfRule type="expression" dxfId="1857" priority="1462" stopIfTrue="1">
      <formula>AND($D$5="",$E$5="")</formula>
    </cfRule>
  </conditionalFormatting>
  <conditionalFormatting sqref="E12">
    <cfRule type="expression" dxfId="1856" priority="1470" stopIfTrue="1">
      <formula>$F$13=0</formula>
    </cfRule>
    <cfRule type="expression" dxfId="1855" priority="1471" stopIfTrue="1">
      <formula>$E$13&lt;&gt;""</formula>
    </cfRule>
  </conditionalFormatting>
  <conditionalFormatting sqref="H8">
    <cfRule type="expression" dxfId="1854" priority="1472" stopIfTrue="1">
      <formula>ISERROR($H$8)</formula>
    </cfRule>
    <cfRule type="expression" dxfId="1853" priority="1473" stopIfTrue="1">
      <formula>AND($D$5="",$E$5="",$D$7="",$E$7="")</formula>
    </cfRule>
    <cfRule type="expression" dxfId="1852" priority="1474" stopIfTrue="1">
      <formula>AND(ISERROR($G$8),ISERROR($I$8))</formula>
    </cfRule>
  </conditionalFormatting>
  <conditionalFormatting sqref="F98 F96">
    <cfRule type="expression" dxfId="1851" priority="1488" stopIfTrue="1">
      <formula>OR(F96=0,ISERROR(F96))</formula>
    </cfRule>
    <cfRule type="expression" dxfId="1850" priority="1489" stopIfTrue="1">
      <formula>ISERROR(F96)</formula>
    </cfRule>
    <cfRule type="expression" dxfId="1849" priority="1490" stopIfTrue="1">
      <formula>$C$114=1</formula>
    </cfRule>
  </conditionalFormatting>
  <conditionalFormatting sqref="F95">
    <cfRule type="expression" dxfId="1848" priority="8404" stopIfTrue="1">
      <formula>ISERROR(F95)</formula>
    </cfRule>
    <cfRule type="expression" dxfId="1847" priority="8405" stopIfTrue="1">
      <formula>$C95=""</formula>
    </cfRule>
    <cfRule type="expression" dxfId="1846" priority="8406" stopIfTrue="1">
      <formula>$C$112=1</formula>
    </cfRule>
  </conditionalFormatting>
  <conditionalFormatting sqref="D19">
    <cfRule type="expression" dxfId="1845" priority="8407" stopIfTrue="1">
      <formula>OR(ISERROR($C$118),AND($C$120=1,$C$121=0))</formula>
    </cfRule>
    <cfRule type="expression" dxfId="1844" priority="8408" stopIfTrue="1">
      <formula>ISERROR($D$19)</formula>
    </cfRule>
  </conditionalFormatting>
  <conditionalFormatting sqref="F64 F50">
    <cfRule type="expression" dxfId="1843" priority="8411" stopIfTrue="1">
      <formula>ISERROR(F50)</formula>
    </cfRule>
    <cfRule type="expression" dxfId="1842" priority="8412" stopIfTrue="1">
      <formula>$C50=""</formula>
    </cfRule>
    <cfRule type="expression" dxfId="1841" priority="8413" stopIfTrue="1">
      <formula>$C$120=1</formula>
    </cfRule>
  </conditionalFormatting>
  <conditionalFormatting sqref="J10">
    <cfRule type="expression" dxfId="1840" priority="8435" stopIfTrue="1">
      <formula>$J$127=FALSE</formula>
    </cfRule>
    <cfRule type="expression" dxfId="1839" priority="8436" stopIfTrue="1">
      <formula>$G$10=0</formula>
    </cfRule>
  </conditionalFormatting>
  <conditionalFormatting sqref="E19 E82">
    <cfRule type="expression" dxfId="1838" priority="8446" stopIfTrue="1">
      <formula>OR(ISERROR($C$118),AND($C$120=1,$C$121=0))</formula>
    </cfRule>
    <cfRule type="expression" dxfId="1837" priority="8447" stopIfTrue="1">
      <formula>ISERROR($E$19)</formula>
    </cfRule>
  </conditionalFormatting>
  <conditionalFormatting sqref="B7:C7">
    <cfRule type="expression" dxfId="1836" priority="8555" stopIfTrue="1">
      <formula>$B$5=$K$152</formula>
    </cfRule>
    <cfRule type="expression" dxfId="1835" priority="8556" stopIfTrue="1">
      <formula>$B$5=""</formula>
    </cfRule>
  </conditionalFormatting>
  <conditionalFormatting sqref="C94">
    <cfRule type="cellIs" dxfId="1834" priority="1255" stopIfTrue="1" operator="equal">
      <formula>0</formula>
    </cfRule>
  </conditionalFormatting>
  <conditionalFormatting sqref="E83:E84 E94">
    <cfRule type="expression" dxfId="1833" priority="1257" stopIfTrue="1">
      <formula>OR(ISERROR($C$118),AND($C$120=1,$C$121=0))</formula>
    </cfRule>
    <cfRule type="expression" dxfId="1832" priority="1258" stopIfTrue="1">
      <formula>ISERROR(E83)</formula>
    </cfRule>
  </conditionalFormatting>
  <conditionalFormatting sqref="D83:D84 D94">
    <cfRule type="expression" dxfId="1831" priority="1259" stopIfTrue="1">
      <formula>OR(ISERROR($C$118),AND($C$120=1,$C$121=0))</formula>
    </cfRule>
    <cfRule type="expression" dxfId="1830" priority="1260" stopIfTrue="1">
      <formula>ISERROR(D83)</formula>
    </cfRule>
  </conditionalFormatting>
  <conditionalFormatting sqref="D85:D87 D93">
    <cfRule type="expression" dxfId="1829" priority="1261" stopIfTrue="1">
      <formula>OR(ISERROR($C$118),AND($C$120=1,$C$121=0))</formula>
    </cfRule>
    <cfRule type="expression" dxfId="1828" priority="1262" stopIfTrue="1">
      <formula>ISERROR(D85)</formula>
    </cfRule>
    <cfRule type="cellIs" dxfId="1827" priority="1263" stopIfTrue="1" operator="equal">
      <formula>0</formula>
    </cfRule>
  </conditionalFormatting>
  <conditionalFormatting sqref="E85:E87 E93">
    <cfRule type="expression" dxfId="1826" priority="1264" stopIfTrue="1">
      <formula>OR(ISERROR($C$118),AND($C$120=1,$C$121=0))</formula>
    </cfRule>
    <cfRule type="expression" dxfId="1825" priority="1265" stopIfTrue="1">
      <formula>ISERROR(E85)</formula>
    </cfRule>
    <cfRule type="cellIs" dxfId="1824" priority="1266" stopIfTrue="1" operator="equal">
      <formula>0</formula>
    </cfRule>
  </conditionalFormatting>
  <conditionalFormatting sqref="D82">
    <cfRule type="expression" dxfId="1823" priority="1278" stopIfTrue="1">
      <formula>OR(ISERROR($C$118),AND($C$120=1,$C$121=0))</formula>
    </cfRule>
    <cfRule type="expression" dxfId="1822" priority="1279" stopIfTrue="1">
      <formula>ISERROR($D$19)</formula>
    </cfRule>
  </conditionalFormatting>
  <conditionalFormatting sqref="B37:C46">
    <cfRule type="cellIs" dxfId="1821" priority="1230" stopIfTrue="1" operator="equal">
      <formula>0</formula>
    </cfRule>
    <cfRule type="containsErrors" dxfId="1820" priority="1231" stopIfTrue="1">
      <formula>ISERROR(B37)</formula>
    </cfRule>
  </conditionalFormatting>
  <conditionalFormatting sqref="B54:C60">
    <cfRule type="cellIs" dxfId="1819" priority="1228" stopIfTrue="1" operator="equal">
      <formula>0</formula>
    </cfRule>
    <cfRule type="containsErrors" dxfId="1818" priority="1229" stopIfTrue="1">
      <formula>ISERROR(B54)</formula>
    </cfRule>
  </conditionalFormatting>
  <conditionalFormatting sqref="D88:D92">
    <cfRule type="expression" dxfId="1817" priority="1222" stopIfTrue="1">
      <formula>OR(ISERROR($C$118),AND($C$120=1,$C$121=0))</formula>
    </cfRule>
    <cfRule type="expression" dxfId="1816" priority="1223" stopIfTrue="1">
      <formula>ISERROR(D88)</formula>
    </cfRule>
    <cfRule type="cellIs" dxfId="1815" priority="1224" stopIfTrue="1" operator="equal">
      <formula>0</formula>
    </cfRule>
  </conditionalFormatting>
  <conditionalFormatting sqref="E88:E92">
    <cfRule type="expression" dxfId="1814" priority="1225" stopIfTrue="1">
      <formula>OR(ISERROR($C$118),AND($C$120=1,$C$121=0))</formula>
    </cfRule>
    <cfRule type="expression" dxfId="1813" priority="1226" stopIfTrue="1">
      <formula>ISERROR(E88)</formula>
    </cfRule>
    <cfRule type="cellIs" dxfId="1812" priority="1227" stopIfTrue="1" operator="equal">
      <formula>0</formula>
    </cfRule>
  </conditionalFormatting>
  <conditionalFormatting sqref="B5:C5">
    <cfRule type="containsBlanks" dxfId="1811" priority="1220" stopIfTrue="1">
      <formula>LEN(TRIM(B5))=0</formula>
    </cfRule>
    <cfRule type="expression" dxfId="1810" priority="1221" stopIfTrue="1">
      <formula>$B$5=$K$153</formula>
    </cfRule>
  </conditionalFormatting>
  <conditionalFormatting sqref="D7:E7">
    <cfRule type="expression" dxfId="1809" priority="1216" stopIfTrue="1">
      <formula>$F$7=$B$113</formula>
    </cfRule>
    <cfRule type="expression" dxfId="1808" priority="1217" stopIfTrue="1">
      <formula>$B$5=$K$152</formula>
    </cfRule>
    <cfRule type="expression" dxfId="1807" priority="1218" stopIfTrue="1">
      <formula>$B$5=""</formula>
    </cfRule>
    <cfRule type="expression" dxfId="1806" priority="1219" stopIfTrue="1">
      <formula>D$8=$E$113</formula>
    </cfRule>
  </conditionalFormatting>
  <conditionalFormatting sqref="D5:E5">
    <cfRule type="expression" dxfId="1805" priority="1212" stopIfTrue="1">
      <formula>$F$5=$B$113</formula>
    </cfRule>
    <cfRule type="expression" dxfId="1804" priority="1213" stopIfTrue="1">
      <formula>$B$5=$K$153</formula>
    </cfRule>
    <cfRule type="expression" dxfId="1803" priority="1214" stopIfTrue="1">
      <formula>$B$5=""</formula>
    </cfRule>
    <cfRule type="expression" dxfId="1802" priority="1215" stopIfTrue="1">
      <formula>D$8=$E$113</formula>
    </cfRule>
  </conditionalFormatting>
  <conditionalFormatting sqref="G7:I7">
    <cfRule type="expression" dxfId="1801" priority="1208" stopIfTrue="1">
      <formula>$B$5=""</formula>
    </cfRule>
    <cfRule type="expression" dxfId="1800" priority="1211" stopIfTrue="1">
      <formula>$B$5=$K$152</formula>
    </cfRule>
  </conditionalFormatting>
  <conditionalFormatting sqref="G5:I5">
    <cfRule type="expression" dxfId="1799" priority="1209" stopIfTrue="1">
      <formula>$B$5=""</formula>
    </cfRule>
    <cfRule type="expression" dxfId="1798" priority="1210" stopIfTrue="1">
      <formula>$B$5=$K$153</formula>
    </cfRule>
  </conditionalFormatting>
  <conditionalFormatting sqref="G11:I11">
    <cfRule type="expression" dxfId="1797" priority="1183" stopIfTrue="1">
      <formula>$C$11=""</formula>
    </cfRule>
  </conditionalFormatting>
  <conditionalFormatting sqref="G12 I12">
    <cfRule type="expression" dxfId="1796" priority="1202" stopIfTrue="1">
      <formula>$C$11=""</formula>
    </cfRule>
    <cfRule type="expression" dxfId="1795" priority="1206" stopIfTrue="1">
      <formula>$C$11&lt;&gt;$J$136</formula>
    </cfRule>
  </conditionalFormatting>
  <conditionalFormatting sqref="G14 I14">
    <cfRule type="expression" dxfId="1794" priority="1203" stopIfTrue="1">
      <formula>$C$11=""</formula>
    </cfRule>
    <cfRule type="expression" dxfId="1793" priority="1204" stopIfTrue="1">
      <formula>$C$11&lt;&gt;$J$137</formula>
    </cfRule>
  </conditionalFormatting>
  <conditionalFormatting sqref="G13 I13">
    <cfRule type="expression" dxfId="1792" priority="1184" stopIfTrue="1">
      <formula>$C$11=""</formula>
    </cfRule>
    <cfRule type="expression" dxfId="1791" priority="1185" stopIfTrue="1">
      <formula>$C$11&lt;&gt;$J$136</formula>
    </cfRule>
  </conditionalFormatting>
  <conditionalFormatting sqref="E13">
    <cfRule type="expression" dxfId="1790" priority="1188" stopIfTrue="1">
      <formula>$C$11=""</formula>
    </cfRule>
    <cfRule type="expression" dxfId="1789" priority="1189" stopIfTrue="1">
      <formula>$F$13=0</formula>
    </cfRule>
    <cfRule type="expression" dxfId="1788" priority="1190" stopIfTrue="1">
      <formula>$E$13=""</formula>
    </cfRule>
  </conditionalFormatting>
  <conditionalFormatting sqref="H10">
    <cfRule type="expression" dxfId="1787" priority="8557" stopIfTrue="1">
      <formula>ISERROR(K11)</formula>
    </cfRule>
    <cfRule type="expression" dxfId="1786" priority="8558" stopIfTrue="1">
      <formula>K13=1</formula>
    </cfRule>
  </conditionalFormatting>
  <conditionalFormatting sqref="G10">
    <cfRule type="expression" dxfId="1785" priority="1180" stopIfTrue="1">
      <formula>OR(G10=0,ISERROR(K11))</formula>
    </cfRule>
    <cfRule type="expression" dxfId="1784" priority="8559" stopIfTrue="1">
      <formula>ISERROR(G10)</formula>
    </cfRule>
    <cfRule type="expression" dxfId="1783" priority="8560" stopIfTrue="1">
      <formula>$C$11=$J$136</formula>
    </cfRule>
  </conditionalFormatting>
  <conditionalFormatting sqref="I10">
    <cfRule type="expression" dxfId="1782" priority="1179" stopIfTrue="1">
      <formula>OR(I10=0,ISERROR(K11))</formula>
    </cfRule>
    <cfRule type="expression" dxfId="1781" priority="8561" stopIfTrue="1">
      <formula>ISERROR(I10)</formula>
    </cfRule>
    <cfRule type="expression" dxfId="1780" priority="8562" stopIfTrue="1">
      <formula>$C$11=$J$136</formula>
    </cfRule>
  </conditionalFormatting>
  <conditionalFormatting sqref="H13">
    <cfRule type="expression" dxfId="1779" priority="8637" stopIfTrue="1">
      <formula>$C$11=""</formula>
    </cfRule>
    <cfRule type="expression" dxfId="1778" priority="8638" stopIfTrue="1">
      <formula>$C$11&lt;&gt;$J$136</formula>
    </cfRule>
    <cfRule type="expression" dxfId="1777" priority="8639" stopIfTrue="1">
      <formula>AND($G$13&gt;0,$I$13&gt;0,$J$13=0)</formula>
    </cfRule>
  </conditionalFormatting>
  <conditionalFormatting sqref="G13">
    <cfRule type="expression" dxfId="1776" priority="1199" stopIfTrue="1">
      <formula>AND($I$13&gt;0,$G$13&gt;$I$13)</formula>
    </cfRule>
  </conditionalFormatting>
  <conditionalFormatting sqref="I13">
    <cfRule type="expression" dxfId="1775" priority="1187" stopIfTrue="1">
      <formula>AND($G$13&gt;0,$G$13&gt;$I$13)</formula>
    </cfRule>
  </conditionalFormatting>
  <conditionalFormatting sqref="I11">
    <cfRule type="cellIs" dxfId="1774" priority="1207" stopIfTrue="1" operator="lessThan">
      <formula>0</formula>
    </cfRule>
  </conditionalFormatting>
  <conditionalFormatting sqref="H16">
    <cfRule type="expression" dxfId="1773" priority="1176" stopIfTrue="1">
      <formula>AND($K$15=1,$G$15="",$I$15="")</formula>
    </cfRule>
  </conditionalFormatting>
  <conditionalFormatting sqref="J13">
    <cfRule type="cellIs" dxfId="1772" priority="1175" stopIfTrue="1" operator="equal">
      <formula>0</formula>
    </cfRule>
    <cfRule type="expression" dxfId="1771" priority="1177" stopIfTrue="1">
      <formula>$C$11&lt;&gt;$J$136</formula>
    </cfRule>
    <cfRule type="expression" dxfId="1770" priority="8640" stopIfTrue="1">
      <formula>$C$11=""</formula>
    </cfRule>
  </conditionalFormatting>
  <conditionalFormatting sqref="G16 I16">
    <cfRule type="containsErrors" dxfId="1769" priority="1173" stopIfTrue="1">
      <formula>ISERROR(G16)</formula>
    </cfRule>
  </conditionalFormatting>
  <conditionalFormatting sqref="G15 I15">
    <cfRule type="expression" dxfId="1768" priority="8680" stopIfTrue="1">
      <formula>$C$11=""</formula>
    </cfRule>
    <cfRule type="expression" dxfId="1767" priority="8681" stopIfTrue="1">
      <formula>$K15=0</formula>
    </cfRule>
    <cfRule type="expression" dxfId="1766" priority="8682" stopIfTrue="1">
      <formula>$J15&lt;&gt;0</formula>
    </cfRule>
    <cfRule type="expression" dxfId="1765" priority="8683" stopIfTrue="1">
      <formula>G15=""</formula>
    </cfRule>
  </conditionalFormatting>
  <conditionalFormatting sqref="J15">
    <cfRule type="cellIs" dxfId="1764" priority="1170" stopIfTrue="1" operator="equal">
      <formula>0</formula>
    </cfRule>
    <cfRule type="expression" dxfId="1763" priority="1171" stopIfTrue="1">
      <formula>$C$11=""</formula>
    </cfRule>
    <cfRule type="expression" dxfId="1762" priority="1172" stopIfTrue="1">
      <formula>$C$11&lt;&gt;$J$137</formula>
    </cfRule>
  </conditionalFormatting>
  <conditionalFormatting sqref="H15">
    <cfRule type="expression" dxfId="1761" priority="1167" stopIfTrue="1">
      <formula>$C$11=""</formula>
    </cfRule>
    <cfRule type="expression" dxfId="1760" priority="1168" stopIfTrue="1">
      <formula>$C$11&lt;&gt;$J$137</formula>
    </cfRule>
    <cfRule type="expression" dxfId="1759" priority="1169" stopIfTrue="1">
      <formula>AND($G$15&gt;0,$I$15&gt;0,$J$15=0)</formula>
    </cfRule>
  </conditionalFormatting>
  <conditionalFormatting sqref="D37:E47">
    <cfRule type="cellIs" dxfId="1758" priority="1166" stopIfTrue="1" operator="equal">
      <formula>0</formula>
    </cfRule>
  </conditionalFormatting>
  <conditionalFormatting sqref="D54:E61">
    <cfRule type="cellIs" dxfId="1757" priority="1165" stopIfTrue="1" operator="equal">
      <formula>0</formula>
    </cfRule>
  </conditionalFormatting>
  <conditionalFormatting sqref="C22:C30">
    <cfRule type="expression" dxfId="1756" priority="1164" stopIfTrue="1">
      <formula>AND($D22=0,$E22=0)</formula>
    </cfRule>
  </conditionalFormatting>
  <conditionalFormatting sqref="C85:C93">
    <cfRule type="expression" dxfId="1755" priority="1163" stopIfTrue="1">
      <formula>AND($D85=0,$E85=0)</formula>
    </cfRule>
  </conditionalFormatting>
  <conditionalFormatting sqref="F22:G22">
    <cfRule type="expression" dxfId="1754" priority="46" stopIfTrue="1">
      <formula>AND($D22=0,$E22=0)</formula>
    </cfRule>
    <cfRule type="expression" dxfId="1753" priority="1155" stopIfTrue="1">
      <formula>ISERROR(F22)</formula>
    </cfRule>
    <cfRule type="cellIs" dxfId="1752" priority="1160" stopIfTrue="1" operator="equal">
      <formula>0</formula>
    </cfRule>
  </conditionalFormatting>
  <conditionalFormatting sqref="F19:G21">
    <cfRule type="expression" dxfId="1751" priority="1161" stopIfTrue="1">
      <formula>ISERROR(F19)</formula>
    </cfRule>
    <cfRule type="cellIs" dxfId="1750" priority="1162" stopIfTrue="1" operator="equal">
      <formula>0</formula>
    </cfRule>
  </conditionalFormatting>
  <conditionalFormatting sqref="H19:I21">
    <cfRule type="expression" dxfId="1749" priority="1156" stopIfTrue="1">
      <formula>ISERROR(H19)</formula>
    </cfRule>
    <cfRule type="cellIs" dxfId="1748" priority="1157" stopIfTrue="1" operator="equal">
      <formula>0</formula>
    </cfRule>
  </conditionalFormatting>
  <conditionalFormatting sqref="G22">
    <cfRule type="expression" dxfId="1747" priority="1159" stopIfTrue="1">
      <formula>$E22=0</formula>
    </cfRule>
  </conditionalFormatting>
  <conditionalFormatting sqref="F22">
    <cfRule type="expression" dxfId="1746" priority="1158" stopIfTrue="1">
      <formula>$D22=0</formula>
    </cfRule>
  </conditionalFormatting>
  <conditionalFormatting sqref="H22:I22">
    <cfRule type="expression" dxfId="1745" priority="40" stopIfTrue="1">
      <formula>AND($D22=0,$E22=0)</formula>
    </cfRule>
    <cfRule type="expression" dxfId="1744" priority="1151" stopIfTrue="1">
      <formula>ISERROR(H22)</formula>
    </cfRule>
    <cfRule type="cellIs" dxfId="1743" priority="1154" stopIfTrue="1" operator="equal">
      <formula>0</formula>
    </cfRule>
  </conditionalFormatting>
  <conditionalFormatting sqref="I22">
    <cfRule type="expression" dxfId="1742" priority="1153" stopIfTrue="1">
      <formula>$E22=0</formula>
    </cfRule>
  </conditionalFormatting>
  <conditionalFormatting sqref="H22">
    <cfRule type="expression" dxfId="1741" priority="1152" stopIfTrue="1">
      <formula>$D22=0</formula>
    </cfRule>
  </conditionalFormatting>
  <conditionalFormatting sqref="F31:G31">
    <cfRule type="expression" dxfId="1740" priority="1149" stopIfTrue="1">
      <formula>ISERROR(F31)</formula>
    </cfRule>
    <cfRule type="cellIs" dxfId="1739" priority="1150" stopIfTrue="1" operator="equal">
      <formula>0</formula>
    </cfRule>
  </conditionalFormatting>
  <conditionalFormatting sqref="H31:I31">
    <cfRule type="expression" dxfId="1738" priority="1147" stopIfTrue="1">
      <formula>ISERROR(H31)</formula>
    </cfRule>
    <cfRule type="cellIs" dxfId="1737" priority="1148" stopIfTrue="1" operator="equal">
      <formula>0</formula>
    </cfRule>
  </conditionalFormatting>
  <conditionalFormatting sqref="F63:G63 F49:G49">
    <cfRule type="expression" dxfId="1736" priority="1135" stopIfTrue="1">
      <formula>ISERROR(F49)</formula>
    </cfRule>
    <cfRule type="cellIs" dxfId="1735" priority="1138" stopIfTrue="1" operator="equal">
      <formula>0</formula>
    </cfRule>
  </conditionalFormatting>
  <conditionalFormatting sqref="G63 G49">
    <cfRule type="expression" dxfId="1734" priority="1137" stopIfTrue="1">
      <formula>$E49=0</formula>
    </cfRule>
  </conditionalFormatting>
  <conditionalFormatting sqref="F63 F49">
    <cfRule type="expression" dxfId="1733" priority="1136" stopIfTrue="1">
      <formula>$D49=0</formula>
    </cfRule>
  </conditionalFormatting>
  <conditionalFormatting sqref="H63:I63 H49:I49">
    <cfRule type="expression" dxfId="1732" priority="1131" stopIfTrue="1">
      <formula>ISERROR(H49)</formula>
    </cfRule>
    <cfRule type="cellIs" dxfId="1731" priority="1134" stopIfTrue="1" operator="equal">
      <formula>0</formula>
    </cfRule>
  </conditionalFormatting>
  <conditionalFormatting sqref="I63 I49">
    <cfRule type="expression" dxfId="1730" priority="1133" stopIfTrue="1">
      <formula>$E49=0</formula>
    </cfRule>
  </conditionalFormatting>
  <conditionalFormatting sqref="H63 H49">
    <cfRule type="expression" dxfId="1729" priority="1132" stopIfTrue="1">
      <formula>$D49=0</formula>
    </cfRule>
  </conditionalFormatting>
  <conditionalFormatting sqref="F82:G84">
    <cfRule type="expression" dxfId="1728" priority="1129" stopIfTrue="1">
      <formula>ISERROR(F82)</formula>
    </cfRule>
    <cfRule type="cellIs" dxfId="1727" priority="1130" stopIfTrue="1" operator="equal">
      <formula>0</formula>
    </cfRule>
  </conditionalFormatting>
  <conditionalFormatting sqref="H82:I84">
    <cfRule type="expression" dxfId="1726" priority="1124" stopIfTrue="1">
      <formula>ISERROR(H82)</formula>
    </cfRule>
    <cfRule type="cellIs" dxfId="1725" priority="1125" stopIfTrue="1" operator="equal">
      <formula>0</formula>
    </cfRule>
  </conditionalFormatting>
  <conditionalFormatting sqref="F94:G94">
    <cfRule type="expression" dxfId="1724" priority="1117" stopIfTrue="1">
      <formula>ISERROR(F94)</formula>
    </cfRule>
    <cfRule type="cellIs" dxfId="1723" priority="1118" stopIfTrue="1" operator="equal">
      <formula>0</formula>
    </cfRule>
  </conditionalFormatting>
  <conditionalFormatting sqref="H94:I94">
    <cfRule type="expression" dxfId="1722" priority="1115" stopIfTrue="1">
      <formula>ISERROR(H94)</formula>
    </cfRule>
    <cfRule type="cellIs" dxfId="1721" priority="1116" stopIfTrue="1" operator="equal">
      <formula>0</formula>
    </cfRule>
  </conditionalFormatting>
  <conditionalFormatting sqref="AV21">
    <cfRule type="expression" dxfId="1720" priority="1101" stopIfTrue="1">
      <formula>SUM($D$19:$E$19)=0</formula>
    </cfRule>
    <cfRule type="expression" dxfId="1719" priority="1102" stopIfTrue="1">
      <formula>AND(AV21=1,AU21=0)</formula>
    </cfRule>
    <cfRule type="cellIs" dxfId="1718" priority="1103" stopIfTrue="1" operator="equal">
      <formula>0</formula>
    </cfRule>
  </conditionalFormatting>
  <conditionalFormatting sqref="AX21">
    <cfRule type="expression" dxfId="1717" priority="1104" stopIfTrue="1">
      <formula>SUM($D$19:$E$19)=0</formula>
    </cfRule>
    <cfRule type="expression" dxfId="1716" priority="1105" stopIfTrue="1">
      <formula>AND(AX21=1,AY21=0)</formula>
    </cfRule>
    <cfRule type="cellIs" dxfId="1715" priority="1106" stopIfTrue="1" operator="equal">
      <formula>0</formula>
    </cfRule>
  </conditionalFormatting>
  <conditionalFormatting sqref="Z19">
    <cfRule type="expression" dxfId="1714" priority="1099" stopIfTrue="1">
      <formula>AND(Z19=1,Y19=1)</formula>
    </cfRule>
    <cfRule type="expression" dxfId="1713" priority="1100" stopIfTrue="1">
      <formula>AND(Y19=0,Z19=1)</formula>
    </cfRule>
  </conditionalFormatting>
  <conditionalFormatting sqref="Y19">
    <cfRule type="expression" dxfId="1712" priority="1097" stopIfTrue="1">
      <formula>AND(X19=0,Y19=1,Z19=1)</formula>
    </cfRule>
    <cfRule type="expression" dxfId="1711" priority="1098" stopIfTrue="1">
      <formula>AND(X19=1,Z19=1)</formula>
    </cfRule>
  </conditionalFormatting>
  <conditionalFormatting sqref="Q19">
    <cfRule type="expression" dxfId="1710" priority="1096" stopIfTrue="1">
      <formula>AND(Q19=1,R19=1)</formula>
    </cfRule>
  </conditionalFormatting>
  <conditionalFormatting sqref="R19">
    <cfRule type="expression" dxfId="1709" priority="1094" stopIfTrue="1">
      <formula>AND(Q19=0,R19=1,S19=1)</formula>
    </cfRule>
    <cfRule type="expression" dxfId="1708" priority="1095" stopIfTrue="1">
      <formula>AND(Q19=1,S19=1)</formula>
    </cfRule>
  </conditionalFormatting>
  <conditionalFormatting sqref="S19">
    <cfRule type="expression" dxfId="1707" priority="1092" stopIfTrue="1">
      <formula>AND(R19=0,S19=1,T19=1)</formula>
    </cfRule>
    <cfRule type="expression" dxfId="1706" priority="1093" stopIfTrue="1">
      <formula>AND(R19=1,T19=1)</formula>
    </cfRule>
  </conditionalFormatting>
  <conditionalFormatting sqref="T19:X19">
    <cfRule type="expression" dxfId="1705" priority="1090" stopIfTrue="1">
      <formula>AND(S19=0,T19=1,U19=1)</formula>
    </cfRule>
    <cfRule type="expression" dxfId="1704" priority="1091" stopIfTrue="1">
      <formula>AND(S19=1,U19=1)</formula>
    </cfRule>
  </conditionalFormatting>
  <conditionalFormatting sqref="Z20">
    <cfRule type="expression" dxfId="1703" priority="1088" stopIfTrue="1">
      <formula>AND(Z20=1,Y20=1)</formula>
    </cfRule>
    <cfRule type="expression" dxfId="1702" priority="1089" stopIfTrue="1">
      <formula>AND(Y20=0,Z20=1)</formula>
    </cfRule>
  </conditionalFormatting>
  <conditionalFormatting sqref="Y20">
    <cfRule type="expression" dxfId="1701" priority="1086" stopIfTrue="1">
      <formula>AND(X20=0,Y20=1,Z20=1)</formula>
    </cfRule>
    <cfRule type="expression" dxfId="1700" priority="1087" stopIfTrue="1">
      <formula>AND(X20=1,Z20=1)</formula>
    </cfRule>
  </conditionalFormatting>
  <conditionalFormatting sqref="R20">
    <cfRule type="expression" dxfId="1699" priority="1084" stopIfTrue="1">
      <formula>AND(Q20=0,R20=1,S20=1)</formula>
    </cfRule>
    <cfRule type="expression" dxfId="1698" priority="1085" stopIfTrue="1">
      <formula>AND(Q20=1,S20=1)</formula>
    </cfRule>
  </conditionalFormatting>
  <conditionalFormatting sqref="S20">
    <cfRule type="expression" dxfId="1697" priority="1082" stopIfTrue="1">
      <formula>AND(R20=0,S20=1,T20=1)</formula>
    </cfRule>
    <cfRule type="expression" dxfId="1696" priority="1083" stopIfTrue="1">
      <formula>AND(R20=1,T20=1)</formula>
    </cfRule>
  </conditionalFormatting>
  <conditionalFormatting sqref="T20:X20">
    <cfRule type="expression" dxfId="1695" priority="1080" stopIfTrue="1">
      <formula>AND(S20=0,T20=1,U20=1)</formula>
    </cfRule>
    <cfRule type="expression" dxfId="1694" priority="1081" stopIfTrue="1">
      <formula>AND(S20=1,U20=1)</formula>
    </cfRule>
  </conditionalFormatting>
  <conditionalFormatting sqref="AV19">
    <cfRule type="expression" dxfId="1693" priority="1078" stopIfTrue="1">
      <formula>AND(AV19=1,AU19=1)</formula>
    </cfRule>
    <cfRule type="expression" dxfId="1692" priority="1079" stopIfTrue="1">
      <formula>AND(AU19=0,AV19=1)</formula>
    </cfRule>
  </conditionalFormatting>
  <conditionalFormatting sqref="AU19">
    <cfRule type="expression" dxfId="1691" priority="1076" stopIfTrue="1">
      <formula>AND(AT19=0,AU19=1,AV19=1)</formula>
    </cfRule>
    <cfRule type="expression" dxfId="1690" priority="1077" stopIfTrue="1">
      <formula>AND(AT19=1,AV19=1)</formula>
    </cfRule>
  </conditionalFormatting>
  <conditionalFormatting sqref="AN19">
    <cfRule type="expression" dxfId="1689" priority="1074" stopIfTrue="1">
      <formula>AND(AM19=0,AN19=1,AO19=1)</formula>
    </cfRule>
    <cfRule type="expression" dxfId="1688" priority="1075" stopIfTrue="1">
      <formula>AND(AM19=1,AO19=1)</formula>
    </cfRule>
  </conditionalFormatting>
  <conditionalFormatting sqref="AO19">
    <cfRule type="expression" dxfId="1687" priority="1072" stopIfTrue="1">
      <formula>AND(AN19=0,AO19=1,AP19=1)</formula>
    </cfRule>
    <cfRule type="expression" dxfId="1686" priority="1073" stopIfTrue="1">
      <formula>AND(AN19=1,AP19=1)</formula>
    </cfRule>
  </conditionalFormatting>
  <conditionalFormatting sqref="AP19:AT19">
    <cfRule type="expression" dxfId="1685" priority="1070" stopIfTrue="1">
      <formula>AND(AO19=0,AP19=1,AQ19=1)</formula>
    </cfRule>
    <cfRule type="expression" dxfId="1684" priority="1071" stopIfTrue="1">
      <formula>AND(AO19=1,AQ19=1)</formula>
    </cfRule>
  </conditionalFormatting>
  <conditionalFormatting sqref="AV20">
    <cfRule type="expression" dxfId="1683" priority="1068" stopIfTrue="1">
      <formula>AND(AV20=1,AU20=1)</formula>
    </cfRule>
    <cfRule type="expression" dxfId="1682" priority="1069" stopIfTrue="1">
      <formula>AND(AU20=0,AV20=1)</formula>
    </cfRule>
  </conditionalFormatting>
  <conditionalFormatting sqref="AU20">
    <cfRule type="expression" dxfId="1681" priority="1066" stopIfTrue="1">
      <formula>AND(AT20=0,AU20=1,AV20=1)</formula>
    </cfRule>
    <cfRule type="expression" dxfId="1680" priority="1067" stopIfTrue="1">
      <formula>AND(AT20=1,AV20=1)</formula>
    </cfRule>
  </conditionalFormatting>
  <conditionalFormatting sqref="AN20">
    <cfRule type="expression" dxfId="1679" priority="1064" stopIfTrue="1">
      <formula>AND(AM20=0,AN20=1,AO20=1)</formula>
    </cfRule>
    <cfRule type="expression" dxfId="1678" priority="1065" stopIfTrue="1">
      <formula>AND(AM20=1,AO20=1)</formula>
    </cfRule>
  </conditionalFormatting>
  <conditionalFormatting sqref="AO20">
    <cfRule type="expression" dxfId="1677" priority="1062" stopIfTrue="1">
      <formula>AND(AN20=0,AO20=1,AP20=1)</formula>
    </cfRule>
    <cfRule type="expression" dxfId="1676" priority="1063" stopIfTrue="1">
      <formula>AND(AN20=1,AP20=1)</formula>
    </cfRule>
  </conditionalFormatting>
  <conditionalFormatting sqref="AP20:AT20">
    <cfRule type="expression" dxfId="1675" priority="1060" stopIfTrue="1">
      <formula>AND(AO20=0,AP20=1,AQ20=1)</formula>
    </cfRule>
    <cfRule type="expression" dxfId="1674" priority="1061" stopIfTrue="1">
      <formula>AND(AO20=1,AQ20=1)</formula>
    </cfRule>
  </conditionalFormatting>
  <conditionalFormatting sqref="Q20">
    <cfRule type="expression" dxfId="1673" priority="1059" stopIfTrue="1">
      <formula>AND(Q20=1,R20=1)</formula>
    </cfRule>
  </conditionalFormatting>
  <conditionalFormatting sqref="AM19">
    <cfRule type="expression" dxfId="1672" priority="1058" stopIfTrue="1">
      <formula>AND(AM19=1,AN19=1)</formula>
    </cfRule>
  </conditionalFormatting>
  <conditionalFormatting sqref="AM20">
    <cfRule type="expression" dxfId="1671" priority="1057" stopIfTrue="1">
      <formula>AND(AM20=1,AN20=1)</formula>
    </cfRule>
  </conditionalFormatting>
  <conditionalFormatting sqref="AK19">
    <cfRule type="expression" dxfId="1670" priority="1056" stopIfTrue="1">
      <formula>AND(AK19=1,AJ19=1)</formula>
    </cfRule>
  </conditionalFormatting>
  <conditionalFormatting sqref="AB19">
    <cfRule type="expression" dxfId="1669" priority="1052" stopIfTrue="1">
      <formula>AND(AB19=1,AC19=1)</formula>
    </cfRule>
    <cfRule type="expression" dxfId="1668" priority="1053" stopIfTrue="1">
      <formula>AND(AC19=0,AB19=1)</formula>
    </cfRule>
  </conditionalFormatting>
  <conditionalFormatting sqref="AK20">
    <cfRule type="expression" dxfId="1667" priority="1049" stopIfTrue="1">
      <formula>AND(AK20=1,AJ20=1)</formula>
    </cfRule>
  </conditionalFormatting>
  <conditionalFormatting sqref="AB20">
    <cfRule type="expression" dxfId="1666" priority="1045" stopIfTrue="1">
      <formula>AND(AB20=1,AC20=1)</formula>
    </cfRule>
    <cfRule type="expression" dxfId="1665" priority="1046" stopIfTrue="1">
      <formula>AND(AC20=0,AB20=1)</formula>
    </cfRule>
  </conditionalFormatting>
  <conditionalFormatting sqref="BG19">
    <cfRule type="expression" dxfId="1664" priority="1042" stopIfTrue="1">
      <formula>AND(BG19=1,BF19=1)</formula>
    </cfRule>
  </conditionalFormatting>
  <conditionalFormatting sqref="BF19">
    <cfRule type="expression" dxfId="1663" priority="1040" stopIfTrue="1">
      <formula>AND(BF19=0,BF19=1,BE19=1)</formula>
    </cfRule>
    <cfRule type="expression" dxfId="1662" priority="1041" stopIfTrue="1">
      <formula>AND(BG19=1,BE19=1)</formula>
    </cfRule>
  </conditionalFormatting>
  <conditionalFormatting sqref="AX19">
    <cfRule type="expression" dxfId="1661" priority="1038" stopIfTrue="1">
      <formula>AND(AX19=1,AY19=1)</formula>
    </cfRule>
    <cfRule type="expression" dxfId="1660" priority="1039" stopIfTrue="1">
      <formula>AND(AY19=0,AX19=1)</formula>
    </cfRule>
  </conditionalFormatting>
  <conditionalFormatting sqref="AY19:BE19">
    <cfRule type="expression" dxfId="1659" priority="1036" stopIfTrue="1">
      <formula>AND(AZ19=0,AY19=1,AX19=1)</formula>
    </cfRule>
    <cfRule type="expression" dxfId="1658" priority="1037" stopIfTrue="1">
      <formula>AND(AZ19=1,AX19=1)</formula>
    </cfRule>
  </conditionalFormatting>
  <conditionalFormatting sqref="BG20">
    <cfRule type="expression" dxfId="1657" priority="1035" stopIfTrue="1">
      <formula>AND(BG20=1,BF20=1)</formula>
    </cfRule>
  </conditionalFormatting>
  <conditionalFormatting sqref="BF20">
    <cfRule type="expression" dxfId="1656" priority="1033" stopIfTrue="1">
      <formula>AND(BF20=0,BF20=1,BE20=1)</formula>
    </cfRule>
    <cfRule type="expression" dxfId="1655" priority="1034" stopIfTrue="1">
      <formula>AND(BG20=1,BE20=1)</formula>
    </cfRule>
  </conditionalFormatting>
  <conditionalFormatting sqref="AX20">
    <cfRule type="expression" dxfId="1654" priority="1031" stopIfTrue="1">
      <formula>AND(AX20=1,AY20=1)</formula>
    </cfRule>
    <cfRule type="expression" dxfId="1653" priority="1032" stopIfTrue="1">
      <formula>AND(AY20=0,AX20=1)</formula>
    </cfRule>
  </conditionalFormatting>
  <conditionalFormatting sqref="AY20:BE20">
    <cfRule type="expression" dxfId="1652" priority="1029" stopIfTrue="1">
      <formula>AND(AZ20=0,AY20=1,AX20=1)</formula>
    </cfRule>
    <cfRule type="expression" dxfId="1651" priority="1030" stopIfTrue="1">
      <formula>AND(AZ20=1,AX20=1)</formula>
    </cfRule>
  </conditionalFormatting>
  <conditionalFormatting sqref="BG22:BG30">
    <cfRule type="expression" dxfId="1650" priority="1028" stopIfTrue="1">
      <formula>AND(BG22=1,BF22=1)</formula>
    </cfRule>
  </conditionalFormatting>
  <conditionalFormatting sqref="BF22:BF30">
    <cfRule type="expression" dxfId="1649" priority="1026" stopIfTrue="1">
      <formula>AND(BF22=0,BF22=1,BE22=1)</formula>
    </cfRule>
    <cfRule type="expression" dxfId="1648" priority="1027" stopIfTrue="1">
      <formula>AND(BG22=1,BE22=1)</formula>
    </cfRule>
  </conditionalFormatting>
  <conditionalFormatting sqref="AX22:AX30">
    <cfRule type="expression" dxfId="1647" priority="1024" stopIfTrue="1">
      <formula>AND(AX22=1,AY22=1)</formula>
    </cfRule>
    <cfRule type="expression" dxfId="1646" priority="1025" stopIfTrue="1">
      <formula>AND(AY22=0,AX22=1)</formula>
    </cfRule>
  </conditionalFormatting>
  <conditionalFormatting sqref="AY22:BE30">
    <cfRule type="expression" dxfId="1645" priority="1022" stopIfTrue="1">
      <formula>AND(AZ22=0,AY22=1,AX22=1)</formula>
    </cfRule>
    <cfRule type="expression" dxfId="1644" priority="1023" stopIfTrue="1">
      <formula>AND(AZ22=1,AX22=1)</formula>
    </cfRule>
  </conditionalFormatting>
  <conditionalFormatting sqref="AK22:AK30">
    <cfRule type="expression" dxfId="1643" priority="1021" stopIfTrue="1">
      <formula>AND(AK22=1,AJ22=1)</formula>
    </cfRule>
  </conditionalFormatting>
  <conditionalFormatting sqref="AJ22:AJ30">
    <cfRule type="expression" dxfId="1642" priority="1019" stopIfTrue="1">
      <formula>AND(AJ22=0,AJ22=1,AI22=1)</formula>
    </cfRule>
    <cfRule type="expression" dxfId="1641" priority="1020" stopIfTrue="1">
      <formula>AND(AK22=1,AI22=1)</formula>
    </cfRule>
  </conditionalFormatting>
  <conditionalFormatting sqref="AB22:AB30">
    <cfRule type="expression" dxfId="1640" priority="1017" stopIfTrue="1">
      <formula>AND(AB22=1,AC22=1)</formula>
    </cfRule>
    <cfRule type="expression" dxfId="1639" priority="1018" stopIfTrue="1">
      <formula>AND(AC22=0,AB22=1)</formula>
    </cfRule>
  </conditionalFormatting>
  <conditionalFormatting sqref="AC22:AI30">
    <cfRule type="expression" dxfId="1638" priority="1015" stopIfTrue="1">
      <formula>AND(AD22=0,AC22=1,AB22=1)</formula>
    </cfRule>
    <cfRule type="expression" dxfId="1637" priority="1016" stopIfTrue="1">
      <formula>AND(AD22=1,AB22=1)</formula>
    </cfRule>
  </conditionalFormatting>
  <conditionalFormatting sqref="AB21">
    <cfRule type="expression" dxfId="1636" priority="1012" stopIfTrue="1">
      <formula>SUM($D$19:$E$19)=0</formula>
    </cfRule>
    <cfRule type="expression" dxfId="1635" priority="1013" stopIfTrue="1">
      <formula>AND(AB21=1,AC21=0)</formula>
    </cfRule>
    <cfRule type="cellIs" dxfId="1634" priority="1014" stopIfTrue="1" operator="equal">
      <formula>0</formula>
    </cfRule>
  </conditionalFormatting>
  <conditionalFormatting sqref="Z21">
    <cfRule type="expression" dxfId="1633" priority="1009" stopIfTrue="1">
      <formula>SUM($D$19:$E$19)=0</formula>
    </cfRule>
    <cfRule type="expression" dxfId="1632" priority="1010" stopIfTrue="1">
      <formula>AND(Z21=1,Y21=0)</formula>
    </cfRule>
    <cfRule type="cellIs" dxfId="1631" priority="1011" stopIfTrue="1" operator="equal">
      <formula>0</formula>
    </cfRule>
  </conditionalFormatting>
  <conditionalFormatting sqref="Z22:Z30">
    <cfRule type="expression" dxfId="1630" priority="1007" stopIfTrue="1">
      <formula>AND(Z22=1,Y22=1)</formula>
    </cfRule>
    <cfRule type="expression" dxfId="1629" priority="1008" stopIfTrue="1">
      <formula>AND(Y22=0,Z22=1)</formula>
    </cfRule>
  </conditionalFormatting>
  <conditionalFormatting sqref="Y22:Y30">
    <cfRule type="expression" dxfId="1628" priority="1005" stopIfTrue="1">
      <formula>AND(X22=0,Y22=1,Z22=1)</formula>
    </cfRule>
    <cfRule type="expression" dxfId="1627" priority="1006" stopIfTrue="1">
      <formula>AND(X22=1,Z22=1)</formula>
    </cfRule>
  </conditionalFormatting>
  <conditionalFormatting sqref="Q22:Q30">
    <cfRule type="expression" dxfId="1626" priority="1004" stopIfTrue="1">
      <formula>AND(Q22=1,R22=1)</formula>
    </cfRule>
  </conditionalFormatting>
  <conditionalFormatting sqref="R22:R30">
    <cfRule type="expression" dxfId="1625" priority="1002" stopIfTrue="1">
      <formula>AND(Q22=0,R22=1,S22=1)</formula>
    </cfRule>
    <cfRule type="expression" dxfId="1624" priority="1003" stopIfTrue="1">
      <formula>AND(Q22=1,S22=1)</formula>
    </cfRule>
  </conditionalFormatting>
  <conditionalFormatting sqref="S22:S30">
    <cfRule type="expression" dxfId="1623" priority="1000" stopIfTrue="1">
      <formula>AND(R22=0,S22=1,T22=1)</formula>
    </cfRule>
    <cfRule type="expression" dxfId="1622" priority="1001" stopIfTrue="1">
      <formula>AND(R22=1,T22=1)</formula>
    </cfRule>
  </conditionalFormatting>
  <conditionalFormatting sqref="T22:X30">
    <cfRule type="expression" dxfId="1621" priority="998" stopIfTrue="1">
      <formula>AND(S22=0,T22=1,U22=1)</formula>
    </cfRule>
    <cfRule type="expression" dxfId="1620" priority="999" stopIfTrue="1">
      <formula>AND(S22=1,U22=1)</formula>
    </cfRule>
  </conditionalFormatting>
  <conditionalFormatting sqref="AV22:AV30">
    <cfRule type="expression" dxfId="1619" priority="996" stopIfTrue="1">
      <formula>AND(AV22=1,AU22=1)</formula>
    </cfRule>
    <cfRule type="expression" dxfId="1618" priority="997" stopIfTrue="1">
      <formula>AND(AU22=0,AV22=1)</formula>
    </cfRule>
  </conditionalFormatting>
  <conditionalFormatting sqref="AU22:AU30">
    <cfRule type="expression" dxfId="1617" priority="994" stopIfTrue="1">
      <formula>AND(AT22=0,AU22=1,AV22=1)</formula>
    </cfRule>
    <cfRule type="expression" dxfId="1616" priority="995" stopIfTrue="1">
      <formula>AND(AT22=1,AV22=1)</formula>
    </cfRule>
  </conditionalFormatting>
  <conditionalFormatting sqref="AM22:AM30">
    <cfRule type="expression" dxfId="1615" priority="993" stopIfTrue="1">
      <formula>AND(AM22=1,AN22=1)</formula>
    </cfRule>
  </conditionalFormatting>
  <conditionalFormatting sqref="AN22:AN30">
    <cfRule type="expression" dxfId="1614" priority="991" stopIfTrue="1">
      <formula>AND(AM22=0,AN22=1,AO22=1)</formula>
    </cfRule>
    <cfRule type="expression" dxfId="1613" priority="992" stopIfTrue="1">
      <formula>AND(AM22=1,AO22=1)</formula>
    </cfRule>
  </conditionalFormatting>
  <conditionalFormatting sqref="AO22:AO30">
    <cfRule type="expression" dxfId="1612" priority="989" stopIfTrue="1">
      <formula>AND(AN22=0,AO22=1,AP22=1)</formula>
    </cfRule>
    <cfRule type="expression" dxfId="1611" priority="990" stopIfTrue="1">
      <formula>AND(AN22=1,AP22=1)</formula>
    </cfRule>
  </conditionalFormatting>
  <conditionalFormatting sqref="AP22:AT30">
    <cfRule type="expression" dxfId="1610" priority="987" stopIfTrue="1">
      <formula>AND(AO22=0,AP22=1,AQ22=1)</formula>
    </cfRule>
    <cfRule type="expression" dxfId="1609" priority="988" stopIfTrue="1">
      <formula>AND(AO22=1,AQ22=1)</formula>
    </cfRule>
  </conditionalFormatting>
  <conditionalFormatting sqref="Z31">
    <cfRule type="expression" dxfId="1608" priority="985" stopIfTrue="1">
      <formula>AND(Z31=1,Y31=1)</formula>
    </cfRule>
    <cfRule type="expression" dxfId="1607" priority="986" stopIfTrue="1">
      <formula>AND(Y31=0,Z31=1)</formula>
    </cfRule>
  </conditionalFormatting>
  <conditionalFormatting sqref="Y31">
    <cfRule type="expression" dxfId="1606" priority="983" stopIfTrue="1">
      <formula>AND(X31=0,Y31=1,Z31=1)</formula>
    </cfRule>
    <cfRule type="expression" dxfId="1605" priority="984" stopIfTrue="1">
      <formula>AND(X31=1,Z31=1)</formula>
    </cfRule>
  </conditionalFormatting>
  <conditionalFormatting sqref="Q31">
    <cfRule type="expression" dxfId="1604" priority="982" stopIfTrue="1">
      <formula>AND(Q31=1,R31=1)</formula>
    </cfRule>
  </conditionalFormatting>
  <conditionalFormatting sqref="R31">
    <cfRule type="expression" dxfId="1603" priority="980" stopIfTrue="1">
      <formula>AND(Q31=0,R31=1,S31=1)</formula>
    </cfRule>
    <cfRule type="expression" dxfId="1602" priority="981" stopIfTrue="1">
      <formula>AND(Q31=1,S31=1)</formula>
    </cfRule>
  </conditionalFormatting>
  <conditionalFormatting sqref="S31">
    <cfRule type="expression" dxfId="1601" priority="978" stopIfTrue="1">
      <formula>AND(R31=0,S31=1,T31=1)</formula>
    </cfRule>
    <cfRule type="expression" dxfId="1600" priority="979" stopIfTrue="1">
      <formula>AND(R31=1,T31=1)</formula>
    </cfRule>
  </conditionalFormatting>
  <conditionalFormatting sqref="T31:X31">
    <cfRule type="expression" dxfId="1599" priority="976" stopIfTrue="1">
      <formula>AND(S31=0,T31=1,U31=1)</formula>
    </cfRule>
    <cfRule type="expression" dxfId="1598" priority="977" stopIfTrue="1">
      <formula>AND(S31=1,U31=1)</formula>
    </cfRule>
  </conditionalFormatting>
  <conditionalFormatting sqref="AV31">
    <cfRule type="expression" dxfId="1597" priority="974" stopIfTrue="1">
      <formula>AND(AV31=1,AU31=1)</formula>
    </cfRule>
    <cfRule type="expression" dxfId="1596" priority="975" stopIfTrue="1">
      <formula>AND(AU31=0,AV31=1)</formula>
    </cfRule>
  </conditionalFormatting>
  <conditionalFormatting sqref="AU31">
    <cfRule type="expression" dxfId="1595" priority="972" stopIfTrue="1">
      <formula>AND(AT31=0,AU31=1,AV31=1)</formula>
    </cfRule>
    <cfRule type="expression" dxfId="1594" priority="973" stopIfTrue="1">
      <formula>AND(AT31=1,AV31=1)</formula>
    </cfRule>
  </conditionalFormatting>
  <conditionalFormatting sqref="AN31">
    <cfRule type="expression" dxfId="1593" priority="970" stopIfTrue="1">
      <formula>AND(AM31=0,AN31=1,AO31=1)</formula>
    </cfRule>
    <cfRule type="expression" dxfId="1592" priority="971" stopIfTrue="1">
      <formula>AND(AM31=1,AO31=1)</formula>
    </cfRule>
  </conditionalFormatting>
  <conditionalFormatting sqref="AO31">
    <cfRule type="expression" dxfId="1591" priority="968" stopIfTrue="1">
      <formula>AND(AN31=0,AO31=1,AP31=1)</formula>
    </cfRule>
    <cfRule type="expression" dxfId="1590" priority="969" stopIfTrue="1">
      <formula>AND(AN31=1,AP31=1)</formula>
    </cfRule>
  </conditionalFormatting>
  <conditionalFormatting sqref="AP31:AT31">
    <cfRule type="expression" dxfId="1589" priority="966" stopIfTrue="1">
      <formula>AND(AO31=0,AP31=1,AQ31=1)</formula>
    </cfRule>
    <cfRule type="expression" dxfId="1588" priority="967" stopIfTrue="1">
      <formula>AND(AO31=1,AQ31=1)</formula>
    </cfRule>
  </conditionalFormatting>
  <conditionalFormatting sqref="AM31">
    <cfRule type="expression" dxfId="1587" priority="965" stopIfTrue="1">
      <formula>AND(AM31=1,AN31=1)</formula>
    </cfRule>
  </conditionalFormatting>
  <conditionalFormatting sqref="AK31">
    <cfRule type="expression" dxfId="1586" priority="964" stopIfTrue="1">
      <formula>AND(AK31=1,AJ31=1)</formula>
    </cfRule>
  </conditionalFormatting>
  <conditionalFormatting sqref="AB31">
    <cfRule type="expression" dxfId="1585" priority="960" stopIfTrue="1">
      <formula>AND(AB31=1,AC31=1)</formula>
    </cfRule>
    <cfRule type="expression" dxfId="1584" priority="961" stopIfTrue="1">
      <formula>AND(AC31=0,AB31=1)</formula>
    </cfRule>
  </conditionalFormatting>
  <conditionalFormatting sqref="BG31">
    <cfRule type="expression" dxfId="1583" priority="957" stopIfTrue="1">
      <formula>AND(BG31=1,BF31=1)</formula>
    </cfRule>
  </conditionalFormatting>
  <conditionalFormatting sqref="BF31">
    <cfRule type="expression" dxfId="1582" priority="955" stopIfTrue="1">
      <formula>AND(BF31=0,BF31=1,BE31=1)</formula>
    </cfRule>
    <cfRule type="expression" dxfId="1581" priority="956" stopIfTrue="1">
      <formula>AND(BG31=1,BE31=1)</formula>
    </cfRule>
  </conditionalFormatting>
  <conditionalFormatting sqref="AX31">
    <cfRule type="expression" dxfId="1580" priority="953" stopIfTrue="1">
      <formula>AND(AX31=1,AY31=1)</formula>
    </cfRule>
    <cfRule type="expression" dxfId="1579" priority="954" stopIfTrue="1">
      <formula>AND(AY31=0,AX31=1)</formula>
    </cfRule>
  </conditionalFormatting>
  <conditionalFormatting sqref="AY31:BE31">
    <cfRule type="expression" dxfId="1578" priority="951" stopIfTrue="1">
      <formula>AND(AZ31=0,AY31=1,AX31=1)</formula>
    </cfRule>
    <cfRule type="expression" dxfId="1577" priority="952" stopIfTrue="1">
      <formula>AND(AZ31=1,AX31=1)</formula>
    </cfRule>
  </conditionalFormatting>
  <conditionalFormatting sqref="Z37">
    <cfRule type="expression" dxfId="1576" priority="949" stopIfTrue="1">
      <formula>AND(Z37=1,Y37=1)</formula>
    </cfRule>
    <cfRule type="expression" dxfId="1575" priority="950" stopIfTrue="1">
      <formula>AND(Y37=0,Z37=1)</formula>
    </cfRule>
  </conditionalFormatting>
  <conditionalFormatting sqref="Y37">
    <cfRule type="expression" dxfId="1574" priority="947" stopIfTrue="1">
      <formula>AND(X37=0,Y37=1,Z37=1)</formula>
    </cfRule>
    <cfRule type="expression" dxfId="1573" priority="948" stopIfTrue="1">
      <formula>AND(X37=1,Z37=1)</formula>
    </cfRule>
  </conditionalFormatting>
  <conditionalFormatting sqref="Q37">
    <cfRule type="expression" dxfId="1572" priority="946" stopIfTrue="1">
      <formula>AND(Q37=1,R37=1)</formula>
    </cfRule>
  </conditionalFormatting>
  <conditionalFormatting sqref="R37">
    <cfRule type="expression" dxfId="1571" priority="944" stopIfTrue="1">
      <formula>AND(Q37=0,R37=1,S37=1)</formula>
    </cfRule>
    <cfRule type="expression" dxfId="1570" priority="945" stopIfTrue="1">
      <formula>AND(Q37=1,S37=1)</formula>
    </cfRule>
  </conditionalFormatting>
  <conditionalFormatting sqref="S37">
    <cfRule type="expression" dxfId="1569" priority="942" stopIfTrue="1">
      <formula>AND(R37=0,S37=1,T37=1)</formula>
    </cfRule>
    <cfRule type="expression" dxfId="1568" priority="943" stopIfTrue="1">
      <formula>AND(R37=1,T37=1)</formula>
    </cfRule>
  </conditionalFormatting>
  <conditionalFormatting sqref="T37:X37">
    <cfRule type="expression" dxfId="1567" priority="940" stopIfTrue="1">
      <formula>AND(S37=0,T37=1,U37=1)</formula>
    </cfRule>
    <cfRule type="expression" dxfId="1566" priority="941" stopIfTrue="1">
      <formula>AND(S37=1,U37=1)</formula>
    </cfRule>
  </conditionalFormatting>
  <conditionalFormatting sqref="AV37">
    <cfRule type="expression" dxfId="1565" priority="938" stopIfTrue="1">
      <formula>AND(AV37=1,AU37=1)</formula>
    </cfRule>
    <cfRule type="expression" dxfId="1564" priority="939" stopIfTrue="1">
      <formula>AND(AU37=0,AV37=1)</formula>
    </cfRule>
  </conditionalFormatting>
  <conditionalFormatting sqref="AU37">
    <cfRule type="expression" dxfId="1563" priority="936" stopIfTrue="1">
      <formula>AND(AT37=0,AU37=1,AV37=1)</formula>
    </cfRule>
    <cfRule type="expression" dxfId="1562" priority="937" stopIfTrue="1">
      <formula>AND(AT37=1,AV37=1)</formula>
    </cfRule>
  </conditionalFormatting>
  <conditionalFormatting sqref="AN37">
    <cfRule type="expression" dxfId="1561" priority="934" stopIfTrue="1">
      <formula>AND(AM37=0,AN37=1,AO37=1)</formula>
    </cfRule>
    <cfRule type="expression" dxfId="1560" priority="935" stopIfTrue="1">
      <formula>AND(AM37=1,AO37=1)</formula>
    </cfRule>
  </conditionalFormatting>
  <conditionalFormatting sqref="AO37">
    <cfRule type="expression" dxfId="1559" priority="932" stopIfTrue="1">
      <formula>AND(AN37=0,AO37=1,AP37=1)</formula>
    </cfRule>
    <cfRule type="expression" dxfId="1558" priority="933" stopIfTrue="1">
      <formula>AND(AN37=1,AP37=1)</formula>
    </cfRule>
  </conditionalFormatting>
  <conditionalFormatting sqref="AP37:AT37">
    <cfRule type="expression" dxfId="1557" priority="930" stopIfTrue="1">
      <formula>AND(AO37=0,AP37=1,AQ37=1)</formula>
    </cfRule>
    <cfRule type="expression" dxfId="1556" priority="931" stopIfTrue="1">
      <formula>AND(AO37=1,AQ37=1)</formula>
    </cfRule>
  </conditionalFormatting>
  <conditionalFormatting sqref="AM37">
    <cfRule type="expression" dxfId="1555" priority="929" stopIfTrue="1">
      <formula>AND(AM37=1,AN37=1)</formula>
    </cfRule>
  </conditionalFormatting>
  <conditionalFormatting sqref="AK37">
    <cfRule type="expression" dxfId="1554" priority="928" stopIfTrue="1">
      <formula>AND(AK37=1,AJ37=1)</formula>
    </cfRule>
  </conditionalFormatting>
  <conditionalFormatting sqref="AJ37:AJ47">
    <cfRule type="expression" dxfId="1553" priority="926" stopIfTrue="1">
      <formula>AND(AK37=0,AJ37=1,AI37=1)</formula>
    </cfRule>
    <cfRule type="expression" dxfId="1552" priority="927" stopIfTrue="1">
      <formula>AND(AK37=1,AI37=1)</formula>
    </cfRule>
  </conditionalFormatting>
  <conditionalFormatting sqref="AB37">
    <cfRule type="expression" dxfId="1551" priority="924" stopIfTrue="1">
      <formula>AND(AB37=1,AC37=1)</formula>
    </cfRule>
    <cfRule type="expression" dxfId="1550" priority="925" stopIfTrue="1">
      <formula>AND(AC37=0,AB37=1)</formula>
    </cfRule>
  </conditionalFormatting>
  <conditionalFormatting sqref="BG37">
    <cfRule type="expression" dxfId="1549" priority="921" stopIfTrue="1">
      <formula>AND(BG37=1,BF37=1)</formula>
    </cfRule>
  </conditionalFormatting>
  <conditionalFormatting sqref="BF37">
    <cfRule type="expression" dxfId="1548" priority="919" stopIfTrue="1">
      <formula>AND(BF37=0,BF37=1,BE37=1)</formula>
    </cfRule>
    <cfRule type="expression" dxfId="1547" priority="920" stopIfTrue="1">
      <formula>AND(BG37=1,BE37=1)</formula>
    </cfRule>
  </conditionalFormatting>
  <conditionalFormatting sqref="AX37">
    <cfRule type="expression" dxfId="1546" priority="917" stopIfTrue="1">
      <formula>AND(AX37=1,AY37=1)</formula>
    </cfRule>
    <cfRule type="expression" dxfId="1545" priority="918" stopIfTrue="1">
      <formula>AND(AY37=0,AX37=1)</formula>
    </cfRule>
  </conditionalFormatting>
  <conditionalFormatting sqref="AY37:BE37">
    <cfRule type="expression" dxfId="1544" priority="915" stopIfTrue="1">
      <formula>AND(AZ37=0,AY37=1,AX37=1)</formula>
    </cfRule>
    <cfRule type="expression" dxfId="1543" priority="916" stopIfTrue="1">
      <formula>AND(AZ37=1,AX37=1)</formula>
    </cfRule>
  </conditionalFormatting>
  <conditionalFormatting sqref="Z38">
    <cfRule type="expression" dxfId="1542" priority="913" stopIfTrue="1">
      <formula>AND(Z38=1,Y38=1)</formula>
    </cfRule>
    <cfRule type="expression" dxfId="1541" priority="914" stopIfTrue="1">
      <formula>AND(Y38=0,Z38=1)</formula>
    </cfRule>
  </conditionalFormatting>
  <conditionalFormatting sqref="Y38">
    <cfRule type="expression" dxfId="1540" priority="911" stopIfTrue="1">
      <formula>AND(X38=0,Y38=1,Z38=1)</formula>
    </cfRule>
    <cfRule type="expression" dxfId="1539" priority="912" stopIfTrue="1">
      <formula>AND(X38=1,Z38=1)</formula>
    </cfRule>
  </conditionalFormatting>
  <conditionalFormatting sqref="Q38">
    <cfRule type="expression" dxfId="1538" priority="910" stopIfTrue="1">
      <formula>AND(Q38=1,R38=1)</formula>
    </cfRule>
  </conditionalFormatting>
  <conditionalFormatting sqref="R38">
    <cfRule type="expression" dxfId="1537" priority="908" stopIfTrue="1">
      <formula>AND(Q38=0,R38=1,S38=1)</formula>
    </cfRule>
    <cfRule type="expression" dxfId="1536" priority="909" stopIfTrue="1">
      <formula>AND(Q38=1,S38=1)</formula>
    </cfRule>
  </conditionalFormatting>
  <conditionalFormatting sqref="S38">
    <cfRule type="expression" dxfId="1535" priority="906" stopIfTrue="1">
      <formula>AND(R38=0,S38=1,T38=1)</formula>
    </cfRule>
    <cfRule type="expression" dxfId="1534" priority="907" stopIfTrue="1">
      <formula>AND(R38=1,T38=1)</formula>
    </cfRule>
  </conditionalFormatting>
  <conditionalFormatting sqref="T38:X38">
    <cfRule type="expression" dxfId="1533" priority="904" stopIfTrue="1">
      <formula>AND(S38=0,T38=1,U38=1)</formula>
    </cfRule>
    <cfRule type="expression" dxfId="1532" priority="905" stopIfTrue="1">
      <formula>AND(S38=1,U38=1)</formula>
    </cfRule>
  </conditionalFormatting>
  <conditionalFormatting sqref="AV38">
    <cfRule type="expression" dxfId="1531" priority="902" stopIfTrue="1">
      <formula>AND(AV38=1,AU38=1)</formula>
    </cfRule>
    <cfRule type="expression" dxfId="1530" priority="903" stopIfTrue="1">
      <formula>AND(AU38=0,AV38=1)</formula>
    </cfRule>
  </conditionalFormatting>
  <conditionalFormatting sqref="AU38">
    <cfRule type="expression" dxfId="1529" priority="900" stopIfTrue="1">
      <formula>AND(AT38=0,AU38=1,AV38=1)</formula>
    </cfRule>
    <cfRule type="expression" dxfId="1528" priority="901" stopIfTrue="1">
      <formula>AND(AT38=1,AV38=1)</formula>
    </cfRule>
  </conditionalFormatting>
  <conditionalFormatting sqref="AN38">
    <cfRule type="expression" dxfId="1527" priority="898" stopIfTrue="1">
      <formula>AND(AM38=0,AN38=1,AO38=1)</formula>
    </cfRule>
    <cfRule type="expression" dxfId="1526" priority="899" stopIfTrue="1">
      <formula>AND(AM38=1,AO38=1)</formula>
    </cfRule>
  </conditionalFormatting>
  <conditionalFormatting sqref="AO38">
    <cfRule type="expression" dxfId="1525" priority="896" stopIfTrue="1">
      <formula>AND(AN38=0,AO38=1,AP38=1)</formula>
    </cfRule>
    <cfRule type="expression" dxfId="1524" priority="897" stopIfTrue="1">
      <formula>AND(AN38=1,AP38=1)</formula>
    </cfRule>
  </conditionalFormatting>
  <conditionalFormatting sqref="AP38:AT38">
    <cfRule type="expression" dxfId="1523" priority="894" stopIfTrue="1">
      <formula>AND(AO38=0,AP38=1,AQ38=1)</formula>
    </cfRule>
    <cfRule type="expression" dxfId="1522" priority="895" stopIfTrue="1">
      <formula>AND(AO38=1,AQ38=1)</formula>
    </cfRule>
  </conditionalFormatting>
  <conditionalFormatting sqref="AM38">
    <cfRule type="expression" dxfId="1521" priority="893" stopIfTrue="1">
      <formula>AND(AM38=1,AN38=1)</formula>
    </cfRule>
  </conditionalFormatting>
  <conditionalFormatting sqref="AK38">
    <cfRule type="expression" dxfId="1520" priority="892" stopIfTrue="1">
      <formula>AND(AK38=1,AJ38=1)</formula>
    </cfRule>
  </conditionalFormatting>
  <conditionalFormatting sqref="AB38">
    <cfRule type="expression" dxfId="1519" priority="888" stopIfTrue="1">
      <formula>AND(AB38=1,AC38=1)</formula>
    </cfRule>
    <cfRule type="expression" dxfId="1518" priority="889" stopIfTrue="1">
      <formula>AND(AC38=0,AB38=1)</formula>
    </cfRule>
  </conditionalFormatting>
  <conditionalFormatting sqref="BG38">
    <cfRule type="expression" dxfId="1517" priority="885" stopIfTrue="1">
      <formula>AND(BG38=1,BF38=1)</formula>
    </cfRule>
  </conditionalFormatting>
  <conditionalFormatting sqref="BF38">
    <cfRule type="expression" dxfId="1516" priority="883" stopIfTrue="1">
      <formula>AND(BF38=0,BF38=1,BE38=1)</formula>
    </cfRule>
    <cfRule type="expression" dxfId="1515" priority="884" stopIfTrue="1">
      <formula>AND(BG38=1,BE38=1)</formula>
    </cfRule>
  </conditionalFormatting>
  <conditionalFormatting sqref="AX38">
    <cfRule type="expression" dxfId="1514" priority="881" stopIfTrue="1">
      <formula>AND(AX38=1,AY38=1)</formula>
    </cfRule>
    <cfRule type="expression" dxfId="1513" priority="882" stopIfTrue="1">
      <formula>AND(AY38=0,AX38=1)</formula>
    </cfRule>
  </conditionalFormatting>
  <conditionalFormatting sqref="AY38:BE38">
    <cfRule type="expression" dxfId="1512" priority="879" stopIfTrue="1">
      <formula>AND(AZ38=0,AY38=1,AX38=1)</formula>
    </cfRule>
    <cfRule type="expression" dxfId="1511" priority="880" stopIfTrue="1">
      <formula>AND(AZ38=1,AX38=1)</formula>
    </cfRule>
  </conditionalFormatting>
  <conditionalFormatting sqref="Z39">
    <cfRule type="expression" dxfId="1510" priority="877" stopIfTrue="1">
      <formula>AND(Z39=1,Y39=1)</formula>
    </cfRule>
    <cfRule type="expression" dxfId="1509" priority="878" stopIfTrue="1">
      <formula>AND(Y39=0,Z39=1)</formula>
    </cfRule>
  </conditionalFormatting>
  <conditionalFormatting sqref="Y39">
    <cfRule type="expression" dxfId="1508" priority="875" stopIfTrue="1">
      <formula>AND(X39=0,Y39=1,Z39=1)</formula>
    </cfRule>
    <cfRule type="expression" dxfId="1507" priority="876" stopIfTrue="1">
      <formula>AND(X39=1,Z39=1)</formula>
    </cfRule>
  </conditionalFormatting>
  <conditionalFormatting sqref="Q39">
    <cfRule type="expression" dxfId="1506" priority="874" stopIfTrue="1">
      <formula>AND(Q39=1,R39=1)</formula>
    </cfRule>
  </conditionalFormatting>
  <conditionalFormatting sqref="R39">
    <cfRule type="expression" dxfId="1505" priority="872" stopIfTrue="1">
      <formula>AND(Q39=0,R39=1,S39=1)</formula>
    </cfRule>
    <cfRule type="expression" dxfId="1504" priority="873" stopIfTrue="1">
      <formula>AND(Q39=1,S39=1)</formula>
    </cfRule>
  </conditionalFormatting>
  <conditionalFormatting sqref="S39">
    <cfRule type="expression" dxfId="1503" priority="870" stopIfTrue="1">
      <formula>AND(R39=0,S39=1,T39=1)</formula>
    </cfRule>
    <cfRule type="expression" dxfId="1502" priority="871" stopIfTrue="1">
      <formula>AND(R39=1,T39=1)</formula>
    </cfRule>
  </conditionalFormatting>
  <conditionalFormatting sqref="T39:X39">
    <cfRule type="expression" dxfId="1501" priority="868" stopIfTrue="1">
      <formula>AND(S39=0,T39=1,U39=1)</formula>
    </cfRule>
    <cfRule type="expression" dxfId="1500" priority="869" stopIfTrue="1">
      <formula>AND(S39=1,U39=1)</formula>
    </cfRule>
  </conditionalFormatting>
  <conditionalFormatting sqref="AV39">
    <cfRule type="expression" dxfId="1499" priority="866" stopIfTrue="1">
      <formula>AND(AV39=1,AU39=1)</formula>
    </cfRule>
    <cfRule type="expression" dxfId="1498" priority="867" stopIfTrue="1">
      <formula>AND(AU39=0,AV39=1)</formula>
    </cfRule>
  </conditionalFormatting>
  <conditionalFormatting sqref="AU39">
    <cfRule type="expression" dxfId="1497" priority="864" stopIfTrue="1">
      <formula>AND(AT39=0,AU39=1,AV39=1)</formula>
    </cfRule>
    <cfRule type="expression" dxfId="1496" priority="865" stopIfTrue="1">
      <formula>AND(AT39=1,AV39=1)</formula>
    </cfRule>
  </conditionalFormatting>
  <conditionalFormatting sqref="AN39">
    <cfRule type="expression" dxfId="1495" priority="862" stopIfTrue="1">
      <formula>AND(AM39=0,AN39=1,AO39=1)</formula>
    </cfRule>
    <cfRule type="expression" dxfId="1494" priority="863" stopIfTrue="1">
      <formula>AND(AM39=1,AO39=1)</formula>
    </cfRule>
  </conditionalFormatting>
  <conditionalFormatting sqref="AO39">
    <cfRule type="expression" dxfId="1493" priority="860" stopIfTrue="1">
      <formula>AND(AN39=0,AO39=1,AP39=1)</formula>
    </cfRule>
    <cfRule type="expression" dxfId="1492" priority="861" stopIfTrue="1">
      <formula>AND(AN39=1,AP39=1)</formula>
    </cfRule>
  </conditionalFormatting>
  <conditionalFormatting sqref="AP39:AT39">
    <cfRule type="expression" dxfId="1491" priority="858" stopIfTrue="1">
      <formula>AND(AO39=0,AP39=1,AQ39=1)</formula>
    </cfRule>
    <cfRule type="expression" dxfId="1490" priority="859" stopIfTrue="1">
      <formula>AND(AO39=1,AQ39=1)</formula>
    </cfRule>
  </conditionalFormatting>
  <conditionalFormatting sqref="AM39">
    <cfRule type="expression" dxfId="1489" priority="857" stopIfTrue="1">
      <formula>AND(AM39=1,AN39=1)</formula>
    </cfRule>
  </conditionalFormatting>
  <conditionalFormatting sqref="AK39">
    <cfRule type="expression" dxfId="1488" priority="856" stopIfTrue="1">
      <formula>AND(AK39=1,AJ39=1)</formula>
    </cfRule>
  </conditionalFormatting>
  <conditionalFormatting sqref="AB39">
    <cfRule type="expression" dxfId="1487" priority="852" stopIfTrue="1">
      <formula>AND(AB39=1,AC39=1)</formula>
    </cfRule>
    <cfRule type="expression" dxfId="1486" priority="853" stopIfTrue="1">
      <formula>AND(AC39=0,AB39=1)</formula>
    </cfRule>
  </conditionalFormatting>
  <conditionalFormatting sqref="BG39">
    <cfRule type="expression" dxfId="1485" priority="849" stopIfTrue="1">
      <formula>AND(BG39=1,BF39=1)</formula>
    </cfRule>
  </conditionalFormatting>
  <conditionalFormatting sqref="BF39">
    <cfRule type="expression" dxfId="1484" priority="847" stopIfTrue="1">
      <formula>AND(BF39=0,BF39=1,BE39=1)</formula>
    </cfRule>
    <cfRule type="expression" dxfId="1483" priority="848" stopIfTrue="1">
      <formula>AND(BG39=1,BE39=1)</formula>
    </cfRule>
  </conditionalFormatting>
  <conditionalFormatting sqref="AX39">
    <cfRule type="expression" dxfId="1482" priority="845" stopIfTrue="1">
      <formula>AND(AX39=1,AY39=1)</formula>
    </cfRule>
    <cfRule type="expression" dxfId="1481" priority="846" stopIfTrue="1">
      <formula>AND(AY39=0,AX39=1)</formula>
    </cfRule>
  </conditionalFormatting>
  <conditionalFormatting sqref="AY39:BE39">
    <cfRule type="expression" dxfId="1480" priority="843" stopIfTrue="1">
      <formula>AND(AZ39=0,AY39=1,AX39=1)</formula>
    </cfRule>
    <cfRule type="expression" dxfId="1479" priority="844" stopIfTrue="1">
      <formula>AND(AZ39=1,AX39=1)</formula>
    </cfRule>
  </conditionalFormatting>
  <conditionalFormatting sqref="Z40">
    <cfRule type="expression" dxfId="1478" priority="841" stopIfTrue="1">
      <formula>AND(Z40=1,Y40=1)</formula>
    </cfRule>
    <cfRule type="expression" dxfId="1477" priority="842" stopIfTrue="1">
      <formula>AND(Y40=0,Z40=1)</formula>
    </cfRule>
  </conditionalFormatting>
  <conditionalFormatting sqref="Y40">
    <cfRule type="expression" dxfId="1476" priority="839" stopIfTrue="1">
      <formula>AND(X40=0,Y40=1,Z40=1)</formula>
    </cfRule>
    <cfRule type="expression" dxfId="1475" priority="840" stopIfTrue="1">
      <formula>AND(X40=1,Z40=1)</formula>
    </cfRule>
  </conditionalFormatting>
  <conditionalFormatting sqref="Q40">
    <cfRule type="expression" dxfId="1474" priority="838" stopIfTrue="1">
      <formula>AND(Q40=1,R40=1)</formula>
    </cfRule>
  </conditionalFormatting>
  <conditionalFormatting sqref="R40">
    <cfRule type="expression" dxfId="1473" priority="836" stopIfTrue="1">
      <formula>AND(Q40=0,R40=1,S40=1)</formula>
    </cfRule>
    <cfRule type="expression" dxfId="1472" priority="837" stopIfTrue="1">
      <formula>AND(Q40=1,S40=1)</formula>
    </cfRule>
  </conditionalFormatting>
  <conditionalFormatting sqref="S40">
    <cfRule type="expression" dxfId="1471" priority="834" stopIfTrue="1">
      <formula>AND(R40=0,S40=1,T40=1)</formula>
    </cfRule>
    <cfRule type="expression" dxfId="1470" priority="835" stopIfTrue="1">
      <formula>AND(R40=1,T40=1)</formula>
    </cfRule>
  </conditionalFormatting>
  <conditionalFormatting sqref="T40:X40">
    <cfRule type="expression" dxfId="1469" priority="832" stopIfTrue="1">
      <formula>AND(S40=0,T40=1,U40=1)</formula>
    </cfRule>
    <cfRule type="expression" dxfId="1468" priority="833" stopIfTrue="1">
      <formula>AND(S40=1,U40=1)</formula>
    </cfRule>
  </conditionalFormatting>
  <conditionalFormatting sqref="AV40">
    <cfRule type="expression" dxfId="1467" priority="830" stopIfTrue="1">
      <formula>AND(AV40=1,AU40=1)</formula>
    </cfRule>
    <cfRule type="expression" dxfId="1466" priority="831" stopIfTrue="1">
      <formula>AND(AU40=0,AV40=1)</formula>
    </cfRule>
  </conditionalFormatting>
  <conditionalFormatting sqref="AU40">
    <cfRule type="expression" dxfId="1465" priority="828" stopIfTrue="1">
      <formula>AND(AT40=0,AU40=1,AV40=1)</formula>
    </cfRule>
    <cfRule type="expression" dxfId="1464" priority="829" stopIfTrue="1">
      <formula>AND(AT40=1,AV40=1)</formula>
    </cfRule>
  </conditionalFormatting>
  <conditionalFormatting sqref="AN40">
    <cfRule type="expression" dxfId="1463" priority="826" stopIfTrue="1">
      <formula>AND(AM40=0,AN40=1,AO40=1)</formula>
    </cfRule>
    <cfRule type="expression" dxfId="1462" priority="827" stopIfTrue="1">
      <formula>AND(AM40=1,AO40=1)</formula>
    </cfRule>
  </conditionalFormatting>
  <conditionalFormatting sqref="AO40">
    <cfRule type="expression" dxfId="1461" priority="824" stopIfTrue="1">
      <formula>AND(AN40=0,AO40=1,AP40=1)</formula>
    </cfRule>
    <cfRule type="expression" dxfId="1460" priority="825" stopIfTrue="1">
      <formula>AND(AN40=1,AP40=1)</formula>
    </cfRule>
  </conditionalFormatting>
  <conditionalFormatting sqref="AP40:AT40">
    <cfRule type="expression" dxfId="1459" priority="822" stopIfTrue="1">
      <formula>AND(AO40=0,AP40=1,AQ40=1)</formula>
    </cfRule>
    <cfRule type="expression" dxfId="1458" priority="823" stopIfTrue="1">
      <formula>AND(AO40=1,AQ40=1)</formula>
    </cfRule>
  </conditionalFormatting>
  <conditionalFormatting sqref="AM40">
    <cfRule type="expression" dxfId="1457" priority="821" stopIfTrue="1">
      <formula>AND(AM40=1,AN40=1)</formula>
    </cfRule>
  </conditionalFormatting>
  <conditionalFormatting sqref="AK40">
    <cfRule type="expression" dxfId="1456" priority="820" stopIfTrue="1">
      <formula>AND(AK40=1,AJ40=1)</formula>
    </cfRule>
  </conditionalFormatting>
  <conditionalFormatting sqref="AB40">
    <cfRule type="expression" dxfId="1455" priority="816" stopIfTrue="1">
      <formula>AND(AB40=1,AC40=1)</formula>
    </cfRule>
    <cfRule type="expression" dxfId="1454" priority="817" stopIfTrue="1">
      <formula>AND(AC40=0,AB40=1)</formula>
    </cfRule>
  </conditionalFormatting>
  <conditionalFormatting sqref="BG40">
    <cfRule type="expression" dxfId="1453" priority="813" stopIfTrue="1">
      <formula>AND(BG40=1,BF40=1)</formula>
    </cfRule>
  </conditionalFormatting>
  <conditionalFormatting sqref="BF40">
    <cfRule type="expression" dxfId="1452" priority="811" stopIfTrue="1">
      <formula>AND(BF40=0,BF40=1,BE40=1)</formula>
    </cfRule>
    <cfRule type="expression" dxfId="1451" priority="812" stopIfTrue="1">
      <formula>AND(BG40=1,BE40=1)</formula>
    </cfRule>
  </conditionalFormatting>
  <conditionalFormatting sqref="AX40">
    <cfRule type="expression" dxfId="1450" priority="809" stopIfTrue="1">
      <formula>AND(AX40=1,AY40=1)</formula>
    </cfRule>
    <cfRule type="expression" dxfId="1449" priority="810" stopIfTrue="1">
      <formula>AND(AY40=0,AX40=1)</formula>
    </cfRule>
  </conditionalFormatting>
  <conditionalFormatting sqref="AY40:BE40">
    <cfRule type="expression" dxfId="1448" priority="807" stopIfTrue="1">
      <formula>AND(AZ40=0,AY40=1,AX40=1)</formula>
    </cfRule>
    <cfRule type="expression" dxfId="1447" priority="808" stopIfTrue="1">
      <formula>AND(AZ40=1,AX40=1)</formula>
    </cfRule>
  </conditionalFormatting>
  <conditionalFormatting sqref="Z41">
    <cfRule type="expression" dxfId="1446" priority="805" stopIfTrue="1">
      <formula>AND(Z41=1,Y41=1)</formula>
    </cfRule>
    <cfRule type="expression" dxfId="1445" priority="806" stopIfTrue="1">
      <formula>AND(Y41=0,Z41=1)</formula>
    </cfRule>
  </conditionalFormatting>
  <conditionalFormatting sqref="Y41">
    <cfRule type="expression" dxfId="1444" priority="803" stopIfTrue="1">
      <formula>AND(X41=0,Y41=1,Z41=1)</formula>
    </cfRule>
    <cfRule type="expression" dxfId="1443" priority="804" stopIfTrue="1">
      <formula>AND(X41=1,Z41=1)</formula>
    </cfRule>
  </conditionalFormatting>
  <conditionalFormatting sqref="Q41">
    <cfRule type="expression" dxfId="1442" priority="802" stopIfTrue="1">
      <formula>AND(Q41=1,R41=1)</formula>
    </cfRule>
  </conditionalFormatting>
  <conditionalFormatting sqref="R41">
    <cfRule type="expression" dxfId="1441" priority="800" stopIfTrue="1">
      <formula>AND(Q41=0,R41=1,S41=1)</formula>
    </cfRule>
    <cfRule type="expression" dxfId="1440" priority="801" stopIfTrue="1">
      <formula>AND(Q41=1,S41=1)</formula>
    </cfRule>
  </conditionalFormatting>
  <conditionalFormatting sqref="S41">
    <cfRule type="expression" dxfId="1439" priority="798" stopIfTrue="1">
      <formula>AND(R41=0,S41=1,T41=1)</formula>
    </cfRule>
    <cfRule type="expression" dxfId="1438" priority="799" stopIfTrue="1">
      <formula>AND(R41=1,T41=1)</formula>
    </cfRule>
  </conditionalFormatting>
  <conditionalFormatting sqref="T41:X41">
    <cfRule type="expression" dxfId="1437" priority="796" stopIfTrue="1">
      <formula>AND(S41=0,T41=1,U41=1)</formula>
    </cfRule>
    <cfRule type="expression" dxfId="1436" priority="797" stopIfTrue="1">
      <formula>AND(S41=1,U41=1)</formula>
    </cfRule>
  </conditionalFormatting>
  <conditionalFormatting sqref="AV41">
    <cfRule type="expression" dxfId="1435" priority="794" stopIfTrue="1">
      <formula>AND(AV41=1,AU41=1)</formula>
    </cfRule>
    <cfRule type="expression" dxfId="1434" priority="795" stopIfTrue="1">
      <formula>AND(AU41=0,AV41=1)</formula>
    </cfRule>
  </conditionalFormatting>
  <conditionalFormatting sqref="AU41">
    <cfRule type="expression" dxfId="1433" priority="792" stopIfTrue="1">
      <formula>AND(AT41=0,AU41=1,AV41=1)</formula>
    </cfRule>
    <cfRule type="expression" dxfId="1432" priority="793" stopIfTrue="1">
      <formula>AND(AT41=1,AV41=1)</formula>
    </cfRule>
  </conditionalFormatting>
  <conditionalFormatting sqref="AN41">
    <cfRule type="expression" dxfId="1431" priority="790" stopIfTrue="1">
      <formula>AND(AM41=0,AN41=1,AO41=1)</formula>
    </cfRule>
    <cfRule type="expression" dxfId="1430" priority="791" stopIfTrue="1">
      <formula>AND(AM41=1,AO41=1)</formula>
    </cfRule>
  </conditionalFormatting>
  <conditionalFormatting sqref="AO41">
    <cfRule type="expression" dxfId="1429" priority="788" stopIfTrue="1">
      <formula>AND(AN41=0,AO41=1,AP41=1)</formula>
    </cfRule>
    <cfRule type="expression" dxfId="1428" priority="789" stopIfTrue="1">
      <formula>AND(AN41=1,AP41=1)</formula>
    </cfRule>
  </conditionalFormatting>
  <conditionalFormatting sqref="AP41:AT41">
    <cfRule type="expression" dxfId="1427" priority="786" stopIfTrue="1">
      <formula>AND(AO41=0,AP41=1,AQ41=1)</formula>
    </cfRule>
    <cfRule type="expression" dxfId="1426" priority="787" stopIfTrue="1">
      <formula>AND(AO41=1,AQ41=1)</formula>
    </cfRule>
  </conditionalFormatting>
  <conditionalFormatting sqref="AM41">
    <cfRule type="expression" dxfId="1425" priority="785" stopIfTrue="1">
      <formula>AND(AM41=1,AN41=1)</formula>
    </cfRule>
  </conditionalFormatting>
  <conditionalFormatting sqref="AK41">
    <cfRule type="expression" dxfId="1424" priority="784" stopIfTrue="1">
      <formula>AND(AK41=1,AJ41=1)</formula>
    </cfRule>
  </conditionalFormatting>
  <conditionalFormatting sqref="AB41">
    <cfRule type="expression" dxfId="1423" priority="780" stopIfTrue="1">
      <formula>AND(AB41=1,AC41=1)</formula>
    </cfRule>
    <cfRule type="expression" dxfId="1422" priority="781" stopIfTrue="1">
      <formula>AND(AC41=0,AB41=1)</formula>
    </cfRule>
  </conditionalFormatting>
  <conditionalFormatting sqref="BG41">
    <cfRule type="expression" dxfId="1421" priority="777" stopIfTrue="1">
      <formula>AND(BG41=1,BF41=1)</formula>
    </cfRule>
  </conditionalFormatting>
  <conditionalFormatting sqref="BF41">
    <cfRule type="expression" dxfId="1420" priority="775" stopIfTrue="1">
      <formula>AND(BF41=0,BF41=1,BE41=1)</formula>
    </cfRule>
    <cfRule type="expression" dxfId="1419" priority="776" stopIfTrue="1">
      <formula>AND(BG41=1,BE41=1)</formula>
    </cfRule>
  </conditionalFormatting>
  <conditionalFormatting sqref="AX41">
    <cfRule type="expression" dxfId="1418" priority="773" stopIfTrue="1">
      <formula>AND(AX41=1,AY41=1)</formula>
    </cfRule>
    <cfRule type="expression" dxfId="1417" priority="774" stopIfTrue="1">
      <formula>AND(AY41=0,AX41=1)</formula>
    </cfRule>
  </conditionalFormatting>
  <conditionalFormatting sqref="AY41:BE41">
    <cfRule type="expression" dxfId="1416" priority="771" stopIfTrue="1">
      <formula>AND(AZ41=0,AY41=1,AX41=1)</formula>
    </cfRule>
    <cfRule type="expression" dxfId="1415" priority="772" stopIfTrue="1">
      <formula>AND(AZ41=1,AX41=1)</formula>
    </cfRule>
  </conditionalFormatting>
  <conditionalFormatting sqref="Z42">
    <cfRule type="expression" dxfId="1414" priority="769" stopIfTrue="1">
      <formula>AND(Z42=1,Y42=1)</formula>
    </cfRule>
    <cfRule type="expression" dxfId="1413" priority="770" stopIfTrue="1">
      <formula>AND(Y42=0,Z42=1)</formula>
    </cfRule>
  </conditionalFormatting>
  <conditionalFormatting sqref="Y42">
    <cfRule type="expression" dxfId="1412" priority="767" stopIfTrue="1">
      <formula>AND(X42=0,Y42=1,Z42=1)</formula>
    </cfRule>
    <cfRule type="expression" dxfId="1411" priority="768" stopIfTrue="1">
      <formula>AND(X42=1,Z42=1)</formula>
    </cfRule>
  </conditionalFormatting>
  <conditionalFormatting sqref="Q42">
    <cfRule type="expression" dxfId="1410" priority="766" stopIfTrue="1">
      <formula>AND(Q42=1,R42=1)</formula>
    </cfRule>
  </conditionalFormatting>
  <conditionalFormatting sqref="R42">
    <cfRule type="expression" dxfId="1409" priority="764" stopIfTrue="1">
      <formula>AND(Q42=0,R42=1,S42=1)</formula>
    </cfRule>
    <cfRule type="expression" dxfId="1408" priority="765" stopIfTrue="1">
      <formula>AND(Q42=1,S42=1)</formula>
    </cfRule>
  </conditionalFormatting>
  <conditionalFormatting sqref="S42">
    <cfRule type="expression" dxfId="1407" priority="762" stopIfTrue="1">
      <formula>AND(R42=0,S42=1,T42=1)</formula>
    </cfRule>
    <cfRule type="expression" dxfId="1406" priority="763" stopIfTrue="1">
      <formula>AND(R42=1,T42=1)</formula>
    </cfRule>
  </conditionalFormatting>
  <conditionalFormatting sqref="T42:X42">
    <cfRule type="expression" dxfId="1405" priority="760" stopIfTrue="1">
      <formula>AND(S42=0,T42=1,U42=1)</formula>
    </cfRule>
    <cfRule type="expression" dxfId="1404" priority="761" stopIfTrue="1">
      <formula>AND(S42=1,U42=1)</formula>
    </cfRule>
  </conditionalFormatting>
  <conditionalFormatting sqref="AV42">
    <cfRule type="expression" dxfId="1403" priority="758" stopIfTrue="1">
      <formula>AND(AV42=1,AU42=1)</formula>
    </cfRule>
    <cfRule type="expression" dxfId="1402" priority="759" stopIfTrue="1">
      <formula>AND(AU42=0,AV42=1)</formula>
    </cfRule>
  </conditionalFormatting>
  <conditionalFormatting sqref="AU42">
    <cfRule type="expression" dxfId="1401" priority="756" stopIfTrue="1">
      <formula>AND(AT42=0,AU42=1,AV42=1)</formula>
    </cfRule>
    <cfRule type="expression" dxfId="1400" priority="757" stopIfTrue="1">
      <formula>AND(AT42=1,AV42=1)</formula>
    </cfRule>
  </conditionalFormatting>
  <conditionalFormatting sqref="AN42">
    <cfRule type="expression" dxfId="1399" priority="754" stopIfTrue="1">
      <formula>AND(AM42=0,AN42=1,AO42=1)</formula>
    </cfRule>
    <cfRule type="expression" dxfId="1398" priority="755" stopIfTrue="1">
      <formula>AND(AM42=1,AO42=1)</formula>
    </cfRule>
  </conditionalFormatting>
  <conditionalFormatting sqref="AO42">
    <cfRule type="expression" dxfId="1397" priority="752" stopIfTrue="1">
      <formula>AND(AN42=0,AO42=1,AP42=1)</formula>
    </cfRule>
    <cfRule type="expression" dxfId="1396" priority="753" stopIfTrue="1">
      <formula>AND(AN42=1,AP42=1)</formula>
    </cfRule>
  </conditionalFormatting>
  <conditionalFormatting sqref="AP42:AT42">
    <cfRule type="expression" dxfId="1395" priority="750" stopIfTrue="1">
      <formula>AND(AO42=0,AP42=1,AQ42=1)</formula>
    </cfRule>
    <cfRule type="expression" dxfId="1394" priority="751" stopIfTrue="1">
      <formula>AND(AO42=1,AQ42=1)</formula>
    </cfRule>
  </conditionalFormatting>
  <conditionalFormatting sqref="AM42">
    <cfRule type="expression" dxfId="1393" priority="749" stopIfTrue="1">
      <formula>AND(AM42=1,AN42=1)</formula>
    </cfRule>
  </conditionalFormatting>
  <conditionalFormatting sqref="AK42">
    <cfRule type="expression" dxfId="1392" priority="748" stopIfTrue="1">
      <formula>AND(AK42=1,AJ42=1)</formula>
    </cfRule>
  </conditionalFormatting>
  <conditionalFormatting sqref="AB42">
    <cfRule type="expression" dxfId="1391" priority="744" stopIfTrue="1">
      <formula>AND(AB42=1,AC42=1)</formula>
    </cfRule>
    <cfRule type="expression" dxfId="1390" priority="745" stopIfTrue="1">
      <formula>AND(AC42=0,AB42=1)</formula>
    </cfRule>
  </conditionalFormatting>
  <conditionalFormatting sqref="BG42">
    <cfRule type="expression" dxfId="1389" priority="741" stopIfTrue="1">
      <formula>AND(BG42=1,BF42=1)</formula>
    </cfRule>
  </conditionalFormatting>
  <conditionalFormatting sqref="BF42">
    <cfRule type="expression" dxfId="1388" priority="739" stopIfTrue="1">
      <formula>AND(BF42=0,BF42=1,BE42=1)</formula>
    </cfRule>
    <cfRule type="expression" dxfId="1387" priority="740" stopIfTrue="1">
      <formula>AND(BG42=1,BE42=1)</formula>
    </cfRule>
  </conditionalFormatting>
  <conditionalFormatting sqref="AX42">
    <cfRule type="expression" dxfId="1386" priority="737" stopIfTrue="1">
      <formula>AND(AX42=1,AY42=1)</formula>
    </cfRule>
    <cfRule type="expression" dxfId="1385" priority="738" stopIfTrue="1">
      <formula>AND(AY42=0,AX42=1)</formula>
    </cfRule>
  </conditionalFormatting>
  <conditionalFormatting sqref="AY42:BE42">
    <cfRule type="expression" dxfId="1384" priority="735" stopIfTrue="1">
      <formula>AND(AZ42=0,AY42=1,AX42=1)</formula>
    </cfRule>
    <cfRule type="expression" dxfId="1383" priority="736" stopIfTrue="1">
      <formula>AND(AZ42=1,AX42=1)</formula>
    </cfRule>
  </conditionalFormatting>
  <conditionalFormatting sqref="Z43:Z47">
    <cfRule type="expression" dxfId="1382" priority="733" stopIfTrue="1">
      <formula>AND(Z43=1,Y43=1)</formula>
    </cfRule>
    <cfRule type="expression" dxfId="1381" priority="734" stopIfTrue="1">
      <formula>AND(Y43=0,Z43=1)</formula>
    </cfRule>
  </conditionalFormatting>
  <conditionalFormatting sqref="Y43:Y47">
    <cfRule type="expression" dxfId="1380" priority="731" stopIfTrue="1">
      <formula>AND(X43=0,Y43=1,Z43=1)</formula>
    </cfRule>
    <cfRule type="expression" dxfId="1379" priority="732" stopIfTrue="1">
      <formula>AND(X43=1,Z43=1)</formula>
    </cfRule>
  </conditionalFormatting>
  <conditionalFormatting sqref="Q43:Q47">
    <cfRule type="expression" dxfId="1378" priority="730" stopIfTrue="1">
      <formula>AND(Q43=1,R43=1)</formula>
    </cfRule>
  </conditionalFormatting>
  <conditionalFormatting sqref="R43:R47">
    <cfRule type="expression" dxfId="1377" priority="728" stopIfTrue="1">
      <formula>AND(Q43=0,R43=1,S43=1)</formula>
    </cfRule>
    <cfRule type="expression" dxfId="1376" priority="729" stopIfTrue="1">
      <formula>AND(Q43=1,S43=1)</formula>
    </cfRule>
  </conditionalFormatting>
  <conditionalFormatting sqref="S43:S47">
    <cfRule type="expression" dxfId="1375" priority="726" stopIfTrue="1">
      <formula>AND(R43=0,S43=1,T43=1)</formula>
    </cfRule>
    <cfRule type="expression" dxfId="1374" priority="727" stopIfTrue="1">
      <formula>AND(R43=1,T43=1)</formula>
    </cfRule>
  </conditionalFormatting>
  <conditionalFormatting sqref="T43:X47">
    <cfRule type="expression" dxfId="1373" priority="724" stopIfTrue="1">
      <formula>AND(S43=0,T43=1,U43=1)</formula>
    </cfRule>
    <cfRule type="expression" dxfId="1372" priority="725" stopIfTrue="1">
      <formula>AND(S43=1,U43=1)</formula>
    </cfRule>
  </conditionalFormatting>
  <conditionalFormatting sqref="AV43:AV47">
    <cfRule type="expression" dxfId="1371" priority="722" stopIfTrue="1">
      <formula>AND(AV43=1,AU43=1)</formula>
    </cfRule>
    <cfRule type="expression" dxfId="1370" priority="723" stopIfTrue="1">
      <formula>AND(AU43=0,AV43=1)</formula>
    </cfRule>
  </conditionalFormatting>
  <conditionalFormatting sqref="AU43:AU47">
    <cfRule type="expression" dxfId="1369" priority="720" stopIfTrue="1">
      <formula>AND(AT43=0,AU43=1,AV43=1)</formula>
    </cfRule>
    <cfRule type="expression" dxfId="1368" priority="721" stopIfTrue="1">
      <formula>AND(AT43=1,AV43=1)</formula>
    </cfRule>
  </conditionalFormatting>
  <conditionalFormatting sqref="AN43:AN47">
    <cfRule type="expression" dxfId="1367" priority="718" stopIfTrue="1">
      <formula>AND(AM43=0,AN43=1,AO43=1)</formula>
    </cfRule>
    <cfRule type="expression" dxfId="1366" priority="719" stopIfTrue="1">
      <formula>AND(AM43=1,AO43=1)</formula>
    </cfRule>
  </conditionalFormatting>
  <conditionalFormatting sqref="AO43:AO47">
    <cfRule type="expression" dxfId="1365" priority="716" stopIfTrue="1">
      <formula>AND(AN43=0,AO43=1,AP43=1)</formula>
    </cfRule>
    <cfRule type="expression" dxfId="1364" priority="717" stopIfTrue="1">
      <formula>AND(AN43=1,AP43=1)</formula>
    </cfRule>
  </conditionalFormatting>
  <conditionalFormatting sqref="AP43:AT47">
    <cfRule type="expression" dxfId="1363" priority="714" stopIfTrue="1">
      <formula>AND(AO43=0,AP43=1,AQ43=1)</formula>
    </cfRule>
    <cfRule type="expression" dxfId="1362" priority="715" stopIfTrue="1">
      <formula>AND(AO43=1,AQ43=1)</formula>
    </cfRule>
  </conditionalFormatting>
  <conditionalFormatting sqref="AM43:AM47">
    <cfRule type="expression" dxfId="1361" priority="713" stopIfTrue="1">
      <formula>AND(AM43=1,AN43=1)</formula>
    </cfRule>
  </conditionalFormatting>
  <conditionalFormatting sqref="AK43:AK47">
    <cfRule type="expression" dxfId="1360" priority="712" stopIfTrue="1">
      <formula>AND(AK43=1,AJ43=1)</formula>
    </cfRule>
  </conditionalFormatting>
  <conditionalFormatting sqref="AB43:AB47">
    <cfRule type="expression" dxfId="1359" priority="708" stopIfTrue="1">
      <formula>AND(AB43=1,AC43=1)</formula>
    </cfRule>
    <cfRule type="expression" dxfId="1358" priority="709" stopIfTrue="1">
      <formula>AND(AC43=0,AB43=1)</formula>
    </cfRule>
  </conditionalFormatting>
  <conditionalFormatting sqref="BG43:BG47">
    <cfRule type="expression" dxfId="1357" priority="705" stopIfTrue="1">
      <formula>AND(BG43=1,BF43=1)</formula>
    </cfRule>
  </conditionalFormatting>
  <conditionalFormatting sqref="BF43:BF47">
    <cfRule type="expression" dxfId="1356" priority="703" stopIfTrue="1">
      <formula>AND(BF43=0,BF43=1,BE43=1)</formula>
    </cfRule>
    <cfRule type="expression" dxfId="1355" priority="704" stopIfTrue="1">
      <formula>AND(BG43=1,BE43=1)</formula>
    </cfRule>
  </conditionalFormatting>
  <conditionalFormatting sqref="AX43:AX47">
    <cfRule type="expression" dxfId="1354" priority="701" stopIfTrue="1">
      <formula>AND(AX43=1,AY43=1)</formula>
    </cfRule>
    <cfRule type="expression" dxfId="1353" priority="702" stopIfTrue="1">
      <formula>AND(AY43=0,AX43=1)</formula>
    </cfRule>
  </conditionalFormatting>
  <conditionalFormatting sqref="AY43:BE47">
    <cfRule type="expression" dxfId="1352" priority="699" stopIfTrue="1">
      <formula>AND(AZ43=0,AY43=1,AX43=1)</formula>
    </cfRule>
    <cfRule type="expression" dxfId="1351" priority="700" stopIfTrue="1">
      <formula>AND(AZ43=1,AX43=1)</formula>
    </cfRule>
  </conditionalFormatting>
  <conditionalFormatting sqref="Z54">
    <cfRule type="expression" dxfId="1350" priority="553" stopIfTrue="1">
      <formula>AND(Z54=1,Y54=1)</formula>
    </cfRule>
    <cfRule type="expression" dxfId="1349" priority="554" stopIfTrue="1">
      <formula>AND(Y54=0,Z54=1)</formula>
    </cfRule>
  </conditionalFormatting>
  <conditionalFormatting sqref="Y54">
    <cfRule type="expression" dxfId="1348" priority="551" stopIfTrue="1">
      <formula>AND(X54=0,Y54=1,Z54=1)</formula>
    </cfRule>
    <cfRule type="expression" dxfId="1347" priority="552" stopIfTrue="1">
      <formula>AND(X54=1,Z54=1)</formula>
    </cfRule>
  </conditionalFormatting>
  <conditionalFormatting sqref="Q54">
    <cfRule type="expression" dxfId="1346" priority="550" stopIfTrue="1">
      <formula>AND(Q54=1,R54=1)</formula>
    </cfRule>
  </conditionalFormatting>
  <conditionalFormatting sqref="R54">
    <cfRule type="expression" dxfId="1345" priority="548" stopIfTrue="1">
      <formula>AND(Q54=0,R54=1,S54=1)</formula>
    </cfRule>
    <cfRule type="expression" dxfId="1344" priority="549" stopIfTrue="1">
      <formula>AND(Q54=1,S54=1)</formula>
    </cfRule>
  </conditionalFormatting>
  <conditionalFormatting sqref="S54">
    <cfRule type="expression" dxfId="1343" priority="546" stopIfTrue="1">
      <formula>AND(R54=0,S54=1,T54=1)</formula>
    </cfRule>
    <cfRule type="expression" dxfId="1342" priority="547" stopIfTrue="1">
      <formula>AND(R54=1,T54=1)</formula>
    </cfRule>
  </conditionalFormatting>
  <conditionalFormatting sqref="T54:X54">
    <cfRule type="expression" dxfId="1341" priority="544" stopIfTrue="1">
      <formula>AND(S54=0,T54=1,U54=1)</formula>
    </cfRule>
    <cfRule type="expression" dxfId="1340" priority="545" stopIfTrue="1">
      <formula>AND(S54=1,U54=1)</formula>
    </cfRule>
  </conditionalFormatting>
  <conditionalFormatting sqref="AV54">
    <cfRule type="expression" dxfId="1339" priority="542" stopIfTrue="1">
      <formula>AND(AV54=1,AU54=1)</formula>
    </cfRule>
    <cfRule type="expression" dxfId="1338" priority="543" stopIfTrue="1">
      <formula>AND(AU54=0,AV54=1)</formula>
    </cfRule>
  </conditionalFormatting>
  <conditionalFormatting sqref="AU54">
    <cfRule type="expression" dxfId="1337" priority="540" stopIfTrue="1">
      <formula>AND(AT54=0,AU54=1,AV54=1)</formula>
    </cfRule>
    <cfRule type="expression" dxfId="1336" priority="541" stopIfTrue="1">
      <formula>AND(AT54=1,AV54=1)</formula>
    </cfRule>
  </conditionalFormatting>
  <conditionalFormatting sqref="AN54">
    <cfRule type="expression" dxfId="1335" priority="538" stopIfTrue="1">
      <formula>AND(AM54=0,AN54=1,AO54=1)</formula>
    </cfRule>
    <cfRule type="expression" dxfId="1334" priority="539" stopIfTrue="1">
      <formula>AND(AM54=1,AO54=1)</formula>
    </cfRule>
  </conditionalFormatting>
  <conditionalFormatting sqref="AO54">
    <cfRule type="expression" dxfId="1333" priority="536" stopIfTrue="1">
      <formula>AND(AN54=0,AO54=1,AP54=1)</formula>
    </cfRule>
    <cfRule type="expression" dxfId="1332" priority="537" stopIfTrue="1">
      <formula>AND(AN54=1,AP54=1)</formula>
    </cfRule>
  </conditionalFormatting>
  <conditionalFormatting sqref="AP54:AT54">
    <cfRule type="expression" dxfId="1331" priority="534" stopIfTrue="1">
      <formula>AND(AO54=0,AP54=1,AQ54=1)</formula>
    </cfRule>
    <cfRule type="expression" dxfId="1330" priority="535" stopIfTrue="1">
      <formula>AND(AO54=1,AQ54=1)</formula>
    </cfRule>
  </conditionalFormatting>
  <conditionalFormatting sqref="AM54">
    <cfRule type="expression" dxfId="1329" priority="533" stopIfTrue="1">
      <formula>AND(AM54=1,AN54=1)</formula>
    </cfRule>
  </conditionalFormatting>
  <conditionalFormatting sqref="AK54">
    <cfRule type="expression" dxfId="1328" priority="532" stopIfTrue="1">
      <formula>AND(AK54=1,AJ54=1)</formula>
    </cfRule>
  </conditionalFormatting>
  <conditionalFormatting sqref="AB54">
    <cfRule type="expression" dxfId="1327" priority="528" stopIfTrue="1">
      <formula>AND(AB54=1,AC54=1)</formula>
    </cfRule>
    <cfRule type="expression" dxfId="1326" priority="529" stopIfTrue="1">
      <formula>AND(AC54=0,AB54=1)</formula>
    </cfRule>
  </conditionalFormatting>
  <conditionalFormatting sqref="BG54">
    <cfRule type="expression" dxfId="1325" priority="525" stopIfTrue="1">
      <formula>AND(BG54=1,BF54=1)</formula>
    </cfRule>
  </conditionalFormatting>
  <conditionalFormatting sqref="BF54">
    <cfRule type="expression" dxfId="1324" priority="523" stopIfTrue="1">
      <formula>AND(BF54=0,BF54=1,BE54=1)</formula>
    </cfRule>
    <cfRule type="expression" dxfId="1323" priority="524" stopIfTrue="1">
      <formula>AND(BG54=1,BE54=1)</formula>
    </cfRule>
  </conditionalFormatting>
  <conditionalFormatting sqref="AX54">
    <cfRule type="expression" dxfId="1322" priority="521" stopIfTrue="1">
      <formula>AND(AX54=1,AY54=1)</formula>
    </cfRule>
    <cfRule type="expression" dxfId="1321" priority="522" stopIfTrue="1">
      <formula>AND(AY54=0,AX54=1)</formula>
    </cfRule>
  </conditionalFormatting>
  <conditionalFormatting sqref="AY54:BE54">
    <cfRule type="expression" dxfId="1320" priority="519" stopIfTrue="1">
      <formula>AND(AZ54=0,AY54=1,AX54=1)</formula>
    </cfRule>
    <cfRule type="expression" dxfId="1319" priority="520" stopIfTrue="1">
      <formula>AND(AZ54=1,AX54=1)</formula>
    </cfRule>
  </conditionalFormatting>
  <conditionalFormatting sqref="Z55">
    <cfRule type="expression" dxfId="1318" priority="517" stopIfTrue="1">
      <formula>AND(Z55=1,Y55=1)</formula>
    </cfRule>
    <cfRule type="expression" dxfId="1317" priority="518" stopIfTrue="1">
      <formula>AND(Y55=0,Z55=1)</formula>
    </cfRule>
  </conditionalFormatting>
  <conditionalFormatting sqref="Y55">
    <cfRule type="expression" dxfId="1316" priority="515" stopIfTrue="1">
      <formula>AND(X55=0,Y55=1,Z55=1)</formula>
    </cfRule>
    <cfRule type="expression" dxfId="1315" priority="516" stopIfTrue="1">
      <formula>AND(X55=1,Z55=1)</formula>
    </cfRule>
  </conditionalFormatting>
  <conditionalFormatting sqref="Q55">
    <cfRule type="expression" dxfId="1314" priority="514" stopIfTrue="1">
      <formula>AND(Q55=1,R55=1)</formula>
    </cfRule>
  </conditionalFormatting>
  <conditionalFormatting sqref="R55">
    <cfRule type="expression" dxfId="1313" priority="512" stopIfTrue="1">
      <formula>AND(Q55=0,R55=1,S55=1)</formula>
    </cfRule>
    <cfRule type="expression" dxfId="1312" priority="513" stopIfTrue="1">
      <formula>AND(Q55=1,S55=1)</formula>
    </cfRule>
  </conditionalFormatting>
  <conditionalFormatting sqref="S55">
    <cfRule type="expression" dxfId="1311" priority="510" stopIfTrue="1">
      <formula>AND(R55=0,S55=1,T55=1)</formula>
    </cfRule>
    <cfRule type="expression" dxfId="1310" priority="511" stopIfTrue="1">
      <formula>AND(R55=1,T55=1)</formula>
    </cfRule>
  </conditionalFormatting>
  <conditionalFormatting sqref="T55:X55">
    <cfRule type="expression" dxfId="1309" priority="508" stopIfTrue="1">
      <formula>AND(S55=0,T55=1,U55=1)</formula>
    </cfRule>
    <cfRule type="expression" dxfId="1308" priority="509" stopIfTrue="1">
      <formula>AND(S55=1,U55=1)</formula>
    </cfRule>
  </conditionalFormatting>
  <conditionalFormatting sqref="AV55">
    <cfRule type="expression" dxfId="1307" priority="506" stopIfTrue="1">
      <formula>AND(AV55=1,AU55=1)</formula>
    </cfRule>
    <cfRule type="expression" dxfId="1306" priority="507" stopIfTrue="1">
      <formula>AND(AU55=0,AV55=1)</formula>
    </cfRule>
  </conditionalFormatting>
  <conditionalFormatting sqref="AU55">
    <cfRule type="expression" dxfId="1305" priority="504" stopIfTrue="1">
      <formula>AND(AT55=0,AU55=1,AV55=1)</formula>
    </cfRule>
    <cfRule type="expression" dxfId="1304" priority="505" stopIfTrue="1">
      <formula>AND(AT55=1,AV55=1)</formula>
    </cfRule>
  </conditionalFormatting>
  <conditionalFormatting sqref="AN55">
    <cfRule type="expression" dxfId="1303" priority="502" stopIfTrue="1">
      <formula>AND(AM55=0,AN55=1,AO55=1)</formula>
    </cfRule>
    <cfRule type="expression" dxfId="1302" priority="503" stopIfTrue="1">
      <formula>AND(AM55=1,AO55=1)</formula>
    </cfRule>
  </conditionalFormatting>
  <conditionalFormatting sqref="AO55">
    <cfRule type="expression" dxfId="1301" priority="500" stopIfTrue="1">
      <formula>AND(AN55=0,AO55=1,AP55=1)</formula>
    </cfRule>
    <cfRule type="expression" dxfId="1300" priority="501" stopIfTrue="1">
      <formula>AND(AN55=1,AP55=1)</formula>
    </cfRule>
  </conditionalFormatting>
  <conditionalFormatting sqref="AP55:AT55">
    <cfRule type="expression" dxfId="1299" priority="498" stopIfTrue="1">
      <formula>AND(AO55=0,AP55=1,AQ55=1)</formula>
    </cfRule>
    <cfRule type="expression" dxfId="1298" priority="499" stopIfTrue="1">
      <formula>AND(AO55=1,AQ55=1)</formula>
    </cfRule>
  </conditionalFormatting>
  <conditionalFormatting sqref="AM55">
    <cfRule type="expression" dxfId="1297" priority="497" stopIfTrue="1">
      <formula>AND(AM55=1,AN55=1)</formula>
    </cfRule>
  </conditionalFormatting>
  <conditionalFormatting sqref="AK55">
    <cfRule type="expression" dxfId="1296" priority="496" stopIfTrue="1">
      <formula>AND(AK55=1,AJ55=1)</formula>
    </cfRule>
  </conditionalFormatting>
  <conditionalFormatting sqref="AB55">
    <cfRule type="expression" dxfId="1295" priority="492" stopIfTrue="1">
      <formula>AND(AB55=1,AC55=1)</formula>
    </cfRule>
    <cfRule type="expression" dxfId="1294" priority="493" stopIfTrue="1">
      <formula>AND(AC55=0,AB55=1)</formula>
    </cfRule>
  </conditionalFormatting>
  <conditionalFormatting sqref="BG55">
    <cfRule type="expression" dxfId="1293" priority="489" stopIfTrue="1">
      <formula>AND(BG55=1,BF55=1)</formula>
    </cfRule>
  </conditionalFormatting>
  <conditionalFormatting sqref="BF55">
    <cfRule type="expression" dxfId="1292" priority="487" stopIfTrue="1">
      <formula>AND(BF55=0,BF55=1,BE55=1)</formula>
    </cfRule>
    <cfRule type="expression" dxfId="1291" priority="488" stopIfTrue="1">
      <formula>AND(BG55=1,BE55=1)</formula>
    </cfRule>
  </conditionalFormatting>
  <conditionalFormatting sqref="AX55">
    <cfRule type="expression" dxfId="1290" priority="485" stopIfTrue="1">
      <formula>AND(AX55=1,AY55=1)</formula>
    </cfRule>
    <cfRule type="expression" dxfId="1289" priority="486" stopIfTrue="1">
      <formula>AND(AY55=0,AX55=1)</formula>
    </cfRule>
  </conditionalFormatting>
  <conditionalFormatting sqref="AY55:BE55">
    <cfRule type="expression" dxfId="1288" priority="483" stopIfTrue="1">
      <formula>AND(AZ55=0,AY55=1,AX55=1)</formula>
    </cfRule>
    <cfRule type="expression" dxfId="1287" priority="484" stopIfTrue="1">
      <formula>AND(AZ55=1,AX55=1)</formula>
    </cfRule>
  </conditionalFormatting>
  <conditionalFormatting sqref="Z56">
    <cfRule type="expression" dxfId="1286" priority="481" stopIfTrue="1">
      <formula>AND(Z56=1,Y56=1)</formula>
    </cfRule>
    <cfRule type="expression" dxfId="1285" priority="482" stopIfTrue="1">
      <formula>AND(Y56=0,Z56=1)</formula>
    </cfRule>
  </conditionalFormatting>
  <conditionalFormatting sqref="Y56">
    <cfRule type="expression" dxfId="1284" priority="479" stopIfTrue="1">
      <formula>AND(X56=0,Y56=1,Z56=1)</formula>
    </cfRule>
    <cfRule type="expression" dxfId="1283" priority="480" stopIfTrue="1">
      <formula>AND(X56=1,Z56=1)</formula>
    </cfRule>
  </conditionalFormatting>
  <conditionalFormatting sqref="Q56">
    <cfRule type="expression" dxfId="1282" priority="478" stopIfTrue="1">
      <formula>AND(Q56=1,R56=1)</formula>
    </cfRule>
  </conditionalFormatting>
  <conditionalFormatting sqref="R56">
    <cfRule type="expression" dxfId="1281" priority="476" stopIfTrue="1">
      <formula>AND(Q56=0,R56=1,S56=1)</formula>
    </cfRule>
    <cfRule type="expression" dxfId="1280" priority="477" stopIfTrue="1">
      <formula>AND(Q56=1,S56=1)</formula>
    </cfRule>
  </conditionalFormatting>
  <conditionalFormatting sqref="S56">
    <cfRule type="expression" dxfId="1279" priority="474" stopIfTrue="1">
      <formula>AND(R56=0,S56=1,T56=1)</formula>
    </cfRule>
    <cfRule type="expression" dxfId="1278" priority="475" stopIfTrue="1">
      <formula>AND(R56=1,T56=1)</formula>
    </cfRule>
  </conditionalFormatting>
  <conditionalFormatting sqref="T56:X56">
    <cfRule type="expression" dxfId="1277" priority="472" stopIfTrue="1">
      <formula>AND(S56=0,T56=1,U56=1)</formula>
    </cfRule>
    <cfRule type="expression" dxfId="1276" priority="473" stopIfTrue="1">
      <formula>AND(S56=1,U56=1)</formula>
    </cfRule>
  </conditionalFormatting>
  <conditionalFormatting sqref="AV56">
    <cfRule type="expression" dxfId="1275" priority="470" stopIfTrue="1">
      <formula>AND(AV56=1,AU56=1)</formula>
    </cfRule>
    <cfRule type="expression" dxfId="1274" priority="471" stopIfTrue="1">
      <formula>AND(AU56=0,AV56=1)</formula>
    </cfRule>
  </conditionalFormatting>
  <conditionalFormatting sqref="AU56">
    <cfRule type="expression" dxfId="1273" priority="468" stopIfTrue="1">
      <formula>AND(AT56=0,AU56=1,AV56=1)</formula>
    </cfRule>
    <cfRule type="expression" dxfId="1272" priority="469" stopIfTrue="1">
      <formula>AND(AT56=1,AV56=1)</formula>
    </cfRule>
  </conditionalFormatting>
  <conditionalFormatting sqref="AN56">
    <cfRule type="expression" dxfId="1271" priority="466" stopIfTrue="1">
      <formula>AND(AM56=0,AN56=1,AO56=1)</formula>
    </cfRule>
    <cfRule type="expression" dxfId="1270" priority="467" stopIfTrue="1">
      <formula>AND(AM56=1,AO56=1)</formula>
    </cfRule>
  </conditionalFormatting>
  <conditionalFormatting sqref="AO56">
    <cfRule type="expression" dxfId="1269" priority="464" stopIfTrue="1">
      <formula>AND(AN56=0,AO56=1,AP56=1)</formula>
    </cfRule>
    <cfRule type="expression" dxfId="1268" priority="465" stopIfTrue="1">
      <formula>AND(AN56=1,AP56=1)</formula>
    </cfRule>
  </conditionalFormatting>
  <conditionalFormatting sqref="AP56:AT56">
    <cfRule type="expression" dxfId="1267" priority="462" stopIfTrue="1">
      <formula>AND(AO56=0,AP56=1,AQ56=1)</formula>
    </cfRule>
    <cfRule type="expression" dxfId="1266" priority="463" stopIfTrue="1">
      <formula>AND(AO56=1,AQ56=1)</formula>
    </cfRule>
  </conditionalFormatting>
  <conditionalFormatting sqref="AM56">
    <cfRule type="expression" dxfId="1265" priority="461" stopIfTrue="1">
      <formula>AND(AM56=1,AN56=1)</formula>
    </cfRule>
  </conditionalFormatting>
  <conditionalFormatting sqref="AK56">
    <cfRule type="expression" dxfId="1264" priority="460" stopIfTrue="1">
      <formula>AND(AK56=1,AJ56=1)</formula>
    </cfRule>
  </conditionalFormatting>
  <conditionalFormatting sqref="AB56">
    <cfRule type="expression" dxfId="1263" priority="456" stopIfTrue="1">
      <formula>AND(AB56=1,AC56=1)</formula>
    </cfRule>
    <cfRule type="expression" dxfId="1262" priority="457" stopIfTrue="1">
      <formula>AND(AC56=0,AB56=1)</formula>
    </cfRule>
  </conditionalFormatting>
  <conditionalFormatting sqref="BG56">
    <cfRule type="expression" dxfId="1261" priority="453" stopIfTrue="1">
      <formula>AND(BG56=1,BF56=1)</formula>
    </cfRule>
  </conditionalFormatting>
  <conditionalFormatting sqref="BF56">
    <cfRule type="expression" dxfId="1260" priority="451" stopIfTrue="1">
      <formula>AND(BF56=0,BF56=1,BE56=1)</formula>
    </cfRule>
    <cfRule type="expression" dxfId="1259" priority="452" stopIfTrue="1">
      <formula>AND(BG56=1,BE56=1)</formula>
    </cfRule>
  </conditionalFormatting>
  <conditionalFormatting sqref="AX56">
    <cfRule type="expression" dxfId="1258" priority="449" stopIfTrue="1">
      <formula>AND(AX56=1,AY56=1)</formula>
    </cfRule>
    <cfRule type="expression" dxfId="1257" priority="450" stopIfTrue="1">
      <formula>AND(AY56=0,AX56=1)</formula>
    </cfRule>
  </conditionalFormatting>
  <conditionalFormatting sqref="AY56:BE56">
    <cfRule type="expression" dxfId="1256" priority="447" stopIfTrue="1">
      <formula>AND(AZ56=0,AY56=1,AX56=1)</formula>
    </cfRule>
    <cfRule type="expression" dxfId="1255" priority="448" stopIfTrue="1">
      <formula>AND(AZ56=1,AX56=1)</formula>
    </cfRule>
  </conditionalFormatting>
  <conditionalFormatting sqref="Z57">
    <cfRule type="expression" dxfId="1254" priority="445" stopIfTrue="1">
      <formula>AND(Z57=1,Y57=1)</formula>
    </cfRule>
    <cfRule type="expression" dxfId="1253" priority="446" stopIfTrue="1">
      <formula>AND(Y57=0,Z57=1)</formula>
    </cfRule>
  </conditionalFormatting>
  <conditionalFormatting sqref="Y57">
    <cfRule type="expression" dxfId="1252" priority="443" stopIfTrue="1">
      <formula>AND(X57=0,Y57=1,Z57=1)</formula>
    </cfRule>
    <cfRule type="expression" dxfId="1251" priority="444" stopIfTrue="1">
      <formula>AND(X57=1,Z57=1)</formula>
    </cfRule>
  </conditionalFormatting>
  <conditionalFormatting sqref="Q57">
    <cfRule type="expression" dxfId="1250" priority="442" stopIfTrue="1">
      <formula>AND(Q57=1,R57=1)</formula>
    </cfRule>
  </conditionalFormatting>
  <conditionalFormatting sqref="R57">
    <cfRule type="expression" dxfId="1249" priority="440" stopIfTrue="1">
      <formula>AND(Q57=0,R57=1,S57=1)</formula>
    </cfRule>
    <cfRule type="expression" dxfId="1248" priority="441" stopIfTrue="1">
      <formula>AND(Q57=1,S57=1)</formula>
    </cfRule>
  </conditionalFormatting>
  <conditionalFormatting sqref="S57">
    <cfRule type="expression" dxfId="1247" priority="438" stopIfTrue="1">
      <formula>AND(R57=0,S57=1,T57=1)</formula>
    </cfRule>
    <cfRule type="expression" dxfId="1246" priority="439" stopIfTrue="1">
      <formula>AND(R57=1,T57=1)</formula>
    </cfRule>
  </conditionalFormatting>
  <conditionalFormatting sqref="T57:X57">
    <cfRule type="expression" dxfId="1245" priority="436" stopIfTrue="1">
      <formula>AND(S57=0,T57=1,U57=1)</formula>
    </cfRule>
    <cfRule type="expression" dxfId="1244" priority="437" stopIfTrue="1">
      <formula>AND(S57=1,U57=1)</formula>
    </cfRule>
  </conditionalFormatting>
  <conditionalFormatting sqref="AV57">
    <cfRule type="expression" dxfId="1243" priority="434" stopIfTrue="1">
      <formula>AND(AV57=1,AU57=1)</formula>
    </cfRule>
    <cfRule type="expression" dxfId="1242" priority="435" stopIfTrue="1">
      <formula>AND(AU57=0,AV57=1)</formula>
    </cfRule>
  </conditionalFormatting>
  <conditionalFormatting sqref="AU57">
    <cfRule type="expression" dxfId="1241" priority="432" stopIfTrue="1">
      <formula>AND(AT57=0,AU57=1,AV57=1)</formula>
    </cfRule>
    <cfRule type="expression" dxfId="1240" priority="433" stopIfTrue="1">
      <formula>AND(AT57=1,AV57=1)</formula>
    </cfRule>
  </conditionalFormatting>
  <conditionalFormatting sqref="AN57">
    <cfRule type="expression" dxfId="1239" priority="430" stopIfTrue="1">
      <formula>AND(AM57=0,AN57=1,AO57=1)</formula>
    </cfRule>
    <cfRule type="expression" dxfId="1238" priority="431" stopIfTrue="1">
      <formula>AND(AM57=1,AO57=1)</formula>
    </cfRule>
  </conditionalFormatting>
  <conditionalFormatting sqref="AO57">
    <cfRule type="expression" dxfId="1237" priority="428" stopIfTrue="1">
      <formula>AND(AN57=0,AO57=1,AP57=1)</formula>
    </cfRule>
    <cfRule type="expression" dxfId="1236" priority="429" stopIfTrue="1">
      <formula>AND(AN57=1,AP57=1)</formula>
    </cfRule>
  </conditionalFormatting>
  <conditionalFormatting sqref="AP57:AT57">
    <cfRule type="expression" dxfId="1235" priority="426" stopIfTrue="1">
      <formula>AND(AO57=0,AP57=1,AQ57=1)</formula>
    </cfRule>
    <cfRule type="expression" dxfId="1234" priority="427" stopIfTrue="1">
      <formula>AND(AO57=1,AQ57=1)</formula>
    </cfRule>
  </conditionalFormatting>
  <conditionalFormatting sqref="AM57">
    <cfRule type="expression" dxfId="1233" priority="425" stopIfTrue="1">
      <formula>AND(AM57=1,AN57=1)</formula>
    </cfRule>
  </conditionalFormatting>
  <conditionalFormatting sqref="AK57">
    <cfRule type="expression" dxfId="1232" priority="424" stopIfTrue="1">
      <formula>AND(AK57=1,AJ57=1)</formula>
    </cfRule>
  </conditionalFormatting>
  <conditionalFormatting sqref="AB57">
    <cfRule type="expression" dxfId="1231" priority="420" stopIfTrue="1">
      <formula>AND(AB57=1,AC57=1)</formula>
    </cfRule>
    <cfRule type="expression" dxfId="1230" priority="421" stopIfTrue="1">
      <formula>AND(AC57=0,AB57=1)</formula>
    </cfRule>
  </conditionalFormatting>
  <conditionalFormatting sqref="BG57">
    <cfRule type="expression" dxfId="1229" priority="417" stopIfTrue="1">
      <formula>AND(BG57=1,BF57=1)</formula>
    </cfRule>
  </conditionalFormatting>
  <conditionalFormatting sqref="BF57">
    <cfRule type="expression" dxfId="1228" priority="415" stopIfTrue="1">
      <formula>AND(BF57=0,BF57=1,BE57=1)</formula>
    </cfRule>
    <cfRule type="expression" dxfId="1227" priority="416" stopIfTrue="1">
      <formula>AND(BG57=1,BE57=1)</formula>
    </cfRule>
  </conditionalFormatting>
  <conditionalFormatting sqref="AX57">
    <cfRule type="expression" dxfId="1226" priority="413" stopIfTrue="1">
      <formula>AND(AX57=1,AY57=1)</formula>
    </cfRule>
    <cfRule type="expression" dxfId="1225" priority="414" stopIfTrue="1">
      <formula>AND(AY57=0,AX57=1)</formula>
    </cfRule>
  </conditionalFormatting>
  <conditionalFormatting sqref="AY57:BE57">
    <cfRule type="expression" dxfId="1224" priority="411" stopIfTrue="1">
      <formula>AND(AZ57=0,AY57=1,AX57=1)</formula>
    </cfRule>
    <cfRule type="expression" dxfId="1223" priority="412" stopIfTrue="1">
      <formula>AND(AZ57=1,AX57=1)</formula>
    </cfRule>
  </conditionalFormatting>
  <conditionalFormatting sqref="Z58">
    <cfRule type="expression" dxfId="1222" priority="409" stopIfTrue="1">
      <formula>AND(Z58=1,Y58=1)</formula>
    </cfRule>
    <cfRule type="expression" dxfId="1221" priority="410" stopIfTrue="1">
      <formula>AND(Y58=0,Z58=1)</formula>
    </cfRule>
  </conditionalFormatting>
  <conditionalFormatting sqref="Y58">
    <cfRule type="expression" dxfId="1220" priority="407" stopIfTrue="1">
      <formula>AND(X58=0,Y58=1,Z58=1)</formula>
    </cfRule>
    <cfRule type="expression" dxfId="1219" priority="408" stopIfTrue="1">
      <formula>AND(X58=1,Z58=1)</formula>
    </cfRule>
  </conditionalFormatting>
  <conditionalFormatting sqref="Q58">
    <cfRule type="expression" dxfId="1218" priority="406" stopIfTrue="1">
      <formula>AND(Q58=1,R58=1)</formula>
    </cfRule>
  </conditionalFormatting>
  <conditionalFormatting sqref="R58">
    <cfRule type="expression" dxfId="1217" priority="404" stopIfTrue="1">
      <formula>AND(Q58=0,R58=1,S58=1)</formula>
    </cfRule>
    <cfRule type="expression" dxfId="1216" priority="405" stopIfTrue="1">
      <formula>AND(Q58=1,S58=1)</formula>
    </cfRule>
  </conditionalFormatting>
  <conditionalFormatting sqref="S58">
    <cfRule type="expression" dxfId="1215" priority="402" stopIfTrue="1">
      <formula>AND(R58=0,S58=1,T58=1)</formula>
    </cfRule>
    <cfRule type="expression" dxfId="1214" priority="403" stopIfTrue="1">
      <formula>AND(R58=1,T58=1)</formula>
    </cfRule>
  </conditionalFormatting>
  <conditionalFormatting sqref="T58:X58">
    <cfRule type="expression" dxfId="1213" priority="400" stopIfTrue="1">
      <formula>AND(S58=0,T58=1,U58=1)</formula>
    </cfRule>
    <cfRule type="expression" dxfId="1212" priority="401" stopIfTrue="1">
      <formula>AND(S58=1,U58=1)</formula>
    </cfRule>
  </conditionalFormatting>
  <conditionalFormatting sqref="AV58">
    <cfRule type="expression" dxfId="1211" priority="398" stopIfTrue="1">
      <formula>AND(AV58=1,AU58=1)</formula>
    </cfRule>
    <cfRule type="expression" dxfId="1210" priority="399" stopIfTrue="1">
      <formula>AND(AU58=0,AV58=1)</formula>
    </cfRule>
  </conditionalFormatting>
  <conditionalFormatting sqref="AU58">
    <cfRule type="expression" dxfId="1209" priority="396" stopIfTrue="1">
      <formula>AND(AT58=0,AU58=1,AV58=1)</formula>
    </cfRule>
    <cfRule type="expression" dxfId="1208" priority="397" stopIfTrue="1">
      <formula>AND(AT58=1,AV58=1)</formula>
    </cfRule>
  </conditionalFormatting>
  <conditionalFormatting sqref="AN58">
    <cfRule type="expression" dxfId="1207" priority="394" stopIfTrue="1">
      <formula>AND(AM58=0,AN58=1,AO58=1)</formula>
    </cfRule>
    <cfRule type="expression" dxfId="1206" priority="395" stopIfTrue="1">
      <formula>AND(AM58=1,AO58=1)</formula>
    </cfRule>
  </conditionalFormatting>
  <conditionalFormatting sqref="AO58">
    <cfRule type="expression" dxfId="1205" priority="392" stopIfTrue="1">
      <formula>AND(AN58=0,AO58=1,AP58=1)</formula>
    </cfRule>
    <cfRule type="expression" dxfId="1204" priority="393" stopIfTrue="1">
      <formula>AND(AN58=1,AP58=1)</formula>
    </cfRule>
  </conditionalFormatting>
  <conditionalFormatting sqref="AP58:AT58">
    <cfRule type="expression" dxfId="1203" priority="390" stopIfTrue="1">
      <formula>AND(AO58=0,AP58=1,AQ58=1)</formula>
    </cfRule>
    <cfRule type="expression" dxfId="1202" priority="391" stopIfTrue="1">
      <formula>AND(AO58=1,AQ58=1)</formula>
    </cfRule>
  </conditionalFormatting>
  <conditionalFormatting sqref="AM58">
    <cfRule type="expression" dxfId="1201" priority="389" stopIfTrue="1">
      <formula>AND(AM58=1,AN58=1)</formula>
    </cfRule>
  </conditionalFormatting>
  <conditionalFormatting sqref="AK58">
    <cfRule type="expression" dxfId="1200" priority="388" stopIfTrue="1">
      <formula>AND(AK58=1,AJ58=1)</formula>
    </cfRule>
  </conditionalFormatting>
  <conditionalFormatting sqref="AB58">
    <cfRule type="expression" dxfId="1199" priority="384" stopIfTrue="1">
      <formula>AND(AB58=1,AC58=1)</formula>
    </cfRule>
    <cfRule type="expression" dxfId="1198" priority="385" stopIfTrue="1">
      <formula>AND(AC58=0,AB58=1)</formula>
    </cfRule>
  </conditionalFormatting>
  <conditionalFormatting sqref="BG58">
    <cfRule type="expression" dxfId="1197" priority="381" stopIfTrue="1">
      <formula>AND(BG58=1,BF58=1)</formula>
    </cfRule>
  </conditionalFormatting>
  <conditionalFormatting sqref="BF58">
    <cfRule type="expression" dxfId="1196" priority="379" stopIfTrue="1">
      <formula>AND(BF58=0,BF58=1,BE58=1)</formula>
    </cfRule>
    <cfRule type="expression" dxfId="1195" priority="380" stopIfTrue="1">
      <formula>AND(BG58=1,BE58=1)</formula>
    </cfRule>
  </conditionalFormatting>
  <conditionalFormatting sqref="AX58">
    <cfRule type="expression" dxfId="1194" priority="377" stopIfTrue="1">
      <formula>AND(AX58=1,AY58=1)</formula>
    </cfRule>
    <cfRule type="expression" dxfId="1193" priority="378" stopIfTrue="1">
      <formula>AND(AY58=0,AX58=1)</formula>
    </cfRule>
  </conditionalFormatting>
  <conditionalFormatting sqref="AY58:BE58">
    <cfRule type="expression" dxfId="1192" priority="375" stopIfTrue="1">
      <formula>AND(AZ58=0,AY58=1,AX58=1)</formula>
    </cfRule>
    <cfRule type="expression" dxfId="1191" priority="376" stopIfTrue="1">
      <formula>AND(AZ58=1,AX58=1)</formula>
    </cfRule>
  </conditionalFormatting>
  <conditionalFormatting sqref="Z59">
    <cfRule type="expression" dxfId="1190" priority="373" stopIfTrue="1">
      <formula>AND(Z59=1,Y59=1)</formula>
    </cfRule>
    <cfRule type="expression" dxfId="1189" priority="374" stopIfTrue="1">
      <formula>AND(Y59=0,Z59=1)</formula>
    </cfRule>
  </conditionalFormatting>
  <conditionalFormatting sqref="Y59">
    <cfRule type="expression" dxfId="1188" priority="371" stopIfTrue="1">
      <formula>AND(X59=0,Y59=1,Z59=1)</formula>
    </cfRule>
    <cfRule type="expression" dxfId="1187" priority="372" stopIfTrue="1">
      <formula>AND(X59=1,Z59=1)</formula>
    </cfRule>
  </conditionalFormatting>
  <conditionalFormatting sqref="Q59">
    <cfRule type="expression" dxfId="1186" priority="370" stopIfTrue="1">
      <formula>AND(Q59=1,R59=1)</formula>
    </cfRule>
  </conditionalFormatting>
  <conditionalFormatting sqref="R59">
    <cfRule type="expression" dxfId="1185" priority="368" stopIfTrue="1">
      <formula>AND(Q59=0,R59=1,S59=1)</formula>
    </cfRule>
    <cfRule type="expression" dxfId="1184" priority="369" stopIfTrue="1">
      <formula>AND(Q59=1,S59=1)</formula>
    </cfRule>
  </conditionalFormatting>
  <conditionalFormatting sqref="S59">
    <cfRule type="expression" dxfId="1183" priority="366" stopIfTrue="1">
      <formula>AND(R59=0,S59=1,T59=1)</formula>
    </cfRule>
    <cfRule type="expression" dxfId="1182" priority="367" stopIfTrue="1">
      <formula>AND(R59=1,T59=1)</formula>
    </cfRule>
  </conditionalFormatting>
  <conditionalFormatting sqref="T59:X59">
    <cfRule type="expression" dxfId="1181" priority="364" stopIfTrue="1">
      <formula>AND(S59=0,T59=1,U59=1)</formula>
    </cfRule>
    <cfRule type="expression" dxfId="1180" priority="365" stopIfTrue="1">
      <formula>AND(S59=1,U59=1)</formula>
    </cfRule>
  </conditionalFormatting>
  <conditionalFormatting sqref="AV59">
    <cfRule type="expression" dxfId="1179" priority="362" stopIfTrue="1">
      <formula>AND(AV59=1,AU59=1)</formula>
    </cfRule>
    <cfRule type="expression" dxfId="1178" priority="363" stopIfTrue="1">
      <formula>AND(AU59=0,AV59=1)</formula>
    </cfRule>
  </conditionalFormatting>
  <conditionalFormatting sqref="AU59">
    <cfRule type="expression" dxfId="1177" priority="360" stopIfTrue="1">
      <formula>AND(AT59=0,AU59=1,AV59=1)</formula>
    </cfRule>
    <cfRule type="expression" dxfId="1176" priority="361" stopIfTrue="1">
      <formula>AND(AT59=1,AV59=1)</formula>
    </cfRule>
  </conditionalFormatting>
  <conditionalFormatting sqref="AN59">
    <cfRule type="expression" dxfId="1175" priority="358" stopIfTrue="1">
      <formula>AND(AM59=0,AN59=1,AO59=1)</formula>
    </cfRule>
    <cfRule type="expression" dxfId="1174" priority="359" stopIfTrue="1">
      <formula>AND(AM59=1,AO59=1)</formula>
    </cfRule>
  </conditionalFormatting>
  <conditionalFormatting sqref="AO59">
    <cfRule type="expression" dxfId="1173" priority="356" stopIfTrue="1">
      <formula>AND(AN59=0,AO59=1,AP59=1)</formula>
    </cfRule>
    <cfRule type="expression" dxfId="1172" priority="357" stopIfTrue="1">
      <formula>AND(AN59=1,AP59=1)</formula>
    </cfRule>
  </conditionalFormatting>
  <conditionalFormatting sqref="AP59:AT59">
    <cfRule type="expression" dxfId="1171" priority="354" stopIfTrue="1">
      <formula>AND(AO59=0,AP59=1,AQ59=1)</formula>
    </cfRule>
    <cfRule type="expression" dxfId="1170" priority="355" stopIfTrue="1">
      <formula>AND(AO59=1,AQ59=1)</formula>
    </cfRule>
  </conditionalFormatting>
  <conditionalFormatting sqref="AM59">
    <cfRule type="expression" dxfId="1169" priority="353" stopIfTrue="1">
      <formula>AND(AM59=1,AN59=1)</formula>
    </cfRule>
  </conditionalFormatting>
  <conditionalFormatting sqref="AK59">
    <cfRule type="expression" dxfId="1168" priority="352" stopIfTrue="1">
      <formula>AND(AK59=1,AJ59=1)</formula>
    </cfRule>
  </conditionalFormatting>
  <conditionalFormatting sqref="AB59">
    <cfRule type="expression" dxfId="1167" priority="348" stopIfTrue="1">
      <formula>AND(AB59=1,AC59=1)</formula>
    </cfRule>
    <cfRule type="expression" dxfId="1166" priority="349" stopIfTrue="1">
      <formula>AND(AC59=0,AB59=1)</formula>
    </cfRule>
  </conditionalFormatting>
  <conditionalFormatting sqref="BG59">
    <cfRule type="expression" dxfId="1165" priority="345" stopIfTrue="1">
      <formula>AND(BG59=1,BF59=1)</formula>
    </cfRule>
  </conditionalFormatting>
  <conditionalFormatting sqref="BF59">
    <cfRule type="expression" dxfId="1164" priority="343" stopIfTrue="1">
      <formula>AND(BF59=0,BF59=1,BE59=1)</formula>
    </cfRule>
    <cfRule type="expression" dxfId="1163" priority="344" stopIfTrue="1">
      <formula>AND(BG59=1,BE59=1)</formula>
    </cfRule>
  </conditionalFormatting>
  <conditionalFormatting sqref="AX59">
    <cfRule type="expression" dxfId="1162" priority="341" stopIfTrue="1">
      <formula>AND(AX59=1,AY59=1)</formula>
    </cfRule>
    <cfRule type="expression" dxfId="1161" priority="342" stopIfTrue="1">
      <formula>AND(AY59=0,AX59=1)</formula>
    </cfRule>
  </conditionalFormatting>
  <conditionalFormatting sqref="AY59:BE59">
    <cfRule type="expression" dxfId="1160" priority="339" stopIfTrue="1">
      <formula>AND(AZ59=0,AY59=1,AX59=1)</formula>
    </cfRule>
    <cfRule type="expression" dxfId="1159" priority="340" stopIfTrue="1">
      <formula>AND(AZ59=1,AX59=1)</formula>
    </cfRule>
  </conditionalFormatting>
  <conditionalFormatting sqref="Z60">
    <cfRule type="expression" dxfId="1158" priority="337" stopIfTrue="1">
      <formula>AND(Z60=1,Y60=1)</formula>
    </cfRule>
    <cfRule type="expression" dxfId="1157" priority="338" stopIfTrue="1">
      <formula>AND(Y60=0,Z60=1)</formula>
    </cfRule>
  </conditionalFormatting>
  <conditionalFormatting sqref="Y60">
    <cfRule type="expression" dxfId="1156" priority="335" stopIfTrue="1">
      <formula>AND(X60=0,Y60=1,Z60=1)</formula>
    </cfRule>
    <cfRule type="expression" dxfId="1155" priority="336" stopIfTrue="1">
      <formula>AND(X60=1,Z60=1)</formula>
    </cfRule>
  </conditionalFormatting>
  <conditionalFormatting sqref="Q60">
    <cfRule type="expression" dxfId="1154" priority="334" stopIfTrue="1">
      <formula>AND(Q60=1,R60=1)</formula>
    </cfRule>
  </conditionalFormatting>
  <conditionalFormatting sqref="R60">
    <cfRule type="expression" dxfId="1153" priority="332" stopIfTrue="1">
      <formula>AND(Q60=0,R60=1,S60=1)</formula>
    </cfRule>
    <cfRule type="expression" dxfId="1152" priority="333" stopIfTrue="1">
      <formula>AND(Q60=1,S60=1)</formula>
    </cfRule>
  </conditionalFormatting>
  <conditionalFormatting sqref="S60">
    <cfRule type="expression" dxfId="1151" priority="330" stopIfTrue="1">
      <formula>AND(R60=0,S60=1,T60=1)</formula>
    </cfRule>
    <cfRule type="expression" dxfId="1150" priority="331" stopIfTrue="1">
      <formula>AND(R60=1,T60=1)</formula>
    </cfRule>
  </conditionalFormatting>
  <conditionalFormatting sqref="T60:X60">
    <cfRule type="expression" dxfId="1149" priority="328" stopIfTrue="1">
      <formula>AND(S60=0,T60=1,U60=1)</formula>
    </cfRule>
    <cfRule type="expression" dxfId="1148" priority="329" stopIfTrue="1">
      <formula>AND(S60=1,U60=1)</formula>
    </cfRule>
  </conditionalFormatting>
  <conditionalFormatting sqref="AV60">
    <cfRule type="expression" dxfId="1147" priority="326" stopIfTrue="1">
      <formula>AND(AV60=1,AU60=1)</formula>
    </cfRule>
    <cfRule type="expression" dxfId="1146" priority="327" stopIfTrue="1">
      <formula>AND(AU60=0,AV60=1)</formula>
    </cfRule>
  </conditionalFormatting>
  <conditionalFormatting sqref="AU60">
    <cfRule type="expression" dxfId="1145" priority="324" stopIfTrue="1">
      <formula>AND(AT60=0,AU60=1,AV60=1)</formula>
    </cfRule>
    <cfRule type="expression" dxfId="1144" priority="325" stopIfTrue="1">
      <formula>AND(AT60=1,AV60=1)</formula>
    </cfRule>
  </conditionalFormatting>
  <conditionalFormatting sqref="AN60">
    <cfRule type="expression" dxfId="1143" priority="322" stopIfTrue="1">
      <formula>AND(AM60=0,AN60=1,AO60=1)</formula>
    </cfRule>
    <cfRule type="expression" dxfId="1142" priority="323" stopIfTrue="1">
      <formula>AND(AM60=1,AO60=1)</formula>
    </cfRule>
  </conditionalFormatting>
  <conditionalFormatting sqref="AO60">
    <cfRule type="expression" dxfId="1141" priority="320" stopIfTrue="1">
      <formula>AND(AN60=0,AO60=1,AP60=1)</formula>
    </cfRule>
    <cfRule type="expression" dxfId="1140" priority="321" stopIfTrue="1">
      <formula>AND(AN60=1,AP60=1)</formula>
    </cfRule>
  </conditionalFormatting>
  <conditionalFormatting sqref="AP60:AT60">
    <cfRule type="expression" dxfId="1139" priority="318" stopIfTrue="1">
      <formula>AND(AO60=0,AP60=1,AQ60=1)</formula>
    </cfRule>
    <cfRule type="expression" dxfId="1138" priority="319" stopIfTrue="1">
      <formula>AND(AO60=1,AQ60=1)</formula>
    </cfRule>
  </conditionalFormatting>
  <conditionalFormatting sqref="AM60">
    <cfRule type="expression" dxfId="1137" priority="317" stopIfTrue="1">
      <formula>AND(AM60=1,AN60=1)</formula>
    </cfRule>
  </conditionalFormatting>
  <conditionalFormatting sqref="AK60">
    <cfRule type="expression" dxfId="1136" priority="316" stopIfTrue="1">
      <formula>AND(AK60=1,AJ60=1)</formula>
    </cfRule>
  </conditionalFormatting>
  <conditionalFormatting sqref="AB60">
    <cfRule type="expression" dxfId="1135" priority="312" stopIfTrue="1">
      <formula>AND(AB60=1,AC60=1)</formula>
    </cfRule>
    <cfRule type="expression" dxfId="1134" priority="313" stopIfTrue="1">
      <formula>AND(AC60=0,AB60=1)</formula>
    </cfRule>
  </conditionalFormatting>
  <conditionalFormatting sqref="BG60">
    <cfRule type="expression" dxfId="1133" priority="309" stopIfTrue="1">
      <formula>AND(BG60=1,BF60=1)</formula>
    </cfRule>
  </conditionalFormatting>
  <conditionalFormatting sqref="BF60">
    <cfRule type="expression" dxfId="1132" priority="307" stopIfTrue="1">
      <formula>AND(BF60=0,BF60=1,BE60=1)</formula>
    </cfRule>
    <cfRule type="expression" dxfId="1131" priority="308" stopIfTrue="1">
      <formula>AND(BG60=1,BE60=1)</formula>
    </cfRule>
  </conditionalFormatting>
  <conditionalFormatting sqref="AX60">
    <cfRule type="expression" dxfId="1130" priority="305" stopIfTrue="1">
      <formula>AND(AX60=1,AY60=1)</formula>
    </cfRule>
    <cfRule type="expression" dxfId="1129" priority="306" stopIfTrue="1">
      <formula>AND(AY60=0,AX60=1)</formula>
    </cfRule>
  </conditionalFormatting>
  <conditionalFormatting sqref="AY60:BE60">
    <cfRule type="expression" dxfId="1128" priority="303" stopIfTrue="1">
      <formula>AND(AZ60=0,AY60=1,AX60=1)</formula>
    </cfRule>
    <cfRule type="expression" dxfId="1127" priority="304" stopIfTrue="1">
      <formula>AND(AZ60=1,AX60=1)</formula>
    </cfRule>
  </conditionalFormatting>
  <conditionalFormatting sqref="Z61">
    <cfRule type="expression" dxfId="1126" priority="301" stopIfTrue="1">
      <formula>AND(Z61=1,Y61=1)</formula>
    </cfRule>
    <cfRule type="expression" dxfId="1125" priority="302" stopIfTrue="1">
      <formula>AND(Y61=0,Z61=1)</formula>
    </cfRule>
  </conditionalFormatting>
  <conditionalFormatting sqref="Y61">
    <cfRule type="expression" dxfId="1124" priority="299" stopIfTrue="1">
      <formula>AND(X61=0,Y61=1,Z61=1)</formula>
    </cfRule>
    <cfRule type="expression" dxfId="1123" priority="300" stopIfTrue="1">
      <formula>AND(X61=1,Z61=1)</formula>
    </cfRule>
  </conditionalFormatting>
  <conditionalFormatting sqref="Q61">
    <cfRule type="expression" dxfId="1122" priority="298" stopIfTrue="1">
      <formula>AND(Q61=1,R61=1)</formula>
    </cfRule>
  </conditionalFormatting>
  <conditionalFormatting sqref="R61">
    <cfRule type="expression" dxfId="1121" priority="296" stopIfTrue="1">
      <formula>AND(Q61=0,R61=1,S61=1)</formula>
    </cfRule>
    <cfRule type="expression" dxfId="1120" priority="297" stopIfTrue="1">
      <formula>AND(Q61=1,S61=1)</formula>
    </cfRule>
  </conditionalFormatting>
  <conditionalFormatting sqref="S61">
    <cfRule type="expression" dxfId="1119" priority="294" stopIfTrue="1">
      <formula>AND(R61=0,S61=1,T61=1)</formula>
    </cfRule>
    <cfRule type="expression" dxfId="1118" priority="295" stopIfTrue="1">
      <formula>AND(R61=1,T61=1)</formula>
    </cfRule>
  </conditionalFormatting>
  <conditionalFormatting sqref="T61:X61">
    <cfRule type="expression" dxfId="1117" priority="292" stopIfTrue="1">
      <formula>AND(S61=0,T61=1,U61=1)</formula>
    </cfRule>
    <cfRule type="expression" dxfId="1116" priority="293" stopIfTrue="1">
      <formula>AND(S61=1,U61=1)</formula>
    </cfRule>
  </conditionalFormatting>
  <conditionalFormatting sqref="AV61">
    <cfRule type="expression" dxfId="1115" priority="290" stopIfTrue="1">
      <formula>AND(AV61=1,AU61=1)</formula>
    </cfRule>
    <cfRule type="expression" dxfId="1114" priority="291" stopIfTrue="1">
      <formula>AND(AU61=0,AV61=1)</formula>
    </cfRule>
  </conditionalFormatting>
  <conditionalFormatting sqref="AU61">
    <cfRule type="expression" dxfId="1113" priority="288" stopIfTrue="1">
      <formula>AND(AT61=0,AU61=1,AV61=1)</formula>
    </cfRule>
    <cfRule type="expression" dxfId="1112" priority="289" stopIfTrue="1">
      <formula>AND(AT61=1,AV61=1)</formula>
    </cfRule>
  </conditionalFormatting>
  <conditionalFormatting sqref="AN61">
    <cfRule type="expression" dxfId="1111" priority="286" stopIfTrue="1">
      <formula>AND(AM61=0,AN61=1,AO61=1)</formula>
    </cfRule>
    <cfRule type="expression" dxfId="1110" priority="287" stopIfTrue="1">
      <formula>AND(AM61=1,AO61=1)</formula>
    </cfRule>
  </conditionalFormatting>
  <conditionalFormatting sqref="AO61">
    <cfRule type="expression" dxfId="1109" priority="284" stopIfTrue="1">
      <formula>AND(AN61=0,AO61=1,AP61=1)</formula>
    </cfRule>
    <cfRule type="expression" dxfId="1108" priority="285" stopIfTrue="1">
      <formula>AND(AN61=1,AP61=1)</formula>
    </cfRule>
  </conditionalFormatting>
  <conditionalFormatting sqref="AP61:AT61">
    <cfRule type="expression" dxfId="1107" priority="282" stopIfTrue="1">
      <formula>AND(AO61=0,AP61=1,AQ61=1)</formula>
    </cfRule>
    <cfRule type="expression" dxfId="1106" priority="283" stopIfTrue="1">
      <formula>AND(AO61=1,AQ61=1)</formula>
    </cfRule>
  </conditionalFormatting>
  <conditionalFormatting sqref="AM61">
    <cfRule type="expression" dxfId="1105" priority="281" stopIfTrue="1">
      <formula>AND(AM61=1,AN61=1)</formula>
    </cfRule>
  </conditionalFormatting>
  <conditionalFormatting sqref="AK61">
    <cfRule type="expression" dxfId="1104" priority="280" stopIfTrue="1">
      <formula>AND(AK61=1,AJ61=1)</formula>
    </cfRule>
  </conditionalFormatting>
  <conditionalFormatting sqref="AB61">
    <cfRule type="expression" dxfId="1103" priority="276" stopIfTrue="1">
      <formula>AND(AB61=1,AC61=1)</formula>
    </cfRule>
    <cfRule type="expression" dxfId="1102" priority="277" stopIfTrue="1">
      <formula>AND(AC61=0,AB61=1)</formula>
    </cfRule>
  </conditionalFormatting>
  <conditionalFormatting sqref="BG61">
    <cfRule type="expression" dxfId="1101" priority="273" stopIfTrue="1">
      <formula>AND(BG61=1,BF61=1)</formula>
    </cfRule>
  </conditionalFormatting>
  <conditionalFormatting sqref="BF61">
    <cfRule type="expression" dxfId="1100" priority="271" stopIfTrue="1">
      <formula>AND(BF61=0,BF61=1,BE61=1)</formula>
    </cfRule>
    <cfRule type="expression" dxfId="1099" priority="272" stopIfTrue="1">
      <formula>AND(BG61=1,BE61=1)</formula>
    </cfRule>
  </conditionalFormatting>
  <conditionalFormatting sqref="AX61">
    <cfRule type="expression" dxfId="1098" priority="269" stopIfTrue="1">
      <formula>AND(AX61=1,AY61=1)</formula>
    </cfRule>
    <cfRule type="expression" dxfId="1097" priority="270" stopIfTrue="1">
      <formula>AND(AY61=0,AX61=1)</formula>
    </cfRule>
  </conditionalFormatting>
  <conditionalFormatting sqref="AY61:BE61">
    <cfRule type="expression" dxfId="1096" priority="267" stopIfTrue="1">
      <formula>AND(AZ61=0,AY61=1,AX61=1)</formula>
    </cfRule>
    <cfRule type="expression" dxfId="1095" priority="268" stopIfTrue="1">
      <formula>AND(AZ61=1,AX61=1)</formula>
    </cfRule>
  </conditionalFormatting>
  <conditionalFormatting sqref="AV84">
    <cfRule type="expression" dxfId="1094" priority="261" stopIfTrue="1">
      <formula>SUM($D$19:$E$19)=0</formula>
    </cfRule>
    <cfRule type="expression" dxfId="1093" priority="262" stopIfTrue="1">
      <formula>AND(AV84=1,AU84=0)</formula>
    </cfRule>
    <cfRule type="cellIs" dxfId="1092" priority="263" stopIfTrue="1" operator="equal">
      <formula>0</formula>
    </cfRule>
  </conditionalFormatting>
  <conditionalFormatting sqref="AX84">
    <cfRule type="expression" dxfId="1091" priority="264" stopIfTrue="1">
      <formula>SUM($D$19:$E$19)=0</formula>
    </cfRule>
    <cfRule type="expression" dxfId="1090" priority="265" stopIfTrue="1">
      <formula>AND(AX84=1,AY84=0)</formula>
    </cfRule>
    <cfRule type="cellIs" dxfId="1089" priority="266" stopIfTrue="1" operator="equal">
      <formula>0</formula>
    </cfRule>
  </conditionalFormatting>
  <conditionalFormatting sqref="Z82">
    <cfRule type="expression" dxfId="1088" priority="259" stopIfTrue="1">
      <formula>AND(Z82=1,Y82=1)</formula>
    </cfRule>
    <cfRule type="expression" dxfId="1087" priority="260" stopIfTrue="1">
      <formula>AND(Y82=0,Z82=1)</formula>
    </cfRule>
  </conditionalFormatting>
  <conditionalFormatting sqref="Y82">
    <cfRule type="expression" dxfId="1086" priority="257" stopIfTrue="1">
      <formula>AND(X82=0,Y82=1,Z82=1)</formula>
    </cfRule>
    <cfRule type="expression" dxfId="1085" priority="258" stopIfTrue="1">
      <formula>AND(X82=1,Z82=1)</formula>
    </cfRule>
  </conditionalFormatting>
  <conditionalFormatting sqref="Q82">
    <cfRule type="expression" dxfId="1084" priority="256" stopIfTrue="1">
      <formula>AND(Q82=1,R82=1)</formula>
    </cfRule>
  </conditionalFormatting>
  <conditionalFormatting sqref="R82">
    <cfRule type="expression" dxfId="1083" priority="254" stopIfTrue="1">
      <formula>AND(Q82=0,R82=1,S82=1)</formula>
    </cfRule>
    <cfRule type="expression" dxfId="1082" priority="255" stopIfTrue="1">
      <formula>AND(Q82=1,S82=1)</formula>
    </cfRule>
  </conditionalFormatting>
  <conditionalFormatting sqref="S82">
    <cfRule type="expression" dxfId="1081" priority="252" stopIfTrue="1">
      <formula>AND(R82=0,S82=1,T82=1)</formula>
    </cfRule>
    <cfRule type="expression" dxfId="1080" priority="253" stopIfTrue="1">
      <formula>AND(R82=1,T82=1)</formula>
    </cfRule>
  </conditionalFormatting>
  <conditionalFormatting sqref="T82:X82">
    <cfRule type="expression" dxfId="1079" priority="250" stopIfTrue="1">
      <formula>AND(S82=0,T82=1,U82=1)</formula>
    </cfRule>
    <cfRule type="expression" dxfId="1078" priority="251" stopIfTrue="1">
      <formula>AND(S82=1,U82=1)</formula>
    </cfRule>
  </conditionalFormatting>
  <conditionalFormatting sqref="Z83">
    <cfRule type="expression" dxfId="1077" priority="248" stopIfTrue="1">
      <formula>AND(Z83=1,Y83=1)</formula>
    </cfRule>
    <cfRule type="expression" dxfId="1076" priority="249" stopIfTrue="1">
      <formula>AND(Y83=0,Z83=1)</formula>
    </cfRule>
  </conditionalFormatting>
  <conditionalFormatting sqref="Y83">
    <cfRule type="expression" dxfId="1075" priority="246" stopIfTrue="1">
      <formula>AND(X83=0,Y83=1,Z83=1)</formula>
    </cfRule>
    <cfRule type="expression" dxfId="1074" priority="247" stopIfTrue="1">
      <formula>AND(X83=1,Z83=1)</formula>
    </cfRule>
  </conditionalFormatting>
  <conditionalFormatting sqref="R83">
    <cfRule type="expression" dxfId="1073" priority="244" stopIfTrue="1">
      <formula>AND(Q83=0,R83=1,S83=1)</formula>
    </cfRule>
    <cfRule type="expression" dxfId="1072" priority="245" stopIfTrue="1">
      <formula>AND(Q83=1,S83=1)</formula>
    </cfRule>
  </conditionalFormatting>
  <conditionalFormatting sqref="S83">
    <cfRule type="expression" dxfId="1071" priority="242" stopIfTrue="1">
      <formula>AND(R83=0,S83=1,T83=1)</formula>
    </cfRule>
    <cfRule type="expression" dxfId="1070" priority="243" stopIfTrue="1">
      <formula>AND(R83=1,T83=1)</formula>
    </cfRule>
  </conditionalFormatting>
  <conditionalFormatting sqref="T83:X83">
    <cfRule type="expression" dxfId="1069" priority="240" stopIfTrue="1">
      <formula>AND(S83=0,T83=1,U83=1)</formula>
    </cfRule>
    <cfRule type="expression" dxfId="1068" priority="241" stopIfTrue="1">
      <formula>AND(S83=1,U83=1)</formula>
    </cfRule>
  </conditionalFormatting>
  <conditionalFormatting sqref="AV82">
    <cfRule type="expression" dxfId="1067" priority="238" stopIfTrue="1">
      <formula>AND(AV82=1,AU82=1)</formula>
    </cfRule>
    <cfRule type="expression" dxfId="1066" priority="239" stopIfTrue="1">
      <formula>AND(AU82=0,AV82=1)</formula>
    </cfRule>
  </conditionalFormatting>
  <conditionalFormatting sqref="AU82">
    <cfRule type="expression" dxfId="1065" priority="236" stopIfTrue="1">
      <formula>AND(AT82=0,AU82=1,AV82=1)</formula>
    </cfRule>
    <cfRule type="expression" dxfId="1064" priority="237" stopIfTrue="1">
      <formula>AND(AT82=1,AV82=1)</formula>
    </cfRule>
  </conditionalFormatting>
  <conditionalFormatting sqref="AN82">
    <cfRule type="expression" dxfId="1063" priority="234" stopIfTrue="1">
      <formula>AND(AM82=0,AN82=1,AO82=1)</formula>
    </cfRule>
    <cfRule type="expression" dxfId="1062" priority="235" stopIfTrue="1">
      <formula>AND(AM82=1,AO82=1)</formula>
    </cfRule>
  </conditionalFormatting>
  <conditionalFormatting sqref="AO82">
    <cfRule type="expression" dxfId="1061" priority="232" stopIfTrue="1">
      <formula>AND(AN82=0,AO82=1,AP82=1)</formula>
    </cfRule>
    <cfRule type="expression" dxfId="1060" priority="233" stopIfTrue="1">
      <formula>AND(AN82=1,AP82=1)</formula>
    </cfRule>
  </conditionalFormatting>
  <conditionalFormatting sqref="AP82:AT82">
    <cfRule type="expression" dxfId="1059" priority="230" stopIfTrue="1">
      <formula>AND(AO82=0,AP82=1,AQ82=1)</formula>
    </cfRule>
    <cfRule type="expression" dxfId="1058" priority="231" stopIfTrue="1">
      <formula>AND(AO82=1,AQ82=1)</formula>
    </cfRule>
  </conditionalFormatting>
  <conditionalFormatting sqref="AV83">
    <cfRule type="expression" dxfId="1057" priority="228" stopIfTrue="1">
      <formula>AND(AV83=1,AU83=1)</formula>
    </cfRule>
    <cfRule type="expression" dxfId="1056" priority="229" stopIfTrue="1">
      <formula>AND(AU83=0,AV83=1)</formula>
    </cfRule>
  </conditionalFormatting>
  <conditionalFormatting sqref="AU83">
    <cfRule type="expression" dxfId="1055" priority="226" stopIfTrue="1">
      <formula>AND(AT83=0,AU83=1,AV83=1)</formula>
    </cfRule>
    <cfRule type="expression" dxfId="1054" priority="227" stopIfTrue="1">
      <formula>AND(AT83=1,AV83=1)</formula>
    </cfRule>
  </conditionalFormatting>
  <conditionalFormatting sqref="AN83">
    <cfRule type="expression" dxfId="1053" priority="224" stopIfTrue="1">
      <formula>AND(AM83=0,AN83=1,AO83=1)</formula>
    </cfRule>
    <cfRule type="expression" dxfId="1052" priority="225" stopIfTrue="1">
      <formula>AND(AM83=1,AO83=1)</formula>
    </cfRule>
  </conditionalFormatting>
  <conditionalFormatting sqref="AO83">
    <cfRule type="expression" dxfId="1051" priority="222" stopIfTrue="1">
      <formula>AND(AN83=0,AO83=1,AP83=1)</formula>
    </cfRule>
    <cfRule type="expression" dxfId="1050" priority="223" stopIfTrue="1">
      <formula>AND(AN83=1,AP83=1)</formula>
    </cfRule>
  </conditionalFormatting>
  <conditionalFormatting sqref="AP83:AT83">
    <cfRule type="expression" dxfId="1049" priority="220" stopIfTrue="1">
      <formula>AND(AO83=0,AP83=1,AQ83=1)</formula>
    </cfRule>
    <cfRule type="expression" dxfId="1048" priority="221" stopIfTrue="1">
      <formula>AND(AO83=1,AQ83=1)</formula>
    </cfRule>
  </conditionalFormatting>
  <conditionalFormatting sqref="Q83">
    <cfRule type="expression" dxfId="1047" priority="219" stopIfTrue="1">
      <formula>AND(Q83=1,R83=1)</formula>
    </cfRule>
  </conditionalFormatting>
  <conditionalFormatting sqref="AM82">
    <cfRule type="expression" dxfId="1046" priority="218" stopIfTrue="1">
      <formula>AND(AM82=1,AN82=1)</formula>
    </cfRule>
  </conditionalFormatting>
  <conditionalFormatting sqref="AM83">
    <cfRule type="expression" dxfId="1045" priority="217" stopIfTrue="1">
      <formula>AND(AM83=1,AN83=1)</formula>
    </cfRule>
  </conditionalFormatting>
  <conditionalFormatting sqref="AK82">
    <cfRule type="expression" dxfId="1044" priority="216" stopIfTrue="1">
      <formula>AND(AK82=1,AJ82=1)</formula>
    </cfRule>
  </conditionalFormatting>
  <conditionalFormatting sqref="AB82">
    <cfRule type="expression" dxfId="1043" priority="212" stopIfTrue="1">
      <formula>AND(AB82=1,AC82=1)</formula>
    </cfRule>
    <cfRule type="expression" dxfId="1042" priority="213" stopIfTrue="1">
      <formula>AND(AC82=0,AB82=1)</formula>
    </cfRule>
  </conditionalFormatting>
  <conditionalFormatting sqref="AK83">
    <cfRule type="expression" dxfId="1041" priority="209" stopIfTrue="1">
      <formula>AND(AK83=1,AJ83=1)</formula>
    </cfRule>
  </conditionalFormatting>
  <conditionalFormatting sqref="AB83">
    <cfRule type="expression" dxfId="1040" priority="205" stopIfTrue="1">
      <formula>AND(AB83=1,AC83=1)</formula>
    </cfRule>
    <cfRule type="expression" dxfId="1039" priority="206" stopIfTrue="1">
      <formula>AND(AC83=0,AB83=1)</formula>
    </cfRule>
  </conditionalFormatting>
  <conditionalFormatting sqref="BG82">
    <cfRule type="expression" dxfId="1038" priority="202" stopIfTrue="1">
      <formula>AND(BG82=1,BF82=1)</formula>
    </cfRule>
  </conditionalFormatting>
  <conditionalFormatting sqref="BF82">
    <cfRule type="expression" dxfId="1037" priority="200" stopIfTrue="1">
      <formula>AND(BF82=0,BF82=1,BE82=1)</formula>
    </cfRule>
    <cfRule type="expression" dxfId="1036" priority="201" stopIfTrue="1">
      <formula>AND(BG82=1,BE82=1)</formula>
    </cfRule>
  </conditionalFormatting>
  <conditionalFormatting sqref="AX82">
    <cfRule type="expression" dxfId="1035" priority="198" stopIfTrue="1">
      <formula>AND(AX82=1,AY82=1)</formula>
    </cfRule>
    <cfRule type="expression" dxfId="1034" priority="199" stopIfTrue="1">
      <formula>AND(AY82=0,AX82=1)</formula>
    </cfRule>
  </conditionalFormatting>
  <conditionalFormatting sqref="AY82:BE82">
    <cfRule type="expression" dxfId="1033" priority="196" stopIfTrue="1">
      <formula>AND(AZ82=0,AY82=1,AX82=1)</formula>
    </cfRule>
    <cfRule type="expression" dxfId="1032" priority="197" stopIfTrue="1">
      <formula>AND(AZ82=1,AX82=1)</formula>
    </cfRule>
  </conditionalFormatting>
  <conditionalFormatting sqref="BG83">
    <cfRule type="expression" dxfId="1031" priority="195" stopIfTrue="1">
      <formula>AND(BG83=1,BF83=1)</formula>
    </cfRule>
  </conditionalFormatting>
  <conditionalFormatting sqref="BF83">
    <cfRule type="expression" dxfId="1030" priority="193" stopIfTrue="1">
      <formula>AND(BF83=0,BF83=1,BE83=1)</formula>
    </cfRule>
    <cfRule type="expression" dxfId="1029" priority="194" stopIfTrue="1">
      <formula>AND(BG83=1,BE83=1)</formula>
    </cfRule>
  </conditionalFormatting>
  <conditionalFormatting sqref="AX83">
    <cfRule type="expression" dxfId="1028" priority="191" stopIfTrue="1">
      <formula>AND(AX83=1,AY83=1)</formula>
    </cfRule>
    <cfRule type="expression" dxfId="1027" priority="192" stopIfTrue="1">
      <formula>AND(AY83=0,AX83=1)</formula>
    </cfRule>
  </conditionalFormatting>
  <conditionalFormatting sqref="AY83:BE83">
    <cfRule type="expression" dxfId="1026" priority="189" stopIfTrue="1">
      <formula>AND(AZ83=0,AY83=1,AX83=1)</formula>
    </cfRule>
    <cfRule type="expression" dxfId="1025" priority="190" stopIfTrue="1">
      <formula>AND(AZ83=1,AX83=1)</formula>
    </cfRule>
  </conditionalFormatting>
  <conditionalFormatting sqref="BG85:BG94">
    <cfRule type="expression" dxfId="1024" priority="188" stopIfTrue="1">
      <formula>AND(BG85=1,BF85=1)</formula>
    </cfRule>
  </conditionalFormatting>
  <conditionalFormatting sqref="BF85:BF94">
    <cfRule type="expression" dxfId="1023" priority="186" stopIfTrue="1">
      <formula>AND(BF85=0,BF85=1,BE85=1)</formula>
    </cfRule>
    <cfRule type="expression" dxfId="1022" priority="187" stopIfTrue="1">
      <formula>AND(BG85=1,BE85=1)</formula>
    </cfRule>
  </conditionalFormatting>
  <conditionalFormatting sqref="AX85:AX94">
    <cfRule type="expression" dxfId="1021" priority="184" stopIfTrue="1">
      <formula>AND(AX85=1,AY85=1)</formula>
    </cfRule>
    <cfRule type="expression" dxfId="1020" priority="185" stopIfTrue="1">
      <formula>AND(AY85=0,AX85=1)</formula>
    </cfRule>
  </conditionalFormatting>
  <conditionalFormatting sqref="AY85:BE94">
    <cfRule type="expression" dxfId="1019" priority="182" stopIfTrue="1">
      <formula>AND(AZ85=0,AY85=1,AX85=1)</formula>
    </cfRule>
    <cfRule type="expression" dxfId="1018" priority="183" stopIfTrue="1">
      <formula>AND(AZ85=1,AX85=1)</formula>
    </cfRule>
  </conditionalFormatting>
  <conditionalFormatting sqref="AK85:AK94">
    <cfRule type="expression" dxfId="1017" priority="181" stopIfTrue="1">
      <formula>AND(AK85=1,AJ85=1)</formula>
    </cfRule>
  </conditionalFormatting>
  <conditionalFormatting sqref="AB85:AB94">
    <cfRule type="expression" dxfId="1016" priority="177" stopIfTrue="1">
      <formula>AND(AB85=1,AC85=1)</formula>
    </cfRule>
    <cfRule type="expression" dxfId="1015" priority="178" stopIfTrue="1">
      <formula>AND(AC85=0,AB85=1)</formula>
    </cfRule>
  </conditionalFormatting>
  <conditionalFormatting sqref="AC85:AI93">
    <cfRule type="expression" dxfId="1014" priority="175" stopIfTrue="1">
      <formula>AND(AD85=0,AC85=1,AB85=1)</formula>
    </cfRule>
    <cfRule type="expression" dxfId="1013" priority="176" stopIfTrue="1">
      <formula>AND(AD85=1,AB85=1)</formula>
    </cfRule>
  </conditionalFormatting>
  <conditionalFormatting sqref="AB84">
    <cfRule type="expression" dxfId="1012" priority="172" stopIfTrue="1">
      <formula>SUM($D$19:$E$19)=0</formula>
    </cfRule>
    <cfRule type="expression" dxfId="1011" priority="173" stopIfTrue="1">
      <formula>AND(AB84=1,AC84=0)</formula>
    </cfRule>
    <cfRule type="cellIs" dxfId="1010" priority="174" stopIfTrue="1" operator="equal">
      <formula>0</formula>
    </cfRule>
  </conditionalFormatting>
  <conditionalFormatting sqref="Z84">
    <cfRule type="expression" dxfId="1009" priority="169" stopIfTrue="1">
      <formula>SUM($D$19:$E$19)=0</formula>
    </cfRule>
    <cfRule type="expression" dxfId="1008" priority="170" stopIfTrue="1">
      <formula>AND(Z84=1,Y84=0)</formula>
    </cfRule>
    <cfRule type="cellIs" dxfId="1007" priority="171" stopIfTrue="1" operator="equal">
      <formula>0</formula>
    </cfRule>
  </conditionalFormatting>
  <conditionalFormatting sqref="Z85:Z94">
    <cfRule type="expression" dxfId="1006" priority="167" stopIfTrue="1">
      <formula>AND(Z85=1,Y85=1)</formula>
    </cfRule>
    <cfRule type="expression" dxfId="1005" priority="168" stopIfTrue="1">
      <formula>AND(Y85=0,Z85=1)</formula>
    </cfRule>
  </conditionalFormatting>
  <conditionalFormatting sqref="Y85:Y94">
    <cfRule type="expression" dxfId="1004" priority="165" stopIfTrue="1">
      <formula>AND(X85=0,Y85=1,Z85=1)</formula>
    </cfRule>
    <cfRule type="expression" dxfId="1003" priority="166" stopIfTrue="1">
      <formula>AND(X85=1,Z85=1)</formula>
    </cfRule>
  </conditionalFormatting>
  <conditionalFormatting sqref="Q85:Q94">
    <cfRule type="expression" dxfId="1002" priority="164" stopIfTrue="1">
      <formula>AND(Q85=1,R85=1)</formula>
    </cfRule>
  </conditionalFormatting>
  <conditionalFormatting sqref="R85:R94">
    <cfRule type="expression" dxfId="1001" priority="162" stopIfTrue="1">
      <formula>AND(Q85=0,R85=1,S85=1)</formula>
    </cfRule>
    <cfRule type="expression" dxfId="1000" priority="163" stopIfTrue="1">
      <formula>AND(Q85=1,S85=1)</formula>
    </cfRule>
  </conditionalFormatting>
  <conditionalFormatting sqref="S85:S94">
    <cfRule type="expression" dxfId="999" priority="160" stopIfTrue="1">
      <formula>AND(R85=0,S85=1,T85=1)</formula>
    </cfRule>
    <cfRule type="expression" dxfId="998" priority="161" stopIfTrue="1">
      <formula>AND(R85=1,T85=1)</formula>
    </cfRule>
  </conditionalFormatting>
  <conditionalFormatting sqref="T85:X94">
    <cfRule type="expression" dxfId="997" priority="158" stopIfTrue="1">
      <formula>AND(S85=0,T85=1,U85=1)</formula>
    </cfRule>
    <cfRule type="expression" dxfId="996" priority="159" stopIfTrue="1">
      <formula>AND(S85=1,U85=1)</formula>
    </cfRule>
  </conditionalFormatting>
  <conditionalFormatting sqref="AV85:AV94">
    <cfRule type="expression" dxfId="995" priority="156" stopIfTrue="1">
      <formula>AND(AV85=1,AU85=1)</formula>
    </cfRule>
    <cfRule type="expression" dxfId="994" priority="157" stopIfTrue="1">
      <formula>AND(AU85=0,AV85=1)</formula>
    </cfRule>
  </conditionalFormatting>
  <conditionalFormatting sqref="AU85:AU94">
    <cfRule type="expression" dxfId="993" priority="154" stopIfTrue="1">
      <formula>AND(AT85=0,AU85=1,AV85=1)</formula>
    </cfRule>
    <cfRule type="expression" dxfId="992" priority="155" stopIfTrue="1">
      <formula>AND(AT85=1,AV85=1)</formula>
    </cfRule>
  </conditionalFormatting>
  <conditionalFormatting sqref="AM85:AM94">
    <cfRule type="expression" dxfId="991" priority="153" stopIfTrue="1">
      <formula>AND(AM85=1,AN85=1)</formula>
    </cfRule>
  </conditionalFormatting>
  <conditionalFormatting sqref="AN85:AN94">
    <cfRule type="expression" dxfId="990" priority="151" stopIfTrue="1">
      <formula>AND(AM85=0,AN85=1,AO85=1)</formula>
    </cfRule>
    <cfRule type="expression" dxfId="989" priority="152" stopIfTrue="1">
      <formula>AND(AM85=1,AO85=1)</formula>
    </cfRule>
  </conditionalFormatting>
  <conditionalFormatting sqref="AO85:AO94">
    <cfRule type="expression" dxfId="988" priority="149" stopIfTrue="1">
      <formula>AND(AN85=0,AO85=1,AP85=1)</formula>
    </cfRule>
    <cfRule type="expression" dxfId="987" priority="150" stopIfTrue="1">
      <formula>AND(AN85=1,AP85=1)</formula>
    </cfRule>
  </conditionalFormatting>
  <conditionalFormatting sqref="AP85:AT94">
    <cfRule type="expression" dxfId="986" priority="147" stopIfTrue="1">
      <formula>AND(AO85=0,AP85=1,AQ85=1)</formula>
    </cfRule>
    <cfRule type="expression" dxfId="985" priority="148" stopIfTrue="1">
      <formula>AND(AO85=1,AQ85=1)</formula>
    </cfRule>
  </conditionalFormatting>
  <conditionalFormatting sqref="AC19:AI19">
    <cfRule type="expression" dxfId="984" priority="109" stopIfTrue="1">
      <formula>AND(AD19=0,AC19=1,AB19=1)</formula>
    </cfRule>
    <cfRule type="expression" dxfId="983" priority="110" stopIfTrue="1">
      <formula>AND(AD19=1,AB19=1)</formula>
    </cfRule>
  </conditionalFormatting>
  <conditionalFormatting sqref="AC20:AI20">
    <cfRule type="expression" dxfId="982" priority="107" stopIfTrue="1">
      <formula>AND(AD20=0,AC20=1,AB20=1)</formula>
    </cfRule>
    <cfRule type="expression" dxfId="981" priority="108" stopIfTrue="1">
      <formula>AND(AD20=1,AB20=1)</formula>
    </cfRule>
  </conditionalFormatting>
  <conditionalFormatting sqref="AC31:AI31">
    <cfRule type="expression" dxfId="980" priority="105" stopIfTrue="1">
      <formula>AND(AD31=0,AC31=1,AB31=1)</formula>
    </cfRule>
    <cfRule type="expression" dxfId="979" priority="106" stopIfTrue="1">
      <formula>AND(AD31=1,AB31=1)</formula>
    </cfRule>
  </conditionalFormatting>
  <conditionalFormatting sqref="AC37:AI37">
    <cfRule type="expression" dxfId="978" priority="103" stopIfTrue="1">
      <formula>AND(AD37=0,AC37=1,AB37=1)</formula>
    </cfRule>
    <cfRule type="expression" dxfId="977" priority="104" stopIfTrue="1">
      <formula>AND(AD37=1,AB37=1)</formula>
    </cfRule>
  </conditionalFormatting>
  <conditionalFormatting sqref="AC38:AI38">
    <cfRule type="expression" dxfId="976" priority="101" stopIfTrue="1">
      <formula>AND(AD38=0,AC38=1,AB38=1)</formula>
    </cfRule>
    <cfRule type="expression" dxfId="975" priority="102" stopIfTrue="1">
      <formula>AND(AD38=1,AB38=1)</formula>
    </cfRule>
  </conditionalFormatting>
  <conditionalFormatting sqref="AC39:AI39">
    <cfRule type="expression" dxfId="974" priority="99" stopIfTrue="1">
      <formula>AND(AD39=0,AC39=1,AB39=1)</formula>
    </cfRule>
    <cfRule type="expression" dxfId="973" priority="100" stopIfTrue="1">
      <formula>AND(AD39=1,AB39=1)</formula>
    </cfRule>
  </conditionalFormatting>
  <conditionalFormatting sqref="AC40:AI40">
    <cfRule type="expression" dxfId="972" priority="97" stopIfTrue="1">
      <formula>AND(AD40=0,AC40=1,AB40=1)</formula>
    </cfRule>
    <cfRule type="expression" dxfId="971" priority="98" stopIfTrue="1">
      <formula>AND(AD40=1,AB40=1)</formula>
    </cfRule>
  </conditionalFormatting>
  <conditionalFormatting sqref="AC41:AI41">
    <cfRule type="expression" dxfId="970" priority="95" stopIfTrue="1">
      <formula>AND(AD41=0,AC41=1,AB41=1)</formula>
    </cfRule>
    <cfRule type="expression" dxfId="969" priority="96" stopIfTrue="1">
      <formula>AND(AD41=1,AB41=1)</formula>
    </cfRule>
  </conditionalFormatting>
  <conditionalFormatting sqref="AC42:AI42">
    <cfRule type="expression" dxfId="968" priority="93" stopIfTrue="1">
      <formula>AND(AD42=0,AC42=1,AB42=1)</formula>
    </cfRule>
    <cfRule type="expression" dxfId="967" priority="94" stopIfTrue="1">
      <formula>AND(AD42=1,AB42=1)</formula>
    </cfRule>
  </conditionalFormatting>
  <conditionalFormatting sqref="AC43:AI43">
    <cfRule type="expression" dxfId="966" priority="91" stopIfTrue="1">
      <formula>AND(AD43=0,AC43=1,AB43=1)</formula>
    </cfRule>
    <cfRule type="expression" dxfId="965" priority="92" stopIfTrue="1">
      <formula>AND(AD43=1,AB43=1)</formula>
    </cfRule>
  </conditionalFormatting>
  <conditionalFormatting sqref="AC44:AI44">
    <cfRule type="expression" dxfId="964" priority="89" stopIfTrue="1">
      <formula>AND(AD44=0,AC44=1,AB44=1)</formula>
    </cfRule>
    <cfRule type="expression" dxfId="963" priority="90" stopIfTrue="1">
      <formula>AND(AD44=1,AB44=1)</formula>
    </cfRule>
  </conditionalFormatting>
  <conditionalFormatting sqref="AC45:AI45">
    <cfRule type="expression" dxfId="962" priority="87" stopIfTrue="1">
      <formula>AND(AD45=0,AC45=1,AB45=1)</formula>
    </cfRule>
    <cfRule type="expression" dxfId="961" priority="88" stopIfTrue="1">
      <formula>AND(AD45=1,AB45=1)</formula>
    </cfRule>
  </conditionalFormatting>
  <conditionalFormatting sqref="AC46:AI46">
    <cfRule type="expression" dxfId="960" priority="85" stopIfTrue="1">
      <formula>AND(AD46=0,AC46=1,AB46=1)</formula>
    </cfRule>
    <cfRule type="expression" dxfId="959" priority="86" stopIfTrue="1">
      <formula>AND(AD46=1,AB46=1)</formula>
    </cfRule>
  </conditionalFormatting>
  <conditionalFormatting sqref="AC47:AI47">
    <cfRule type="expression" dxfId="958" priority="83" stopIfTrue="1">
      <formula>AND(AD47=0,AC47=1,AB47=1)</formula>
    </cfRule>
    <cfRule type="expression" dxfId="957" priority="84" stopIfTrue="1">
      <formula>AND(AD47=1,AB47=1)</formula>
    </cfRule>
  </conditionalFormatting>
  <conditionalFormatting sqref="AC54:AI54">
    <cfRule type="expression" dxfId="956" priority="81" stopIfTrue="1">
      <formula>AND(AD54=0,AC54=1,AB54=1)</formula>
    </cfRule>
    <cfRule type="expression" dxfId="955" priority="82" stopIfTrue="1">
      <formula>AND(AD54=1,AB54=1)</formula>
    </cfRule>
  </conditionalFormatting>
  <conditionalFormatting sqref="AC55:AI55">
    <cfRule type="expression" dxfId="954" priority="79" stopIfTrue="1">
      <formula>AND(AD55=0,AC55=1,AB55=1)</formula>
    </cfRule>
    <cfRule type="expression" dxfId="953" priority="80" stopIfTrue="1">
      <formula>AND(AD55=1,AB55=1)</formula>
    </cfRule>
  </conditionalFormatting>
  <conditionalFormatting sqref="AC56:AI56">
    <cfRule type="expression" dxfId="952" priority="77" stopIfTrue="1">
      <formula>AND(AD56=0,AC56=1,AB56=1)</formula>
    </cfRule>
    <cfRule type="expression" dxfId="951" priority="78" stopIfTrue="1">
      <formula>AND(AD56=1,AB56=1)</formula>
    </cfRule>
  </conditionalFormatting>
  <conditionalFormatting sqref="AC57:AI57">
    <cfRule type="expression" dxfId="950" priority="75" stopIfTrue="1">
      <formula>AND(AD57=0,AC57=1,AB57=1)</formula>
    </cfRule>
    <cfRule type="expression" dxfId="949" priority="76" stopIfTrue="1">
      <formula>AND(AD57=1,AB57=1)</formula>
    </cfRule>
  </conditionalFormatting>
  <conditionalFormatting sqref="AC58:AI58">
    <cfRule type="expression" dxfId="948" priority="73" stopIfTrue="1">
      <formula>AND(AD58=0,AC58=1,AB58=1)</formula>
    </cfRule>
    <cfRule type="expression" dxfId="947" priority="74" stopIfTrue="1">
      <formula>AND(AD58=1,AB58=1)</formula>
    </cfRule>
  </conditionalFormatting>
  <conditionalFormatting sqref="AC59:AI59">
    <cfRule type="expression" dxfId="946" priority="71" stopIfTrue="1">
      <formula>AND(AD59=0,AC59=1,AB59=1)</formula>
    </cfRule>
    <cfRule type="expression" dxfId="945" priority="72" stopIfTrue="1">
      <formula>AND(AD59=1,AB59=1)</formula>
    </cfRule>
  </conditionalFormatting>
  <conditionalFormatting sqref="AC60:AI60">
    <cfRule type="expression" dxfId="944" priority="69" stopIfTrue="1">
      <formula>AND(AD60=0,AC60=1,AB60=1)</formula>
    </cfRule>
    <cfRule type="expression" dxfId="943" priority="70" stopIfTrue="1">
      <formula>AND(AD60=1,AB60=1)</formula>
    </cfRule>
  </conditionalFormatting>
  <conditionalFormatting sqref="AC61:AI61">
    <cfRule type="expression" dxfId="942" priority="67" stopIfTrue="1">
      <formula>AND(AD61=0,AC61=1,AB61=1)</formula>
    </cfRule>
    <cfRule type="expression" dxfId="941" priority="68" stopIfTrue="1">
      <formula>AND(AD61=1,AB61=1)</formula>
    </cfRule>
  </conditionalFormatting>
  <conditionalFormatting sqref="AC82:AI82">
    <cfRule type="expression" dxfId="940" priority="65" stopIfTrue="1">
      <formula>AND(AD82=0,AC82=1,AB82=1)</formula>
    </cfRule>
    <cfRule type="expression" dxfId="939" priority="66" stopIfTrue="1">
      <formula>AND(AD82=1,AB82=1)</formula>
    </cfRule>
  </conditionalFormatting>
  <conditionalFormatting sqref="AC83:AI83">
    <cfRule type="expression" dxfId="938" priority="63" stopIfTrue="1">
      <formula>AND(AD83=0,AC83=1,AB83=1)</formula>
    </cfRule>
    <cfRule type="expression" dxfId="937" priority="64" stopIfTrue="1">
      <formula>AND(AD83=1,AB83=1)</formula>
    </cfRule>
  </conditionalFormatting>
  <conditionalFormatting sqref="AC94:AI94">
    <cfRule type="expression" dxfId="936" priority="61" stopIfTrue="1">
      <formula>AND(AD94=0,AC94=1,AB94=1)</formula>
    </cfRule>
    <cfRule type="expression" dxfId="935" priority="62" stopIfTrue="1">
      <formula>AND(AD94=1,AB94=1)</formula>
    </cfRule>
  </conditionalFormatting>
  <conditionalFormatting sqref="AJ19:AJ20">
    <cfRule type="expression" dxfId="934" priority="59" stopIfTrue="1">
      <formula>AND(AK19=0,AJ19=1,AI19=1)</formula>
    </cfRule>
    <cfRule type="expression" dxfId="933" priority="60" stopIfTrue="1">
      <formula>AND(AK19=1,AI19=1)</formula>
    </cfRule>
  </conditionalFormatting>
  <conditionalFormatting sqref="AJ31">
    <cfRule type="expression" dxfId="932" priority="57" stopIfTrue="1">
      <formula>AND(AK31=0,AJ31=1,AI31=1)</formula>
    </cfRule>
    <cfRule type="expression" dxfId="931" priority="58" stopIfTrue="1">
      <formula>AND(AK31=1,AI31=1)</formula>
    </cfRule>
  </conditionalFormatting>
  <conditionalFormatting sqref="AJ54:AJ61">
    <cfRule type="expression" dxfId="930" priority="55" stopIfTrue="1">
      <formula>AND(AK54=0,AJ54=1,AI54=1)</formula>
    </cfRule>
    <cfRule type="expression" dxfId="929" priority="56" stopIfTrue="1">
      <formula>AND(AK54=1,AI54=1)</formula>
    </cfRule>
  </conditionalFormatting>
  <conditionalFormatting sqref="AJ85:AJ93">
    <cfRule type="expression" dxfId="928" priority="51" stopIfTrue="1">
      <formula>AND(AJ85=0,AJ85=1,AI85=1)</formula>
    </cfRule>
    <cfRule type="expression" dxfId="927" priority="52" stopIfTrue="1">
      <formula>AND(AK85=1,AI85=1)</formula>
    </cfRule>
  </conditionalFormatting>
  <conditionalFormatting sqref="AJ82:AJ83">
    <cfRule type="expression" dxfId="926" priority="49" stopIfTrue="1">
      <formula>AND(AK82=0,AJ82=1,AI82=1)</formula>
    </cfRule>
    <cfRule type="expression" dxfId="925" priority="50" stopIfTrue="1">
      <formula>AND(AK82=1,AI82=1)</formula>
    </cfRule>
  </conditionalFormatting>
  <conditionalFormatting sqref="AJ94">
    <cfRule type="expression" dxfId="924" priority="47" stopIfTrue="1">
      <formula>AND(AK94=0,AJ94=1,AI94=1)</formula>
    </cfRule>
    <cfRule type="expression" dxfId="923" priority="48" stopIfTrue="1">
      <formula>AND(AK94=1,AI94=1)</formula>
    </cfRule>
  </conditionalFormatting>
  <conditionalFormatting sqref="F23:G30">
    <cfRule type="expression" dxfId="922" priority="41" stopIfTrue="1">
      <formula>AND($D23=0,$E23=0)</formula>
    </cfRule>
    <cfRule type="expression" dxfId="921" priority="42" stopIfTrue="1">
      <formula>ISERROR(F23)</formula>
    </cfRule>
    <cfRule type="cellIs" dxfId="920" priority="45" stopIfTrue="1" operator="equal">
      <formula>0</formula>
    </cfRule>
  </conditionalFormatting>
  <conditionalFormatting sqref="G23:G30">
    <cfRule type="expression" dxfId="919" priority="44" stopIfTrue="1">
      <formula>$E23=0</formula>
    </cfRule>
  </conditionalFormatting>
  <conditionalFormatting sqref="F23:F30">
    <cfRule type="expression" dxfId="918" priority="43" stopIfTrue="1">
      <formula>$D23=0</formula>
    </cfRule>
  </conditionalFormatting>
  <conditionalFormatting sqref="H23:I30">
    <cfRule type="expression" dxfId="917" priority="35" stopIfTrue="1">
      <formula>AND($D23=0,$E23=0)</formula>
    </cfRule>
    <cfRule type="expression" dxfId="916" priority="36" stopIfTrue="1">
      <formula>ISERROR(H23)</formula>
    </cfRule>
    <cfRule type="cellIs" dxfId="915" priority="39" stopIfTrue="1" operator="equal">
      <formula>0</formula>
    </cfRule>
  </conditionalFormatting>
  <conditionalFormatting sqref="I23:I30">
    <cfRule type="expression" dxfId="914" priority="38" stopIfTrue="1">
      <formula>$E23=0</formula>
    </cfRule>
  </conditionalFormatting>
  <conditionalFormatting sqref="H23:H30">
    <cfRule type="expression" dxfId="913" priority="37" stopIfTrue="1">
      <formula>$D23=0</formula>
    </cfRule>
  </conditionalFormatting>
  <conditionalFormatting sqref="F37:G47">
    <cfRule type="expression" dxfId="912" priority="26" stopIfTrue="1">
      <formula>AND($D37=0,$E37=0)</formula>
    </cfRule>
    <cfRule type="expression" dxfId="911" priority="31" stopIfTrue="1">
      <formula>ISERROR(F37)</formula>
    </cfRule>
    <cfRule type="cellIs" dxfId="910" priority="34" stopIfTrue="1" operator="equal">
      <formula>0</formula>
    </cfRule>
  </conditionalFormatting>
  <conditionalFormatting sqref="G37:G47">
    <cfRule type="expression" dxfId="909" priority="33" stopIfTrue="1">
      <formula>$E37=0</formula>
    </cfRule>
  </conditionalFormatting>
  <conditionalFormatting sqref="F37:F47">
    <cfRule type="expression" dxfId="908" priority="32" stopIfTrue="1">
      <formula>$D37=0</formula>
    </cfRule>
  </conditionalFormatting>
  <conditionalFormatting sqref="H37:I47">
    <cfRule type="expression" dxfId="907" priority="25" stopIfTrue="1">
      <formula>AND($D37=0,$E37=0)</formula>
    </cfRule>
    <cfRule type="expression" dxfId="906" priority="27" stopIfTrue="1">
      <formula>ISERROR(H37)</formula>
    </cfRule>
    <cfRule type="cellIs" dxfId="905" priority="30" stopIfTrue="1" operator="equal">
      <formula>0</formula>
    </cfRule>
  </conditionalFormatting>
  <conditionalFormatting sqref="I37:I47">
    <cfRule type="expression" dxfId="904" priority="29" stopIfTrue="1">
      <formula>$E37=0</formula>
    </cfRule>
  </conditionalFormatting>
  <conditionalFormatting sqref="H37:H47">
    <cfRule type="expression" dxfId="903" priority="28" stopIfTrue="1">
      <formula>$D37=0</formula>
    </cfRule>
  </conditionalFormatting>
  <conditionalFormatting sqref="F54:G61">
    <cfRule type="expression" dxfId="902" priority="16" stopIfTrue="1">
      <formula>AND($D54=0,$E54=0)</formula>
    </cfRule>
    <cfRule type="expression" dxfId="901" priority="21" stopIfTrue="1">
      <formula>ISERROR(F54)</formula>
    </cfRule>
    <cfRule type="cellIs" dxfId="900" priority="24" stopIfTrue="1" operator="equal">
      <formula>0</formula>
    </cfRule>
  </conditionalFormatting>
  <conditionalFormatting sqref="G54:G61">
    <cfRule type="expression" dxfId="899" priority="23" stopIfTrue="1">
      <formula>$E54=0</formula>
    </cfRule>
  </conditionalFormatting>
  <conditionalFormatting sqref="F54:F61">
    <cfRule type="expression" dxfId="898" priority="22" stopIfTrue="1">
      <formula>$D54=0</formula>
    </cfRule>
  </conditionalFormatting>
  <conditionalFormatting sqref="H54:I61">
    <cfRule type="expression" dxfId="897" priority="15" stopIfTrue="1">
      <formula>AND($D54=0,$E54=0)</formula>
    </cfRule>
    <cfRule type="expression" dxfId="896" priority="17" stopIfTrue="1">
      <formula>ISERROR(H54)</formula>
    </cfRule>
    <cfRule type="cellIs" dxfId="895" priority="20" stopIfTrue="1" operator="equal">
      <formula>0</formula>
    </cfRule>
  </conditionalFormatting>
  <conditionalFormatting sqref="I54:I61">
    <cfRule type="expression" dxfId="894" priority="19" stopIfTrue="1">
      <formula>$E54=0</formula>
    </cfRule>
  </conditionalFormatting>
  <conditionalFormatting sqref="H54:H61">
    <cfRule type="expression" dxfId="893" priority="18" stopIfTrue="1">
      <formula>$D54=0</formula>
    </cfRule>
  </conditionalFormatting>
  <conditionalFormatting sqref="F85:G93">
    <cfRule type="expression" dxfId="892" priority="6" stopIfTrue="1">
      <formula>AND($D85=0,$E85=0)</formula>
    </cfRule>
    <cfRule type="expression" dxfId="891" priority="11" stopIfTrue="1">
      <formula>ISERROR(F85)</formula>
    </cfRule>
    <cfRule type="cellIs" dxfId="890" priority="14" stopIfTrue="1" operator="equal">
      <formula>0</formula>
    </cfRule>
  </conditionalFormatting>
  <conditionalFormatting sqref="G85:G93">
    <cfRule type="expression" dxfId="889" priority="13" stopIfTrue="1">
      <formula>$E85=0</formula>
    </cfRule>
  </conditionalFormatting>
  <conditionalFormatting sqref="F85:F93">
    <cfRule type="expression" dxfId="888" priority="12" stopIfTrue="1">
      <formula>$D85=0</formula>
    </cfRule>
  </conditionalFormatting>
  <conditionalFormatting sqref="H85:I93">
    <cfRule type="expression" dxfId="887" priority="5" stopIfTrue="1">
      <formula>AND($D85=0,$E85=0)</formula>
    </cfRule>
    <cfRule type="expression" dxfId="886" priority="7" stopIfTrue="1">
      <formula>ISERROR(H85)</formula>
    </cfRule>
    <cfRule type="cellIs" dxfId="885" priority="10" stopIfTrue="1" operator="equal">
      <formula>0</formula>
    </cfRule>
  </conditionalFormatting>
  <conditionalFormatting sqref="I85:I93">
    <cfRule type="expression" dxfId="884" priority="9" stopIfTrue="1">
      <formula>$E85=0</formula>
    </cfRule>
  </conditionalFormatting>
  <conditionalFormatting sqref="H85:H93">
    <cfRule type="expression" dxfId="883" priority="8" stopIfTrue="1">
      <formula>$D85=0</formula>
    </cfRule>
  </conditionalFormatting>
  <conditionalFormatting sqref="H2:I2">
    <cfRule type="expression" dxfId="882" priority="4" stopIfTrue="1">
      <formula>$C$121=1</formula>
    </cfRule>
  </conditionalFormatting>
  <conditionalFormatting sqref="G5 I5">
    <cfRule type="containsErrors" dxfId="881" priority="8684" stopIfTrue="1">
      <formula>ISERROR(G5)</formula>
    </cfRule>
  </conditionalFormatting>
  <conditionalFormatting sqref="D8:E8">
    <cfRule type="containsErrors" dxfId="880" priority="2" stopIfTrue="1">
      <formula>ISERROR(D8)</formula>
    </cfRule>
  </conditionalFormatting>
  <conditionalFormatting sqref="G7 I7">
    <cfRule type="containsErrors" dxfId="879" priority="8685" stopIfTrue="1">
      <formula>ISERROR(G7)</formula>
    </cfRule>
  </conditionalFormatting>
  <dataValidations count="7">
    <dataValidation type="list" allowBlank="1" showInputMessage="1" showErrorMessage="1" sqref="I13 G13">
      <formula1>$H$113:$H$478</formula1>
    </dataValidation>
    <dataValidation type="list" allowBlank="1" showInputMessage="1" showErrorMessage="1" sqref="E13">
      <formula1>$J$113:$J$125</formula1>
    </dataValidation>
    <dataValidation type="list" allowBlank="1" showInputMessage="1" showErrorMessage="1" sqref="C11:E11">
      <formula1>$J$133:$J$138</formula1>
    </dataValidation>
    <dataValidation type="list" allowBlank="1" showInputMessage="1" showErrorMessage="1" sqref="D5:E5">
      <formula1>$H$112:$H$478</formula1>
    </dataValidation>
    <dataValidation type="list" allowBlank="1" showInputMessage="1" showErrorMessage="1" sqref="AB15:AI15">
      <formula1>$B$116:$B$118</formula1>
    </dataValidation>
    <dataValidation type="list" allowBlank="1" showInputMessage="1" showErrorMessage="1" sqref="B5:C5">
      <formula1>$K$151:$K$153</formula1>
    </dataValidation>
    <dataValidation type="list" allowBlank="1" showInputMessage="1" showErrorMessage="1" sqref="D7:E7 G15 I15">
      <formula1>$E$115:$E$167</formula1>
    </dataValidation>
  </dataValidations>
  <hyperlinks>
    <hyperlink ref="H487" location="IMPOSTAZIONI!C56:P56" display="QUI"/>
    <hyperlink ref="H489" location="IMPOSTAZIONI!J61:M66" display="QUI"/>
  </hyperlinks>
  <pageMargins left="0.47244094488188981" right="0" top="0.31496062992125984" bottom="0.19685039370078741" header="0.51181102362204722" footer="0.19685039370078741"/>
  <pageSetup paperSize="9" scale="69" fitToWidth="0" fitToHeight="0" orientation="landscape" r:id="rId1"/>
  <headerFooter alignWithMargins="0"/>
  <rowBreaks count="2" manualBreakCount="2">
    <brk id="50" max="16383" man="1"/>
    <brk id="7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U184"/>
  <sheetViews>
    <sheetView showGridLines="0" showRowColHeaders="0" zoomScaleNormal="100" workbookViewId="0"/>
  </sheetViews>
  <sheetFormatPr defaultRowHeight="12.75" x14ac:dyDescent="0.2"/>
  <cols>
    <col min="1" max="1" width="4.28515625" style="627" customWidth="1"/>
    <col min="2" max="2" width="17.28515625" style="627" customWidth="1"/>
    <col min="3" max="18" width="13.5703125" style="627" customWidth="1"/>
    <col min="19" max="19" width="0.85546875" style="627" customWidth="1"/>
    <col min="20" max="20" width="14.28515625" style="627" customWidth="1"/>
    <col min="21" max="21" width="4.28515625" style="627" customWidth="1"/>
    <col min="22" max="16384" width="9.140625" style="627"/>
  </cols>
  <sheetData>
    <row r="1" spans="1:21" ht="6.75" customHeight="1" x14ac:dyDescent="0.2">
      <c r="A1" s="270"/>
      <c r="B1" s="25"/>
      <c r="C1" s="25"/>
      <c r="D1" s="25"/>
      <c r="E1" s="25"/>
      <c r="F1" s="25"/>
      <c r="G1" s="25"/>
      <c r="H1" s="25"/>
      <c r="I1" s="25"/>
      <c r="J1" s="25"/>
      <c r="K1" s="25"/>
      <c r="L1" s="25"/>
      <c r="M1" s="25"/>
      <c r="N1" s="25"/>
      <c r="O1" s="25"/>
      <c r="P1" s="25"/>
      <c r="Q1" s="25"/>
      <c r="R1" s="25"/>
      <c r="S1" s="25"/>
      <c r="T1" s="25"/>
      <c r="U1" s="25"/>
    </row>
    <row r="2" spans="1:21" ht="16.5" customHeight="1" x14ac:dyDescent="0.2">
      <c r="A2" s="270"/>
      <c r="B2" s="81"/>
      <c r="C2" s="288" t="str">
        <f>IF(C170=0,"",$B173)</f>
        <v/>
      </c>
      <c r="D2" s="288" t="str">
        <f t="shared" ref="D2:E2" si="0">IF(D170=0,"",$B173)</f>
        <v/>
      </c>
      <c r="E2" s="288" t="str">
        <f t="shared" si="0"/>
        <v/>
      </c>
      <c r="F2" s="289"/>
      <c r="G2" s="288" t="str">
        <f>IF(G170=0,"",$B173)</f>
        <v/>
      </c>
      <c r="H2" s="288" t="str">
        <f t="shared" ref="H2:I2" si="1">IF(H170=0,"",$B173)</f>
        <v/>
      </c>
      <c r="I2" s="288" t="str">
        <f t="shared" si="1"/>
        <v/>
      </c>
      <c r="J2" s="289"/>
      <c r="K2" s="288" t="str">
        <f>IF(K170=0,"",$B173)</f>
        <v/>
      </c>
      <c r="L2" s="288" t="str">
        <f t="shared" ref="L2:M2" si="2">IF(L170=0,"",$B173)</f>
        <v/>
      </c>
      <c r="M2" s="288" t="str">
        <f t="shared" si="2"/>
        <v/>
      </c>
      <c r="N2" s="289"/>
      <c r="O2" s="288" t="str">
        <f>IF(O170=0,"",$B173)</f>
        <v/>
      </c>
      <c r="P2" s="288" t="str">
        <f t="shared" ref="P2:Q2" si="3">IF(P170=0,"",$B173)</f>
        <v/>
      </c>
      <c r="Q2" s="288" t="str">
        <f t="shared" si="3"/>
        <v/>
      </c>
      <c r="R2" s="289"/>
      <c r="S2" s="81"/>
      <c r="T2" s="81"/>
      <c r="U2" s="25"/>
    </row>
    <row r="3" spans="1:21" ht="21" customHeight="1" x14ac:dyDescent="0.2">
      <c r="A3" s="1257"/>
      <c r="B3" s="269"/>
      <c r="C3" s="2376" t="s">
        <v>68</v>
      </c>
      <c r="D3" s="2376"/>
      <c r="E3" s="2376"/>
      <c r="F3" s="2376"/>
      <c r="G3" s="2376"/>
      <c r="H3" s="2374"/>
      <c r="I3" s="2374"/>
      <c r="J3" s="2374"/>
      <c r="K3" s="2376" t="str">
        <f>C3</f>
        <v>RIEPILOGO degli importi annotati nel sistema</v>
      </c>
      <c r="L3" s="2376"/>
      <c r="M3" s="2376"/>
      <c r="N3" s="2376"/>
      <c r="O3" s="2376"/>
      <c r="P3" s="2374"/>
      <c r="Q3" s="2374"/>
      <c r="R3" s="2374"/>
      <c r="S3" s="26"/>
      <c r="T3" s="930" t="s">
        <v>243</v>
      </c>
      <c r="U3" s="25"/>
    </row>
    <row r="4" spans="1:21" ht="22.5" customHeight="1" x14ac:dyDescent="0.2">
      <c r="A4" s="1195"/>
      <c r="B4" s="826" t="str">
        <f>CONCATENATE("Totale ",IMPOSTAZIONI!M82)</f>
        <v>Totale EUR</v>
      </c>
      <c r="C4" s="840" t="s">
        <v>270</v>
      </c>
      <c r="D4" s="841" t="s">
        <v>271</v>
      </c>
      <c r="E4" s="841" t="s">
        <v>272</v>
      </c>
      <c r="F4" s="186" t="s">
        <v>273</v>
      </c>
      <c r="G4" s="842" t="s">
        <v>274</v>
      </c>
      <c r="H4" s="841" t="s">
        <v>275</v>
      </c>
      <c r="I4" s="841" t="s">
        <v>276</v>
      </c>
      <c r="J4" s="186" t="s">
        <v>277</v>
      </c>
      <c r="K4" s="840" t="s">
        <v>278</v>
      </c>
      <c r="L4" s="841" t="s">
        <v>279</v>
      </c>
      <c r="M4" s="841" t="s">
        <v>280</v>
      </c>
      <c r="N4" s="186" t="s">
        <v>281</v>
      </c>
      <c r="O4" s="841" t="s">
        <v>282</v>
      </c>
      <c r="P4" s="841" t="s">
        <v>283</v>
      </c>
      <c r="Q4" s="843" t="s">
        <v>284</v>
      </c>
      <c r="R4" s="186" t="s">
        <v>285</v>
      </c>
      <c r="S4" s="844"/>
      <c r="T4" s="931">
        <f>IMPOSTAZIONI!AH53</f>
        <v>2024</v>
      </c>
      <c r="U4" s="25"/>
    </row>
    <row r="5" spans="1:21" ht="22.5" customHeight="1" x14ac:dyDescent="0.2">
      <c r="A5" s="1195"/>
      <c r="B5" s="845" t="s">
        <v>513</v>
      </c>
      <c r="C5" s="827">
        <f>GEN!$E46</f>
        <v>1000</v>
      </c>
      <c r="D5" s="828">
        <f>FEB!$E46</f>
        <v>0</v>
      </c>
      <c r="E5" s="828">
        <f>MAR!$E46</f>
        <v>0</v>
      </c>
      <c r="F5" s="846">
        <f t="shared" ref="F5:F17" si="4">SUM(C5:E5)</f>
        <v>1000</v>
      </c>
      <c r="G5" s="827">
        <f>APR!$E46</f>
        <v>0</v>
      </c>
      <c r="H5" s="828">
        <f>MAG!$E46</f>
        <v>0</v>
      </c>
      <c r="I5" s="828">
        <f>GIU!$E46</f>
        <v>0</v>
      </c>
      <c r="J5" s="846">
        <f t="shared" ref="J5:J17" si="5">SUM(G5:I5)</f>
        <v>0</v>
      </c>
      <c r="K5" s="827">
        <f>LUG!$E46</f>
        <v>0</v>
      </c>
      <c r="L5" s="828">
        <f>AGO!$E46</f>
        <v>0</v>
      </c>
      <c r="M5" s="828">
        <f>SET!$E46</f>
        <v>0</v>
      </c>
      <c r="N5" s="846">
        <f t="shared" ref="N5:N17" si="6">SUM(K5:M5)</f>
        <v>0</v>
      </c>
      <c r="O5" s="827">
        <f>OTT!$E46</f>
        <v>0</v>
      </c>
      <c r="P5" s="828">
        <f>NOV!$E46</f>
        <v>0</v>
      </c>
      <c r="Q5" s="828">
        <f>DIC!$E46</f>
        <v>0</v>
      </c>
      <c r="R5" s="846">
        <f t="shared" ref="R5:R17" si="7">SUM(O5:Q5)</f>
        <v>0</v>
      </c>
      <c r="S5" s="847"/>
      <c r="T5" s="837">
        <f t="shared" ref="T5:T17" si="8">F5+J5+N5+R5</f>
        <v>1000</v>
      </c>
      <c r="U5" s="25"/>
    </row>
    <row r="6" spans="1:21" ht="22.5" customHeight="1" x14ac:dyDescent="0.2">
      <c r="A6" s="1195"/>
      <c r="B6" s="848" t="s">
        <v>515</v>
      </c>
      <c r="C6" s="849">
        <f>GEN!$E47</f>
        <v>0</v>
      </c>
      <c r="D6" s="849">
        <f>FEB!$E47</f>
        <v>0</v>
      </c>
      <c r="E6" s="849">
        <f>MAR!$E47</f>
        <v>0</v>
      </c>
      <c r="F6" s="850">
        <f t="shared" si="4"/>
        <v>0</v>
      </c>
      <c r="G6" s="849">
        <f>APR!$E47</f>
        <v>0</v>
      </c>
      <c r="H6" s="849">
        <f>MAG!$E47</f>
        <v>0</v>
      </c>
      <c r="I6" s="849">
        <f>GIU!$E47</f>
        <v>0</v>
      </c>
      <c r="J6" s="850">
        <f t="shared" si="5"/>
        <v>0</v>
      </c>
      <c r="K6" s="849">
        <f>LUG!$E47</f>
        <v>0</v>
      </c>
      <c r="L6" s="849">
        <f>AGO!$E47</f>
        <v>0</v>
      </c>
      <c r="M6" s="849">
        <f>SET!$E47</f>
        <v>0</v>
      </c>
      <c r="N6" s="850">
        <f t="shared" si="6"/>
        <v>0</v>
      </c>
      <c r="O6" s="849">
        <f>OTT!$E47</f>
        <v>0</v>
      </c>
      <c r="P6" s="849">
        <f>NOV!$E47</f>
        <v>0</v>
      </c>
      <c r="Q6" s="849">
        <f>DIC!$E47</f>
        <v>0</v>
      </c>
      <c r="R6" s="850">
        <f t="shared" si="7"/>
        <v>0</v>
      </c>
      <c r="S6" s="847"/>
      <c r="T6" s="851">
        <f t="shared" si="8"/>
        <v>0</v>
      </c>
      <c r="U6" s="25"/>
    </row>
    <row r="7" spans="1:21" ht="13.5" customHeight="1" x14ac:dyDescent="0.2">
      <c r="A7" s="123"/>
      <c r="B7" s="1022" t="s">
        <v>527</v>
      </c>
      <c r="C7" s="829"/>
      <c r="D7" s="830"/>
      <c r="E7" s="830"/>
      <c r="F7" s="855"/>
      <c r="G7" s="829"/>
      <c r="H7" s="830"/>
      <c r="I7" s="830"/>
      <c r="J7" s="855"/>
      <c r="K7" s="829"/>
      <c r="L7" s="830"/>
      <c r="M7" s="830"/>
      <c r="N7" s="855"/>
      <c r="O7" s="829"/>
      <c r="P7" s="830"/>
      <c r="Q7" s="830"/>
      <c r="R7" s="855"/>
      <c r="S7" s="27"/>
      <c r="T7" s="859"/>
      <c r="U7" s="25"/>
    </row>
    <row r="8" spans="1:21" ht="18" customHeight="1" x14ac:dyDescent="0.2">
      <c r="A8" s="1253" t="str">
        <f>IMPOSTAZIONI!W8</f>
        <v>11</v>
      </c>
      <c r="B8" s="852" t="str">
        <f>IF(A8="","",IMPOSTAZIONI!Y132)</f>
        <v>Descrizione #1 0 %</v>
      </c>
      <c r="C8" s="831">
        <f>IF($C$175=0,0,SUMIF(GEN!$G$121:$M$121,$A8,GEN!$G$129:$M$129)+SUMIF(GEN!$B$70:$B$73,$A8,GEN!$P$70:$P$73)-SUMIF(GEN!$B$70:$B$73,$A8,GEN!$Q$70:$Q$73))</f>
        <v>0</v>
      </c>
      <c r="D8" s="832">
        <f>IF($C$175=0,0,SUMIF(FEB!$G$121:$M$121,$A8,FEB!$G$129:$M$129)+SUMIF(FEB!$B$70:$B$73,$A8,FEB!$P$70:$P$73)-SUMIF(FEB!$B$70:$B$73,$A8,FEB!$Q$70:$Q$73))</f>
        <v>0</v>
      </c>
      <c r="E8" s="832">
        <f>IF($C$175=0,0,SUMIF(MAR!$G$121:$M$121,$A8,MAR!$G$129:$M$129)+SUMIF(MAR!$B$70:$B$73,$A8,MAR!$P$70:$P$73)-SUMIF(MAR!$B$70:$B$73,$A8,MAR!$Q$70:$Q$73))</f>
        <v>0</v>
      </c>
      <c r="F8" s="856">
        <f t="shared" si="4"/>
        <v>0</v>
      </c>
      <c r="G8" s="831">
        <f>IF($C$175=0,0,SUMIF(APR!$G$121:$M$121,$A8,APR!$G$129:$M$129)+SUMIF(APR!$B$70:$B$73,$A8,APR!$P$70:$P$73)-SUMIF(APR!$B$70:$B$73,$A8,APR!$Q$70:$Q$73))</f>
        <v>0</v>
      </c>
      <c r="H8" s="832">
        <f>IF($C$175=0,0,SUMIF(MAG!$G$121:$M$121,$A8,MAG!$G$129:$M$129)+SUMIF(MAG!$B$70:$B$73,$A8,MAG!$P$70:$P$73)-SUMIF(MAG!$B$70:$B$73,$A8,MAG!$Q$70:$Q$73))</f>
        <v>0</v>
      </c>
      <c r="I8" s="832">
        <f>IF($C$175=0,0,SUMIF(GIU!$G$121:$M$121,$A8,GIU!$G$129:$M$129)+SUMIF(GIU!$B$70:$B$73,$A8,GIU!$P$70:$P$73)-SUMIF(GIU!$B$70:$B$73,$A8,GIU!$Q$70:$Q$73))</f>
        <v>0</v>
      </c>
      <c r="J8" s="856">
        <f t="shared" si="5"/>
        <v>0</v>
      </c>
      <c r="K8" s="831">
        <f>IF($C$175=0,0,SUMIF(LUG!$G$121:$M$121,$A8,LUG!$G$129:$M$129)+SUMIF(LUG!$B$70:$B$73,$A8,LUG!$P$70:$P$73)-SUMIF(LUG!$B$70:$B$73,$A8,LUG!$Q$70:$Q$73))</f>
        <v>0</v>
      </c>
      <c r="L8" s="832">
        <f>IF($C$175=0,0,SUMIF(AGO!$G$121:$M$121,$A8,AGO!$G$129:$M$129)+SUMIF(AGO!$B$70:$B$73,$A8,AGO!$P$70:$P$73)-SUMIF(AGO!$B$70:$B$73,$A8,AGO!$Q$70:$Q$73))</f>
        <v>0</v>
      </c>
      <c r="M8" s="832">
        <f>IF($C$175=0,0,SUMIF(SET!$G$121:$M$121,$A8,SET!$G$129:$M$129)+SUMIF(SET!$B$70:$B$73,$A8,SET!$P$70:$P$73)-SUMIF(SET!$B$70:$B$73,$A8,SET!$Q$70:$Q$73))</f>
        <v>0</v>
      </c>
      <c r="N8" s="856">
        <f t="shared" si="6"/>
        <v>0</v>
      </c>
      <c r="O8" s="831">
        <f>IF($C$175=0,0,SUMIF(OTT!$G$121:$M$121,$A8,OTT!$G$129:$M$129)+SUMIF(OTT!$B$70:$B$73,$A8,OTT!$P$70:$P$73)-SUMIF(OTT!$B$70:$B$73,$A8,OTT!$Q$70:$Q$73))</f>
        <v>0</v>
      </c>
      <c r="P8" s="832">
        <f>IF($C$175=0,0,SUMIF(NOV!$G$121:$M$121,$A8,NOV!$G$129:$M$129)+SUMIF(NOV!$B$70:$B$73,$A8,NOV!$P$70:$P$73)-SUMIF(NOV!$B$70:$B$73,$A8,NOV!$Q$70:$Q$73))</f>
        <v>0</v>
      </c>
      <c r="Q8" s="832">
        <f>IF($C$175=0,0,SUMIF(DIC!$G$121:$M$121,$A8,DIC!$G$129:$M$129)+SUMIF(DIC!$B$70:$B$73,$A8,DIC!$P$70:$P$73)-SUMIF(DIC!$B$70:$B$73,$A8,DIC!$Q$70:$Q$73))</f>
        <v>0</v>
      </c>
      <c r="R8" s="856">
        <f t="shared" si="7"/>
        <v>0</v>
      </c>
      <c r="S8" s="27"/>
      <c r="T8" s="860">
        <f t="shared" si="8"/>
        <v>0</v>
      </c>
      <c r="U8" s="25"/>
    </row>
    <row r="9" spans="1:21" x14ac:dyDescent="0.2">
      <c r="A9" s="1253" t="str">
        <f>IMPOSTAZIONI!W9</f>
        <v>12</v>
      </c>
      <c r="B9" s="853" t="str">
        <f>IF(A9="","",IMPOSTAZIONI!Y133)</f>
        <v>Descrizione #2 10 %</v>
      </c>
      <c r="C9" s="833">
        <f>IF($C$175=0,0,SUMIF(GEN!$G$121:$M$121,$A9,GEN!$G$129:$M$129)+SUMIF(GEN!$B$70:$B$73,$A9,GEN!$P$70:$P$73)-SUMIF(GEN!$B$70:$B$73,$A9,GEN!$Q$70:$Q$73))</f>
        <v>0</v>
      </c>
      <c r="D9" s="834">
        <f>IF($C$175=0,0,SUMIF(FEB!$G$121:$M$121,$A9,FEB!$G$129:$M$129)+SUMIF(FEB!$B$70:$B$73,$A9,FEB!$P$70:$P$73)-SUMIF(FEB!$B$70:$B$73,$A9,FEB!$Q$70:$Q$73))</f>
        <v>0</v>
      </c>
      <c r="E9" s="834">
        <f>IF($C$175=0,0,SUMIF(MAR!$G$121:$M$121,$A9,MAR!$G$129:$M$129)+SUMIF(MAR!$B$70:$B$73,$A9,MAR!$P$70:$P$73)-SUMIF(MAR!$B$70:$B$73,$A9,MAR!$Q$70:$Q$73))</f>
        <v>0</v>
      </c>
      <c r="F9" s="857">
        <f t="shared" si="4"/>
        <v>0</v>
      </c>
      <c r="G9" s="833">
        <f>IF($C$175=0,0,SUMIF(APR!$G$121:$M$121,$A9,APR!$G$129:$M$129)+SUMIF(APR!$B$70:$B$73,$A9,APR!$P$70:$P$73)-SUMIF(APR!$B$70:$B$73,$A9,APR!$Q$70:$Q$73))</f>
        <v>0</v>
      </c>
      <c r="H9" s="834">
        <f>IF($C$175=0,0,SUMIF(MAG!$G$121:$M$121,$A9,MAG!$G$129:$M$129)+SUMIF(MAG!$B$70:$B$73,$A9,MAG!$P$70:$P$73)-SUMIF(MAG!$B$70:$B$73,$A9,MAG!$Q$70:$Q$73))</f>
        <v>0</v>
      </c>
      <c r="I9" s="834">
        <f>IF($C$175=0,0,SUMIF(GIU!$G$121:$M$121,$A9,GIU!$G$129:$M$129)+SUMIF(GIU!$B$70:$B$73,$A9,GIU!$P$70:$P$73)-SUMIF(GIU!$B$70:$B$73,$A9,GIU!$Q$70:$Q$73))</f>
        <v>0</v>
      </c>
      <c r="J9" s="857">
        <f t="shared" si="5"/>
        <v>0</v>
      </c>
      <c r="K9" s="833">
        <f>IF($C$175=0,0,SUMIF(LUG!$G$121:$M$121,$A9,LUG!$G$129:$M$129)+SUMIF(LUG!$B$70:$B$73,$A9,LUG!$P$70:$P$73)-SUMIF(LUG!$B$70:$B$73,$A9,LUG!$Q$70:$Q$73))</f>
        <v>0</v>
      </c>
      <c r="L9" s="834">
        <f>IF($C$175=0,0,SUMIF(AGO!$G$121:$M$121,$A9,AGO!$G$129:$M$129)+SUMIF(AGO!$B$70:$B$73,$A9,AGO!$P$70:$P$73)-SUMIF(AGO!$B$70:$B$73,$A9,AGO!$Q$70:$Q$73))</f>
        <v>0</v>
      </c>
      <c r="M9" s="834">
        <f>IF($C$175=0,0,SUMIF(SET!$G$121:$M$121,$A9,SET!$G$129:$M$129)+SUMIF(SET!$B$70:$B$73,$A9,SET!$P$70:$P$73)-SUMIF(SET!$B$70:$B$73,$A9,SET!$Q$70:$Q$73))</f>
        <v>0</v>
      </c>
      <c r="N9" s="857">
        <f t="shared" si="6"/>
        <v>0</v>
      </c>
      <c r="O9" s="833">
        <f>IF($C$175=0,0,SUMIF(OTT!$G$121:$M$121,$A9,OTT!$G$129:$M$129)+SUMIF(OTT!$B$70:$B$73,$A9,OTT!$P$70:$P$73)-SUMIF(OTT!$B$70:$B$73,$A9,OTT!$Q$70:$Q$73))</f>
        <v>0</v>
      </c>
      <c r="P9" s="834">
        <f>IF($C$175=0,0,SUMIF(NOV!$G$121:$M$121,$A9,NOV!$G$129:$M$129)+SUMIF(NOV!$B$70:$B$73,$A9,NOV!$P$70:$P$73)-SUMIF(NOV!$B$70:$B$73,$A9,NOV!$Q$70:$Q$73))</f>
        <v>0</v>
      </c>
      <c r="Q9" s="834">
        <f>IF($C$175=0,0,SUMIF(DIC!$G$121:$M$121,$A9,DIC!$G$129:$M$129)+SUMIF(DIC!$B$70:$B$73,$A9,DIC!$P$70:$P$73)-SUMIF(DIC!$B$70:$B$73,$A9,DIC!$Q$70:$Q$73))</f>
        <v>0</v>
      </c>
      <c r="R9" s="857">
        <f t="shared" si="7"/>
        <v>0</v>
      </c>
      <c r="S9" s="27"/>
      <c r="T9" s="861">
        <f t="shared" si="8"/>
        <v>0</v>
      </c>
      <c r="U9" s="25"/>
    </row>
    <row r="10" spans="1:21" x14ac:dyDescent="0.2">
      <c r="A10" s="1253" t="str">
        <f>IMPOSTAZIONI!W10</f>
        <v>13</v>
      </c>
      <c r="B10" s="853" t="str">
        <f>IF(A10="","",IMPOSTAZIONI!Y134)</f>
        <v>Descrizione #3 22 %</v>
      </c>
      <c r="C10" s="833">
        <f>IF($C$175=0,0,SUMIF(GEN!$G$121:$M$121,$A10,GEN!$G$129:$M$129)+SUMIF(GEN!$B$70:$B$73,$A10,GEN!$P$70:$P$73)-SUMIF(GEN!$B$70:$B$73,$A10,GEN!$Q$70:$Q$73))</f>
        <v>0</v>
      </c>
      <c r="D10" s="834">
        <f>IF($C$175=0,0,SUMIF(FEB!$G$121:$M$121,$A10,FEB!$G$129:$M$129)+SUMIF(FEB!$B$70:$B$73,$A10,FEB!$P$70:$P$73)-SUMIF(FEB!$B$70:$B$73,$A10,FEB!$Q$70:$Q$73))</f>
        <v>0</v>
      </c>
      <c r="E10" s="834">
        <f>IF($C$175=0,0,SUMIF(MAR!$G$121:$M$121,$A10,MAR!$G$129:$M$129)+SUMIF(MAR!$B$70:$B$73,$A10,MAR!$P$70:$P$73)-SUMIF(MAR!$B$70:$B$73,$A10,MAR!$Q$70:$Q$73))</f>
        <v>0</v>
      </c>
      <c r="F10" s="857">
        <f t="shared" si="4"/>
        <v>0</v>
      </c>
      <c r="G10" s="833">
        <f>IF($C$175=0,0,SUMIF(APR!$G$121:$M$121,$A10,APR!$G$129:$M$129)+SUMIF(APR!$B$70:$B$73,$A10,APR!$P$70:$P$73)-SUMIF(APR!$B$70:$B$73,$A10,APR!$Q$70:$Q$73))</f>
        <v>0</v>
      </c>
      <c r="H10" s="834">
        <f>IF($C$175=0,0,SUMIF(MAG!$G$121:$M$121,$A10,MAG!$G$129:$M$129)+SUMIF(MAG!$B$70:$B$73,$A10,MAG!$P$70:$P$73)-SUMIF(MAG!$B$70:$B$73,$A10,MAG!$Q$70:$Q$73))</f>
        <v>0</v>
      </c>
      <c r="I10" s="834">
        <f>IF($C$175=0,0,SUMIF(GIU!$G$121:$M$121,$A10,GIU!$G$129:$M$129)+SUMIF(GIU!$B$70:$B$73,$A10,GIU!$P$70:$P$73)-SUMIF(GIU!$B$70:$B$73,$A10,GIU!$Q$70:$Q$73))</f>
        <v>0</v>
      </c>
      <c r="J10" s="857">
        <f t="shared" si="5"/>
        <v>0</v>
      </c>
      <c r="K10" s="833">
        <f>IF($C$175=0,0,SUMIF(LUG!$G$121:$M$121,$A10,LUG!$G$129:$M$129)+SUMIF(LUG!$B$70:$B$73,$A10,LUG!$P$70:$P$73)-SUMIF(LUG!$B$70:$B$73,$A10,LUG!$Q$70:$Q$73))</f>
        <v>0</v>
      </c>
      <c r="L10" s="834">
        <f>IF($C$175=0,0,SUMIF(AGO!$G$121:$M$121,$A10,AGO!$G$129:$M$129)+SUMIF(AGO!$B$70:$B$73,$A10,AGO!$P$70:$P$73)-SUMIF(AGO!$B$70:$B$73,$A10,AGO!$Q$70:$Q$73))</f>
        <v>0</v>
      </c>
      <c r="M10" s="834">
        <f>IF($C$175=0,0,SUMIF(SET!$G$121:$M$121,$A10,SET!$G$129:$M$129)+SUMIF(SET!$B$70:$B$73,$A10,SET!$P$70:$P$73)-SUMIF(SET!$B$70:$B$73,$A10,SET!$Q$70:$Q$73))</f>
        <v>0</v>
      </c>
      <c r="N10" s="857">
        <f t="shared" si="6"/>
        <v>0</v>
      </c>
      <c r="O10" s="833">
        <f>IF($C$175=0,0,SUMIF(OTT!$G$121:$M$121,$A10,OTT!$G$129:$M$129)+SUMIF(OTT!$B$70:$B$73,$A10,OTT!$P$70:$P$73)-SUMIF(OTT!$B$70:$B$73,$A10,OTT!$Q$70:$Q$73))</f>
        <v>0</v>
      </c>
      <c r="P10" s="834">
        <f>IF($C$175=0,0,SUMIF(NOV!$G$121:$M$121,$A10,NOV!$G$129:$M$129)+SUMIF(NOV!$B$70:$B$73,$A10,NOV!$P$70:$P$73)-SUMIF(NOV!$B$70:$B$73,$A10,NOV!$Q$70:$Q$73))</f>
        <v>0</v>
      </c>
      <c r="Q10" s="834">
        <f>IF($C$175=0,0,SUMIF(DIC!$G$121:$M$121,$A10,DIC!$G$129:$M$129)+SUMIF(DIC!$B$70:$B$73,$A10,DIC!$P$70:$P$73)-SUMIF(DIC!$B$70:$B$73,$A10,DIC!$Q$70:$Q$73))</f>
        <v>0</v>
      </c>
      <c r="R10" s="857">
        <f t="shared" si="7"/>
        <v>0</v>
      </c>
      <c r="S10" s="27"/>
      <c r="T10" s="861">
        <f t="shared" si="8"/>
        <v>0</v>
      </c>
      <c r="U10" s="25"/>
    </row>
    <row r="11" spans="1:21" x14ac:dyDescent="0.2">
      <c r="A11" s="1253" t="str">
        <f>IMPOSTAZIONI!W11</f>
        <v>14</v>
      </c>
      <c r="B11" s="853" t="str">
        <f>IF(A11="","",IMPOSTAZIONI!Y135)</f>
        <v/>
      </c>
      <c r="C11" s="833">
        <f>IF($C$175=0,0,SUMIF(GEN!$G$121:$M$121,$A11,GEN!$G$129:$M$129)+SUMIF(GEN!$B$70:$B$73,$A11,GEN!$P$70:$P$73)-SUMIF(GEN!$B$70:$B$73,$A11,GEN!$Q$70:$Q$73))</f>
        <v>0</v>
      </c>
      <c r="D11" s="834">
        <f>IF($C$175=0,0,SUMIF(FEB!$G$121:$M$121,$A11,FEB!$G$129:$M$129)+SUMIF(FEB!$B$70:$B$73,$A11,FEB!$P$70:$P$73)-SUMIF(FEB!$B$70:$B$73,$A11,FEB!$Q$70:$Q$73))</f>
        <v>0</v>
      </c>
      <c r="E11" s="834">
        <f>IF($C$175=0,0,SUMIF(MAR!$G$121:$M$121,$A11,MAR!$G$129:$M$129)+SUMIF(MAR!$B$70:$B$73,$A11,MAR!$P$70:$P$73)-SUMIF(MAR!$B$70:$B$73,$A11,MAR!$Q$70:$Q$73))</f>
        <v>0</v>
      </c>
      <c r="F11" s="857">
        <f t="shared" si="4"/>
        <v>0</v>
      </c>
      <c r="G11" s="833">
        <f>IF($C$175=0,0,SUMIF(APR!$G$121:$M$121,$A11,APR!$G$129:$M$129)+SUMIF(APR!$B$70:$B$73,$A11,APR!$P$70:$P$73)-SUMIF(APR!$B$70:$B$73,$A11,APR!$Q$70:$Q$73))</f>
        <v>0</v>
      </c>
      <c r="H11" s="834">
        <f>IF($C$175=0,0,SUMIF(MAG!$G$121:$M$121,$A11,MAG!$G$129:$M$129)+SUMIF(MAG!$B$70:$B$73,$A11,MAG!$P$70:$P$73)-SUMIF(MAG!$B$70:$B$73,$A11,MAG!$Q$70:$Q$73))</f>
        <v>0</v>
      </c>
      <c r="I11" s="834">
        <f>IF($C$175=0,0,SUMIF(GIU!$G$121:$M$121,$A11,GIU!$G$129:$M$129)+SUMIF(GIU!$B$70:$B$73,$A11,GIU!$P$70:$P$73)-SUMIF(GIU!$B$70:$B$73,$A11,GIU!$Q$70:$Q$73))</f>
        <v>0</v>
      </c>
      <c r="J11" s="857">
        <f t="shared" si="5"/>
        <v>0</v>
      </c>
      <c r="K11" s="833">
        <f>IF($C$175=0,0,SUMIF(LUG!$G$121:$M$121,$A11,LUG!$G$129:$M$129)+SUMIF(LUG!$B$70:$B$73,$A11,LUG!$P$70:$P$73)-SUMIF(LUG!$B$70:$B$73,$A11,LUG!$Q$70:$Q$73))</f>
        <v>0</v>
      </c>
      <c r="L11" s="834">
        <f>IF($C$175=0,0,SUMIF(AGO!$G$121:$M$121,$A11,AGO!$G$129:$M$129)+SUMIF(AGO!$B$70:$B$73,$A11,AGO!$P$70:$P$73)-SUMIF(AGO!$B$70:$B$73,$A11,AGO!$Q$70:$Q$73))</f>
        <v>0</v>
      </c>
      <c r="M11" s="834">
        <f>IF($C$175=0,0,SUMIF(SET!$G$121:$M$121,$A11,SET!$G$129:$M$129)+SUMIF(SET!$B$70:$B$73,$A11,SET!$P$70:$P$73)-SUMIF(SET!$B$70:$B$73,$A11,SET!$Q$70:$Q$73))</f>
        <v>0</v>
      </c>
      <c r="N11" s="857">
        <f t="shared" si="6"/>
        <v>0</v>
      </c>
      <c r="O11" s="833">
        <f>IF($C$175=0,0,SUMIF(OTT!$G$121:$M$121,$A11,OTT!$G$129:$M$129)+SUMIF(OTT!$B$70:$B$73,$A11,OTT!$P$70:$P$73)-SUMIF(OTT!$B$70:$B$73,$A11,OTT!$Q$70:$Q$73))</f>
        <v>0</v>
      </c>
      <c r="P11" s="834">
        <f>IF($C$175=0,0,SUMIF(NOV!$G$121:$M$121,$A11,NOV!$G$129:$M$129)+SUMIF(NOV!$B$70:$B$73,$A11,NOV!$P$70:$P$73)-SUMIF(NOV!$B$70:$B$73,$A11,NOV!$Q$70:$Q$73))</f>
        <v>0</v>
      </c>
      <c r="Q11" s="834">
        <f>IF($C$175=0,0,SUMIF(DIC!$G$121:$M$121,$A11,DIC!$G$129:$M$129)+SUMIF(DIC!$B$70:$B$73,$A11,DIC!$P$70:$P$73)-SUMIF(DIC!$B$70:$B$73,$A11,DIC!$Q$70:$Q$73))</f>
        <v>0</v>
      </c>
      <c r="R11" s="857">
        <f t="shared" si="7"/>
        <v>0</v>
      </c>
      <c r="S11" s="27"/>
      <c r="T11" s="861">
        <f t="shared" si="8"/>
        <v>0</v>
      </c>
      <c r="U11" s="25"/>
    </row>
    <row r="12" spans="1:21" x14ac:dyDescent="0.2">
      <c r="A12" s="1253" t="str">
        <f>IMPOSTAZIONI!W12</f>
        <v>15</v>
      </c>
      <c r="B12" s="853" t="str">
        <f>IF(A12="","",IMPOSTAZIONI!Y136)</f>
        <v/>
      </c>
      <c r="C12" s="833">
        <f>IF($C$175=0,0,SUMIF(GEN!$G$121:$M$121,$A12,GEN!$G$129:$M$129)+SUMIF(GEN!$B$70:$B$73,$A12,GEN!$P$70:$P$73)-SUMIF(GEN!$B$70:$B$73,$A12,GEN!$Q$70:$Q$73))</f>
        <v>0</v>
      </c>
      <c r="D12" s="834">
        <f>IF($C$175=0,0,SUMIF(FEB!$G$121:$M$121,$A12,FEB!$G$129:$M$129)+SUMIF(FEB!$B$70:$B$73,$A12,FEB!$P$70:$P$73)-SUMIF(FEB!$B$70:$B$73,$A12,FEB!$Q$70:$Q$73))</f>
        <v>0</v>
      </c>
      <c r="E12" s="834">
        <f>IF($C$175=0,0,SUMIF(MAR!$G$121:$M$121,$A12,MAR!$G$129:$M$129)+SUMIF(MAR!$B$70:$B$73,$A12,MAR!$P$70:$P$73)-SUMIF(MAR!$B$70:$B$73,$A12,MAR!$Q$70:$Q$73))</f>
        <v>0</v>
      </c>
      <c r="F12" s="857">
        <f t="shared" si="4"/>
        <v>0</v>
      </c>
      <c r="G12" s="833">
        <f>IF($C$175=0,0,SUMIF(APR!$G$121:$M$121,$A12,APR!$G$129:$M$129)+SUMIF(APR!$B$70:$B$73,$A12,APR!$P$70:$P$73)-SUMIF(APR!$B$70:$B$73,$A12,APR!$Q$70:$Q$73))</f>
        <v>0</v>
      </c>
      <c r="H12" s="834">
        <f>IF($C$175=0,0,SUMIF(MAG!$G$121:$M$121,$A12,MAG!$G$129:$M$129)+SUMIF(MAG!$B$70:$B$73,$A12,MAG!$P$70:$P$73)-SUMIF(MAG!$B$70:$B$73,$A12,MAG!$Q$70:$Q$73))</f>
        <v>0</v>
      </c>
      <c r="I12" s="834">
        <f>IF($C$175=0,0,SUMIF(GIU!$G$121:$M$121,$A12,GIU!$G$129:$M$129)+SUMIF(GIU!$B$70:$B$73,$A12,GIU!$P$70:$P$73)-SUMIF(GIU!$B$70:$B$73,$A12,GIU!$Q$70:$Q$73))</f>
        <v>0</v>
      </c>
      <c r="J12" s="857">
        <f t="shared" si="5"/>
        <v>0</v>
      </c>
      <c r="K12" s="833">
        <f>IF($C$175=0,0,SUMIF(LUG!$G$121:$M$121,$A12,LUG!$G$129:$M$129)+SUMIF(LUG!$B$70:$B$73,$A12,LUG!$P$70:$P$73)-SUMIF(LUG!$B$70:$B$73,$A12,LUG!$Q$70:$Q$73))</f>
        <v>0</v>
      </c>
      <c r="L12" s="834">
        <f>IF($C$175=0,0,SUMIF(AGO!$G$121:$M$121,$A12,AGO!$G$129:$M$129)+SUMIF(AGO!$B$70:$B$73,$A12,AGO!$P$70:$P$73)-SUMIF(AGO!$B$70:$B$73,$A12,AGO!$Q$70:$Q$73))</f>
        <v>0</v>
      </c>
      <c r="M12" s="834">
        <f>IF($C$175=0,0,SUMIF(SET!$G$121:$M$121,$A12,SET!$G$129:$M$129)+SUMIF(SET!$B$70:$B$73,$A12,SET!$P$70:$P$73)-SUMIF(SET!$B$70:$B$73,$A12,SET!$Q$70:$Q$73))</f>
        <v>0</v>
      </c>
      <c r="N12" s="857">
        <f t="shared" si="6"/>
        <v>0</v>
      </c>
      <c r="O12" s="833">
        <f>IF($C$175=0,0,SUMIF(OTT!$G$121:$M$121,$A12,OTT!$G$129:$M$129)+SUMIF(OTT!$B$70:$B$73,$A12,OTT!$P$70:$P$73)-SUMIF(OTT!$B$70:$B$73,$A12,OTT!$Q$70:$Q$73))</f>
        <v>0</v>
      </c>
      <c r="P12" s="834">
        <f>IF($C$175=0,0,SUMIF(NOV!$G$121:$M$121,$A12,NOV!$G$129:$M$129)+SUMIF(NOV!$B$70:$B$73,$A12,NOV!$P$70:$P$73)-SUMIF(NOV!$B$70:$B$73,$A12,NOV!$Q$70:$Q$73))</f>
        <v>0</v>
      </c>
      <c r="Q12" s="834">
        <f>IF($C$175=0,0,SUMIF(DIC!$G$121:$M$121,$A12,DIC!$G$129:$M$129)+SUMIF(DIC!$B$70:$B$73,$A12,DIC!$P$70:$P$73)-SUMIF(DIC!$B$70:$B$73,$A12,DIC!$Q$70:$Q$73))</f>
        <v>0</v>
      </c>
      <c r="R12" s="857">
        <f t="shared" si="7"/>
        <v>0</v>
      </c>
      <c r="S12" s="27"/>
      <c r="T12" s="861">
        <f t="shared" si="8"/>
        <v>0</v>
      </c>
      <c r="U12" s="25"/>
    </row>
    <row r="13" spans="1:21" x14ac:dyDescent="0.2">
      <c r="A13" s="1253" t="str">
        <f>IMPOSTAZIONI!W13</f>
        <v>16</v>
      </c>
      <c r="B13" s="853" t="str">
        <f>IF(A13="","",IMPOSTAZIONI!Y137)</f>
        <v/>
      </c>
      <c r="C13" s="833">
        <f>IF($C$175=0,0,SUMIF(GEN!$G$121:$M$121,$A13,GEN!$G$129:$M$129)+SUMIF(GEN!$B$70:$B$73,$A13,GEN!$P$70:$P$73)-SUMIF(GEN!$B$70:$B$73,$A13,GEN!$Q$70:$Q$73))</f>
        <v>0</v>
      </c>
      <c r="D13" s="834">
        <f>IF($C$175=0,0,SUMIF(FEB!$G$121:$M$121,$A13,FEB!$G$129:$M$129)+SUMIF(FEB!$B$70:$B$73,$A13,FEB!$P$70:$P$73)-SUMIF(FEB!$B$70:$B$73,$A13,FEB!$Q$70:$Q$73))</f>
        <v>0</v>
      </c>
      <c r="E13" s="834">
        <f>IF($C$175=0,0,SUMIF(MAR!$G$121:$M$121,$A13,MAR!$G$129:$M$129)+SUMIF(MAR!$B$70:$B$73,$A13,MAR!$P$70:$P$73)-SUMIF(MAR!$B$70:$B$73,$A13,MAR!$Q$70:$Q$73))</f>
        <v>0</v>
      </c>
      <c r="F13" s="857">
        <f t="shared" si="4"/>
        <v>0</v>
      </c>
      <c r="G13" s="833">
        <f>IF($C$175=0,0,SUMIF(APR!$G$121:$M$121,$A13,APR!$G$129:$M$129)+SUMIF(APR!$B$70:$B$73,$A13,APR!$P$70:$P$73)-SUMIF(APR!$B$70:$B$73,$A13,APR!$Q$70:$Q$73))</f>
        <v>0</v>
      </c>
      <c r="H13" s="834">
        <f>IF($C$175=0,0,SUMIF(MAG!$G$121:$M$121,$A13,MAG!$G$129:$M$129)+SUMIF(MAG!$B$70:$B$73,$A13,MAG!$P$70:$P$73)-SUMIF(MAG!$B$70:$B$73,$A13,MAG!$Q$70:$Q$73))</f>
        <v>0</v>
      </c>
      <c r="I13" s="834">
        <f>IF($C$175=0,0,SUMIF(GIU!$G$121:$M$121,$A13,GIU!$G$129:$M$129)+SUMIF(GIU!$B$70:$B$73,$A13,GIU!$P$70:$P$73)-SUMIF(GIU!$B$70:$B$73,$A13,GIU!$Q$70:$Q$73))</f>
        <v>0</v>
      </c>
      <c r="J13" s="857">
        <f t="shared" si="5"/>
        <v>0</v>
      </c>
      <c r="K13" s="833">
        <f>IF($C$175=0,0,SUMIF(LUG!$G$121:$M$121,$A13,LUG!$G$129:$M$129)+SUMIF(LUG!$B$70:$B$73,$A13,LUG!$P$70:$P$73)-SUMIF(LUG!$B$70:$B$73,$A13,LUG!$Q$70:$Q$73))</f>
        <v>0</v>
      </c>
      <c r="L13" s="834">
        <f>IF($C$175=0,0,SUMIF(AGO!$G$121:$M$121,$A13,AGO!$G$129:$M$129)+SUMIF(AGO!$B$70:$B$73,$A13,AGO!$P$70:$P$73)-SUMIF(AGO!$B$70:$B$73,$A13,AGO!$Q$70:$Q$73))</f>
        <v>0</v>
      </c>
      <c r="M13" s="834">
        <f>IF($C$175=0,0,SUMIF(SET!$G$121:$M$121,$A13,SET!$G$129:$M$129)+SUMIF(SET!$B$70:$B$73,$A13,SET!$P$70:$P$73)-SUMIF(SET!$B$70:$B$73,$A13,SET!$Q$70:$Q$73))</f>
        <v>0</v>
      </c>
      <c r="N13" s="857">
        <f t="shared" si="6"/>
        <v>0</v>
      </c>
      <c r="O13" s="833">
        <f>IF($C$175=0,0,SUMIF(OTT!$G$121:$M$121,$A13,OTT!$G$129:$M$129)+SUMIF(OTT!$B$70:$B$73,$A13,OTT!$P$70:$P$73)-SUMIF(OTT!$B$70:$B$73,$A13,OTT!$Q$70:$Q$73))</f>
        <v>0</v>
      </c>
      <c r="P13" s="834">
        <f>IF($C$175=0,0,SUMIF(NOV!$G$121:$M$121,$A13,NOV!$G$129:$M$129)+SUMIF(NOV!$B$70:$B$73,$A13,NOV!$P$70:$P$73)-SUMIF(NOV!$B$70:$B$73,$A13,NOV!$Q$70:$Q$73))</f>
        <v>0</v>
      </c>
      <c r="Q13" s="834">
        <f>IF($C$175=0,0,SUMIF(DIC!$G$121:$M$121,$A13,DIC!$G$129:$M$129)+SUMIF(DIC!$B$70:$B$73,$A13,DIC!$P$70:$P$73)-SUMIF(DIC!$B$70:$B$73,$A13,DIC!$Q$70:$Q$73))</f>
        <v>0</v>
      </c>
      <c r="R13" s="857">
        <f t="shared" si="7"/>
        <v>0</v>
      </c>
      <c r="S13" s="27"/>
      <c r="T13" s="861">
        <f t="shared" si="8"/>
        <v>0</v>
      </c>
      <c r="U13" s="25"/>
    </row>
    <row r="14" spans="1:21" x14ac:dyDescent="0.2">
      <c r="A14" s="1253" t="str">
        <f>IMPOSTAZIONI!W14</f>
        <v>17</v>
      </c>
      <c r="B14" s="853" t="str">
        <f>IF(A14="","",IMPOSTAZIONI!Y138)</f>
        <v/>
      </c>
      <c r="C14" s="833">
        <f>IF($C$175=0,0,SUMIF(GEN!$G$121:$M$121,$A14,GEN!$G$129:$M$129)+SUMIF(GEN!$B$70:$B$73,$A14,GEN!$P$70:$P$73)-SUMIF(GEN!$B$70:$B$73,$A14,GEN!$Q$70:$Q$73))</f>
        <v>0</v>
      </c>
      <c r="D14" s="834">
        <f>IF($C$175=0,0,SUMIF(FEB!$G$121:$M$121,$A14,FEB!$G$129:$M$129)+SUMIF(FEB!$B$70:$B$73,$A14,FEB!$P$70:$P$73)-SUMIF(FEB!$B$70:$B$73,$A14,FEB!$Q$70:$Q$73))</f>
        <v>0</v>
      </c>
      <c r="E14" s="834">
        <f>IF($C$175=0,0,SUMIF(MAR!$G$121:$M$121,$A14,MAR!$G$129:$M$129)+SUMIF(MAR!$B$70:$B$73,$A14,MAR!$P$70:$P$73)-SUMIF(MAR!$B$70:$B$73,$A14,MAR!$Q$70:$Q$73))</f>
        <v>0</v>
      </c>
      <c r="F14" s="857">
        <f t="shared" si="4"/>
        <v>0</v>
      </c>
      <c r="G14" s="833">
        <f>IF($C$175=0,0,SUMIF(APR!$G$121:$M$121,$A14,APR!$G$129:$M$129)+SUMIF(APR!$B$70:$B$73,$A14,APR!$P$70:$P$73)-SUMIF(APR!$B$70:$B$73,$A14,APR!$Q$70:$Q$73))</f>
        <v>0</v>
      </c>
      <c r="H14" s="834">
        <f>IF($C$175=0,0,SUMIF(MAG!$G$121:$M$121,$A14,MAG!$G$129:$M$129)+SUMIF(MAG!$B$70:$B$73,$A14,MAG!$P$70:$P$73)-SUMIF(MAG!$B$70:$B$73,$A14,MAG!$Q$70:$Q$73))</f>
        <v>0</v>
      </c>
      <c r="I14" s="834">
        <f>IF($C$175=0,0,SUMIF(GIU!$G$121:$M$121,$A14,GIU!$G$129:$M$129)+SUMIF(GIU!$B$70:$B$73,$A14,GIU!$P$70:$P$73)-SUMIF(GIU!$B$70:$B$73,$A14,GIU!$Q$70:$Q$73))</f>
        <v>0</v>
      </c>
      <c r="J14" s="857">
        <f t="shared" si="5"/>
        <v>0</v>
      </c>
      <c r="K14" s="833">
        <f>IF($C$175=0,0,SUMIF(LUG!$G$121:$M$121,$A14,LUG!$G$129:$M$129)+SUMIF(LUG!$B$70:$B$73,$A14,LUG!$P$70:$P$73)-SUMIF(LUG!$B$70:$B$73,$A14,LUG!$Q$70:$Q$73))</f>
        <v>0</v>
      </c>
      <c r="L14" s="834">
        <f>IF($C$175=0,0,SUMIF(AGO!$G$121:$M$121,$A14,AGO!$G$129:$M$129)+SUMIF(AGO!$B$70:$B$73,$A14,AGO!$P$70:$P$73)-SUMIF(AGO!$B$70:$B$73,$A14,AGO!$Q$70:$Q$73))</f>
        <v>0</v>
      </c>
      <c r="M14" s="834">
        <f>IF($C$175=0,0,SUMIF(SET!$G$121:$M$121,$A14,SET!$G$129:$M$129)+SUMIF(SET!$B$70:$B$73,$A14,SET!$P$70:$P$73)-SUMIF(SET!$B$70:$B$73,$A14,SET!$Q$70:$Q$73))</f>
        <v>0</v>
      </c>
      <c r="N14" s="857">
        <f t="shared" si="6"/>
        <v>0</v>
      </c>
      <c r="O14" s="833">
        <f>IF($C$175=0,0,SUMIF(OTT!$G$121:$M$121,$A14,OTT!$G$129:$M$129)+SUMIF(OTT!$B$70:$B$73,$A14,OTT!$P$70:$P$73)-SUMIF(OTT!$B$70:$B$73,$A14,OTT!$Q$70:$Q$73))</f>
        <v>0</v>
      </c>
      <c r="P14" s="834">
        <f>IF($C$175=0,0,SUMIF(NOV!$G$121:$M$121,$A14,NOV!$G$129:$M$129)+SUMIF(NOV!$B$70:$B$73,$A14,NOV!$P$70:$P$73)-SUMIF(NOV!$B$70:$B$73,$A14,NOV!$Q$70:$Q$73))</f>
        <v>0</v>
      </c>
      <c r="Q14" s="834">
        <f>IF($C$175=0,0,SUMIF(DIC!$G$121:$M$121,$A14,DIC!$G$129:$M$129)+SUMIF(DIC!$B$70:$B$73,$A14,DIC!$P$70:$P$73)-SUMIF(DIC!$B$70:$B$73,$A14,DIC!$Q$70:$Q$73))</f>
        <v>0</v>
      </c>
      <c r="R14" s="857">
        <f t="shared" si="7"/>
        <v>0</v>
      </c>
      <c r="S14" s="27"/>
      <c r="T14" s="861">
        <f t="shared" si="8"/>
        <v>0</v>
      </c>
      <c r="U14" s="25"/>
    </row>
    <row r="15" spans="1:21" x14ac:dyDescent="0.2">
      <c r="A15" s="1253" t="str">
        <f>IMPOSTAZIONI!W15</f>
        <v>18</v>
      </c>
      <c r="B15" s="853" t="str">
        <f>IF(A15="","",IMPOSTAZIONI!Y139)</f>
        <v/>
      </c>
      <c r="C15" s="833">
        <f>IF($C$175=0,0,SUMIF(GEN!$G$121:$M$121,$A15,GEN!$G$129:$M$129)+SUMIF(GEN!$B$70:$B$73,$A15,GEN!$P$70:$P$73)-SUMIF(GEN!$B$70:$B$73,$A15,GEN!$Q$70:$Q$73))</f>
        <v>0</v>
      </c>
      <c r="D15" s="834">
        <f>IF($C$175=0,0,SUMIF(FEB!$G$121:$M$121,$A15,FEB!$G$129:$M$129)+SUMIF(FEB!$B$70:$B$73,$A15,FEB!$P$70:$P$73)-SUMIF(FEB!$B$70:$B$73,$A15,FEB!$Q$70:$Q$73))</f>
        <v>0</v>
      </c>
      <c r="E15" s="834">
        <f>IF($C$175=0,0,SUMIF(MAR!$G$121:$M$121,$A15,MAR!$G$129:$M$129)+SUMIF(MAR!$B$70:$B$73,$A15,MAR!$P$70:$P$73)-SUMIF(MAR!$B$70:$B$73,$A15,MAR!$Q$70:$Q$73))</f>
        <v>0</v>
      </c>
      <c r="F15" s="857">
        <f t="shared" si="4"/>
        <v>0</v>
      </c>
      <c r="G15" s="833">
        <f>IF($C$175=0,0,SUMIF(APR!$G$121:$M$121,$A15,APR!$G$129:$M$129)+SUMIF(APR!$B$70:$B$73,$A15,APR!$P$70:$P$73)-SUMIF(APR!$B$70:$B$73,$A15,APR!$Q$70:$Q$73))</f>
        <v>0</v>
      </c>
      <c r="H15" s="834">
        <f>IF($C$175=0,0,SUMIF(MAG!$G$121:$M$121,$A15,MAG!$G$129:$M$129)+SUMIF(MAG!$B$70:$B$73,$A15,MAG!$P$70:$P$73)-SUMIF(MAG!$B$70:$B$73,$A15,MAG!$Q$70:$Q$73))</f>
        <v>0</v>
      </c>
      <c r="I15" s="834">
        <f>IF($C$175=0,0,SUMIF(GIU!$G$121:$M$121,$A15,GIU!$G$129:$M$129)+SUMIF(GIU!$B$70:$B$73,$A15,GIU!$P$70:$P$73)-SUMIF(GIU!$B$70:$B$73,$A15,GIU!$Q$70:$Q$73))</f>
        <v>0</v>
      </c>
      <c r="J15" s="857">
        <f t="shared" si="5"/>
        <v>0</v>
      </c>
      <c r="K15" s="833">
        <f>IF($C$175=0,0,SUMIF(LUG!$G$121:$M$121,$A15,LUG!$G$129:$M$129)+SUMIF(LUG!$B$70:$B$73,$A15,LUG!$P$70:$P$73)-SUMIF(LUG!$B$70:$B$73,$A15,LUG!$Q$70:$Q$73))</f>
        <v>0</v>
      </c>
      <c r="L15" s="834">
        <f>IF($C$175=0,0,SUMIF(AGO!$G$121:$M$121,$A15,AGO!$G$129:$M$129)+SUMIF(AGO!$B$70:$B$73,$A15,AGO!$P$70:$P$73)-SUMIF(AGO!$B$70:$B$73,$A15,AGO!$Q$70:$Q$73))</f>
        <v>0</v>
      </c>
      <c r="M15" s="834">
        <f>IF($C$175=0,0,SUMIF(SET!$G$121:$M$121,$A15,SET!$G$129:$M$129)+SUMIF(SET!$B$70:$B$73,$A15,SET!$P$70:$P$73)-SUMIF(SET!$B$70:$B$73,$A15,SET!$Q$70:$Q$73))</f>
        <v>0</v>
      </c>
      <c r="N15" s="857">
        <f t="shared" si="6"/>
        <v>0</v>
      </c>
      <c r="O15" s="833">
        <f>IF($C$175=0,0,SUMIF(OTT!$G$121:$M$121,$A15,OTT!$G$129:$M$129)+SUMIF(OTT!$B$70:$B$73,$A15,OTT!$P$70:$P$73)-SUMIF(OTT!$B$70:$B$73,$A15,OTT!$Q$70:$Q$73))</f>
        <v>0</v>
      </c>
      <c r="P15" s="834">
        <f>IF($C$175=0,0,SUMIF(NOV!$G$121:$M$121,$A15,NOV!$G$129:$M$129)+SUMIF(NOV!$B$70:$B$73,$A15,NOV!$P$70:$P$73)-SUMIF(NOV!$B$70:$B$73,$A15,NOV!$Q$70:$Q$73))</f>
        <v>0</v>
      </c>
      <c r="Q15" s="834">
        <f>IF($C$175=0,0,SUMIF(DIC!$G$121:$M$121,$A15,DIC!$G$129:$M$129)+SUMIF(DIC!$B$70:$B$73,$A15,DIC!$P$70:$P$73)-SUMIF(DIC!$B$70:$B$73,$A15,DIC!$Q$70:$Q$73))</f>
        <v>0</v>
      </c>
      <c r="R15" s="857">
        <f t="shared" si="7"/>
        <v>0</v>
      </c>
      <c r="S15" s="27"/>
      <c r="T15" s="861">
        <f t="shared" si="8"/>
        <v>0</v>
      </c>
      <c r="U15" s="25"/>
    </row>
    <row r="16" spans="1:21" ht="18" customHeight="1" x14ac:dyDescent="0.2">
      <c r="A16" s="1253" t="str">
        <f>IMPOSTAZIONI!W16</f>
        <v>19</v>
      </c>
      <c r="B16" s="854" t="str">
        <f>IF(A16="","",IMPOSTAZIONI!Y140)</f>
        <v/>
      </c>
      <c r="C16" s="835">
        <f>IF($C$175=0,0,SUMIF(GEN!$G$121:$M$121,$A16,GEN!$G$129:$M$129)+SUMIF(GEN!$B$70:$B$73,$A16,GEN!$P$70:$P$73)-SUMIF(GEN!$B$70:$B$73,$A16,GEN!$Q$70:$Q$73))</f>
        <v>0</v>
      </c>
      <c r="D16" s="836">
        <f>IF($C$175=0,0,SUMIF(FEB!$G$121:$M$121,$A16,FEB!$G$129:$M$129)+SUMIF(FEB!$B$70:$B$73,$A16,FEB!$P$70:$P$73)-SUMIF(FEB!$B$70:$B$73,$A16,FEB!$Q$70:$Q$73))</f>
        <v>0</v>
      </c>
      <c r="E16" s="836">
        <f>IF($C$175=0,0,SUMIF(MAR!$G$121:$M$121,$A16,MAR!$G$129:$M$129)+SUMIF(MAR!$B$70:$B$73,$A16,MAR!$P$70:$P$73)-SUMIF(MAR!$B$70:$B$73,$A16,MAR!$Q$70:$Q$73))</f>
        <v>0</v>
      </c>
      <c r="F16" s="858">
        <f t="shared" si="4"/>
        <v>0</v>
      </c>
      <c r="G16" s="835">
        <f>IF($C$175=0,0,SUMIF(APR!$G$121:$M$121,$A16,APR!$G$129:$M$129)+SUMIF(APR!$B$70:$B$73,$A16,APR!$P$70:$P$73)-SUMIF(APR!$B$70:$B$73,$A16,APR!$Q$70:$Q$73))</f>
        <v>0</v>
      </c>
      <c r="H16" s="836">
        <f>IF($C$175=0,0,SUMIF(MAG!$G$121:$M$121,$A16,MAG!$G$129:$M$129)+SUMIF(MAG!$B$70:$B$73,$A16,MAG!$P$70:$P$73)-SUMIF(MAG!$B$70:$B$73,$A16,MAG!$Q$70:$Q$73))</f>
        <v>0</v>
      </c>
      <c r="I16" s="836">
        <f>IF($C$175=0,0,SUMIF(GIU!$G$121:$M$121,$A16,GIU!$G$129:$M$129)+SUMIF(GIU!$B$70:$B$73,$A16,GIU!$P$70:$P$73)-SUMIF(GIU!$B$70:$B$73,$A16,GIU!$Q$70:$Q$73))</f>
        <v>0</v>
      </c>
      <c r="J16" s="858">
        <f t="shared" si="5"/>
        <v>0</v>
      </c>
      <c r="K16" s="835">
        <f>IF($C$175=0,0,SUMIF(LUG!$G$121:$M$121,$A16,LUG!$G$129:$M$129)+SUMIF(LUG!$B$70:$B$73,$A16,LUG!$P$70:$P$73)-SUMIF(LUG!$B$70:$B$73,$A16,LUG!$Q$70:$Q$73))</f>
        <v>0</v>
      </c>
      <c r="L16" s="836">
        <f>IF($C$175=0,0,SUMIF(AGO!$G$121:$M$121,$A16,AGO!$G$129:$M$129)+SUMIF(AGO!$B$70:$B$73,$A16,AGO!$P$70:$P$73)-SUMIF(AGO!$B$70:$B$73,$A16,AGO!$Q$70:$Q$73))</f>
        <v>0</v>
      </c>
      <c r="M16" s="836">
        <f>IF($C$175=0,0,SUMIF(SET!$G$121:$M$121,$A16,SET!$G$129:$M$129)+SUMIF(SET!$B$70:$B$73,$A16,SET!$P$70:$P$73)-SUMIF(SET!$B$70:$B$73,$A16,SET!$Q$70:$Q$73))</f>
        <v>0</v>
      </c>
      <c r="N16" s="858">
        <f t="shared" si="6"/>
        <v>0</v>
      </c>
      <c r="O16" s="835">
        <f>IF($C$175=0,0,SUMIF(OTT!$G$121:$M$121,$A16,OTT!$G$129:$M$129)+SUMIF(OTT!$B$70:$B$73,$A16,OTT!$P$70:$P$73)-SUMIF(OTT!$B$70:$B$73,$A16,OTT!$Q$70:$Q$73))</f>
        <v>0</v>
      </c>
      <c r="P16" s="836">
        <f>IF($C$175=0,0,SUMIF(NOV!$G$121:$M$121,$A16,NOV!$G$129:$M$129)+SUMIF(NOV!$B$70:$B$73,$A16,NOV!$P$70:$P$73)-SUMIF(NOV!$B$70:$B$73,$A16,NOV!$Q$70:$Q$73))</f>
        <v>0</v>
      </c>
      <c r="Q16" s="836">
        <f>IF($C$175=0,0,SUMIF(DIC!$G$121:$M$121,$A16,DIC!$G$129:$M$129)+SUMIF(DIC!$B$70:$B$73,$A16,DIC!$P$70:$P$73)-SUMIF(DIC!$B$70:$B$73,$A16,DIC!$Q$70:$Q$73))</f>
        <v>0</v>
      </c>
      <c r="R16" s="858">
        <f t="shared" si="7"/>
        <v>0</v>
      </c>
      <c r="S16" s="27"/>
      <c r="T16" s="879">
        <f t="shared" si="8"/>
        <v>0</v>
      </c>
      <c r="U16" s="25"/>
    </row>
    <row r="17" spans="1:21" ht="22.5" customHeight="1" x14ac:dyDescent="0.2">
      <c r="A17" s="123"/>
      <c r="B17" s="1256" t="s">
        <v>533</v>
      </c>
      <c r="C17" s="862">
        <f>SUM(C8:C16)</f>
        <v>0</v>
      </c>
      <c r="D17" s="863">
        <f>SUM(D8:D16)</f>
        <v>0</v>
      </c>
      <c r="E17" s="863">
        <f>SUM(E8:E16)</f>
        <v>0</v>
      </c>
      <c r="F17" s="864">
        <f t="shared" si="4"/>
        <v>0</v>
      </c>
      <c r="G17" s="862">
        <f>SUM(G8:G16)</f>
        <v>0</v>
      </c>
      <c r="H17" s="863">
        <f>SUM(H8:H16)</f>
        <v>0</v>
      </c>
      <c r="I17" s="863">
        <f>SUM(I8:I16)</f>
        <v>0</v>
      </c>
      <c r="J17" s="864">
        <f t="shared" si="5"/>
        <v>0</v>
      </c>
      <c r="K17" s="862">
        <f>SUM(K8:K16)</f>
        <v>0</v>
      </c>
      <c r="L17" s="863">
        <f>SUM(L8:L16)</f>
        <v>0</v>
      </c>
      <c r="M17" s="863">
        <f>SUM(M8:M16)</f>
        <v>0</v>
      </c>
      <c r="N17" s="864">
        <f t="shared" si="6"/>
        <v>0</v>
      </c>
      <c r="O17" s="862">
        <f>SUM(O8:O16)</f>
        <v>0</v>
      </c>
      <c r="P17" s="863">
        <f>SUM(P8:P16)</f>
        <v>0</v>
      </c>
      <c r="Q17" s="863">
        <f>SUM(Q8:Q16)</f>
        <v>0</v>
      </c>
      <c r="R17" s="864">
        <f t="shared" si="7"/>
        <v>0</v>
      </c>
      <c r="S17" s="28"/>
      <c r="T17" s="865">
        <f t="shared" si="8"/>
        <v>0</v>
      </c>
      <c r="U17" s="25"/>
    </row>
    <row r="18" spans="1:21" ht="21" customHeight="1" x14ac:dyDescent="0.2">
      <c r="A18" s="123"/>
      <c r="B18" s="202" t="str">
        <f>IF(C176=B173,B173,"")</f>
        <v/>
      </c>
      <c r="C18" s="2377" t="str">
        <f>Presentazione!$D$82</f>
        <v>Questo file risulta al momento completamente funzionante ed il sistema rileva tutti i suoi fogli.</v>
      </c>
      <c r="D18" s="2377"/>
      <c r="E18" s="2377"/>
      <c r="F18" s="2377"/>
      <c r="G18" s="2377"/>
      <c r="H18" s="2377"/>
      <c r="I18" s="2377"/>
      <c r="J18" s="2377"/>
      <c r="K18" s="2377" t="str">
        <f>Presentazione!$D$82</f>
        <v>Questo file risulta al momento completamente funzionante ed il sistema rileva tutti i suoi fogli.</v>
      </c>
      <c r="L18" s="2377"/>
      <c r="M18" s="2377"/>
      <c r="N18" s="2377"/>
      <c r="O18" s="2377"/>
      <c r="P18" s="2377"/>
      <c r="Q18" s="2377"/>
      <c r="R18" s="2377"/>
      <c r="S18" s="28"/>
      <c r="T18" s="45"/>
      <c r="U18" s="25"/>
    </row>
    <row r="19" spans="1:21" ht="21" customHeight="1" x14ac:dyDescent="0.2">
      <c r="A19" s="123"/>
      <c r="B19" s="46"/>
      <c r="C19" s="194"/>
      <c r="D19" s="194"/>
      <c r="E19" s="194"/>
      <c r="F19" s="194"/>
      <c r="G19" s="194"/>
      <c r="H19" s="194"/>
      <c r="I19" s="194"/>
      <c r="J19" s="194"/>
      <c r="K19" s="194"/>
      <c r="L19" s="194"/>
      <c r="M19" s="194"/>
      <c r="N19" s="194"/>
      <c r="O19" s="194"/>
      <c r="P19" s="194"/>
      <c r="Q19" s="194"/>
      <c r="R19" s="194"/>
      <c r="S19" s="28"/>
      <c r="T19" s="45"/>
      <c r="U19" s="25"/>
    </row>
    <row r="20" spans="1:21" ht="21.75" customHeight="1" x14ac:dyDescent="0.2">
      <c r="A20" s="123"/>
      <c r="B20" s="189"/>
      <c r="C20" s="2375" t="s">
        <v>534</v>
      </c>
      <c r="D20" s="2375"/>
      <c r="E20" s="2375"/>
      <c r="F20" s="2378"/>
      <c r="G20" s="2378"/>
      <c r="H20" s="2378"/>
      <c r="I20" s="2378"/>
      <c r="J20" s="2378"/>
      <c r="K20" s="2375" t="str">
        <f>C20</f>
        <v>Riga 1: DESCRIZIONE DEI CONTI</v>
      </c>
      <c r="L20" s="2375"/>
      <c r="M20" s="2375"/>
      <c r="N20" s="2375"/>
      <c r="O20" s="2375"/>
      <c r="P20" s="44"/>
      <c r="Q20" s="44"/>
      <c r="R20" s="44"/>
      <c r="S20" s="28"/>
      <c r="T20" s="45"/>
      <c r="U20" s="25"/>
    </row>
    <row r="21" spans="1:21" ht="16.5" customHeight="1" x14ac:dyDescent="0.2">
      <c r="A21" s="123"/>
      <c r="B21" s="413" t="str">
        <f>B$4</f>
        <v>Totale EUR</v>
      </c>
      <c r="C21" s="49" t="str">
        <f t="shared" ref="C21:R21" si="9">C4</f>
        <v>Gennaio</v>
      </c>
      <c r="D21" s="49" t="str">
        <f t="shared" si="9"/>
        <v>Febbraio</v>
      </c>
      <c r="E21" s="49" t="str">
        <f t="shared" si="9"/>
        <v>Marzo</v>
      </c>
      <c r="F21" s="187" t="str">
        <f t="shared" si="9"/>
        <v>I Trim.</v>
      </c>
      <c r="G21" s="49" t="str">
        <f t="shared" si="9"/>
        <v>Aprile</v>
      </c>
      <c r="H21" s="49" t="str">
        <f t="shared" si="9"/>
        <v>Maggio</v>
      </c>
      <c r="I21" s="49" t="str">
        <f t="shared" si="9"/>
        <v>Giugno</v>
      </c>
      <c r="J21" s="187" t="str">
        <f t="shared" si="9"/>
        <v>II Trim.</v>
      </c>
      <c r="K21" s="49" t="str">
        <f t="shared" si="9"/>
        <v>Luglio</v>
      </c>
      <c r="L21" s="49" t="str">
        <f t="shared" si="9"/>
        <v>Agosto</v>
      </c>
      <c r="M21" s="49" t="str">
        <f t="shared" si="9"/>
        <v>Settembre</v>
      </c>
      <c r="N21" s="187" t="str">
        <f t="shared" si="9"/>
        <v>III Trim.</v>
      </c>
      <c r="O21" s="49" t="str">
        <f t="shared" si="9"/>
        <v>Ottobre</v>
      </c>
      <c r="P21" s="49" t="str">
        <f t="shared" si="9"/>
        <v>Novembre</v>
      </c>
      <c r="Q21" s="49" t="str">
        <f t="shared" si="9"/>
        <v>Dicembre</v>
      </c>
      <c r="R21" s="187" t="str">
        <f t="shared" si="9"/>
        <v>IV Trim.</v>
      </c>
      <c r="S21" s="28"/>
      <c r="T21" s="188" t="str">
        <f>CONCATENATE(T$3," ",T$4)</f>
        <v>ANNO 2024</v>
      </c>
      <c r="U21" s="25"/>
    </row>
    <row r="22" spans="1:21" ht="18" customHeight="1" x14ac:dyDescent="0.2">
      <c r="A22" s="47">
        <f>IF(C$175=0,0,1)</f>
        <v>0</v>
      </c>
      <c r="B22" s="866" t="str">
        <f>IF(A22=0,"",VLOOKUP(A22,IMPOSTAZIONI!$B$367:$AQ$376,42,FALSE))</f>
        <v/>
      </c>
      <c r="C22" s="867">
        <f>IF($A22=0,0,VLOOKUP($A22,IMPOSTAZIONI!$B$367:$AM$376,C$108,FALSE))</f>
        <v>0</v>
      </c>
      <c r="D22" s="868">
        <f>IF($A22=0,0,VLOOKUP($A22,IMPOSTAZIONI!$B$367:$AM$376,D$108,FALSE))</f>
        <v>0</v>
      </c>
      <c r="E22" s="868">
        <f>IF($A22=0,0,VLOOKUP($A22,IMPOSTAZIONI!$B$367:$AM$376,E$108,FALSE))</f>
        <v>0</v>
      </c>
      <c r="F22" s="869">
        <f>SUM(C22:E22)</f>
        <v>0</v>
      </c>
      <c r="G22" s="867">
        <f>IF($A22=0,0,VLOOKUP($A22,IMPOSTAZIONI!$B$367:$AM$376,G$108,FALSE))</f>
        <v>0</v>
      </c>
      <c r="H22" s="868">
        <f>IF($A22=0,0,VLOOKUP($A22,IMPOSTAZIONI!$B$367:$AM$376,H$108,FALSE))</f>
        <v>0</v>
      </c>
      <c r="I22" s="868">
        <f>IF($A22=0,0,VLOOKUP($A22,IMPOSTAZIONI!$B$367:$AM$376,I$108,FALSE))</f>
        <v>0</v>
      </c>
      <c r="J22" s="869">
        <f>SUM(G22:I22)</f>
        <v>0</v>
      </c>
      <c r="K22" s="867">
        <f>IF($A22=0,0,VLOOKUP($A22,IMPOSTAZIONI!$B$367:$AM$376,K$108,FALSE))</f>
        <v>0</v>
      </c>
      <c r="L22" s="868">
        <f>IF($A22=0,0,VLOOKUP($A22,IMPOSTAZIONI!$B$367:$AM$376,L$108,FALSE))</f>
        <v>0</v>
      </c>
      <c r="M22" s="868">
        <f>IF($A22=0,0,VLOOKUP($A22,IMPOSTAZIONI!$B$367:$AM$376,M$108,FALSE))</f>
        <v>0</v>
      </c>
      <c r="N22" s="869">
        <f>SUM(K22:M22)</f>
        <v>0</v>
      </c>
      <c r="O22" s="867">
        <f>IF($A22=0,0,VLOOKUP($A22,IMPOSTAZIONI!$B$367:$AM$376,O$108,FALSE))</f>
        <v>0</v>
      </c>
      <c r="P22" s="868">
        <f>IF($A22=0,0,VLOOKUP($A22,IMPOSTAZIONI!$B$367:$AM$376,P$108,FALSE))</f>
        <v>0</v>
      </c>
      <c r="Q22" s="868">
        <f>IF($A22=0,0,VLOOKUP($A22,IMPOSTAZIONI!$B$367:$AM$376,Q$108,FALSE))</f>
        <v>0</v>
      </c>
      <c r="R22" s="869">
        <f>SUM(O22:Q22)</f>
        <v>0</v>
      </c>
      <c r="S22" s="28"/>
      <c r="T22" s="870">
        <f>F22+J22+N22+R22</f>
        <v>0</v>
      </c>
      <c r="U22" s="25"/>
    </row>
    <row r="23" spans="1:21" ht="16.5" customHeight="1" x14ac:dyDescent="0.2">
      <c r="A23" s="301">
        <f>A22</f>
        <v>0</v>
      </c>
      <c r="B23" s="1254" t="s">
        <v>515</v>
      </c>
      <c r="C23" s="871">
        <f>IF(C22=0,0,VLOOKUP($A23,IMPOSTAZIONI!$B$382:$AM$391,C$108,FALSE))</f>
        <v>0</v>
      </c>
      <c r="D23" s="872">
        <f>IF(D22=0,0,VLOOKUP($A23,IMPOSTAZIONI!$B$382:$AM$391,D$108,FALSE))</f>
        <v>0</v>
      </c>
      <c r="E23" s="872">
        <f>IF(E22=0,0,VLOOKUP($A23,IMPOSTAZIONI!$B$382:$AM$391,E$108,FALSE))</f>
        <v>0</v>
      </c>
      <c r="F23" s="873">
        <f>SUM(C23:E23)</f>
        <v>0</v>
      </c>
      <c r="G23" s="871">
        <f>IF(G22=0,0,VLOOKUP($A23,IMPOSTAZIONI!$B$382:$AM$391,G$108,FALSE))</f>
        <v>0</v>
      </c>
      <c r="H23" s="872">
        <f>IF(H22=0,0,VLOOKUP($A23,IMPOSTAZIONI!$B$382:$AM$391,H$108,FALSE))</f>
        <v>0</v>
      </c>
      <c r="I23" s="872">
        <f>IF(I22=0,0,VLOOKUP($A23,IMPOSTAZIONI!$B$382:$AM$391,I$108,FALSE))</f>
        <v>0</v>
      </c>
      <c r="J23" s="873">
        <f>SUM(G23:I23)</f>
        <v>0</v>
      </c>
      <c r="K23" s="871">
        <f>IF(K22=0,0,VLOOKUP($A23,IMPOSTAZIONI!$B$382:$AM$391,K$108,FALSE))</f>
        <v>0</v>
      </c>
      <c r="L23" s="872">
        <f>IF(L22=0,0,VLOOKUP($A23,IMPOSTAZIONI!$B$382:$AM$391,L$108,FALSE))</f>
        <v>0</v>
      </c>
      <c r="M23" s="872">
        <f>IF(M22=0,0,VLOOKUP($A23,IMPOSTAZIONI!$B$382:$AM$391,M$108,FALSE))</f>
        <v>0</v>
      </c>
      <c r="N23" s="873">
        <f>SUM(K23:M23)</f>
        <v>0</v>
      </c>
      <c r="O23" s="871">
        <f>IF(O22=0,0,VLOOKUP($A23,IMPOSTAZIONI!$B$382:$AM$391,O$108,FALSE))</f>
        <v>0</v>
      </c>
      <c r="P23" s="872">
        <f>IF(P22=0,0,VLOOKUP($A23,IMPOSTAZIONI!$B$382:$AM$391,P$108,FALSE))</f>
        <v>0</v>
      </c>
      <c r="Q23" s="872">
        <f>IF(Q22=0,0,VLOOKUP($A23,IMPOSTAZIONI!$B$382:$AM$391,Q$108,FALSE))</f>
        <v>0</v>
      </c>
      <c r="R23" s="873">
        <f>SUM(O23:Q23)</f>
        <v>0</v>
      </c>
      <c r="S23" s="28"/>
      <c r="T23" s="874">
        <f>F23+J23+N23+R23</f>
        <v>0</v>
      </c>
      <c r="U23" s="25"/>
    </row>
    <row r="24" spans="1:21" ht="16.5" customHeight="1" x14ac:dyDescent="0.2">
      <c r="A24" s="301">
        <f>A22</f>
        <v>0</v>
      </c>
      <c r="B24" s="888" t="s">
        <v>536</v>
      </c>
      <c r="C24" s="875">
        <f>IF(C22=0,0,VLOOKUP($A24,IMPOSTAZIONI!$B$397:$AM$406,C$108,FALSE))</f>
        <v>0</v>
      </c>
      <c r="D24" s="876">
        <f>IF(D22=0,0,VLOOKUP($A24,IMPOSTAZIONI!$B$397:$AM$406,D$108,FALSE))</f>
        <v>0</v>
      </c>
      <c r="E24" s="876">
        <f>IF(E22=0,0,VLOOKUP($A24,IMPOSTAZIONI!$B$397:$AM$406,E$108,FALSE))</f>
        <v>0</v>
      </c>
      <c r="F24" s="877">
        <f>SUM(C24:E24)</f>
        <v>0</v>
      </c>
      <c r="G24" s="875">
        <f>IF(G22=0,0,VLOOKUP($A24,IMPOSTAZIONI!$B$397:$AM$406,G$108,FALSE))</f>
        <v>0</v>
      </c>
      <c r="H24" s="876">
        <f>IF(H22=0,0,VLOOKUP($A24,IMPOSTAZIONI!$B$397:$AM$406,H$108,FALSE))</f>
        <v>0</v>
      </c>
      <c r="I24" s="876">
        <f>IF(I22=0,0,VLOOKUP($A24,IMPOSTAZIONI!$B$397:$AM$406,I$108,FALSE))</f>
        <v>0</v>
      </c>
      <c r="J24" s="877">
        <f>SUM(G24:I24)</f>
        <v>0</v>
      </c>
      <c r="K24" s="875">
        <f>IF(K22=0,0,VLOOKUP($A24,IMPOSTAZIONI!$B$397:$AM$406,K$108,FALSE))</f>
        <v>0</v>
      </c>
      <c r="L24" s="876">
        <f>IF(L22=0,0,VLOOKUP($A24,IMPOSTAZIONI!$B$397:$AM$406,L$108,FALSE))</f>
        <v>0</v>
      </c>
      <c r="M24" s="876">
        <f>IF(M22=0,0,VLOOKUP($A24,IMPOSTAZIONI!$B$397:$AM$406,M$108,FALSE))</f>
        <v>0</v>
      </c>
      <c r="N24" s="877">
        <f>SUM(K24:M24)</f>
        <v>0</v>
      </c>
      <c r="O24" s="875">
        <f>IF(O22=0,0,VLOOKUP($A24,IMPOSTAZIONI!$B$397:$AM$406,O$108,FALSE))</f>
        <v>0</v>
      </c>
      <c r="P24" s="876">
        <f>IF(P22=0,0,VLOOKUP($A24,IMPOSTAZIONI!$B$397:$AM$406,P$108,FALSE))</f>
        <v>0</v>
      </c>
      <c r="Q24" s="876">
        <f>IF(Q22=0,0,VLOOKUP($A24,IMPOSTAZIONI!$B$397:$AM$406,Q$108,FALSE))</f>
        <v>0</v>
      </c>
      <c r="R24" s="877">
        <f>SUM(O24:Q24)</f>
        <v>0</v>
      </c>
      <c r="S24" s="28"/>
      <c r="T24" s="878">
        <f>F24+J24+N24+R24</f>
        <v>0</v>
      </c>
      <c r="U24" s="25"/>
    </row>
    <row r="25" spans="1:21" ht="6" customHeight="1" x14ac:dyDescent="0.2">
      <c r="A25" s="1258"/>
      <c r="B25" s="48"/>
      <c r="C25" s="44"/>
      <c r="D25" s="44"/>
      <c r="E25" s="44"/>
      <c r="F25" s="44"/>
      <c r="G25" s="44"/>
      <c r="H25" s="44"/>
      <c r="I25" s="44"/>
      <c r="J25" s="44"/>
      <c r="K25" s="44"/>
      <c r="L25" s="44"/>
      <c r="M25" s="44"/>
      <c r="N25" s="44"/>
      <c r="O25" s="44"/>
      <c r="P25" s="44"/>
      <c r="Q25" s="44"/>
      <c r="R25" s="44"/>
      <c r="S25" s="28"/>
      <c r="T25" s="45"/>
      <c r="U25" s="25"/>
    </row>
    <row r="26" spans="1:21" ht="18" customHeight="1" x14ac:dyDescent="0.2">
      <c r="A26" s="47">
        <f>IF(C$175=0,0,A22+1)</f>
        <v>0</v>
      </c>
      <c r="B26" s="866" t="str">
        <f>IF(A26=0,"",VLOOKUP(A26,IMPOSTAZIONI!$B$367:$AQ$376,42,FALSE))</f>
        <v/>
      </c>
      <c r="C26" s="867">
        <f>IF($A26=0,0,VLOOKUP($A26,IMPOSTAZIONI!$B$367:$AM$376,C$108,FALSE))</f>
        <v>0</v>
      </c>
      <c r="D26" s="868">
        <f>IF($A26=0,0,VLOOKUP($A26,IMPOSTAZIONI!$B$367:$AM$376,D$108,FALSE))</f>
        <v>0</v>
      </c>
      <c r="E26" s="868">
        <f>IF($A26=0,0,VLOOKUP($A26,IMPOSTAZIONI!$B$367:$AM$376,E$108,FALSE))</f>
        <v>0</v>
      </c>
      <c r="F26" s="869">
        <f>SUM(C26:E26)</f>
        <v>0</v>
      </c>
      <c r="G26" s="867">
        <f>IF($A26=0,0,VLOOKUP($A26,IMPOSTAZIONI!$B$367:$AM$376,G$108,FALSE))</f>
        <v>0</v>
      </c>
      <c r="H26" s="868">
        <f>IF($A26=0,0,VLOOKUP($A26,IMPOSTAZIONI!$B$367:$AM$376,H$108,FALSE))</f>
        <v>0</v>
      </c>
      <c r="I26" s="868">
        <f>IF($A26=0,0,VLOOKUP($A26,IMPOSTAZIONI!$B$367:$AM$376,I$108,FALSE))</f>
        <v>0</v>
      </c>
      <c r="J26" s="869">
        <f>SUM(G26:I26)</f>
        <v>0</v>
      </c>
      <c r="K26" s="867">
        <f>IF($A26=0,0,VLOOKUP($A26,IMPOSTAZIONI!$B$367:$AM$376,K$108,FALSE))</f>
        <v>0</v>
      </c>
      <c r="L26" s="868">
        <f>IF($A26=0,0,VLOOKUP($A26,IMPOSTAZIONI!$B$367:$AM$376,L$108,FALSE))</f>
        <v>0</v>
      </c>
      <c r="M26" s="868">
        <f>IF($A26=0,0,VLOOKUP($A26,IMPOSTAZIONI!$B$367:$AM$376,M$108,FALSE))</f>
        <v>0</v>
      </c>
      <c r="N26" s="869">
        <f>SUM(K26:M26)</f>
        <v>0</v>
      </c>
      <c r="O26" s="867">
        <f>IF($A26=0,0,VLOOKUP($A26,IMPOSTAZIONI!$B$367:$AM$376,O$108,FALSE))</f>
        <v>0</v>
      </c>
      <c r="P26" s="868">
        <f>IF($A26=0,0,VLOOKUP($A26,IMPOSTAZIONI!$B$367:$AM$376,P$108,FALSE))</f>
        <v>0</v>
      </c>
      <c r="Q26" s="868">
        <f>IF($A26=0,0,VLOOKUP($A26,IMPOSTAZIONI!$B$367:$AM$376,Q$108,FALSE))</f>
        <v>0</v>
      </c>
      <c r="R26" s="869">
        <f>SUM(O26:Q26)</f>
        <v>0</v>
      </c>
      <c r="S26" s="28"/>
      <c r="T26" s="870">
        <f>F26+J26+N26+R26</f>
        <v>0</v>
      </c>
      <c r="U26" s="25"/>
    </row>
    <row r="27" spans="1:21" ht="16.5" customHeight="1" x14ac:dyDescent="0.2">
      <c r="A27" s="301">
        <f>A26</f>
        <v>0</v>
      </c>
      <c r="B27" s="1254" t="s">
        <v>515</v>
      </c>
      <c r="C27" s="871">
        <f>IF(C26=0,0,VLOOKUP($A27,IMPOSTAZIONI!$B$382:$AM$391,C$108,FALSE))</f>
        <v>0</v>
      </c>
      <c r="D27" s="872">
        <f>IF(D26=0,0,VLOOKUP($A27,IMPOSTAZIONI!$B$382:$AM$391,D$108,FALSE))</f>
        <v>0</v>
      </c>
      <c r="E27" s="872">
        <f>IF(E26=0,0,VLOOKUP($A27,IMPOSTAZIONI!$B$382:$AM$391,E$108,FALSE))</f>
        <v>0</v>
      </c>
      <c r="F27" s="873">
        <f>SUM(C27:E27)</f>
        <v>0</v>
      </c>
      <c r="G27" s="871">
        <f>IF(G26=0,0,VLOOKUP($A27,IMPOSTAZIONI!$B$382:$AM$391,G$108,FALSE))</f>
        <v>0</v>
      </c>
      <c r="H27" s="872">
        <f>IF(H26=0,0,VLOOKUP($A27,IMPOSTAZIONI!$B$382:$AM$391,H$108,FALSE))</f>
        <v>0</v>
      </c>
      <c r="I27" s="872">
        <f>IF(I26=0,0,VLOOKUP($A27,IMPOSTAZIONI!$B$382:$AM$391,I$108,FALSE))</f>
        <v>0</v>
      </c>
      <c r="J27" s="873">
        <f>SUM(G27:I27)</f>
        <v>0</v>
      </c>
      <c r="K27" s="871">
        <f>IF(K26=0,0,VLOOKUP($A27,IMPOSTAZIONI!$B$382:$AM$391,K$108,FALSE))</f>
        <v>0</v>
      </c>
      <c r="L27" s="872">
        <f>IF(L26=0,0,VLOOKUP($A27,IMPOSTAZIONI!$B$382:$AM$391,L$108,FALSE))</f>
        <v>0</v>
      </c>
      <c r="M27" s="872">
        <f>IF(M26=0,0,VLOOKUP($A27,IMPOSTAZIONI!$B$382:$AM$391,M$108,FALSE))</f>
        <v>0</v>
      </c>
      <c r="N27" s="873">
        <f>SUM(K27:M27)</f>
        <v>0</v>
      </c>
      <c r="O27" s="871">
        <f>IF(O26=0,0,VLOOKUP($A27,IMPOSTAZIONI!$B$382:$AM$391,O$108,FALSE))</f>
        <v>0</v>
      </c>
      <c r="P27" s="872">
        <f>IF(P26=0,0,VLOOKUP($A27,IMPOSTAZIONI!$B$382:$AM$391,P$108,FALSE))</f>
        <v>0</v>
      </c>
      <c r="Q27" s="872">
        <f>IF(Q26=0,0,VLOOKUP($A27,IMPOSTAZIONI!$B$382:$AM$391,Q$108,FALSE))</f>
        <v>0</v>
      </c>
      <c r="R27" s="873">
        <f>SUM(O27:Q27)</f>
        <v>0</v>
      </c>
      <c r="S27" s="28"/>
      <c r="T27" s="874">
        <f>F27+J27+N27+R27</f>
        <v>0</v>
      </c>
      <c r="U27" s="25"/>
    </row>
    <row r="28" spans="1:21" ht="16.5" customHeight="1" x14ac:dyDescent="0.2">
      <c r="A28" s="301">
        <f>A26</f>
        <v>0</v>
      </c>
      <c r="B28" s="888" t="s">
        <v>536</v>
      </c>
      <c r="C28" s="875">
        <f>IF(C26=0,0,VLOOKUP($A28,IMPOSTAZIONI!$B$397:$AM$406,C$108,FALSE))</f>
        <v>0</v>
      </c>
      <c r="D28" s="876">
        <f>IF(D26=0,0,VLOOKUP($A28,IMPOSTAZIONI!$B$397:$AM$406,D$108,FALSE))</f>
        <v>0</v>
      </c>
      <c r="E28" s="876">
        <f>IF(E26=0,0,VLOOKUP($A28,IMPOSTAZIONI!$B$397:$AM$406,E$108,FALSE))</f>
        <v>0</v>
      </c>
      <c r="F28" s="877">
        <f>SUM(C28:E28)</f>
        <v>0</v>
      </c>
      <c r="G28" s="875">
        <f>IF(G26=0,0,VLOOKUP($A28,IMPOSTAZIONI!$B$397:$AM$406,G$108,FALSE))</f>
        <v>0</v>
      </c>
      <c r="H28" s="876">
        <f>IF(H26=0,0,VLOOKUP($A28,IMPOSTAZIONI!$B$397:$AM$406,H$108,FALSE))</f>
        <v>0</v>
      </c>
      <c r="I28" s="876">
        <f>IF(I26=0,0,VLOOKUP($A28,IMPOSTAZIONI!$B$397:$AM$406,I$108,FALSE))</f>
        <v>0</v>
      </c>
      <c r="J28" s="877">
        <f>SUM(G28:I28)</f>
        <v>0</v>
      </c>
      <c r="K28" s="875">
        <f>IF(K26=0,0,VLOOKUP($A28,IMPOSTAZIONI!$B$397:$AM$406,K$108,FALSE))</f>
        <v>0</v>
      </c>
      <c r="L28" s="876">
        <f>IF(L26=0,0,VLOOKUP($A28,IMPOSTAZIONI!$B$397:$AM$406,L$108,FALSE))</f>
        <v>0</v>
      </c>
      <c r="M28" s="876">
        <f>IF(M26=0,0,VLOOKUP($A28,IMPOSTAZIONI!$B$397:$AM$406,M$108,FALSE))</f>
        <v>0</v>
      </c>
      <c r="N28" s="877">
        <f>SUM(K28:M28)</f>
        <v>0</v>
      </c>
      <c r="O28" s="875">
        <f>IF(O26=0,0,VLOOKUP($A28,IMPOSTAZIONI!$B$397:$AM$406,O$108,FALSE))</f>
        <v>0</v>
      </c>
      <c r="P28" s="876">
        <f>IF(P26=0,0,VLOOKUP($A28,IMPOSTAZIONI!$B$397:$AM$406,P$108,FALSE))</f>
        <v>0</v>
      </c>
      <c r="Q28" s="876">
        <f>IF(Q26=0,0,VLOOKUP($A28,IMPOSTAZIONI!$B$397:$AM$406,Q$108,FALSE))</f>
        <v>0</v>
      </c>
      <c r="R28" s="877">
        <f>SUM(O28:Q28)</f>
        <v>0</v>
      </c>
      <c r="S28" s="28"/>
      <c r="T28" s="878">
        <f>F28+J28+N28+R28</f>
        <v>0</v>
      </c>
      <c r="U28" s="25"/>
    </row>
    <row r="29" spans="1:21" ht="6" customHeight="1" x14ac:dyDescent="0.2">
      <c r="A29" s="1258"/>
      <c r="B29" s="48"/>
      <c r="C29" s="44"/>
      <c r="D29" s="44"/>
      <c r="E29" s="44"/>
      <c r="F29" s="44"/>
      <c r="G29" s="44"/>
      <c r="H29" s="44"/>
      <c r="I29" s="44"/>
      <c r="J29" s="44"/>
      <c r="K29" s="44"/>
      <c r="L29" s="44"/>
      <c r="M29" s="44"/>
      <c r="N29" s="44"/>
      <c r="O29" s="44"/>
      <c r="P29" s="44"/>
      <c r="Q29" s="44"/>
      <c r="R29" s="44"/>
      <c r="S29" s="28"/>
      <c r="T29" s="45"/>
      <c r="U29" s="25"/>
    </row>
    <row r="30" spans="1:21" ht="18" customHeight="1" x14ac:dyDescent="0.2">
      <c r="A30" s="47">
        <f>IF(C$175=0,0,A26+1)</f>
        <v>0</v>
      </c>
      <c r="B30" s="866" t="str">
        <f>IF(A30=0,"",VLOOKUP(A30,IMPOSTAZIONI!$B$367:$AQ$376,42,FALSE))</f>
        <v/>
      </c>
      <c r="C30" s="867">
        <f>IF($A30=0,0,VLOOKUP($A30,IMPOSTAZIONI!$B$367:$AM$376,C$108,FALSE))</f>
        <v>0</v>
      </c>
      <c r="D30" s="868">
        <f>IF($A30=0,0,VLOOKUP($A30,IMPOSTAZIONI!$B$367:$AM$376,D$108,FALSE))</f>
        <v>0</v>
      </c>
      <c r="E30" s="868">
        <f>IF($A30=0,0,VLOOKUP($A30,IMPOSTAZIONI!$B$367:$AM$376,E$108,FALSE))</f>
        <v>0</v>
      </c>
      <c r="F30" s="869">
        <f>SUM(C30:E30)</f>
        <v>0</v>
      </c>
      <c r="G30" s="867">
        <f>IF($A30=0,0,VLOOKUP($A30,IMPOSTAZIONI!$B$367:$AM$376,G$108,FALSE))</f>
        <v>0</v>
      </c>
      <c r="H30" s="868">
        <f>IF($A30=0,0,VLOOKUP($A30,IMPOSTAZIONI!$B$367:$AM$376,H$108,FALSE))</f>
        <v>0</v>
      </c>
      <c r="I30" s="868">
        <f>IF($A30=0,0,VLOOKUP($A30,IMPOSTAZIONI!$B$367:$AM$376,I$108,FALSE))</f>
        <v>0</v>
      </c>
      <c r="J30" s="869">
        <f>SUM(G30:I30)</f>
        <v>0</v>
      </c>
      <c r="K30" s="867">
        <f>IF($A30=0,0,VLOOKUP($A30,IMPOSTAZIONI!$B$367:$AM$376,K$108,FALSE))</f>
        <v>0</v>
      </c>
      <c r="L30" s="868">
        <f>IF($A30=0,0,VLOOKUP($A30,IMPOSTAZIONI!$B$367:$AM$376,L$108,FALSE))</f>
        <v>0</v>
      </c>
      <c r="M30" s="868">
        <f>IF($A30=0,0,VLOOKUP($A30,IMPOSTAZIONI!$B$367:$AM$376,M$108,FALSE))</f>
        <v>0</v>
      </c>
      <c r="N30" s="869">
        <f>SUM(K30:M30)</f>
        <v>0</v>
      </c>
      <c r="O30" s="867">
        <f>IF($A30=0,0,VLOOKUP($A30,IMPOSTAZIONI!$B$367:$AM$376,O$108,FALSE))</f>
        <v>0</v>
      </c>
      <c r="P30" s="868">
        <f>IF($A30=0,0,VLOOKUP($A30,IMPOSTAZIONI!$B$367:$AM$376,P$108,FALSE))</f>
        <v>0</v>
      </c>
      <c r="Q30" s="868">
        <f>IF($A30=0,0,VLOOKUP($A30,IMPOSTAZIONI!$B$367:$AM$376,Q$108,FALSE))</f>
        <v>0</v>
      </c>
      <c r="R30" s="869">
        <f>SUM(O30:Q30)</f>
        <v>0</v>
      </c>
      <c r="S30" s="28"/>
      <c r="T30" s="870">
        <f>F30+J30+N30+R30</f>
        <v>0</v>
      </c>
      <c r="U30" s="25"/>
    </row>
    <row r="31" spans="1:21" ht="16.5" customHeight="1" x14ac:dyDescent="0.2">
      <c r="A31" s="301">
        <f>A30</f>
        <v>0</v>
      </c>
      <c r="B31" s="1254" t="s">
        <v>515</v>
      </c>
      <c r="C31" s="871">
        <f>IF(C30=0,0,VLOOKUP($A31,IMPOSTAZIONI!$B$382:$AM$391,C$108,FALSE))</f>
        <v>0</v>
      </c>
      <c r="D31" s="872">
        <f>IF(D30=0,0,VLOOKUP($A31,IMPOSTAZIONI!$B$382:$AM$391,D$108,FALSE))</f>
        <v>0</v>
      </c>
      <c r="E31" s="872">
        <f>IF(E30=0,0,VLOOKUP($A31,IMPOSTAZIONI!$B$382:$AM$391,E$108,FALSE))</f>
        <v>0</v>
      </c>
      <c r="F31" s="873">
        <f>SUM(C31:E31)</f>
        <v>0</v>
      </c>
      <c r="G31" s="871">
        <f>IF(G30=0,0,VLOOKUP($A31,IMPOSTAZIONI!$B$382:$AM$391,G$108,FALSE))</f>
        <v>0</v>
      </c>
      <c r="H31" s="872">
        <f>IF(H30=0,0,VLOOKUP($A31,IMPOSTAZIONI!$B$382:$AM$391,H$108,FALSE))</f>
        <v>0</v>
      </c>
      <c r="I31" s="872">
        <f>IF(I30=0,0,VLOOKUP($A31,IMPOSTAZIONI!$B$382:$AM$391,I$108,FALSE))</f>
        <v>0</v>
      </c>
      <c r="J31" s="873">
        <f>SUM(G31:I31)</f>
        <v>0</v>
      </c>
      <c r="K31" s="871">
        <f>IF(K30=0,0,VLOOKUP($A31,IMPOSTAZIONI!$B$382:$AM$391,K$108,FALSE))</f>
        <v>0</v>
      </c>
      <c r="L31" s="872">
        <f>IF(L30=0,0,VLOOKUP($A31,IMPOSTAZIONI!$B$382:$AM$391,L$108,FALSE))</f>
        <v>0</v>
      </c>
      <c r="M31" s="872">
        <f>IF(M30=0,0,VLOOKUP($A31,IMPOSTAZIONI!$B$382:$AM$391,M$108,FALSE))</f>
        <v>0</v>
      </c>
      <c r="N31" s="873">
        <f>SUM(K31:M31)</f>
        <v>0</v>
      </c>
      <c r="O31" s="871">
        <f>IF(O30=0,0,VLOOKUP($A31,IMPOSTAZIONI!$B$382:$AM$391,O$108,FALSE))</f>
        <v>0</v>
      </c>
      <c r="P31" s="872">
        <f>IF(P30=0,0,VLOOKUP($A31,IMPOSTAZIONI!$B$382:$AM$391,P$108,FALSE))</f>
        <v>0</v>
      </c>
      <c r="Q31" s="872">
        <f>IF(Q30=0,0,VLOOKUP($A31,IMPOSTAZIONI!$B$382:$AM$391,Q$108,FALSE))</f>
        <v>0</v>
      </c>
      <c r="R31" s="873">
        <f>SUM(O31:Q31)</f>
        <v>0</v>
      </c>
      <c r="S31" s="28"/>
      <c r="T31" s="874">
        <f>F31+J31+N31+R31</f>
        <v>0</v>
      </c>
      <c r="U31" s="25"/>
    </row>
    <row r="32" spans="1:21" ht="16.5" customHeight="1" x14ac:dyDescent="0.2">
      <c r="A32" s="301">
        <f>A30</f>
        <v>0</v>
      </c>
      <c r="B32" s="888" t="s">
        <v>536</v>
      </c>
      <c r="C32" s="875">
        <f>IF(C30=0,0,VLOOKUP($A32,IMPOSTAZIONI!$B$397:$AM$406,C$108,FALSE))</f>
        <v>0</v>
      </c>
      <c r="D32" s="876">
        <f>IF(D30=0,0,VLOOKUP($A32,IMPOSTAZIONI!$B$397:$AM$406,D$108,FALSE))</f>
        <v>0</v>
      </c>
      <c r="E32" s="876">
        <f>IF(E30=0,0,VLOOKUP($A32,IMPOSTAZIONI!$B$397:$AM$406,E$108,FALSE))</f>
        <v>0</v>
      </c>
      <c r="F32" s="877">
        <f>SUM(C32:E32)</f>
        <v>0</v>
      </c>
      <c r="G32" s="875">
        <f>IF(G30=0,0,VLOOKUP($A32,IMPOSTAZIONI!$B$397:$AM$406,G$108,FALSE))</f>
        <v>0</v>
      </c>
      <c r="H32" s="876">
        <f>IF(H30=0,0,VLOOKUP($A32,IMPOSTAZIONI!$B$397:$AM$406,H$108,FALSE))</f>
        <v>0</v>
      </c>
      <c r="I32" s="876">
        <f>IF(I30=0,0,VLOOKUP($A32,IMPOSTAZIONI!$B$397:$AM$406,I$108,FALSE))</f>
        <v>0</v>
      </c>
      <c r="J32" s="877">
        <f>SUM(G32:I32)</f>
        <v>0</v>
      </c>
      <c r="K32" s="875">
        <f>IF(K30=0,0,VLOOKUP($A32,IMPOSTAZIONI!$B$397:$AM$406,K$108,FALSE))</f>
        <v>0</v>
      </c>
      <c r="L32" s="876">
        <f>IF(L30=0,0,VLOOKUP($A32,IMPOSTAZIONI!$B$397:$AM$406,L$108,FALSE))</f>
        <v>0</v>
      </c>
      <c r="M32" s="876">
        <f>IF(M30=0,0,VLOOKUP($A32,IMPOSTAZIONI!$B$397:$AM$406,M$108,FALSE))</f>
        <v>0</v>
      </c>
      <c r="N32" s="877">
        <f>SUM(K32:M32)</f>
        <v>0</v>
      </c>
      <c r="O32" s="875">
        <f>IF(O30=0,0,VLOOKUP($A32,IMPOSTAZIONI!$B$397:$AM$406,O$108,FALSE))</f>
        <v>0</v>
      </c>
      <c r="P32" s="876">
        <f>IF(P30=0,0,VLOOKUP($A32,IMPOSTAZIONI!$B$397:$AM$406,P$108,FALSE))</f>
        <v>0</v>
      </c>
      <c r="Q32" s="876">
        <f>IF(Q30=0,0,VLOOKUP($A32,IMPOSTAZIONI!$B$397:$AM$406,Q$108,FALSE))</f>
        <v>0</v>
      </c>
      <c r="R32" s="877">
        <f>SUM(O32:Q32)</f>
        <v>0</v>
      </c>
      <c r="S32" s="28"/>
      <c r="T32" s="878">
        <f>F32+J32+N32+R32</f>
        <v>0</v>
      </c>
      <c r="U32" s="25"/>
    </row>
    <row r="33" spans="1:21" ht="6" customHeight="1" x14ac:dyDescent="0.2">
      <c r="A33" s="1258"/>
      <c r="B33" s="48"/>
      <c r="C33" s="44"/>
      <c r="D33" s="44"/>
      <c r="E33" s="44"/>
      <c r="F33" s="44"/>
      <c r="G33" s="44"/>
      <c r="H33" s="44"/>
      <c r="I33" s="44"/>
      <c r="J33" s="44"/>
      <c r="K33" s="44"/>
      <c r="L33" s="44"/>
      <c r="M33" s="44"/>
      <c r="N33" s="44"/>
      <c r="O33" s="44"/>
      <c r="P33" s="44"/>
      <c r="Q33" s="44"/>
      <c r="R33" s="44"/>
      <c r="S33" s="28"/>
      <c r="T33" s="45"/>
      <c r="U33" s="25"/>
    </row>
    <row r="34" spans="1:21" ht="18" customHeight="1" x14ac:dyDescent="0.2">
      <c r="A34" s="47">
        <f>IF(C$175=0,0,A30+1)</f>
        <v>0</v>
      </c>
      <c r="B34" s="866" t="str">
        <f>IF(A34=0,"",VLOOKUP(A34,IMPOSTAZIONI!$B$367:$AQ$376,42,FALSE))</f>
        <v/>
      </c>
      <c r="C34" s="867">
        <f>IF($A34=0,0,VLOOKUP($A34,IMPOSTAZIONI!$B$367:$AM$376,C$108,FALSE))</f>
        <v>0</v>
      </c>
      <c r="D34" s="868">
        <f>IF($A34=0,0,VLOOKUP($A34,IMPOSTAZIONI!$B$367:$AM$376,D$108,FALSE))</f>
        <v>0</v>
      </c>
      <c r="E34" s="868">
        <f>IF($A34=0,0,VLOOKUP($A34,IMPOSTAZIONI!$B$367:$AM$376,E$108,FALSE))</f>
        <v>0</v>
      </c>
      <c r="F34" s="869">
        <f>SUM(C34:E34)</f>
        <v>0</v>
      </c>
      <c r="G34" s="867">
        <f>IF($A34=0,0,VLOOKUP($A34,IMPOSTAZIONI!$B$367:$AM$376,G$108,FALSE))</f>
        <v>0</v>
      </c>
      <c r="H34" s="868">
        <f>IF($A34=0,0,VLOOKUP($A34,IMPOSTAZIONI!$B$367:$AM$376,H$108,FALSE))</f>
        <v>0</v>
      </c>
      <c r="I34" s="868">
        <f>IF($A34=0,0,VLOOKUP($A34,IMPOSTAZIONI!$B$367:$AM$376,I$108,FALSE))</f>
        <v>0</v>
      </c>
      <c r="J34" s="869">
        <f>SUM(G34:I34)</f>
        <v>0</v>
      </c>
      <c r="K34" s="867">
        <f>IF($A34=0,0,VLOOKUP($A34,IMPOSTAZIONI!$B$367:$AM$376,K$108,FALSE))</f>
        <v>0</v>
      </c>
      <c r="L34" s="868">
        <f>IF($A34=0,0,VLOOKUP($A34,IMPOSTAZIONI!$B$367:$AM$376,L$108,FALSE))</f>
        <v>0</v>
      </c>
      <c r="M34" s="868">
        <f>IF($A34=0,0,VLOOKUP($A34,IMPOSTAZIONI!$B$367:$AM$376,M$108,FALSE))</f>
        <v>0</v>
      </c>
      <c r="N34" s="869">
        <f>SUM(K34:M34)</f>
        <v>0</v>
      </c>
      <c r="O34" s="867">
        <f>IF($A34=0,0,VLOOKUP($A34,IMPOSTAZIONI!$B$367:$AM$376,O$108,FALSE))</f>
        <v>0</v>
      </c>
      <c r="P34" s="868">
        <f>IF($A34=0,0,VLOOKUP($A34,IMPOSTAZIONI!$B$367:$AM$376,P$108,FALSE))</f>
        <v>0</v>
      </c>
      <c r="Q34" s="868">
        <f>IF($A34=0,0,VLOOKUP($A34,IMPOSTAZIONI!$B$367:$AM$376,Q$108,FALSE))</f>
        <v>0</v>
      </c>
      <c r="R34" s="869">
        <f>SUM(O34:Q34)</f>
        <v>0</v>
      </c>
      <c r="S34" s="28"/>
      <c r="T34" s="870">
        <f>F34+J34+N34+R34</f>
        <v>0</v>
      </c>
      <c r="U34" s="25"/>
    </row>
    <row r="35" spans="1:21" ht="16.5" customHeight="1" x14ac:dyDescent="0.2">
      <c r="A35" s="301">
        <f>A34</f>
        <v>0</v>
      </c>
      <c r="B35" s="1254" t="s">
        <v>515</v>
      </c>
      <c r="C35" s="871">
        <f>IF(C34=0,0,VLOOKUP($A35,IMPOSTAZIONI!$B$382:$AM$391,C$108,FALSE))</f>
        <v>0</v>
      </c>
      <c r="D35" s="872">
        <f>IF(D34=0,0,VLOOKUP($A35,IMPOSTAZIONI!$B$382:$AM$391,D$108,FALSE))</f>
        <v>0</v>
      </c>
      <c r="E35" s="872">
        <f>IF(E34=0,0,VLOOKUP($A35,IMPOSTAZIONI!$B$382:$AM$391,E$108,FALSE))</f>
        <v>0</v>
      </c>
      <c r="F35" s="873">
        <f>SUM(C35:E35)</f>
        <v>0</v>
      </c>
      <c r="G35" s="871">
        <f>IF(G34=0,0,VLOOKUP($A35,IMPOSTAZIONI!$B$382:$AM$391,G$108,FALSE))</f>
        <v>0</v>
      </c>
      <c r="H35" s="872">
        <f>IF(H34=0,0,VLOOKUP($A35,IMPOSTAZIONI!$B$382:$AM$391,H$108,FALSE))</f>
        <v>0</v>
      </c>
      <c r="I35" s="872">
        <f>IF(I34=0,0,VLOOKUP($A35,IMPOSTAZIONI!$B$382:$AM$391,I$108,FALSE))</f>
        <v>0</v>
      </c>
      <c r="J35" s="873">
        <f>SUM(G35:I35)</f>
        <v>0</v>
      </c>
      <c r="K35" s="871">
        <f>IF(K34=0,0,VLOOKUP($A35,IMPOSTAZIONI!$B$382:$AM$391,K$108,FALSE))</f>
        <v>0</v>
      </c>
      <c r="L35" s="872">
        <f>IF(L34=0,0,VLOOKUP($A35,IMPOSTAZIONI!$B$382:$AM$391,L$108,FALSE))</f>
        <v>0</v>
      </c>
      <c r="M35" s="872">
        <f>IF(M34=0,0,VLOOKUP($A35,IMPOSTAZIONI!$B$382:$AM$391,M$108,FALSE))</f>
        <v>0</v>
      </c>
      <c r="N35" s="873">
        <f>SUM(K35:M35)</f>
        <v>0</v>
      </c>
      <c r="O35" s="871">
        <f>IF(O34=0,0,VLOOKUP($A35,IMPOSTAZIONI!$B$382:$AM$391,O$108,FALSE))</f>
        <v>0</v>
      </c>
      <c r="P35" s="872">
        <f>IF(P34=0,0,VLOOKUP($A35,IMPOSTAZIONI!$B$382:$AM$391,P$108,FALSE))</f>
        <v>0</v>
      </c>
      <c r="Q35" s="872">
        <f>IF(Q34=0,0,VLOOKUP($A35,IMPOSTAZIONI!$B$382:$AM$391,Q$108,FALSE))</f>
        <v>0</v>
      </c>
      <c r="R35" s="873">
        <f>SUM(O35:Q35)</f>
        <v>0</v>
      </c>
      <c r="S35" s="28"/>
      <c r="T35" s="874">
        <f>F35+J35+N35+R35</f>
        <v>0</v>
      </c>
      <c r="U35" s="25"/>
    </row>
    <row r="36" spans="1:21" ht="16.5" customHeight="1" x14ac:dyDescent="0.2">
      <c r="A36" s="301">
        <f>A34</f>
        <v>0</v>
      </c>
      <c r="B36" s="888" t="s">
        <v>536</v>
      </c>
      <c r="C36" s="875">
        <f>IF(C34=0,0,VLOOKUP($A36,IMPOSTAZIONI!$B$397:$AM$406,C$108,FALSE))</f>
        <v>0</v>
      </c>
      <c r="D36" s="876">
        <f>IF(D34=0,0,VLOOKUP($A36,IMPOSTAZIONI!$B$397:$AM$406,D$108,FALSE))</f>
        <v>0</v>
      </c>
      <c r="E36" s="876">
        <f>IF(E34=0,0,VLOOKUP($A36,IMPOSTAZIONI!$B$397:$AM$406,E$108,FALSE))</f>
        <v>0</v>
      </c>
      <c r="F36" s="877">
        <f>SUM(C36:E36)</f>
        <v>0</v>
      </c>
      <c r="G36" s="875">
        <f>IF(G34=0,0,VLOOKUP($A36,IMPOSTAZIONI!$B$397:$AM$406,G$108,FALSE))</f>
        <v>0</v>
      </c>
      <c r="H36" s="876">
        <f>IF(H34=0,0,VLOOKUP($A36,IMPOSTAZIONI!$B$397:$AM$406,H$108,FALSE))</f>
        <v>0</v>
      </c>
      <c r="I36" s="876">
        <f>IF(I34=0,0,VLOOKUP($A36,IMPOSTAZIONI!$B$397:$AM$406,I$108,FALSE))</f>
        <v>0</v>
      </c>
      <c r="J36" s="877">
        <f>SUM(G36:I36)</f>
        <v>0</v>
      </c>
      <c r="K36" s="875">
        <f>IF(K34=0,0,VLOOKUP($A36,IMPOSTAZIONI!$B$397:$AM$406,K$108,FALSE))</f>
        <v>0</v>
      </c>
      <c r="L36" s="876">
        <f>IF(L34=0,0,VLOOKUP($A36,IMPOSTAZIONI!$B$397:$AM$406,L$108,FALSE))</f>
        <v>0</v>
      </c>
      <c r="M36" s="876">
        <f>IF(M34=0,0,VLOOKUP($A36,IMPOSTAZIONI!$B$397:$AM$406,M$108,FALSE))</f>
        <v>0</v>
      </c>
      <c r="N36" s="877">
        <f>SUM(K36:M36)</f>
        <v>0</v>
      </c>
      <c r="O36" s="875">
        <f>IF(O34=0,0,VLOOKUP($A36,IMPOSTAZIONI!$B$397:$AM$406,O$108,FALSE))</f>
        <v>0</v>
      </c>
      <c r="P36" s="876">
        <f>IF(P34=0,0,VLOOKUP($A36,IMPOSTAZIONI!$B$397:$AM$406,P$108,FALSE))</f>
        <v>0</v>
      </c>
      <c r="Q36" s="876">
        <f>IF(Q34=0,0,VLOOKUP($A36,IMPOSTAZIONI!$B$397:$AM$406,Q$108,FALSE))</f>
        <v>0</v>
      </c>
      <c r="R36" s="877">
        <f>SUM(O36:Q36)</f>
        <v>0</v>
      </c>
      <c r="S36" s="28"/>
      <c r="T36" s="878">
        <f>F36+J36+N36+R36</f>
        <v>0</v>
      </c>
      <c r="U36" s="25"/>
    </row>
    <row r="37" spans="1:21" ht="6" customHeight="1" x14ac:dyDescent="0.2">
      <c r="A37" s="1258"/>
      <c r="B37" s="48"/>
      <c r="C37" s="44"/>
      <c r="D37" s="44"/>
      <c r="E37" s="44"/>
      <c r="F37" s="44"/>
      <c r="G37" s="44"/>
      <c r="H37" s="44"/>
      <c r="I37" s="44"/>
      <c r="J37" s="44"/>
      <c r="K37" s="44"/>
      <c r="L37" s="44"/>
      <c r="M37" s="44"/>
      <c r="N37" s="44"/>
      <c r="O37" s="44"/>
      <c r="P37" s="44"/>
      <c r="Q37" s="44"/>
      <c r="R37" s="44"/>
      <c r="S37" s="28"/>
      <c r="T37" s="45"/>
      <c r="U37" s="25"/>
    </row>
    <row r="38" spans="1:21" ht="18" customHeight="1" x14ac:dyDescent="0.2">
      <c r="A38" s="47">
        <f>IF(C$175=0,0,A34+1)</f>
        <v>0</v>
      </c>
      <c r="B38" s="866" t="str">
        <f>IF(A38=0,"",VLOOKUP(A38,IMPOSTAZIONI!$B$367:$AQ$376,42,FALSE))</f>
        <v/>
      </c>
      <c r="C38" s="867">
        <f>IF($A38=0,0,VLOOKUP($A38,IMPOSTAZIONI!$B$367:$AM$376,C$108,FALSE))</f>
        <v>0</v>
      </c>
      <c r="D38" s="868">
        <f>IF($A38=0,0,VLOOKUP($A38,IMPOSTAZIONI!$B$367:$AM$376,D$108,FALSE))</f>
        <v>0</v>
      </c>
      <c r="E38" s="868">
        <f>IF($A38=0,0,VLOOKUP($A38,IMPOSTAZIONI!$B$367:$AM$376,E$108,FALSE))</f>
        <v>0</v>
      </c>
      <c r="F38" s="869">
        <f>SUM(C38:E38)</f>
        <v>0</v>
      </c>
      <c r="G38" s="867">
        <f>IF($A38=0,0,VLOOKUP($A38,IMPOSTAZIONI!$B$367:$AM$376,G$108,FALSE))</f>
        <v>0</v>
      </c>
      <c r="H38" s="868">
        <f>IF($A38=0,0,VLOOKUP($A38,IMPOSTAZIONI!$B$367:$AM$376,H$108,FALSE))</f>
        <v>0</v>
      </c>
      <c r="I38" s="868">
        <f>IF($A38=0,0,VLOOKUP($A38,IMPOSTAZIONI!$B$367:$AM$376,I$108,FALSE))</f>
        <v>0</v>
      </c>
      <c r="J38" s="869">
        <f>SUM(G38:I38)</f>
        <v>0</v>
      </c>
      <c r="K38" s="867">
        <f>IF($A38=0,0,VLOOKUP($A38,IMPOSTAZIONI!$B$367:$AM$376,K$108,FALSE))</f>
        <v>0</v>
      </c>
      <c r="L38" s="868">
        <f>IF($A38=0,0,VLOOKUP($A38,IMPOSTAZIONI!$B$367:$AM$376,L$108,FALSE))</f>
        <v>0</v>
      </c>
      <c r="M38" s="868">
        <f>IF($A38=0,0,VLOOKUP($A38,IMPOSTAZIONI!$B$367:$AM$376,M$108,FALSE))</f>
        <v>0</v>
      </c>
      <c r="N38" s="869">
        <f>SUM(K38:M38)</f>
        <v>0</v>
      </c>
      <c r="O38" s="867">
        <f>IF($A38=0,0,VLOOKUP($A38,IMPOSTAZIONI!$B$367:$AM$376,O$108,FALSE))</f>
        <v>0</v>
      </c>
      <c r="P38" s="868">
        <f>IF($A38=0,0,VLOOKUP($A38,IMPOSTAZIONI!$B$367:$AM$376,P$108,FALSE))</f>
        <v>0</v>
      </c>
      <c r="Q38" s="868">
        <f>IF($A38=0,0,VLOOKUP($A38,IMPOSTAZIONI!$B$367:$AM$376,Q$108,FALSE))</f>
        <v>0</v>
      </c>
      <c r="R38" s="869">
        <f>SUM(O38:Q38)</f>
        <v>0</v>
      </c>
      <c r="S38" s="28"/>
      <c r="T38" s="870">
        <f>F38+J38+N38+R38</f>
        <v>0</v>
      </c>
      <c r="U38" s="25"/>
    </row>
    <row r="39" spans="1:21" ht="16.5" customHeight="1" x14ac:dyDescent="0.2">
      <c r="A39" s="301">
        <f>A38</f>
        <v>0</v>
      </c>
      <c r="B39" s="1254" t="s">
        <v>515</v>
      </c>
      <c r="C39" s="871">
        <f>IF(C38=0,0,VLOOKUP($A39,IMPOSTAZIONI!$B$382:$AM$391,C$108,FALSE))</f>
        <v>0</v>
      </c>
      <c r="D39" s="872">
        <f>IF(D38=0,0,VLOOKUP($A39,IMPOSTAZIONI!$B$382:$AM$391,D$108,FALSE))</f>
        <v>0</v>
      </c>
      <c r="E39" s="872">
        <f>IF(E38=0,0,VLOOKUP($A39,IMPOSTAZIONI!$B$382:$AM$391,E$108,FALSE))</f>
        <v>0</v>
      </c>
      <c r="F39" s="873">
        <f>SUM(C39:E39)</f>
        <v>0</v>
      </c>
      <c r="G39" s="871">
        <f>IF(G38=0,0,VLOOKUP($A39,IMPOSTAZIONI!$B$382:$AM$391,G$108,FALSE))</f>
        <v>0</v>
      </c>
      <c r="H39" s="872">
        <f>IF(H38=0,0,VLOOKUP($A39,IMPOSTAZIONI!$B$382:$AM$391,H$108,FALSE))</f>
        <v>0</v>
      </c>
      <c r="I39" s="872">
        <f>IF(I38=0,0,VLOOKUP($A39,IMPOSTAZIONI!$B$382:$AM$391,I$108,FALSE))</f>
        <v>0</v>
      </c>
      <c r="J39" s="873">
        <f>SUM(G39:I39)</f>
        <v>0</v>
      </c>
      <c r="K39" s="871">
        <f>IF(K38=0,0,VLOOKUP($A39,IMPOSTAZIONI!$B$382:$AM$391,K$108,FALSE))</f>
        <v>0</v>
      </c>
      <c r="L39" s="872">
        <f>IF(L38=0,0,VLOOKUP($A39,IMPOSTAZIONI!$B$382:$AM$391,L$108,FALSE))</f>
        <v>0</v>
      </c>
      <c r="M39" s="872">
        <f>IF(M38=0,0,VLOOKUP($A39,IMPOSTAZIONI!$B$382:$AM$391,M$108,FALSE))</f>
        <v>0</v>
      </c>
      <c r="N39" s="873">
        <f>SUM(K39:M39)</f>
        <v>0</v>
      </c>
      <c r="O39" s="871">
        <f>IF(O38=0,0,VLOOKUP($A39,IMPOSTAZIONI!$B$382:$AM$391,O$108,FALSE))</f>
        <v>0</v>
      </c>
      <c r="P39" s="872">
        <f>IF(P38=0,0,VLOOKUP($A39,IMPOSTAZIONI!$B$382:$AM$391,P$108,FALSE))</f>
        <v>0</v>
      </c>
      <c r="Q39" s="872">
        <f>IF(Q38=0,0,VLOOKUP($A39,IMPOSTAZIONI!$B$382:$AM$391,Q$108,FALSE))</f>
        <v>0</v>
      </c>
      <c r="R39" s="873">
        <f>SUM(O39:Q39)</f>
        <v>0</v>
      </c>
      <c r="S39" s="28"/>
      <c r="T39" s="874">
        <f>F39+J39+N39+R39</f>
        <v>0</v>
      </c>
      <c r="U39" s="25"/>
    </row>
    <row r="40" spans="1:21" ht="16.5" customHeight="1" x14ac:dyDescent="0.2">
      <c r="A40" s="301">
        <f>A38</f>
        <v>0</v>
      </c>
      <c r="B40" s="888" t="s">
        <v>536</v>
      </c>
      <c r="C40" s="875">
        <f>IF(C38=0,0,VLOOKUP($A40,IMPOSTAZIONI!$B$397:$AM$406,C$108,FALSE))</f>
        <v>0</v>
      </c>
      <c r="D40" s="876">
        <f>IF(D38=0,0,VLOOKUP($A40,IMPOSTAZIONI!$B$397:$AM$406,D$108,FALSE))</f>
        <v>0</v>
      </c>
      <c r="E40" s="876">
        <f>IF(E38=0,0,VLOOKUP($A40,IMPOSTAZIONI!$B$397:$AM$406,E$108,FALSE))</f>
        <v>0</v>
      </c>
      <c r="F40" s="877">
        <f>SUM(C40:E40)</f>
        <v>0</v>
      </c>
      <c r="G40" s="875">
        <f>IF(G38=0,0,VLOOKUP($A40,IMPOSTAZIONI!$B$397:$AM$406,G$108,FALSE))</f>
        <v>0</v>
      </c>
      <c r="H40" s="876">
        <f>IF(H38=0,0,VLOOKUP($A40,IMPOSTAZIONI!$B$397:$AM$406,H$108,FALSE))</f>
        <v>0</v>
      </c>
      <c r="I40" s="876">
        <f>IF(I38=0,0,VLOOKUP($A40,IMPOSTAZIONI!$B$397:$AM$406,I$108,FALSE))</f>
        <v>0</v>
      </c>
      <c r="J40" s="877">
        <f>SUM(G40:I40)</f>
        <v>0</v>
      </c>
      <c r="K40" s="875">
        <f>IF(K38=0,0,VLOOKUP($A40,IMPOSTAZIONI!$B$397:$AM$406,K$108,FALSE))</f>
        <v>0</v>
      </c>
      <c r="L40" s="876">
        <f>IF(L38=0,0,VLOOKUP($A40,IMPOSTAZIONI!$B$397:$AM$406,L$108,FALSE))</f>
        <v>0</v>
      </c>
      <c r="M40" s="876">
        <f>IF(M38=0,0,VLOOKUP($A40,IMPOSTAZIONI!$B$397:$AM$406,M$108,FALSE))</f>
        <v>0</v>
      </c>
      <c r="N40" s="877">
        <f>SUM(K40:M40)</f>
        <v>0</v>
      </c>
      <c r="O40" s="875">
        <f>IF(O38=0,0,VLOOKUP($A40,IMPOSTAZIONI!$B$397:$AM$406,O$108,FALSE))</f>
        <v>0</v>
      </c>
      <c r="P40" s="876">
        <f>IF(P38=0,0,VLOOKUP($A40,IMPOSTAZIONI!$B$397:$AM$406,P$108,FALSE))</f>
        <v>0</v>
      </c>
      <c r="Q40" s="876">
        <f>IF(Q38=0,0,VLOOKUP($A40,IMPOSTAZIONI!$B$397:$AM$406,Q$108,FALSE))</f>
        <v>0</v>
      </c>
      <c r="R40" s="877">
        <f>SUM(O40:Q40)</f>
        <v>0</v>
      </c>
      <c r="S40" s="28"/>
      <c r="T40" s="878">
        <f>F40+J40+N40+R40</f>
        <v>0</v>
      </c>
      <c r="U40" s="25"/>
    </row>
    <row r="41" spans="1:21" ht="6" customHeight="1" x14ac:dyDescent="0.2">
      <c r="A41" s="1258"/>
      <c r="B41" s="48"/>
      <c r="C41" s="44"/>
      <c r="D41" s="44"/>
      <c r="E41" s="44"/>
      <c r="F41" s="44"/>
      <c r="G41" s="44"/>
      <c r="H41" s="44"/>
      <c r="I41" s="44"/>
      <c r="J41" s="44"/>
      <c r="K41" s="44"/>
      <c r="L41" s="44"/>
      <c r="M41" s="44"/>
      <c r="N41" s="44"/>
      <c r="O41" s="44"/>
      <c r="P41" s="44"/>
      <c r="Q41" s="44"/>
      <c r="R41" s="44"/>
      <c r="S41" s="28"/>
      <c r="T41" s="45"/>
      <c r="U41" s="25"/>
    </row>
    <row r="42" spans="1:21" ht="18" customHeight="1" x14ac:dyDescent="0.2">
      <c r="A42" s="47">
        <f>IF(C$175=0,0,A38+1)</f>
        <v>0</v>
      </c>
      <c r="B42" s="866" t="str">
        <f>IF(A42=0,"",VLOOKUP(A42,IMPOSTAZIONI!$B$367:$AQ$376,42,FALSE))</f>
        <v/>
      </c>
      <c r="C42" s="867">
        <f>IF($A42=0,0,VLOOKUP($A42,IMPOSTAZIONI!$B$367:$AM$376,C$108,FALSE))</f>
        <v>0</v>
      </c>
      <c r="D42" s="868">
        <f>IF($A42=0,0,VLOOKUP($A42,IMPOSTAZIONI!$B$367:$AM$376,D$108,FALSE))</f>
        <v>0</v>
      </c>
      <c r="E42" s="868">
        <f>IF($A42=0,0,VLOOKUP($A42,IMPOSTAZIONI!$B$367:$AM$376,E$108,FALSE))</f>
        <v>0</v>
      </c>
      <c r="F42" s="869">
        <f>SUM(C42:E42)</f>
        <v>0</v>
      </c>
      <c r="G42" s="867">
        <f>IF($A42=0,0,VLOOKUP($A42,IMPOSTAZIONI!$B$367:$AM$376,G$108,FALSE))</f>
        <v>0</v>
      </c>
      <c r="H42" s="868">
        <f>IF($A42=0,0,VLOOKUP($A42,IMPOSTAZIONI!$B$367:$AM$376,H$108,FALSE))</f>
        <v>0</v>
      </c>
      <c r="I42" s="868">
        <f>IF($A42=0,0,VLOOKUP($A42,IMPOSTAZIONI!$B$367:$AM$376,I$108,FALSE))</f>
        <v>0</v>
      </c>
      <c r="J42" s="869">
        <f>SUM(G42:I42)</f>
        <v>0</v>
      </c>
      <c r="K42" s="867">
        <f>IF($A42=0,0,VLOOKUP($A42,IMPOSTAZIONI!$B$367:$AM$376,K$108,FALSE))</f>
        <v>0</v>
      </c>
      <c r="L42" s="868">
        <f>IF($A42=0,0,VLOOKUP($A42,IMPOSTAZIONI!$B$367:$AM$376,L$108,FALSE))</f>
        <v>0</v>
      </c>
      <c r="M42" s="868">
        <f>IF($A42=0,0,VLOOKUP($A42,IMPOSTAZIONI!$B$367:$AM$376,M$108,FALSE))</f>
        <v>0</v>
      </c>
      <c r="N42" s="869">
        <f>SUM(K42:M42)</f>
        <v>0</v>
      </c>
      <c r="O42" s="867">
        <f>IF($A42=0,0,VLOOKUP($A42,IMPOSTAZIONI!$B$367:$AM$376,O$108,FALSE))</f>
        <v>0</v>
      </c>
      <c r="P42" s="868">
        <f>IF($A42=0,0,VLOOKUP($A42,IMPOSTAZIONI!$B$367:$AM$376,P$108,FALSE))</f>
        <v>0</v>
      </c>
      <c r="Q42" s="868">
        <f>IF($A42=0,0,VLOOKUP($A42,IMPOSTAZIONI!$B$367:$AM$376,Q$108,FALSE))</f>
        <v>0</v>
      </c>
      <c r="R42" s="869">
        <f>SUM(O42:Q42)</f>
        <v>0</v>
      </c>
      <c r="S42" s="28"/>
      <c r="T42" s="870">
        <f>F42+J42+N42+R42</f>
        <v>0</v>
      </c>
      <c r="U42" s="25"/>
    </row>
    <row r="43" spans="1:21" ht="16.5" customHeight="1" x14ac:dyDescent="0.2">
      <c r="A43" s="301">
        <f>A42</f>
        <v>0</v>
      </c>
      <c r="B43" s="1254" t="s">
        <v>515</v>
      </c>
      <c r="C43" s="871">
        <f>IF(C42=0,0,VLOOKUP($A43,IMPOSTAZIONI!$B$382:$AM$391,C$108,FALSE))</f>
        <v>0</v>
      </c>
      <c r="D43" s="872">
        <f>IF(D42=0,0,VLOOKUP($A43,IMPOSTAZIONI!$B$382:$AM$391,D$108,FALSE))</f>
        <v>0</v>
      </c>
      <c r="E43" s="872">
        <f>IF(E42=0,0,VLOOKUP($A43,IMPOSTAZIONI!$B$382:$AM$391,E$108,FALSE))</f>
        <v>0</v>
      </c>
      <c r="F43" s="873">
        <f>SUM(C43:E43)</f>
        <v>0</v>
      </c>
      <c r="G43" s="871">
        <f>IF(G42=0,0,VLOOKUP($A43,IMPOSTAZIONI!$B$382:$AM$391,G$108,FALSE))</f>
        <v>0</v>
      </c>
      <c r="H43" s="872">
        <f>IF(H42=0,0,VLOOKUP($A43,IMPOSTAZIONI!$B$382:$AM$391,H$108,FALSE))</f>
        <v>0</v>
      </c>
      <c r="I43" s="872">
        <f>IF(I42=0,0,VLOOKUP($A43,IMPOSTAZIONI!$B$382:$AM$391,I$108,FALSE))</f>
        <v>0</v>
      </c>
      <c r="J43" s="873">
        <f>SUM(G43:I43)</f>
        <v>0</v>
      </c>
      <c r="K43" s="871">
        <f>IF(K42=0,0,VLOOKUP($A43,IMPOSTAZIONI!$B$382:$AM$391,K$108,FALSE))</f>
        <v>0</v>
      </c>
      <c r="L43" s="872">
        <f>IF(L42=0,0,VLOOKUP($A43,IMPOSTAZIONI!$B$382:$AM$391,L$108,FALSE))</f>
        <v>0</v>
      </c>
      <c r="M43" s="872">
        <f>IF(M42=0,0,VLOOKUP($A43,IMPOSTAZIONI!$B$382:$AM$391,M$108,FALSE))</f>
        <v>0</v>
      </c>
      <c r="N43" s="873">
        <f>SUM(K43:M43)</f>
        <v>0</v>
      </c>
      <c r="O43" s="871">
        <f>IF(O42=0,0,VLOOKUP($A43,IMPOSTAZIONI!$B$382:$AM$391,O$108,FALSE))</f>
        <v>0</v>
      </c>
      <c r="P43" s="872">
        <f>IF(P42=0,0,VLOOKUP($A43,IMPOSTAZIONI!$B$382:$AM$391,P$108,FALSE))</f>
        <v>0</v>
      </c>
      <c r="Q43" s="872">
        <f>IF(Q42=0,0,VLOOKUP($A43,IMPOSTAZIONI!$B$382:$AM$391,Q$108,FALSE))</f>
        <v>0</v>
      </c>
      <c r="R43" s="873">
        <f>SUM(O43:Q43)</f>
        <v>0</v>
      </c>
      <c r="S43" s="28"/>
      <c r="T43" s="874">
        <f>F43+J43+N43+R43</f>
        <v>0</v>
      </c>
      <c r="U43" s="25"/>
    </row>
    <row r="44" spans="1:21" ht="16.5" customHeight="1" x14ac:dyDescent="0.2">
      <c r="A44" s="301">
        <f>A42</f>
        <v>0</v>
      </c>
      <c r="B44" s="888" t="s">
        <v>536</v>
      </c>
      <c r="C44" s="875">
        <f>IF(C42=0,0,VLOOKUP($A44,IMPOSTAZIONI!$B$397:$AM$406,C$108,FALSE))</f>
        <v>0</v>
      </c>
      <c r="D44" s="876">
        <f>IF(D42=0,0,VLOOKUP($A44,IMPOSTAZIONI!$B$397:$AM$406,D$108,FALSE))</f>
        <v>0</v>
      </c>
      <c r="E44" s="876">
        <f>IF(E42=0,0,VLOOKUP($A44,IMPOSTAZIONI!$B$397:$AM$406,E$108,FALSE))</f>
        <v>0</v>
      </c>
      <c r="F44" s="877">
        <f>SUM(C44:E44)</f>
        <v>0</v>
      </c>
      <c r="G44" s="875">
        <f>IF(G42=0,0,VLOOKUP($A44,IMPOSTAZIONI!$B$397:$AM$406,G$108,FALSE))</f>
        <v>0</v>
      </c>
      <c r="H44" s="876">
        <f>IF(H42=0,0,VLOOKUP($A44,IMPOSTAZIONI!$B$397:$AM$406,H$108,FALSE))</f>
        <v>0</v>
      </c>
      <c r="I44" s="876">
        <f>IF(I42=0,0,VLOOKUP($A44,IMPOSTAZIONI!$B$397:$AM$406,I$108,FALSE))</f>
        <v>0</v>
      </c>
      <c r="J44" s="877">
        <f>SUM(G44:I44)</f>
        <v>0</v>
      </c>
      <c r="K44" s="875">
        <f>IF(K42=0,0,VLOOKUP($A44,IMPOSTAZIONI!$B$397:$AM$406,K$108,FALSE))</f>
        <v>0</v>
      </c>
      <c r="L44" s="876">
        <f>IF(L42=0,0,VLOOKUP($A44,IMPOSTAZIONI!$B$397:$AM$406,L$108,FALSE))</f>
        <v>0</v>
      </c>
      <c r="M44" s="876">
        <f>IF(M42=0,0,VLOOKUP($A44,IMPOSTAZIONI!$B$397:$AM$406,M$108,FALSE))</f>
        <v>0</v>
      </c>
      <c r="N44" s="877">
        <f>SUM(K44:M44)</f>
        <v>0</v>
      </c>
      <c r="O44" s="875">
        <f>IF(O42=0,0,VLOOKUP($A44,IMPOSTAZIONI!$B$397:$AM$406,O$108,FALSE))</f>
        <v>0</v>
      </c>
      <c r="P44" s="876">
        <f>IF(P42=0,0,VLOOKUP($A44,IMPOSTAZIONI!$B$397:$AM$406,P$108,FALSE))</f>
        <v>0</v>
      </c>
      <c r="Q44" s="876">
        <f>IF(Q42=0,0,VLOOKUP($A44,IMPOSTAZIONI!$B$397:$AM$406,Q$108,FALSE))</f>
        <v>0</v>
      </c>
      <c r="R44" s="877">
        <f>SUM(O44:Q44)</f>
        <v>0</v>
      </c>
      <c r="S44" s="28"/>
      <c r="T44" s="878">
        <f>F44+J44+N44+R44</f>
        <v>0</v>
      </c>
      <c r="U44" s="25"/>
    </row>
    <row r="45" spans="1:21" ht="6" customHeight="1" x14ac:dyDescent="0.2">
      <c r="A45" s="1258"/>
      <c r="B45" s="48"/>
      <c r="C45" s="44"/>
      <c r="D45" s="44"/>
      <c r="E45" s="44"/>
      <c r="F45" s="44"/>
      <c r="G45" s="44"/>
      <c r="H45" s="44"/>
      <c r="I45" s="44"/>
      <c r="J45" s="44"/>
      <c r="K45" s="44"/>
      <c r="L45" s="44"/>
      <c r="M45" s="44"/>
      <c r="N45" s="44"/>
      <c r="O45" s="44"/>
      <c r="P45" s="44"/>
      <c r="Q45" s="44"/>
      <c r="R45" s="44"/>
      <c r="S45" s="28"/>
      <c r="T45" s="45"/>
      <c r="U45" s="25"/>
    </row>
    <row r="46" spans="1:21" ht="18" customHeight="1" x14ac:dyDescent="0.2">
      <c r="A46" s="47">
        <f>IF(C$175=0,0,A42+1)</f>
        <v>0</v>
      </c>
      <c r="B46" s="866" t="str">
        <f>IF(A46=0,"",VLOOKUP(A46,IMPOSTAZIONI!$B$367:$AQ$376,42,FALSE))</f>
        <v/>
      </c>
      <c r="C46" s="867">
        <f>IF($A46=0,0,VLOOKUP($A46,IMPOSTAZIONI!$B$367:$AM$376,C$108,FALSE))</f>
        <v>0</v>
      </c>
      <c r="D46" s="868">
        <f>IF($A46=0,0,VLOOKUP($A46,IMPOSTAZIONI!$B$367:$AM$376,D$108,FALSE))</f>
        <v>0</v>
      </c>
      <c r="E46" s="868">
        <f>IF($A46=0,0,VLOOKUP($A46,IMPOSTAZIONI!$B$367:$AM$376,E$108,FALSE))</f>
        <v>0</v>
      </c>
      <c r="F46" s="869">
        <f>SUM(C46:E46)</f>
        <v>0</v>
      </c>
      <c r="G46" s="867">
        <f>IF($A46=0,0,VLOOKUP($A46,IMPOSTAZIONI!$B$367:$AM$376,G$108,FALSE))</f>
        <v>0</v>
      </c>
      <c r="H46" s="868">
        <f>IF($A46=0,0,VLOOKUP($A46,IMPOSTAZIONI!$B$367:$AM$376,H$108,FALSE))</f>
        <v>0</v>
      </c>
      <c r="I46" s="868">
        <f>IF($A46=0,0,VLOOKUP($A46,IMPOSTAZIONI!$B$367:$AM$376,I$108,FALSE))</f>
        <v>0</v>
      </c>
      <c r="J46" s="869">
        <f>SUM(G46:I46)</f>
        <v>0</v>
      </c>
      <c r="K46" s="867">
        <f>IF($A46=0,0,VLOOKUP($A46,IMPOSTAZIONI!$B$367:$AM$376,K$108,FALSE))</f>
        <v>0</v>
      </c>
      <c r="L46" s="868">
        <f>IF($A46=0,0,VLOOKUP($A46,IMPOSTAZIONI!$B$367:$AM$376,L$108,FALSE))</f>
        <v>0</v>
      </c>
      <c r="M46" s="868">
        <f>IF($A46=0,0,VLOOKUP($A46,IMPOSTAZIONI!$B$367:$AM$376,M$108,FALSE))</f>
        <v>0</v>
      </c>
      <c r="N46" s="869">
        <f>SUM(K46:M46)</f>
        <v>0</v>
      </c>
      <c r="O46" s="867">
        <f>IF($A46=0,0,VLOOKUP($A46,IMPOSTAZIONI!$B$367:$AM$376,O$108,FALSE))</f>
        <v>0</v>
      </c>
      <c r="P46" s="868">
        <f>IF($A46=0,0,VLOOKUP($A46,IMPOSTAZIONI!$B$367:$AM$376,P$108,FALSE))</f>
        <v>0</v>
      </c>
      <c r="Q46" s="868">
        <f>IF($A46=0,0,VLOOKUP($A46,IMPOSTAZIONI!$B$367:$AM$376,Q$108,FALSE))</f>
        <v>0</v>
      </c>
      <c r="R46" s="869">
        <f>SUM(O46:Q46)</f>
        <v>0</v>
      </c>
      <c r="S46" s="28"/>
      <c r="T46" s="870">
        <f>F46+J46+N46+R46</f>
        <v>0</v>
      </c>
      <c r="U46" s="25"/>
    </row>
    <row r="47" spans="1:21" ht="16.5" customHeight="1" x14ac:dyDescent="0.2">
      <c r="A47" s="301">
        <f>A46</f>
        <v>0</v>
      </c>
      <c r="B47" s="1254" t="s">
        <v>515</v>
      </c>
      <c r="C47" s="871">
        <f>IF(C46=0,0,VLOOKUP($A47,IMPOSTAZIONI!$B$382:$AM$391,C$108,FALSE))</f>
        <v>0</v>
      </c>
      <c r="D47" s="872">
        <f>IF(D46=0,0,VLOOKUP($A47,IMPOSTAZIONI!$B$382:$AM$391,D$108,FALSE))</f>
        <v>0</v>
      </c>
      <c r="E47" s="872">
        <f>IF(E46=0,0,VLOOKUP($A47,IMPOSTAZIONI!$B$382:$AM$391,E$108,FALSE))</f>
        <v>0</v>
      </c>
      <c r="F47" s="873">
        <f>SUM(C47:E47)</f>
        <v>0</v>
      </c>
      <c r="G47" s="871">
        <f>IF(G46=0,0,VLOOKUP($A47,IMPOSTAZIONI!$B$382:$AM$391,G$108,FALSE))</f>
        <v>0</v>
      </c>
      <c r="H47" s="872">
        <f>IF(H46=0,0,VLOOKUP($A47,IMPOSTAZIONI!$B$382:$AM$391,H$108,FALSE))</f>
        <v>0</v>
      </c>
      <c r="I47" s="872">
        <f>IF(I46=0,0,VLOOKUP($A47,IMPOSTAZIONI!$B$382:$AM$391,I$108,FALSE))</f>
        <v>0</v>
      </c>
      <c r="J47" s="873">
        <f>SUM(G47:I47)</f>
        <v>0</v>
      </c>
      <c r="K47" s="871">
        <f>IF(K46=0,0,VLOOKUP($A47,IMPOSTAZIONI!$B$382:$AM$391,K$108,FALSE))</f>
        <v>0</v>
      </c>
      <c r="L47" s="872">
        <f>IF(L46=0,0,VLOOKUP($A47,IMPOSTAZIONI!$B$382:$AM$391,L$108,FALSE))</f>
        <v>0</v>
      </c>
      <c r="M47" s="872">
        <f>IF(M46=0,0,VLOOKUP($A47,IMPOSTAZIONI!$B$382:$AM$391,M$108,FALSE))</f>
        <v>0</v>
      </c>
      <c r="N47" s="873">
        <f>SUM(K47:M47)</f>
        <v>0</v>
      </c>
      <c r="O47" s="871">
        <f>IF(O46=0,0,VLOOKUP($A47,IMPOSTAZIONI!$B$382:$AM$391,O$108,FALSE))</f>
        <v>0</v>
      </c>
      <c r="P47" s="872">
        <f>IF(P46=0,0,VLOOKUP($A47,IMPOSTAZIONI!$B$382:$AM$391,P$108,FALSE))</f>
        <v>0</v>
      </c>
      <c r="Q47" s="872">
        <f>IF(Q46=0,0,VLOOKUP($A47,IMPOSTAZIONI!$B$382:$AM$391,Q$108,FALSE))</f>
        <v>0</v>
      </c>
      <c r="R47" s="873">
        <f>SUM(O47:Q47)</f>
        <v>0</v>
      </c>
      <c r="S47" s="28"/>
      <c r="T47" s="874">
        <f>F47+J47+N47+R47</f>
        <v>0</v>
      </c>
      <c r="U47" s="25"/>
    </row>
    <row r="48" spans="1:21" ht="16.5" customHeight="1" x14ac:dyDescent="0.2">
      <c r="A48" s="301">
        <f>A46</f>
        <v>0</v>
      </c>
      <c r="B48" s="888" t="s">
        <v>536</v>
      </c>
      <c r="C48" s="875">
        <f>IF(C46=0,0,VLOOKUP($A48,IMPOSTAZIONI!$B$397:$AM$406,C$108,FALSE))</f>
        <v>0</v>
      </c>
      <c r="D48" s="876">
        <f>IF(D46=0,0,VLOOKUP($A48,IMPOSTAZIONI!$B$397:$AM$406,D$108,FALSE))</f>
        <v>0</v>
      </c>
      <c r="E48" s="876">
        <f>IF(E46=0,0,VLOOKUP($A48,IMPOSTAZIONI!$B$397:$AM$406,E$108,FALSE))</f>
        <v>0</v>
      </c>
      <c r="F48" s="877">
        <f>SUM(C48:E48)</f>
        <v>0</v>
      </c>
      <c r="G48" s="875">
        <f>IF(G46=0,0,VLOOKUP($A48,IMPOSTAZIONI!$B$397:$AM$406,G$108,FALSE))</f>
        <v>0</v>
      </c>
      <c r="H48" s="876">
        <f>IF(H46=0,0,VLOOKUP($A48,IMPOSTAZIONI!$B$397:$AM$406,H$108,FALSE))</f>
        <v>0</v>
      </c>
      <c r="I48" s="876">
        <f>IF(I46=0,0,VLOOKUP($A48,IMPOSTAZIONI!$B$397:$AM$406,I$108,FALSE))</f>
        <v>0</v>
      </c>
      <c r="J48" s="877">
        <f>SUM(G48:I48)</f>
        <v>0</v>
      </c>
      <c r="K48" s="875">
        <f>IF(K46=0,0,VLOOKUP($A48,IMPOSTAZIONI!$B$397:$AM$406,K$108,FALSE))</f>
        <v>0</v>
      </c>
      <c r="L48" s="876">
        <f>IF(L46=0,0,VLOOKUP($A48,IMPOSTAZIONI!$B$397:$AM$406,L$108,FALSE))</f>
        <v>0</v>
      </c>
      <c r="M48" s="876">
        <f>IF(M46=0,0,VLOOKUP($A48,IMPOSTAZIONI!$B$397:$AM$406,M$108,FALSE))</f>
        <v>0</v>
      </c>
      <c r="N48" s="877">
        <f>SUM(K48:M48)</f>
        <v>0</v>
      </c>
      <c r="O48" s="875">
        <f>IF(O46=0,0,VLOOKUP($A48,IMPOSTAZIONI!$B$397:$AM$406,O$108,FALSE))</f>
        <v>0</v>
      </c>
      <c r="P48" s="876">
        <f>IF(P46=0,0,VLOOKUP($A48,IMPOSTAZIONI!$B$397:$AM$406,P$108,FALSE))</f>
        <v>0</v>
      </c>
      <c r="Q48" s="876">
        <f>IF(Q46=0,0,VLOOKUP($A48,IMPOSTAZIONI!$B$397:$AM$406,Q$108,FALSE))</f>
        <v>0</v>
      </c>
      <c r="R48" s="877">
        <f>SUM(O48:Q48)</f>
        <v>0</v>
      </c>
      <c r="S48" s="28"/>
      <c r="T48" s="878">
        <f>F48+J48+N48+R48</f>
        <v>0</v>
      </c>
      <c r="U48" s="25"/>
    </row>
    <row r="49" spans="1:21" ht="6" customHeight="1" x14ac:dyDescent="0.2">
      <c r="A49" s="1258"/>
      <c r="B49" s="48"/>
      <c r="C49" s="44"/>
      <c r="D49" s="44"/>
      <c r="E49" s="44"/>
      <c r="F49" s="44"/>
      <c r="G49" s="44"/>
      <c r="H49" s="44"/>
      <c r="I49" s="44"/>
      <c r="J49" s="44"/>
      <c r="K49" s="44"/>
      <c r="L49" s="44"/>
      <c r="M49" s="44"/>
      <c r="N49" s="44"/>
      <c r="O49" s="44"/>
      <c r="P49" s="44"/>
      <c r="Q49" s="44"/>
      <c r="R49" s="44"/>
      <c r="S49" s="28"/>
      <c r="T49" s="45"/>
      <c r="U49" s="25"/>
    </row>
    <row r="50" spans="1:21" ht="18" customHeight="1" x14ac:dyDescent="0.2">
      <c r="A50" s="47">
        <f>IF(C$175=0,0,A46+1)</f>
        <v>0</v>
      </c>
      <c r="B50" s="866" t="str">
        <f>IF(A50=0,"",VLOOKUP(A50,IMPOSTAZIONI!$B$367:$AQ$376,42,FALSE))</f>
        <v/>
      </c>
      <c r="C50" s="867">
        <f>IF($A50=0,0,VLOOKUP($A50,IMPOSTAZIONI!$B$367:$AM$376,C$108,FALSE))</f>
        <v>0</v>
      </c>
      <c r="D50" s="868">
        <f>IF($A50=0,0,VLOOKUP($A50,IMPOSTAZIONI!$B$367:$AM$376,D$108,FALSE))</f>
        <v>0</v>
      </c>
      <c r="E50" s="868">
        <f>IF($A50=0,0,VLOOKUP($A50,IMPOSTAZIONI!$B$367:$AM$376,E$108,FALSE))</f>
        <v>0</v>
      </c>
      <c r="F50" s="869">
        <f>SUM(C50:E50)</f>
        <v>0</v>
      </c>
      <c r="G50" s="867">
        <f>IF($A50=0,0,VLOOKUP($A50,IMPOSTAZIONI!$B$367:$AM$376,G$108,FALSE))</f>
        <v>0</v>
      </c>
      <c r="H50" s="868">
        <f>IF($A50=0,0,VLOOKUP($A50,IMPOSTAZIONI!$B$367:$AM$376,H$108,FALSE))</f>
        <v>0</v>
      </c>
      <c r="I50" s="868">
        <f>IF($A50=0,0,VLOOKUP($A50,IMPOSTAZIONI!$B$367:$AM$376,I$108,FALSE))</f>
        <v>0</v>
      </c>
      <c r="J50" s="869">
        <f>SUM(G50:I50)</f>
        <v>0</v>
      </c>
      <c r="K50" s="867">
        <f>IF($A50=0,0,VLOOKUP($A50,IMPOSTAZIONI!$B$367:$AM$376,K$108,FALSE))</f>
        <v>0</v>
      </c>
      <c r="L50" s="868">
        <f>IF($A50=0,0,VLOOKUP($A50,IMPOSTAZIONI!$B$367:$AM$376,L$108,FALSE))</f>
        <v>0</v>
      </c>
      <c r="M50" s="868">
        <f>IF($A50=0,0,VLOOKUP($A50,IMPOSTAZIONI!$B$367:$AM$376,M$108,FALSE))</f>
        <v>0</v>
      </c>
      <c r="N50" s="869">
        <f>SUM(K50:M50)</f>
        <v>0</v>
      </c>
      <c r="O50" s="867">
        <f>IF($A50=0,0,VLOOKUP($A50,IMPOSTAZIONI!$B$367:$AM$376,O$108,FALSE))</f>
        <v>0</v>
      </c>
      <c r="P50" s="868">
        <f>IF($A50=0,0,VLOOKUP($A50,IMPOSTAZIONI!$B$367:$AM$376,P$108,FALSE))</f>
        <v>0</v>
      </c>
      <c r="Q50" s="868">
        <f>IF($A50=0,0,VLOOKUP($A50,IMPOSTAZIONI!$B$367:$AM$376,Q$108,FALSE))</f>
        <v>0</v>
      </c>
      <c r="R50" s="869">
        <f>SUM(O50:Q50)</f>
        <v>0</v>
      </c>
      <c r="S50" s="28"/>
      <c r="T50" s="870">
        <f>F50+J50+N50+R50</f>
        <v>0</v>
      </c>
      <c r="U50" s="25"/>
    </row>
    <row r="51" spans="1:21" ht="16.5" customHeight="1" x14ac:dyDescent="0.2">
      <c r="A51" s="301">
        <f>A50</f>
        <v>0</v>
      </c>
      <c r="B51" s="1254" t="s">
        <v>515</v>
      </c>
      <c r="C51" s="871">
        <f>IF(C50=0,0,VLOOKUP($A51,IMPOSTAZIONI!$B$382:$AM$391,C$108,FALSE))</f>
        <v>0</v>
      </c>
      <c r="D51" s="872">
        <f>IF(D50=0,0,VLOOKUP($A51,IMPOSTAZIONI!$B$382:$AM$391,D$108,FALSE))</f>
        <v>0</v>
      </c>
      <c r="E51" s="872">
        <f>IF(E50=0,0,VLOOKUP($A51,IMPOSTAZIONI!$B$382:$AM$391,E$108,FALSE))</f>
        <v>0</v>
      </c>
      <c r="F51" s="873">
        <f>SUM(C51:E51)</f>
        <v>0</v>
      </c>
      <c r="G51" s="871">
        <f>IF(G50=0,0,VLOOKUP($A51,IMPOSTAZIONI!$B$382:$AM$391,G$108,FALSE))</f>
        <v>0</v>
      </c>
      <c r="H51" s="872">
        <f>IF(H50=0,0,VLOOKUP($A51,IMPOSTAZIONI!$B$382:$AM$391,H$108,FALSE))</f>
        <v>0</v>
      </c>
      <c r="I51" s="872">
        <f>IF(I50=0,0,VLOOKUP($A51,IMPOSTAZIONI!$B$382:$AM$391,I$108,FALSE))</f>
        <v>0</v>
      </c>
      <c r="J51" s="873">
        <f>SUM(G51:I51)</f>
        <v>0</v>
      </c>
      <c r="K51" s="871">
        <f>IF(K50=0,0,VLOOKUP($A51,IMPOSTAZIONI!$B$382:$AM$391,K$108,FALSE))</f>
        <v>0</v>
      </c>
      <c r="L51" s="872">
        <f>IF(L50=0,0,VLOOKUP($A51,IMPOSTAZIONI!$B$382:$AM$391,L$108,FALSE))</f>
        <v>0</v>
      </c>
      <c r="M51" s="872">
        <f>IF(M50=0,0,VLOOKUP($A51,IMPOSTAZIONI!$B$382:$AM$391,M$108,FALSE))</f>
        <v>0</v>
      </c>
      <c r="N51" s="873">
        <f>SUM(K51:M51)</f>
        <v>0</v>
      </c>
      <c r="O51" s="871">
        <f>IF(O50=0,0,VLOOKUP($A51,IMPOSTAZIONI!$B$382:$AM$391,O$108,FALSE))</f>
        <v>0</v>
      </c>
      <c r="P51" s="872">
        <f>IF(P50=0,0,VLOOKUP($A51,IMPOSTAZIONI!$B$382:$AM$391,P$108,FALSE))</f>
        <v>0</v>
      </c>
      <c r="Q51" s="872">
        <f>IF(Q50=0,0,VLOOKUP($A51,IMPOSTAZIONI!$B$382:$AM$391,Q$108,FALSE))</f>
        <v>0</v>
      </c>
      <c r="R51" s="873">
        <f>SUM(O51:Q51)</f>
        <v>0</v>
      </c>
      <c r="S51" s="28"/>
      <c r="T51" s="874">
        <f>F51+J51+N51+R51</f>
        <v>0</v>
      </c>
      <c r="U51" s="25"/>
    </row>
    <row r="52" spans="1:21" ht="16.5" customHeight="1" x14ac:dyDescent="0.2">
      <c r="A52" s="301">
        <f>A50</f>
        <v>0</v>
      </c>
      <c r="B52" s="888" t="s">
        <v>536</v>
      </c>
      <c r="C52" s="875">
        <f>IF(C50=0,0,VLOOKUP($A52,IMPOSTAZIONI!$B$397:$AM$406,C$108,FALSE))</f>
        <v>0</v>
      </c>
      <c r="D52" s="876">
        <f>IF(D50=0,0,VLOOKUP($A52,IMPOSTAZIONI!$B$397:$AM$406,D$108,FALSE))</f>
        <v>0</v>
      </c>
      <c r="E52" s="876">
        <f>IF(E50=0,0,VLOOKUP($A52,IMPOSTAZIONI!$B$397:$AM$406,E$108,FALSE))</f>
        <v>0</v>
      </c>
      <c r="F52" s="877">
        <f>SUM(C52:E52)</f>
        <v>0</v>
      </c>
      <c r="G52" s="875">
        <f>IF(G50=0,0,VLOOKUP($A52,IMPOSTAZIONI!$B$397:$AM$406,G$108,FALSE))</f>
        <v>0</v>
      </c>
      <c r="H52" s="876">
        <f>IF(H50=0,0,VLOOKUP($A52,IMPOSTAZIONI!$B$397:$AM$406,H$108,FALSE))</f>
        <v>0</v>
      </c>
      <c r="I52" s="876">
        <f>IF(I50=0,0,VLOOKUP($A52,IMPOSTAZIONI!$B$397:$AM$406,I$108,FALSE))</f>
        <v>0</v>
      </c>
      <c r="J52" s="877">
        <f>SUM(G52:I52)</f>
        <v>0</v>
      </c>
      <c r="K52" s="875">
        <f>IF(K50=0,0,VLOOKUP($A52,IMPOSTAZIONI!$B$397:$AM$406,K$108,FALSE))</f>
        <v>0</v>
      </c>
      <c r="L52" s="876">
        <f>IF(L50=0,0,VLOOKUP($A52,IMPOSTAZIONI!$B$397:$AM$406,L$108,FALSE))</f>
        <v>0</v>
      </c>
      <c r="M52" s="876">
        <f>IF(M50=0,0,VLOOKUP($A52,IMPOSTAZIONI!$B$397:$AM$406,M$108,FALSE))</f>
        <v>0</v>
      </c>
      <c r="N52" s="877">
        <f>SUM(K52:M52)</f>
        <v>0</v>
      </c>
      <c r="O52" s="875">
        <f>IF(O50=0,0,VLOOKUP($A52,IMPOSTAZIONI!$B$397:$AM$406,O$108,FALSE))</f>
        <v>0</v>
      </c>
      <c r="P52" s="876">
        <f>IF(P50=0,0,VLOOKUP($A52,IMPOSTAZIONI!$B$397:$AM$406,P$108,FALSE))</f>
        <v>0</v>
      </c>
      <c r="Q52" s="876">
        <f>IF(Q50=0,0,VLOOKUP($A52,IMPOSTAZIONI!$B$397:$AM$406,Q$108,FALSE))</f>
        <v>0</v>
      </c>
      <c r="R52" s="877">
        <f>SUM(O52:Q52)</f>
        <v>0</v>
      </c>
      <c r="S52" s="28"/>
      <c r="T52" s="878">
        <f>F52+J52+N52+R52</f>
        <v>0</v>
      </c>
      <c r="U52" s="25"/>
    </row>
    <row r="53" spans="1:21" ht="6" customHeight="1" x14ac:dyDescent="0.2">
      <c r="A53" s="1258"/>
      <c r="B53" s="48"/>
      <c r="C53" s="44"/>
      <c r="D53" s="44"/>
      <c r="E53" s="44"/>
      <c r="F53" s="44"/>
      <c r="G53" s="44"/>
      <c r="H53" s="44"/>
      <c r="I53" s="44"/>
      <c r="J53" s="44"/>
      <c r="K53" s="44"/>
      <c r="L53" s="44"/>
      <c r="M53" s="44"/>
      <c r="N53" s="44"/>
      <c r="O53" s="44"/>
      <c r="P53" s="44"/>
      <c r="Q53" s="44"/>
      <c r="R53" s="44"/>
      <c r="S53" s="28"/>
      <c r="T53" s="45"/>
      <c r="U53" s="25"/>
    </row>
    <row r="54" spans="1:21" ht="18" customHeight="1" x14ac:dyDescent="0.2">
      <c r="A54" s="47">
        <f>IF(C$175=0,0,A50+1)</f>
        <v>0</v>
      </c>
      <c r="B54" s="866" t="str">
        <f>IF(A54=0,"",VLOOKUP(A54,IMPOSTAZIONI!$B$367:$AQ$376,42,FALSE))</f>
        <v/>
      </c>
      <c r="C54" s="867">
        <f>IF($A54=0,0,VLOOKUP($A54,IMPOSTAZIONI!$B$367:$AM$376,C$108,FALSE))</f>
        <v>0</v>
      </c>
      <c r="D54" s="868">
        <f>IF($A54=0,0,VLOOKUP($A54,IMPOSTAZIONI!$B$367:$AM$376,D$108,FALSE))</f>
        <v>0</v>
      </c>
      <c r="E54" s="868">
        <f>IF($A54=0,0,VLOOKUP($A54,IMPOSTAZIONI!$B$367:$AM$376,E$108,FALSE))</f>
        <v>0</v>
      </c>
      <c r="F54" s="869">
        <f>SUM(C54:E54)</f>
        <v>0</v>
      </c>
      <c r="G54" s="867">
        <f>IF($A54=0,0,VLOOKUP($A54,IMPOSTAZIONI!$B$367:$AM$376,G$108,FALSE))</f>
        <v>0</v>
      </c>
      <c r="H54" s="868">
        <f>IF($A54=0,0,VLOOKUP($A54,IMPOSTAZIONI!$B$367:$AM$376,H$108,FALSE))</f>
        <v>0</v>
      </c>
      <c r="I54" s="868">
        <f>IF($A54=0,0,VLOOKUP($A54,IMPOSTAZIONI!$B$367:$AM$376,I$108,FALSE))</f>
        <v>0</v>
      </c>
      <c r="J54" s="869">
        <f>SUM(G54:I54)</f>
        <v>0</v>
      </c>
      <c r="K54" s="867">
        <f>IF($A54=0,0,VLOOKUP($A54,IMPOSTAZIONI!$B$367:$AM$376,K$108,FALSE))</f>
        <v>0</v>
      </c>
      <c r="L54" s="868">
        <f>IF($A54=0,0,VLOOKUP($A54,IMPOSTAZIONI!$B$367:$AM$376,L$108,FALSE))</f>
        <v>0</v>
      </c>
      <c r="M54" s="868">
        <f>IF($A54=0,0,VLOOKUP($A54,IMPOSTAZIONI!$B$367:$AM$376,M$108,FALSE))</f>
        <v>0</v>
      </c>
      <c r="N54" s="869">
        <f>SUM(K54:M54)</f>
        <v>0</v>
      </c>
      <c r="O54" s="867">
        <f>IF($A54=0,0,VLOOKUP($A54,IMPOSTAZIONI!$B$367:$AM$376,O$108,FALSE))</f>
        <v>0</v>
      </c>
      <c r="P54" s="868">
        <f>IF($A54=0,0,VLOOKUP($A54,IMPOSTAZIONI!$B$367:$AM$376,P$108,FALSE))</f>
        <v>0</v>
      </c>
      <c r="Q54" s="868">
        <f>IF($A54=0,0,VLOOKUP($A54,IMPOSTAZIONI!$B$367:$AM$376,Q$108,FALSE))</f>
        <v>0</v>
      </c>
      <c r="R54" s="869">
        <f>SUM(O54:Q54)</f>
        <v>0</v>
      </c>
      <c r="S54" s="28"/>
      <c r="T54" s="870">
        <f>F54+J54+N54+R54</f>
        <v>0</v>
      </c>
      <c r="U54" s="25"/>
    </row>
    <row r="55" spans="1:21" ht="16.5" customHeight="1" x14ac:dyDescent="0.2">
      <c r="A55" s="301">
        <f>A54</f>
        <v>0</v>
      </c>
      <c r="B55" s="1254" t="s">
        <v>515</v>
      </c>
      <c r="C55" s="871">
        <f>IF(C54=0,0,VLOOKUP($A55,IMPOSTAZIONI!$B$382:$AM$391,C$108,FALSE))</f>
        <v>0</v>
      </c>
      <c r="D55" s="872">
        <f>IF(D54=0,0,VLOOKUP($A55,IMPOSTAZIONI!$B$382:$AM$391,D$108,FALSE))</f>
        <v>0</v>
      </c>
      <c r="E55" s="872">
        <f>IF(E54=0,0,VLOOKUP($A55,IMPOSTAZIONI!$B$382:$AM$391,E$108,FALSE))</f>
        <v>0</v>
      </c>
      <c r="F55" s="873">
        <f>SUM(C55:E55)</f>
        <v>0</v>
      </c>
      <c r="G55" s="871">
        <f>IF(G54=0,0,VLOOKUP($A55,IMPOSTAZIONI!$B$382:$AM$391,G$108,FALSE))</f>
        <v>0</v>
      </c>
      <c r="H55" s="872">
        <f>IF(H54=0,0,VLOOKUP($A55,IMPOSTAZIONI!$B$382:$AM$391,H$108,FALSE))</f>
        <v>0</v>
      </c>
      <c r="I55" s="872">
        <f>IF(I54=0,0,VLOOKUP($A55,IMPOSTAZIONI!$B$382:$AM$391,I$108,FALSE))</f>
        <v>0</v>
      </c>
      <c r="J55" s="873">
        <f>SUM(G55:I55)</f>
        <v>0</v>
      </c>
      <c r="K55" s="871">
        <f>IF(K54=0,0,VLOOKUP($A55,IMPOSTAZIONI!$B$382:$AM$391,K$108,FALSE))</f>
        <v>0</v>
      </c>
      <c r="L55" s="872">
        <f>IF(L54=0,0,VLOOKUP($A55,IMPOSTAZIONI!$B$382:$AM$391,L$108,FALSE))</f>
        <v>0</v>
      </c>
      <c r="M55" s="872">
        <f>IF(M54=0,0,VLOOKUP($A55,IMPOSTAZIONI!$B$382:$AM$391,M$108,FALSE))</f>
        <v>0</v>
      </c>
      <c r="N55" s="873">
        <f>SUM(K55:M55)</f>
        <v>0</v>
      </c>
      <c r="O55" s="871">
        <f>IF(O54=0,0,VLOOKUP($A55,IMPOSTAZIONI!$B$382:$AM$391,O$108,FALSE))</f>
        <v>0</v>
      </c>
      <c r="P55" s="872">
        <f>IF(P54=0,0,VLOOKUP($A55,IMPOSTAZIONI!$B$382:$AM$391,P$108,FALSE))</f>
        <v>0</v>
      </c>
      <c r="Q55" s="872">
        <f>IF(Q54=0,0,VLOOKUP($A55,IMPOSTAZIONI!$B$382:$AM$391,Q$108,FALSE))</f>
        <v>0</v>
      </c>
      <c r="R55" s="873">
        <f>SUM(O55:Q55)</f>
        <v>0</v>
      </c>
      <c r="S55" s="28"/>
      <c r="T55" s="874">
        <f>F55+J55+N55+R55</f>
        <v>0</v>
      </c>
      <c r="U55" s="25"/>
    </row>
    <row r="56" spans="1:21" ht="16.5" customHeight="1" x14ac:dyDescent="0.2">
      <c r="A56" s="301">
        <f>A54</f>
        <v>0</v>
      </c>
      <c r="B56" s="888" t="s">
        <v>536</v>
      </c>
      <c r="C56" s="875">
        <f>IF(C54=0,0,VLOOKUP($A56,IMPOSTAZIONI!$B$397:$AM$406,C$108,FALSE))</f>
        <v>0</v>
      </c>
      <c r="D56" s="876">
        <f>IF(D54=0,0,VLOOKUP($A56,IMPOSTAZIONI!$B$397:$AM$406,D$108,FALSE))</f>
        <v>0</v>
      </c>
      <c r="E56" s="876">
        <f>IF(E54=0,0,VLOOKUP($A56,IMPOSTAZIONI!$B$397:$AM$406,E$108,FALSE))</f>
        <v>0</v>
      </c>
      <c r="F56" s="877">
        <f>SUM(C56:E56)</f>
        <v>0</v>
      </c>
      <c r="G56" s="875">
        <f>IF(G54=0,0,VLOOKUP($A56,IMPOSTAZIONI!$B$397:$AM$406,G$108,FALSE))</f>
        <v>0</v>
      </c>
      <c r="H56" s="876">
        <f>IF(H54=0,0,VLOOKUP($A56,IMPOSTAZIONI!$B$397:$AM$406,H$108,FALSE))</f>
        <v>0</v>
      </c>
      <c r="I56" s="876">
        <f>IF(I54=0,0,VLOOKUP($A56,IMPOSTAZIONI!$B$397:$AM$406,I$108,FALSE))</f>
        <v>0</v>
      </c>
      <c r="J56" s="877">
        <f>SUM(G56:I56)</f>
        <v>0</v>
      </c>
      <c r="K56" s="875">
        <f>IF(K54=0,0,VLOOKUP($A56,IMPOSTAZIONI!$B$397:$AM$406,K$108,FALSE))</f>
        <v>0</v>
      </c>
      <c r="L56" s="876">
        <f>IF(L54=0,0,VLOOKUP($A56,IMPOSTAZIONI!$B$397:$AM$406,L$108,FALSE))</f>
        <v>0</v>
      </c>
      <c r="M56" s="876">
        <f>IF(M54=0,0,VLOOKUP($A56,IMPOSTAZIONI!$B$397:$AM$406,M$108,FALSE))</f>
        <v>0</v>
      </c>
      <c r="N56" s="877">
        <f>SUM(K56:M56)</f>
        <v>0</v>
      </c>
      <c r="O56" s="875">
        <f>IF(O54=0,0,VLOOKUP($A56,IMPOSTAZIONI!$B$397:$AM$406,O$108,FALSE))</f>
        <v>0</v>
      </c>
      <c r="P56" s="876">
        <f>IF(P54=0,0,VLOOKUP($A56,IMPOSTAZIONI!$B$397:$AM$406,P$108,FALSE))</f>
        <v>0</v>
      </c>
      <c r="Q56" s="876">
        <f>IF(Q54=0,0,VLOOKUP($A56,IMPOSTAZIONI!$B$397:$AM$406,Q$108,FALSE))</f>
        <v>0</v>
      </c>
      <c r="R56" s="877">
        <f>SUM(O56:Q56)</f>
        <v>0</v>
      </c>
      <c r="S56" s="28"/>
      <c r="T56" s="878">
        <f>F56+J56+N56+R56</f>
        <v>0</v>
      </c>
      <c r="U56" s="25"/>
    </row>
    <row r="57" spans="1:21" ht="6" customHeight="1" x14ac:dyDescent="0.2">
      <c r="A57" s="1258"/>
      <c r="B57" s="48"/>
      <c r="C57" s="44"/>
      <c r="D57" s="44"/>
      <c r="E57" s="44"/>
      <c r="F57" s="44"/>
      <c r="G57" s="44"/>
      <c r="H57" s="44"/>
      <c r="I57" s="44"/>
      <c r="J57" s="44"/>
      <c r="K57" s="44"/>
      <c r="L57" s="44"/>
      <c r="M57" s="44"/>
      <c r="N57" s="44"/>
      <c r="O57" s="44"/>
      <c r="P57" s="44"/>
      <c r="Q57" s="44"/>
      <c r="R57" s="44"/>
      <c r="S57" s="28"/>
      <c r="T57" s="45"/>
      <c r="U57" s="25"/>
    </row>
    <row r="58" spans="1:21" ht="18" customHeight="1" x14ac:dyDescent="0.2">
      <c r="A58" s="47">
        <f>IF(C$175=0,0,A54+1)</f>
        <v>0</v>
      </c>
      <c r="B58" s="866" t="str">
        <f>IF(A58=0,"",VLOOKUP(A58,IMPOSTAZIONI!$B$367:$AQ$376,42,FALSE))</f>
        <v/>
      </c>
      <c r="C58" s="867">
        <f>IF($A58=0,0,VLOOKUP($A58,IMPOSTAZIONI!$B$367:$AM$376,C$108,FALSE))</f>
        <v>0</v>
      </c>
      <c r="D58" s="868">
        <f>IF($A58=0,0,VLOOKUP($A58,IMPOSTAZIONI!$B$367:$AM$376,D$108,FALSE))</f>
        <v>0</v>
      </c>
      <c r="E58" s="868">
        <f>IF($A58=0,0,VLOOKUP($A58,IMPOSTAZIONI!$B$367:$AM$376,E$108,FALSE))</f>
        <v>0</v>
      </c>
      <c r="F58" s="869">
        <f>SUM(C58:E58)</f>
        <v>0</v>
      </c>
      <c r="G58" s="867">
        <f>IF($A58=0,0,VLOOKUP($A58,IMPOSTAZIONI!$B$367:$AM$376,G$108,FALSE))</f>
        <v>0</v>
      </c>
      <c r="H58" s="868">
        <f>IF($A58=0,0,VLOOKUP($A58,IMPOSTAZIONI!$B$367:$AM$376,H$108,FALSE))</f>
        <v>0</v>
      </c>
      <c r="I58" s="868">
        <f>IF($A58=0,0,VLOOKUP($A58,IMPOSTAZIONI!$B$367:$AM$376,I$108,FALSE))</f>
        <v>0</v>
      </c>
      <c r="J58" s="869">
        <f>SUM(G58:I58)</f>
        <v>0</v>
      </c>
      <c r="K58" s="867">
        <f>IF($A58=0,0,VLOOKUP($A58,IMPOSTAZIONI!$B$367:$AM$376,K$108,FALSE))</f>
        <v>0</v>
      </c>
      <c r="L58" s="868">
        <f>IF($A58=0,0,VLOOKUP($A58,IMPOSTAZIONI!$B$367:$AM$376,L$108,FALSE))</f>
        <v>0</v>
      </c>
      <c r="M58" s="868">
        <f>IF($A58=0,0,VLOOKUP($A58,IMPOSTAZIONI!$B$367:$AM$376,M$108,FALSE))</f>
        <v>0</v>
      </c>
      <c r="N58" s="869">
        <f>SUM(K58:M58)</f>
        <v>0</v>
      </c>
      <c r="O58" s="867">
        <f>IF($A58=0,0,VLOOKUP($A58,IMPOSTAZIONI!$B$367:$AM$376,O$108,FALSE))</f>
        <v>0</v>
      </c>
      <c r="P58" s="868">
        <f>IF($A58=0,0,VLOOKUP($A58,IMPOSTAZIONI!$B$367:$AM$376,P$108,FALSE))</f>
        <v>0</v>
      </c>
      <c r="Q58" s="868">
        <f>IF($A58=0,0,VLOOKUP($A58,IMPOSTAZIONI!$B$367:$AM$376,Q$108,FALSE))</f>
        <v>0</v>
      </c>
      <c r="R58" s="869">
        <f>SUM(O58:Q58)</f>
        <v>0</v>
      </c>
      <c r="S58" s="28"/>
      <c r="T58" s="870">
        <f>F58+J58+N58+R58</f>
        <v>0</v>
      </c>
      <c r="U58" s="25"/>
    </row>
    <row r="59" spans="1:21" ht="16.5" customHeight="1" x14ac:dyDescent="0.2">
      <c r="A59" s="301">
        <f>A58</f>
        <v>0</v>
      </c>
      <c r="B59" s="1254" t="s">
        <v>515</v>
      </c>
      <c r="C59" s="871">
        <f>IF(C58=0,0,VLOOKUP($A59,IMPOSTAZIONI!$B$382:$AM$391,C$108,FALSE))</f>
        <v>0</v>
      </c>
      <c r="D59" s="872">
        <f>IF(D58=0,0,VLOOKUP($A59,IMPOSTAZIONI!$B$382:$AM$391,D$108,FALSE))</f>
        <v>0</v>
      </c>
      <c r="E59" s="872">
        <f>IF(E58=0,0,VLOOKUP($A59,IMPOSTAZIONI!$B$382:$AM$391,E$108,FALSE))</f>
        <v>0</v>
      </c>
      <c r="F59" s="873">
        <f>SUM(C59:E59)</f>
        <v>0</v>
      </c>
      <c r="G59" s="871">
        <f>IF(G58=0,0,VLOOKUP($A59,IMPOSTAZIONI!$B$382:$AM$391,G$108,FALSE))</f>
        <v>0</v>
      </c>
      <c r="H59" s="872">
        <f>IF(H58=0,0,VLOOKUP($A59,IMPOSTAZIONI!$B$382:$AM$391,H$108,FALSE))</f>
        <v>0</v>
      </c>
      <c r="I59" s="872">
        <f>IF(I58=0,0,VLOOKUP($A59,IMPOSTAZIONI!$B$382:$AM$391,I$108,FALSE))</f>
        <v>0</v>
      </c>
      <c r="J59" s="873">
        <f>SUM(G59:I59)</f>
        <v>0</v>
      </c>
      <c r="K59" s="871">
        <f>IF(K58=0,0,VLOOKUP($A59,IMPOSTAZIONI!$B$382:$AM$391,K$108,FALSE))</f>
        <v>0</v>
      </c>
      <c r="L59" s="872">
        <f>IF(L58=0,0,VLOOKUP($A59,IMPOSTAZIONI!$B$382:$AM$391,L$108,FALSE))</f>
        <v>0</v>
      </c>
      <c r="M59" s="872">
        <f>IF(M58=0,0,VLOOKUP($A59,IMPOSTAZIONI!$B$382:$AM$391,M$108,FALSE))</f>
        <v>0</v>
      </c>
      <c r="N59" s="873">
        <f>SUM(K59:M59)</f>
        <v>0</v>
      </c>
      <c r="O59" s="871">
        <f>IF(O58=0,0,VLOOKUP($A59,IMPOSTAZIONI!$B$382:$AM$391,O$108,FALSE))</f>
        <v>0</v>
      </c>
      <c r="P59" s="872">
        <f>IF(P58=0,0,VLOOKUP($A59,IMPOSTAZIONI!$B$382:$AM$391,P$108,FALSE))</f>
        <v>0</v>
      </c>
      <c r="Q59" s="872">
        <f>IF(Q58=0,0,VLOOKUP($A59,IMPOSTAZIONI!$B$382:$AM$391,Q$108,FALSE))</f>
        <v>0</v>
      </c>
      <c r="R59" s="873">
        <f>SUM(O59:Q59)</f>
        <v>0</v>
      </c>
      <c r="S59" s="28"/>
      <c r="T59" s="874">
        <f>F59+J59+N59+R59</f>
        <v>0</v>
      </c>
      <c r="U59" s="25"/>
    </row>
    <row r="60" spans="1:21" ht="16.5" customHeight="1" x14ac:dyDescent="0.2">
      <c r="A60" s="301">
        <f>A58</f>
        <v>0</v>
      </c>
      <c r="B60" s="888" t="s">
        <v>536</v>
      </c>
      <c r="C60" s="875">
        <f>IF(C58=0,0,VLOOKUP($A60,IMPOSTAZIONI!$B$397:$AM$406,C$108,FALSE))</f>
        <v>0</v>
      </c>
      <c r="D60" s="876">
        <f>IF(D58=0,0,VLOOKUP($A60,IMPOSTAZIONI!$B$397:$AM$406,D$108,FALSE))</f>
        <v>0</v>
      </c>
      <c r="E60" s="876">
        <f>IF(E58=0,0,VLOOKUP($A60,IMPOSTAZIONI!$B$397:$AM$406,E$108,FALSE))</f>
        <v>0</v>
      </c>
      <c r="F60" s="877">
        <f>SUM(C60:E60)</f>
        <v>0</v>
      </c>
      <c r="G60" s="875">
        <f>IF(G58=0,0,VLOOKUP($A60,IMPOSTAZIONI!$B$397:$AM$406,G$108,FALSE))</f>
        <v>0</v>
      </c>
      <c r="H60" s="876">
        <f>IF(H58=0,0,VLOOKUP($A60,IMPOSTAZIONI!$B$397:$AM$406,H$108,FALSE))</f>
        <v>0</v>
      </c>
      <c r="I60" s="876">
        <f>IF(I58=0,0,VLOOKUP($A60,IMPOSTAZIONI!$B$397:$AM$406,I$108,FALSE))</f>
        <v>0</v>
      </c>
      <c r="J60" s="877">
        <f>SUM(G60:I60)</f>
        <v>0</v>
      </c>
      <c r="K60" s="875">
        <f>IF(K58=0,0,VLOOKUP($A60,IMPOSTAZIONI!$B$397:$AM$406,K$108,FALSE))</f>
        <v>0</v>
      </c>
      <c r="L60" s="876">
        <f>IF(L58=0,0,VLOOKUP($A60,IMPOSTAZIONI!$B$397:$AM$406,L$108,FALSE))</f>
        <v>0</v>
      </c>
      <c r="M60" s="876">
        <f>IF(M58=0,0,VLOOKUP($A60,IMPOSTAZIONI!$B$397:$AM$406,M$108,FALSE))</f>
        <v>0</v>
      </c>
      <c r="N60" s="877">
        <f>SUM(K60:M60)</f>
        <v>0</v>
      </c>
      <c r="O60" s="875">
        <f>IF(O58=0,0,VLOOKUP($A60,IMPOSTAZIONI!$B$397:$AM$406,O$108,FALSE))</f>
        <v>0</v>
      </c>
      <c r="P60" s="876">
        <f>IF(P58=0,0,VLOOKUP($A60,IMPOSTAZIONI!$B$397:$AM$406,P$108,FALSE))</f>
        <v>0</v>
      </c>
      <c r="Q60" s="876">
        <f>IF(Q58=0,0,VLOOKUP($A60,IMPOSTAZIONI!$B$397:$AM$406,Q$108,FALSE))</f>
        <v>0</v>
      </c>
      <c r="R60" s="877">
        <f>SUM(O60:Q60)</f>
        <v>0</v>
      </c>
      <c r="S60" s="28"/>
      <c r="T60" s="878">
        <f>F60+J60+N60+R60</f>
        <v>0</v>
      </c>
      <c r="U60" s="25"/>
    </row>
    <row r="61" spans="1:21" ht="6" customHeight="1" x14ac:dyDescent="0.2">
      <c r="A61" s="1258"/>
      <c r="B61" s="48"/>
      <c r="C61" s="44"/>
      <c r="D61" s="44"/>
      <c r="E61" s="44"/>
      <c r="F61" s="44"/>
      <c r="G61" s="44"/>
      <c r="H61" s="44"/>
      <c r="I61" s="44"/>
      <c r="J61" s="44"/>
      <c r="K61" s="44"/>
      <c r="L61" s="44"/>
      <c r="M61" s="44"/>
      <c r="N61" s="44"/>
      <c r="O61" s="44"/>
      <c r="P61" s="44"/>
      <c r="Q61" s="44"/>
      <c r="R61" s="44"/>
      <c r="S61" s="28"/>
      <c r="T61" s="45"/>
      <c r="U61" s="25"/>
    </row>
    <row r="62" spans="1:21" ht="18" customHeight="1" x14ac:dyDescent="0.2">
      <c r="A62" s="1255">
        <f>IF(C$175=0,0,A58+1)</f>
        <v>0</v>
      </c>
      <c r="B62" s="866" t="str">
        <f>IF(A62=0,"","SENZA RIGA 1")</f>
        <v/>
      </c>
      <c r="C62" s="867">
        <f>IMPOSTAZIONI!D377</f>
        <v>1000</v>
      </c>
      <c r="D62" s="868">
        <f>IMPOSTAZIONI!G377</f>
        <v>0</v>
      </c>
      <c r="E62" s="868">
        <f>IMPOSTAZIONI!J377</f>
        <v>0</v>
      </c>
      <c r="F62" s="869">
        <f>SUM(C62:E62)</f>
        <v>1000</v>
      </c>
      <c r="G62" s="867">
        <f>IMPOSTAZIONI!M377</f>
        <v>0</v>
      </c>
      <c r="H62" s="868">
        <f>IMPOSTAZIONI!P377</f>
        <v>0</v>
      </c>
      <c r="I62" s="868">
        <f>IMPOSTAZIONI!S377</f>
        <v>0</v>
      </c>
      <c r="J62" s="869">
        <f>SUM(G62:I62)</f>
        <v>0</v>
      </c>
      <c r="K62" s="867">
        <f>IMPOSTAZIONI!V377</f>
        <v>0</v>
      </c>
      <c r="L62" s="868">
        <f>IMPOSTAZIONI!Y377</f>
        <v>0</v>
      </c>
      <c r="M62" s="868">
        <f>IMPOSTAZIONI!AB377</f>
        <v>0</v>
      </c>
      <c r="N62" s="869">
        <f>SUM(K62:M62)</f>
        <v>0</v>
      </c>
      <c r="O62" s="867">
        <f>IMPOSTAZIONI!AE377</f>
        <v>0</v>
      </c>
      <c r="P62" s="868">
        <f>IMPOSTAZIONI!AH377</f>
        <v>0</v>
      </c>
      <c r="Q62" s="868">
        <f>IMPOSTAZIONI!AK377</f>
        <v>0</v>
      </c>
      <c r="R62" s="869">
        <f>SUM(O62:Q62)</f>
        <v>0</v>
      </c>
      <c r="S62" s="28"/>
      <c r="T62" s="870">
        <f>F62+J62+N62+R62</f>
        <v>1000</v>
      </c>
      <c r="U62" s="25"/>
    </row>
    <row r="63" spans="1:21" ht="16.5" customHeight="1" x14ac:dyDescent="0.2">
      <c r="A63" s="301">
        <f>A62</f>
        <v>0</v>
      </c>
      <c r="B63" s="1380" t="s">
        <v>515</v>
      </c>
      <c r="C63" s="871">
        <f>IMPOSTAZIONI!D392</f>
        <v>1000</v>
      </c>
      <c r="D63" s="872">
        <f>IMPOSTAZIONI!G392</f>
        <v>0</v>
      </c>
      <c r="E63" s="872">
        <f>IMPOSTAZIONI!J392</f>
        <v>0</v>
      </c>
      <c r="F63" s="873">
        <f>SUM(C63:E63)</f>
        <v>1000</v>
      </c>
      <c r="G63" s="871">
        <f>IMPOSTAZIONI!M392</f>
        <v>0</v>
      </c>
      <c r="H63" s="872">
        <f>IMPOSTAZIONI!P392</f>
        <v>0</v>
      </c>
      <c r="I63" s="872">
        <f>IMPOSTAZIONI!S392</f>
        <v>0</v>
      </c>
      <c r="J63" s="873">
        <f>SUM(G63:I63)</f>
        <v>0</v>
      </c>
      <c r="K63" s="871">
        <f>IMPOSTAZIONI!V392</f>
        <v>0</v>
      </c>
      <c r="L63" s="872">
        <f>IMPOSTAZIONI!Y392</f>
        <v>0</v>
      </c>
      <c r="M63" s="872">
        <f>IMPOSTAZIONI!AB392</f>
        <v>0</v>
      </c>
      <c r="N63" s="873">
        <f>SUM(K63:M63)</f>
        <v>0</v>
      </c>
      <c r="O63" s="871">
        <f>IMPOSTAZIONI!AE392</f>
        <v>0</v>
      </c>
      <c r="P63" s="872">
        <f>IMPOSTAZIONI!AH392</f>
        <v>0</v>
      </c>
      <c r="Q63" s="872">
        <f>IMPOSTAZIONI!AK392</f>
        <v>0</v>
      </c>
      <c r="R63" s="873">
        <f>SUM(O63:Q63)</f>
        <v>0</v>
      </c>
      <c r="S63" s="28"/>
      <c r="T63" s="874">
        <f>F63+J63+N63+R63</f>
        <v>1000</v>
      </c>
      <c r="U63" s="25"/>
    </row>
    <row r="64" spans="1:21" ht="16.5" customHeight="1" x14ac:dyDescent="0.2">
      <c r="A64" s="301">
        <f>A62</f>
        <v>0</v>
      </c>
      <c r="B64" s="888" t="s">
        <v>536</v>
      </c>
      <c r="C64" s="875">
        <f>IMPOSTAZIONI!D407</f>
        <v>0</v>
      </c>
      <c r="D64" s="876">
        <f>IMPOSTAZIONI!G407</f>
        <v>0</v>
      </c>
      <c r="E64" s="876">
        <f>IMPOSTAZIONI!J407</f>
        <v>0</v>
      </c>
      <c r="F64" s="877">
        <f>SUM(C64:E64)</f>
        <v>0</v>
      </c>
      <c r="G64" s="875">
        <f>IMPOSTAZIONI!M407</f>
        <v>0</v>
      </c>
      <c r="H64" s="876">
        <f>IMPOSTAZIONI!P407</f>
        <v>0</v>
      </c>
      <c r="I64" s="876">
        <f>IMPOSTAZIONI!S407</f>
        <v>0</v>
      </c>
      <c r="J64" s="877">
        <f>SUM(G64:I64)</f>
        <v>0</v>
      </c>
      <c r="K64" s="875">
        <f>IMPOSTAZIONI!V407</f>
        <v>0</v>
      </c>
      <c r="L64" s="876">
        <f>IMPOSTAZIONI!Y407</f>
        <v>0</v>
      </c>
      <c r="M64" s="876">
        <f>IMPOSTAZIONI!AB407</f>
        <v>0</v>
      </c>
      <c r="N64" s="877">
        <f>SUM(K64:M64)</f>
        <v>0</v>
      </c>
      <c r="O64" s="875">
        <f>IMPOSTAZIONI!AE407</f>
        <v>0</v>
      </c>
      <c r="P64" s="876">
        <f>IMPOSTAZIONI!AH407</f>
        <v>0</v>
      </c>
      <c r="Q64" s="876">
        <f>IMPOSTAZIONI!AK407</f>
        <v>0</v>
      </c>
      <c r="R64" s="877">
        <f>SUM(O64:Q64)</f>
        <v>0</v>
      </c>
      <c r="S64" s="28"/>
      <c r="T64" s="878">
        <f>F64+J64+N64+R64</f>
        <v>0</v>
      </c>
      <c r="U64" s="25"/>
    </row>
    <row r="65" spans="1:21" ht="6" customHeight="1" x14ac:dyDescent="0.2">
      <c r="A65" s="1258"/>
      <c r="B65" s="48"/>
      <c r="C65" s="44"/>
      <c r="D65" s="44"/>
      <c r="E65" s="44"/>
      <c r="F65" s="44"/>
      <c r="G65" s="44"/>
      <c r="H65" s="44"/>
      <c r="I65" s="44"/>
      <c r="J65" s="44"/>
      <c r="K65" s="44"/>
      <c r="L65" s="44"/>
      <c r="M65" s="44"/>
      <c r="N65" s="44"/>
      <c r="O65" s="44"/>
      <c r="P65" s="44"/>
      <c r="Q65" s="44"/>
      <c r="R65" s="44"/>
      <c r="S65" s="28"/>
      <c r="T65" s="45"/>
      <c r="U65" s="25"/>
    </row>
    <row r="66" spans="1:21" ht="20.25" customHeight="1" x14ac:dyDescent="0.2">
      <c r="A66" s="123"/>
      <c r="B66" s="46"/>
      <c r="C66" s="194"/>
      <c r="D66" s="194"/>
      <c r="E66" s="194"/>
      <c r="F66" s="194"/>
      <c r="G66" s="194"/>
      <c r="H66" s="194"/>
      <c r="I66" s="194"/>
      <c r="J66" s="194"/>
      <c r="K66" s="194"/>
      <c r="L66" s="194"/>
      <c r="M66" s="194"/>
      <c r="N66" s="194"/>
      <c r="O66" s="194"/>
      <c r="P66" s="194"/>
      <c r="Q66" s="194"/>
      <c r="R66" s="194"/>
      <c r="S66" s="28"/>
      <c r="T66" s="45"/>
      <c r="U66" s="25"/>
    </row>
    <row r="67" spans="1:21" ht="21.75" customHeight="1" x14ac:dyDescent="0.2">
      <c r="A67" s="123"/>
      <c r="B67" s="189"/>
      <c r="C67" s="2375" t="str">
        <f>CONCATENATE("Riga 3: ",IMPOSTAZIONI!AG7)</f>
        <v>Riga 3: Opzione II</v>
      </c>
      <c r="D67" s="2375"/>
      <c r="E67" s="2375"/>
      <c r="F67" s="2378"/>
      <c r="G67" s="2378"/>
      <c r="H67" s="2378"/>
      <c r="I67" s="2378"/>
      <c r="J67" s="2378"/>
      <c r="K67" s="2375" t="str">
        <f>C67</f>
        <v>Riga 3: Opzione II</v>
      </c>
      <c r="L67" s="2375"/>
      <c r="M67" s="2375"/>
      <c r="N67" s="2375"/>
      <c r="O67" s="2375"/>
      <c r="P67" s="44"/>
      <c r="Q67" s="44"/>
      <c r="R67" s="44"/>
      <c r="S67" s="28"/>
      <c r="T67" s="45"/>
      <c r="U67" s="25"/>
    </row>
    <row r="68" spans="1:21" ht="16.5" customHeight="1" x14ac:dyDescent="0.2">
      <c r="A68" s="123"/>
      <c r="B68" s="413" t="str">
        <f>B$4</f>
        <v>Totale EUR</v>
      </c>
      <c r="C68" s="49" t="str">
        <f t="shared" ref="C68:R68" si="10">C4</f>
        <v>Gennaio</v>
      </c>
      <c r="D68" s="49" t="str">
        <f t="shared" si="10"/>
        <v>Febbraio</v>
      </c>
      <c r="E68" s="49" t="str">
        <f t="shared" si="10"/>
        <v>Marzo</v>
      </c>
      <c r="F68" s="187" t="str">
        <f t="shared" si="10"/>
        <v>I Trim.</v>
      </c>
      <c r="G68" s="49" t="str">
        <f t="shared" si="10"/>
        <v>Aprile</v>
      </c>
      <c r="H68" s="49" t="str">
        <f t="shared" si="10"/>
        <v>Maggio</v>
      </c>
      <c r="I68" s="49" t="str">
        <f t="shared" si="10"/>
        <v>Giugno</v>
      </c>
      <c r="J68" s="187" t="str">
        <f t="shared" si="10"/>
        <v>II Trim.</v>
      </c>
      <c r="K68" s="49" t="str">
        <f t="shared" si="10"/>
        <v>Luglio</v>
      </c>
      <c r="L68" s="49" t="str">
        <f t="shared" si="10"/>
        <v>Agosto</v>
      </c>
      <c r="M68" s="49" t="str">
        <f t="shared" si="10"/>
        <v>Settembre</v>
      </c>
      <c r="N68" s="187" t="str">
        <f t="shared" si="10"/>
        <v>III Trim.</v>
      </c>
      <c r="O68" s="49" t="str">
        <f t="shared" si="10"/>
        <v>Ottobre</v>
      </c>
      <c r="P68" s="49" t="str">
        <f t="shared" si="10"/>
        <v>Novembre</v>
      </c>
      <c r="Q68" s="49" t="str">
        <f t="shared" si="10"/>
        <v>Dicembre</v>
      </c>
      <c r="R68" s="187" t="str">
        <f t="shared" si="10"/>
        <v>IV Trim.</v>
      </c>
      <c r="S68" s="28"/>
      <c r="T68" s="188" t="str">
        <f>CONCATENATE(T$3," ",T$4)</f>
        <v>ANNO 2024</v>
      </c>
      <c r="U68" s="25"/>
    </row>
    <row r="69" spans="1:21" ht="18" customHeight="1" x14ac:dyDescent="0.2">
      <c r="A69" s="47">
        <f>IF(C$175=0,0,1)</f>
        <v>0</v>
      </c>
      <c r="B69" s="866" t="str">
        <f>VLOOKUP(A69,IMPOSTAZIONI!$B$324:$AQ$330,42,FALSE)</f>
        <v>GRUPPO #1</v>
      </c>
      <c r="C69" s="867">
        <f>IF($A69=0,0,VLOOKUP($A69,IMPOSTAZIONI!$B$324:$AM$330,C$108,FALSE))</f>
        <v>0</v>
      </c>
      <c r="D69" s="868">
        <f>IF($A69=0,0,VLOOKUP($A69,IMPOSTAZIONI!$B$324:$AM$330,D$108,FALSE))</f>
        <v>0</v>
      </c>
      <c r="E69" s="868">
        <f>IF($A69=0,0,VLOOKUP($A69,IMPOSTAZIONI!$B$324:$AM$330,E$108,FALSE))</f>
        <v>0</v>
      </c>
      <c r="F69" s="869">
        <f>SUM(C69:E69)</f>
        <v>0</v>
      </c>
      <c r="G69" s="867">
        <f>IF($A69=0,0,VLOOKUP($A69,IMPOSTAZIONI!$B$324:$AM$330,G$108,FALSE))</f>
        <v>0</v>
      </c>
      <c r="H69" s="868">
        <f>IF($A69=0,0,VLOOKUP($A69,IMPOSTAZIONI!$B$324:$AM$330,H$108,FALSE))</f>
        <v>0</v>
      </c>
      <c r="I69" s="868">
        <f>IF($A69=0,0,VLOOKUP($A69,IMPOSTAZIONI!$B$324:$AM$330,I$108,FALSE))</f>
        <v>0</v>
      </c>
      <c r="J69" s="869">
        <f>SUM(G69:I69)</f>
        <v>0</v>
      </c>
      <c r="K69" s="867">
        <f>IF($A69=0,0,VLOOKUP($A69,IMPOSTAZIONI!$B$324:$AM$330,K$108,FALSE))</f>
        <v>0</v>
      </c>
      <c r="L69" s="868">
        <f>IF($A69=0,0,VLOOKUP($A69,IMPOSTAZIONI!$B$324:$AM$330,L$108,FALSE))</f>
        <v>0</v>
      </c>
      <c r="M69" s="868">
        <f>IF($A69=0,0,VLOOKUP($A69,IMPOSTAZIONI!$B$324:$AM$330,M$108,FALSE))</f>
        <v>0</v>
      </c>
      <c r="N69" s="869">
        <f>SUM(K69:M69)</f>
        <v>0</v>
      </c>
      <c r="O69" s="867">
        <f>IF($A69=0,0,VLOOKUP($A69,IMPOSTAZIONI!$B$324:$AM$330,O$108,FALSE))</f>
        <v>0</v>
      </c>
      <c r="P69" s="868">
        <f>IF($A69=0,0,VLOOKUP($A69,IMPOSTAZIONI!$B$324:$AM$330,P$108,FALSE))</f>
        <v>0</v>
      </c>
      <c r="Q69" s="868">
        <f>IF($A69=0,0,VLOOKUP($A69,IMPOSTAZIONI!$B$324:$AM$330,Q$108,FALSE))</f>
        <v>0</v>
      </c>
      <c r="R69" s="869">
        <f>SUM(O69:Q69)</f>
        <v>0</v>
      </c>
      <c r="S69" s="28"/>
      <c r="T69" s="870">
        <f>F69+J69+N69+R69</f>
        <v>0</v>
      </c>
      <c r="U69" s="25"/>
    </row>
    <row r="70" spans="1:21" ht="16.5" customHeight="1" x14ac:dyDescent="0.2">
      <c r="A70" s="301">
        <f>A69</f>
        <v>0</v>
      </c>
      <c r="B70" s="1254" t="s">
        <v>515</v>
      </c>
      <c r="C70" s="871">
        <f>IF(C69=0,0,VLOOKUP($A70,IMPOSTAZIONI!$B$338:$AM$344,C$108,FALSE))</f>
        <v>0</v>
      </c>
      <c r="D70" s="872">
        <f>IF(D69=0,0,VLOOKUP($A70,IMPOSTAZIONI!$B$338:$AM$344,D$108,FALSE))</f>
        <v>0</v>
      </c>
      <c r="E70" s="872">
        <f>IF(E69=0,0,VLOOKUP($A70,IMPOSTAZIONI!$B$338:$AM$344,E$108,FALSE))</f>
        <v>0</v>
      </c>
      <c r="F70" s="873">
        <f>SUM(C70:E70)</f>
        <v>0</v>
      </c>
      <c r="G70" s="871">
        <f>IF(G69=0,0,VLOOKUP($A70,IMPOSTAZIONI!$B$338:$AM$344,G$108,FALSE))</f>
        <v>0</v>
      </c>
      <c r="H70" s="872">
        <f>IF(H69=0,0,VLOOKUP($A70,IMPOSTAZIONI!$B$338:$AM$344,H$108,FALSE))</f>
        <v>0</v>
      </c>
      <c r="I70" s="872">
        <f>IF(I69=0,0,VLOOKUP($A70,IMPOSTAZIONI!$B$338:$AM$344,I$108,FALSE))</f>
        <v>0</v>
      </c>
      <c r="J70" s="873">
        <f>SUM(G70:I70)</f>
        <v>0</v>
      </c>
      <c r="K70" s="871">
        <f>IF(K69=0,0,VLOOKUP($A70,IMPOSTAZIONI!$B$338:$AM$344,K$108,FALSE))</f>
        <v>0</v>
      </c>
      <c r="L70" s="872">
        <f>IF(L69=0,0,VLOOKUP($A70,IMPOSTAZIONI!$B$338:$AM$344,L$108,FALSE))</f>
        <v>0</v>
      </c>
      <c r="M70" s="872">
        <f>IF(M69=0,0,VLOOKUP($A70,IMPOSTAZIONI!$B$338:$AM$344,M$108,FALSE))</f>
        <v>0</v>
      </c>
      <c r="N70" s="873">
        <f>SUM(K70:M70)</f>
        <v>0</v>
      </c>
      <c r="O70" s="871">
        <f>IF(O69=0,0,VLOOKUP($A70,IMPOSTAZIONI!$B$338:$AM$344,O$108,FALSE))</f>
        <v>0</v>
      </c>
      <c r="P70" s="872">
        <f>IF(P69=0,0,VLOOKUP($A70,IMPOSTAZIONI!$B$338:$AM$344,P$108,FALSE))</f>
        <v>0</v>
      </c>
      <c r="Q70" s="872">
        <f>IF(Q69=0,0,VLOOKUP($A70,IMPOSTAZIONI!$B$338:$AM$344,Q$108,FALSE))</f>
        <v>0</v>
      </c>
      <c r="R70" s="873">
        <f>SUM(O70:Q70)</f>
        <v>0</v>
      </c>
      <c r="S70" s="28"/>
      <c r="T70" s="874">
        <f>F70+J70+N70+R70</f>
        <v>0</v>
      </c>
      <c r="U70" s="25"/>
    </row>
    <row r="71" spans="1:21" ht="16.5" customHeight="1" x14ac:dyDescent="0.2">
      <c r="A71" s="301">
        <f>A69</f>
        <v>0</v>
      </c>
      <c r="B71" s="888" t="s">
        <v>536</v>
      </c>
      <c r="C71" s="875">
        <f>IF(C69=0,0,VLOOKUP($A71,IMPOSTAZIONI!$B$352:$AM$358,C$108,FALSE))</f>
        <v>0</v>
      </c>
      <c r="D71" s="876">
        <f>IF(D69=0,0,VLOOKUP($A71,IMPOSTAZIONI!$B$352:$AM$358,D$108,FALSE))</f>
        <v>0</v>
      </c>
      <c r="E71" s="876">
        <f>IF(E69=0,0,VLOOKUP($A71,IMPOSTAZIONI!$B$352:$AM$358,E$108,FALSE))</f>
        <v>0</v>
      </c>
      <c r="F71" s="877">
        <f>SUM(C71:E71)</f>
        <v>0</v>
      </c>
      <c r="G71" s="875">
        <f>IF(G69=0,0,VLOOKUP($A71,IMPOSTAZIONI!$B$352:$AM$358,G$108,FALSE))</f>
        <v>0</v>
      </c>
      <c r="H71" s="876">
        <f>IF(H69=0,0,VLOOKUP($A71,IMPOSTAZIONI!$B$352:$AM$358,H$108,FALSE))</f>
        <v>0</v>
      </c>
      <c r="I71" s="876">
        <f>IF(I69=0,0,VLOOKUP($A71,IMPOSTAZIONI!$B$352:$AM$358,I$108,FALSE))</f>
        <v>0</v>
      </c>
      <c r="J71" s="877">
        <f>SUM(G71:I71)</f>
        <v>0</v>
      </c>
      <c r="K71" s="875">
        <f>IF(K69=0,0,VLOOKUP($A71,IMPOSTAZIONI!$B$352:$AM$358,K$108,FALSE))</f>
        <v>0</v>
      </c>
      <c r="L71" s="876">
        <f>IF(L69=0,0,VLOOKUP($A71,IMPOSTAZIONI!$B$352:$AM$358,L$108,FALSE))</f>
        <v>0</v>
      </c>
      <c r="M71" s="876">
        <f>IF(M69=0,0,VLOOKUP($A71,IMPOSTAZIONI!$B$352:$AM$358,M$108,FALSE))</f>
        <v>0</v>
      </c>
      <c r="N71" s="877">
        <f>SUM(K71:M71)</f>
        <v>0</v>
      </c>
      <c r="O71" s="875">
        <f>IF(O69=0,0,VLOOKUP($A71,IMPOSTAZIONI!$B$352:$AM$358,O$108,FALSE))</f>
        <v>0</v>
      </c>
      <c r="P71" s="876">
        <f>IF(P69=0,0,VLOOKUP($A71,IMPOSTAZIONI!$B$352:$AM$358,P$108,FALSE))</f>
        <v>0</v>
      </c>
      <c r="Q71" s="876">
        <f>IF(Q69=0,0,VLOOKUP($A71,IMPOSTAZIONI!$B$352:$AM$358,Q$108,FALSE))</f>
        <v>0</v>
      </c>
      <c r="R71" s="877">
        <f>SUM(O71:Q71)</f>
        <v>0</v>
      </c>
      <c r="S71" s="28"/>
      <c r="T71" s="878">
        <f>F71+J71+N71+R71</f>
        <v>0</v>
      </c>
      <c r="U71" s="25"/>
    </row>
    <row r="72" spans="1:21" ht="6" customHeight="1" x14ac:dyDescent="0.2">
      <c r="A72" s="1258"/>
      <c r="B72" s="48"/>
      <c r="C72" s="44"/>
      <c r="D72" s="44"/>
      <c r="E72" s="44"/>
      <c r="F72" s="44"/>
      <c r="G72" s="44"/>
      <c r="H72" s="44"/>
      <c r="I72" s="44"/>
      <c r="J72" s="44"/>
      <c r="K72" s="44"/>
      <c r="L72" s="44"/>
      <c r="M72" s="44"/>
      <c r="N72" s="44"/>
      <c r="O72" s="44"/>
      <c r="P72" s="44"/>
      <c r="Q72" s="44"/>
      <c r="R72" s="44"/>
      <c r="S72" s="28"/>
      <c r="T72" s="45"/>
      <c r="U72" s="25"/>
    </row>
    <row r="73" spans="1:21" ht="18" customHeight="1" x14ac:dyDescent="0.2">
      <c r="A73" s="47">
        <f>IF(C$175=0,0,A69+1)</f>
        <v>0</v>
      </c>
      <c r="B73" s="866" t="str">
        <f>VLOOKUP(A73,IMPOSTAZIONI!$B$324:$AQ$330,42,FALSE)</f>
        <v>GRUPPO #1</v>
      </c>
      <c r="C73" s="867">
        <f>IF($A73=0,0,VLOOKUP($A73,IMPOSTAZIONI!$B$324:$AM$330,C$108,FALSE))</f>
        <v>0</v>
      </c>
      <c r="D73" s="868">
        <f>IF($A73=0,0,VLOOKUP($A73,IMPOSTAZIONI!$B$324:$AM$330,D$108,FALSE))</f>
        <v>0</v>
      </c>
      <c r="E73" s="868">
        <f>IF($A73=0,0,VLOOKUP($A73,IMPOSTAZIONI!$B$324:$AM$330,E$108,FALSE))</f>
        <v>0</v>
      </c>
      <c r="F73" s="869">
        <f>SUM(C73:E73)</f>
        <v>0</v>
      </c>
      <c r="G73" s="867">
        <f>IF($A73=0,0,VLOOKUP($A73,IMPOSTAZIONI!$B$324:$AM$330,G$108,FALSE))</f>
        <v>0</v>
      </c>
      <c r="H73" s="868">
        <f>IF($A73=0,0,VLOOKUP($A73,IMPOSTAZIONI!$B$324:$AM$330,H$108,FALSE))</f>
        <v>0</v>
      </c>
      <c r="I73" s="868">
        <f>IF($A73=0,0,VLOOKUP($A73,IMPOSTAZIONI!$B$324:$AM$330,I$108,FALSE))</f>
        <v>0</v>
      </c>
      <c r="J73" s="869">
        <f>SUM(G73:I73)</f>
        <v>0</v>
      </c>
      <c r="K73" s="867">
        <f>IF($A73=0,0,VLOOKUP($A73,IMPOSTAZIONI!$B$324:$AM$330,K$108,FALSE))</f>
        <v>0</v>
      </c>
      <c r="L73" s="868">
        <f>IF($A73=0,0,VLOOKUP($A73,IMPOSTAZIONI!$B$324:$AM$330,L$108,FALSE))</f>
        <v>0</v>
      </c>
      <c r="M73" s="868">
        <f>IF($A73=0,0,VLOOKUP($A73,IMPOSTAZIONI!$B$324:$AM$330,M$108,FALSE))</f>
        <v>0</v>
      </c>
      <c r="N73" s="869">
        <f>SUM(K73:M73)</f>
        <v>0</v>
      </c>
      <c r="O73" s="867">
        <f>IF($A73=0,0,VLOOKUP($A73,IMPOSTAZIONI!$B$324:$AM$330,O$108,FALSE))</f>
        <v>0</v>
      </c>
      <c r="P73" s="868">
        <f>IF($A73=0,0,VLOOKUP($A73,IMPOSTAZIONI!$B$324:$AM$330,P$108,FALSE))</f>
        <v>0</v>
      </c>
      <c r="Q73" s="868">
        <f>IF($A73=0,0,VLOOKUP($A73,IMPOSTAZIONI!$B$324:$AM$330,Q$108,FALSE))</f>
        <v>0</v>
      </c>
      <c r="R73" s="869">
        <f>SUM(O73:Q73)</f>
        <v>0</v>
      </c>
      <c r="S73" s="28"/>
      <c r="T73" s="870">
        <f>F73+J73+N73+R73</f>
        <v>0</v>
      </c>
      <c r="U73" s="25"/>
    </row>
    <row r="74" spans="1:21" ht="16.5" customHeight="1" x14ac:dyDescent="0.2">
      <c r="A74" s="301">
        <f>A73</f>
        <v>0</v>
      </c>
      <c r="B74" s="1254" t="s">
        <v>515</v>
      </c>
      <c r="C74" s="871">
        <f>IF(C73=0,0,VLOOKUP($A74,IMPOSTAZIONI!$B$338:$AM$344,C$108,FALSE))</f>
        <v>0</v>
      </c>
      <c r="D74" s="872">
        <f>IF(D73=0,0,VLOOKUP($A74,IMPOSTAZIONI!$B$338:$AM$344,D$108,FALSE))</f>
        <v>0</v>
      </c>
      <c r="E74" s="872">
        <f>IF(E73=0,0,VLOOKUP($A74,IMPOSTAZIONI!$B$338:$AM$344,E$108,FALSE))</f>
        <v>0</v>
      </c>
      <c r="F74" s="873">
        <f>SUM(C74:E74)</f>
        <v>0</v>
      </c>
      <c r="G74" s="871">
        <f>IF(G73=0,0,VLOOKUP($A74,IMPOSTAZIONI!$B$338:$AM$344,G$108,FALSE))</f>
        <v>0</v>
      </c>
      <c r="H74" s="872">
        <f>IF(H73=0,0,VLOOKUP($A74,IMPOSTAZIONI!$B$338:$AM$344,H$108,FALSE))</f>
        <v>0</v>
      </c>
      <c r="I74" s="872">
        <f>IF(I73=0,0,VLOOKUP($A74,IMPOSTAZIONI!$B$338:$AM$344,I$108,FALSE))</f>
        <v>0</v>
      </c>
      <c r="J74" s="873">
        <f>SUM(G74:I74)</f>
        <v>0</v>
      </c>
      <c r="K74" s="871">
        <f>IF(K73=0,0,VLOOKUP($A74,IMPOSTAZIONI!$B$338:$AM$344,K$108,FALSE))</f>
        <v>0</v>
      </c>
      <c r="L74" s="872">
        <f>IF(L73=0,0,VLOOKUP($A74,IMPOSTAZIONI!$B$338:$AM$344,L$108,FALSE))</f>
        <v>0</v>
      </c>
      <c r="M74" s="872">
        <f>IF(M73=0,0,VLOOKUP($A74,IMPOSTAZIONI!$B$338:$AM$344,M$108,FALSE))</f>
        <v>0</v>
      </c>
      <c r="N74" s="873">
        <f>SUM(K74:M74)</f>
        <v>0</v>
      </c>
      <c r="O74" s="871">
        <f>IF(O73=0,0,VLOOKUP($A74,IMPOSTAZIONI!$B$338:$AM$344,O$108,FALSE))</f>
        <v>0</v>
      </c>
      <c r="P74" s="872">
        <f>IF(P73=0,0,VLOOKUP($A74,IMPOSTAZIONI!$B$338:$AM$344,P$108,FALSE))</f>
        <v>0</v>
      </c>
      <c r="Q74" s="872">
        <f>IF(Q73=0,0,VLOOKUP($A74,IMPOSTAZIONI!$B$338:$AM$344,Q$108,FALSE))</f>
        <v>0</v>
      </c>
      <c r="R74" s="873">
        <f>SUM(O74:Q74)</f>
        <v>0</v>
      </c>
      <c r="S74" s="28"/>
      <c r="T74" s="874">
        <f>F74+J74+N74+R74</f>
        <v>0</v>
      </c>
      <c r="U74" s="25"/>
    </row>
    <row r="75" spans="1:21" ht="16.5" customHeight="1" x14ac:dyDescent="0.2">
      <c r="A75" s="301">
        <f>A73</f>
        <v>0</v>
      </c>
      <c r="B75" s="888" t="s">
        <v>536</v>
      </c>
      <c r="C75" s="875">
        <f>IF(C73=0,0,VLOOKUP($A75,IMPOSTAZIONI!$B$352:$AM$358,C$108,FALSE))</f>
        <v>0</v>
      </c>
      <c r="D75" s="876">
        <f>IF(D73=0,0,VLOOKUP($A75,IMPOSTAZIONI!$B$352:$AM$358,D$108,FALSE))</f>
        <v>0</v>
      </c>
      <c r="E75" s="876">
        <f>IF(E73=0,0,VLOOKUP($A75,IMPOSTAZIONI!$B$352:$AM$358,E$108,FALSE))</f>
        <v>0</v>
      </c>
      <c r="F75" s="877">
        <f>SUM(C75:E75)</f>
        <v>0</v>
      </c>
      <c r="G75" s="875">
        <f>IF(G73=0,0,VLOOKUP($A75,IMPOSTAZIONI!$B$352:$AM$358,G$108,FALSE))</f>
        <v>0</v>
      </c>
      <c r="H75" s="876">
        <f>IF(H73=0,0,VLOOKUP($A75,IMPOSTAZIONI!$B$352:$AM$358,H$108,FALSE))</f>
        <v>0</v>
      </c>
      <c r="I75" s="876">
        <f>IF(I73=0,0,VLOOKUP($A75,IMPOSTAZIONI!$B$352:$AM$358,I$108,FALSE))</f>
        <v>0</v>
      </c>
      <c r="J75" s="877">
        <f>SUM(G75:I75)</f>
        <v>0</v>
      </c>
      <c r="K75" s="875">
        <f>IF(K73=0,0,VLOOKUP($A75,IMPOSTAZIONI!$B$352:$AM$358,K$108,FALSE))</f>
        <v>0</v>
      </c>
      <c r="L75" s="876">
        <f>IF(L73=0,0,VLOOKUP($A75,IMPOSTAZIONI!$B$352:$AM$358,L$108,FALSE))</f>
        <v>0</v>
      </c>
      <c r="M75" s="876">
        <f>IF(M73=0,0,VLOOKUP($A75,IMPOSTAZIONI!$B$352:$AM$358,M$108,FALSE))</f>
        <v>0</v>
      </c>
      <c r="N75" s="877">
        <f>SUM(K75:M75)</f>
        <v>0</v>
      </c>
      <c r="O75" s="875">
        <f>IF(O73=0,0,VLOOKUP($A75,IMPOSTAZIONI!$B$352:$AM$358,O$108,FALSE))</f>
        <v>0</v>
      </c>
      <c r="P75" s="876">
        <f>IF(P73=0,0,VLOOKUP($A75,IMPOSTAZIONI!$B$352:$AM$358,P$108,FALSE))</f>
        <v>0</v>
      </c>
      <c r="Q75" s="876">
        <f>IF(Q73=0,0,VLOOKUP($A75,IMPOSTAZIONI!$B$352:$AM$358,Q$108,FALSE))</f>
        <v>0</v>
      </c>
      <c r="R75" s="877">
        <f>SUM(O75:Q75)</f>
        <v>0</v>
      </c>
      <c r="S75" s="28"/>
      <c r="T75" s="878">
        <f>F75+J75+N75+R75</f>
        <v>0</v>
      </c>
      <c r="U75" s="25"/>
    </row>
    <row r="76" spans="1:21" ht="6" customHeight="1" x14ac:dyDescent="0.2">
      <c r="A76" s="1258"/>
      <c r="B76" s="48"/>
      <c r="C76" s="44"/>
      <c r="D76" s="44"/>
      <c r="E76" s="44"/>
      <c r="F76" s="44"/>
      <c r="G76" s="44"/>
      <c r="H76" s="44"/>
      <c r="I76" s="44"/>
      <c r="J76" s="44"/>
      <c r="K76" s="44"/>
      <c r="L76" s="44"/>
      <c r="M76" s="44"/>
      <c r="N76" s="44"/>
      <c r="O76" s="44"/>
      <c r="P76" s="44"/>
      <c r="Q76" s="44"/>
      <c r="R76" s="44"/>
      <c r="S76" s="28"/>
      <c r="T76" s="45"/>
      <c r="U76" s="25"/>
    </row>
    <row r="77" spans="1:21" ht="18" customHeight="1" x14ac:dyDescent="0.2">
      <c r="A77" s="47">
        <f>IF(C$175=0,0,A73+1)</f>
        <v>0</v>
      </c>
      <c r="B77" s="866" t="str">
        <f>VLOOKUP(A77,IMPOSTAZIONI!$B$324:$AQ$330,42,FALSE)</f>
        <v>GRUPPO #1</v>
      </c>
      <c r="C77" s="867">
        <f>IF($A77=0,0,VLOOKUP($A77,IMPOSTAZIONI!$B$324:$AM$330,C$108,FALSE))</f>
        <v>0</v>
      </c>
      <c r="D77" s="868">
        <f>IF($A77=0,0,VLOOKUP($A77,IMPOSTAZIONI!$B$324:$AM$330,D$108,FALSE))</f>
        <v>0</v>
      </c>
      <c r="E77" s="868">
        <f>IF($A77=0,0,VLOOKUP($A77,IMPOSTAZIONI!$B$324:$AM$330,E$108,FALSE))</f>
        <v>0</v>
      </c>
      <c r="F77" s="869">
        <f>SUM(C77:E77)</f>
        <v>0</v>
      </c>
      <c r="G77" s="867">
        <f>IF($A77=0,0,VLOOKUP($A77,IMPOSTAZIONI!$B$324:$AM$330,G$108,FALSE))</f>
        <v>0</v>
      </c>
      <c r="H77" s="868">
        <f>IF($A77=0,0,VLOOKUP($A77,IMPOSTAZIONI!$B$324:$AM$330,H$108,FALSE))</f>
        <v>0</v>
      </c>
      <c r="I77" s="868">
        <f>IF($A77=0,0,VLOOKUP($A77,IMPOSTAZIONI!$B$324:$AM$330,I$108,FALSE))</f>
        <v>0</v>
      </c>
      <c r="J77" s="869">
        <f>SUM(G77:I77)</f>
        <v>0</v>
      </c>
      <c r="K77" s="867">
        <f>IF($A77=0,0,VLOOKUP($A77,IMPOSTAZIONI!$B$324:$AM$330,K$108,FALSE))</f>
        <v>0</v>
      </c>
      <c r="L77" s="868">
        <f>IF($A77=0,0,VLOOKUP($A77,IMPOSTAZIONI!$B$324:$AM$330,L$108,FALSE))</f>
        <v>0</v>
      </c>
      <c r="M77" s="868">
        <f>IF($A77=0,0,VLOOKUP($A77,IMPOSTAZIONI!$B$324:$AM$330,M$108,FALSE))</f>
        <v>0</v>
      </c>
      <c r="N77" s="869">
        <f>SUM(K77:M77)</f>
        <v>0</v>
      </c>
      <c r="O77" s="867">
        <f>IF($A77=0,0,VLOOKUP($A77,IMPOSTAZIONI!$B$324:$AM$330,O$108,FALSE))</f>
        <v>0</v>
      </c>
      <c r="P77" s="868">
        <f>IF($A77=0,0,VLOOKUP($A77,IMPOSTAZIONI!$B$324:$AM$330,P$108,FALSE))</f>
        <v>0</v>
      </c>
      <c r="Q77" s="868">
        <f>IF($A77=0,0,VLOOKUP($A77,IMPOSTAZIONI!$B$324:$AM$330,Q$108,FALSE))</f>
        <v>0</v>
      </c>
      <c r="R77" s="869">
        <f>SUM(O77:Q77)</f>
        <v>0</v>
      </c>
      <c r="S77" s="28"/>
      <c r="T77" s="870">
        <f>F77+J77+N77+R77</f>
        <v>0</v>
      </c>
      <c r="U77" s="25"/>
    </row>
    <row r="78" spans="1:21" ht="16.5" customHeight="1" x14ac:dyDescent="0.2">
      <c r="A78" s="301">
        <f>A77</f>
        <v>0</v>
      </c>
      <c r="B78" s="1254" t="s">
        <v>515</v>
      </c>
      <c r="C78" s="871">
        <f>IF(C77=0,0,VLOOKUP($A78,IMPOSTAZIONI!$B$338:$AM$344,C$108,FALSE))</f>
        <v>0</v>
      </c>
      <c r="D78" s="872">
        <f>IF(D77=0,0,VLOOKUP($A78,IMPOSTAZIONI!$B$338:$AM$344,D$108,FALSE))</f>
        <v>0</v>
      </c>
      <c r="E78" s="872">
        <f>IF(E77=0,0,VLOOKUP($A78,IMPOSTAZIONI!$B$338:$AM$344,E$108,FALSE))</f>
        <v>0</v>
      </c>
      <c r="F78" s="873">
        <f>SUM(C78:E78)</f>
        <v>0</v>
      </c>
      <c r="G78" s="871">
        <f>IF(G77=0,0,VLOOKUP($A78,IMPOSTAZIONI!$B$338:$AM$344,G$108,FALSE))</f>
        <v>0</v>
      </c>
      <c r="H78" s="872">
        <f>IF(H77=0,0,VLOOKUP($A78,IMPOSTAZIONI!$B$338:$AM$344,H$108,FALSE))</f>
        <v>0</v>
      </c>
      <c r="I78" s="872">
        <f>IF(I77=0,0,VLOOKUP($A78,IMPOSTAZIONI!$B$338:$AM$344,I$108,FALSE))</f>
        <v>0</v>
      </c>
      <c r="J78" s="873">
        <f>SUM(G78:I78)</f>
        <v>0</v>
      </c>
      <c r="K78" s="871">
        <f>IF(K77=0,0,VLOOKUP($A78,IMPOSTAZIONI!$B$338:$AM$344,K$108,FALSE))</f>
        <v>0</v>
      </c>
      <c r="L78" s="872">
        <f>IF(L77=0,0,VLOOKUP($A78,IMPOSTAZIONI!$B$338:$AM$344,L$108,FALSE))</f>
        <v>0</v>
      </c>
      <c r="M78" s="872">
        <f>IF(M77=0,0,VLOOKUP($A78,IMPOSTAZIONI!$B$338:$AM$344,M$108,FALSE))</f>
        <v>0</v>
      </c>
      <c r="N78" s="873">
        <f>SUM(K78:M78)</f>
        <v>0</v>
      </c>
      <c r="O78" s="871">
        <f>IF(O77=0,0,VLOOKUP($A78,IMPOSTAZIONI!$B$338:$AM$344,O$108,FALSE))</f>
        <v>0</v>
      </c>
      <c r="P78" s="872">
        <f>IF(P77=0,0,VLOOKUP($A78,IMPOSTAZIONI!$B$338:$AM$344,P$108,FALSE))</f>
        <v>0</v>
      </c>
      <c r="Q78" s="872">
        <f>IF(Q77=0,0,VLOOKUP($A78,IMPOSTAZIONI!$B$338:$AM$344,Q$108,FALSE))</f>
        <v>0</v>
      </c>
      <c r="R78" s="873">
        <f>SUM(O78:Q78)</f>
        <v>0</v>
      </c>
      <c r="S78" s="28"/>
      <c r="T78" s="874">
        <f>F78+J78+N78+R78</f>
        <v>0</v>
      </c>
      <c r="U78" s="25"/>
    </row>
    <row r="79" spans="1:21" ht="16.5" customHeight="1" x14ac:dyDescent="0.2">
      <c r="A79" s="301">
        <f>A77</f>
        <v>0</v>
      </c>
      <c r="B79" s="888" t="s">
        <v>536</v>
      </c>
      <c r="C79" s="875">
        <f>IF(C77=0,0,VLOOKUP($A79,IMPOSTAZIONI!$B$352:$AM$358,C$108,FALSE))</f>
        <v>0</v>
      </c>
      <c r="D79" s="876">
        <f>IF(D77=0,0,VLOOKUP($A79,IMPOSTAZIONI!$B$352:$AM$358,D$108,FALSE))</f>
        <v>0</v>
      </c>
      <c r="E79" s="876">
        <f>IF(E77=0,0,VLOOKUP($A79,IMPOSTAZIONI!$B$352:$AM$358,E$108,FALSE))</f>
        <v>0</v>
      </c>
      <c r="F79" s="877">
        <f>SUM(C79:E79)</f>
        <v>0</v>
      </c>
      <c r="G79" s="875">
        <f>IF(G77=0,0,VLOOKUP($A79,IMPOSTAZIONI!$B$352:$AM$358,G$108,FALSE))</f>
        <v>0</v>
      </c>
      <c r="H79" s="876">
        <f>IF(H77=0,0,VLOOKUP($A79,IMPOSTAZIONI!$B$352:$AM$358,H$108,FALSE))</f>
        <v>0</v>
      </c>
      <c r="I79" s="876">
        <f>IF(I77=0,0,VLOOKUP($A79,IMPOSTAZIONI!$B$352:$AM$358,I$108,FALSE))</f>
        <v>0</v>
      </c>
      <c r="J79" s="877">
        <f>SUM(G79:I79)</f>
        <v>0</v>
      </c>
      <c r="K79" s="875">
        <f>IF(K77=0,0,VLOOKUP($A79,IMPOSTAZIONI!$B$352:$AM$358,K$108,FALSE))</f>
        <v>0</v>
      </c>
      <c r="L79" s="876">
        <f>IF(L77=0,0,VLOOKUP($A79,IMPOSTAZIONI!$B$352:$AM$358,L$108,FALSE))</f>
        <v>0</v>
      </c>
      <c r="M79" s="876">
        <f>IF(M77=0,0,VLOOKUP($A79,IMPOSTAZIONI!$B$352:$AM$358,M$108,FALSE))</f>
        <v>0</v>
      </c>
      <c r="N79" s="877">
        <f>SUM(K79:M79)</f>
        <v>0</v>
      </c>
      <c r="O79" s="875">
        <f>IF(O77=0,0,VLOOKUP($A79,IMPOSTAZIONI!$B$352:$AM$358,O$108,FALSE))</f>
        <v>0</v>
      </c>
      <c r="P79" s="876">
        <f>IF(P77=0,0,VLOOKUP($A79,IMPOSTAZIONI!$B$352:$AM$358,P$108,FALSE))</f>
        <v>0</v>
      </c>
      <c r="Q79" s="876">
        <f>IF(Q77=0,0,VLOOKUP($A79,IMPOSTAZIONI!$B$352:$AM$358,Q$108,FALSE))</f>
        <v>0</v>
      </c>
      <c r="R79" s="877">
        <f>SUM(O79:Q79)</f>
        <v>0</v>
      </c>
      <c r="S79" s="28"/>
      <c r="T79" s="878">
        <f>F79+J79+N79+R79</f>
        <v>0</v>
      </c>
      <c r="U79" s="25"/>
    </row>
    <row r="80" spans="1:21" ht="6" customHeight="1" x14ac:dyDescent="0.2">
      <c r="A80" s="1258"/>
      <c r="B80" s="48"/>
      <c r="C80" s="44"/>
      <c r="D80" s="44"/>
      <c r="E80" s="44"/>
      <c r="F80" s="44"/>
      <c r="G80" s="44"/>
      <c r="H80" s="44"/>
      <c r="I80" s="44"/>
      <c r="J80" s="44"/>
      <c r="K80" s="44"/>
      <c r="L80" s="44"/>
      <c r="M80" s="44"/>
      <c r="N80" s="44"/>
      <c r="O80" s="44"/>
      <c r="P80" s="44"/>
      <c r="Q80" s="44"/>
      <c r="R80" s="44"/>
      <c r="S80" s="28"/>
      <c r="T80" s="45"/>
      <c r="U80" s="25"/>
    </row>
    <row r="81" spans="1:21" ht="18" customHeight="1" x14ac:dyDescent="0.2">
      <c r="A81" s="47">
        <f>IF(C$175=0,0,A77+1)</f>
        <v>0</v>
      </c>
      <c r="B81" s="866" t="str">
        <f>VLOOKUP(A81,IMPOSTAZIONI!$B$324:$AQ$330,42,FALSE)</f>
        <v>GRUPPO #1</v>
      </c>
      <c r="C81" s="867">
        <f>IF($A81=0,0,VLOOKUP($A81,IMPOSTAZIONI!$B$324:$AM$330,C$108,FALSE))</f>
        <v>0</v>
      </c>
      <c r="D81" s="868">
        <f>IF($A81=0,0,VLOOKUP($A81,IMPOSTAZIONI!$B$324:$AM$330,D$108,FALSE))</f>
        <v>0</v>
      </c>
      <c r="E81" s="868">
        <f>IF($A81=0,0,VLOOKUP($A81,IMPOSTAZIONI!$B$324:$AM$330,E$108,FALSE))</f>
        <v>0</v>
      </c>
      <c r="F81" s="869">
        <f>SUM(C81:E81)</f>
        <v>0</v>
      </c>
      <c r="G81" s="867">
        <f>IF($A81=0,0,VLOOKUP($A81,IMPOSTAZIONI!$B$324:$AM$330,G$108,FALSE))</f>
        <v>0</v>
      </c>
      <c r="H81" s="868">
        <f>IF($A81=0,0,VLOOKUP($A81,IMPOSTAZIONI!$B$324:$AM$330,H$108,FALSE))</f>
        <v>0</v>
      </c>
      <c r="I81" s="868">
        <f>IF($A81=0,0,VLOOKUP($A81,IMPOSTAZIONI!$B$324:$AM$330,I$108,FALSE))</f>
        <v>0</v>
      </c>
      <c r="J81" s="869">
        <f>SUM(G81:I81)</f>
        <v>0</v>
      </c>
      <c r="K81" s="867">
        <f>IF($A81=0,0,VLOOKUP($A81,IMPOSTAZIONI!$B$324:$AM$330,K$108,FALSE))</f>
        <v>0</v>
      </c>
      <c r="L81" s="868">
        <f>IF($A81=0,0,VLOOKUP($A81,IMPOSTAZIONI!$B$324:$AM$330,L$108,FALSE))</f>
        <v>0</v>
      </c>
      <c r="M81" s="868">
        <f>IF($A81=0,0,VLOOKUP($A81,IMPOSTAZIONI!$B$324:$AM$330,M$108,FALSE))</f>
        <v>0</v>
      </c>
      <c r="N81" s="869">
        <f>SUM(K81:M81)</f>
        <v>0</v>
      </c>
      <c r="O81" s="867">
        <f>IF($A81=0,0,VLOOKUP($A81,IMPOSTAZIONI!$B$324:$AM$330,O$108,FALSE))</f>
        <v>0</v>
      </c>
      <c r="P81" s="868">
        <f>IF($A81=0,0,VLOOKUP($A81,IMPOSTAZIONI!$B$324:$AM$330,P$108,FALSE))</f>
        <v>0</v>
      </c>
      <c r="Q81" s="868">
        <f>IF($A81=0,0,VLOOKUP($A81,IMPOSTAZIONI!$B$324:$AM$330,Q$108,FALSE))</f>
        <v>0</v>
      </c>
      <c r="R81" s="869">
        <f>SUM(O81:Q81)</f>
        <v>0</v>
      </c>
      <c r="S81" s="28"/>
      <c r="T81" s="870">
        <f>F81+J81+N81+R81</f>
        <v>0</v>
      </c>
      <c r="U81" s="25"/>
    </row>
    <row r="82" spans="1:21" ht="16.5" customHeight="1" x14ac:dyDescent="0.2">
      <c r="A82" s="301">
        <f>A81</f>
        <v>0</v>
      </c>
      <c r="B82" s="1254" t="s">
        <v>515</v>
      </c>
      <c r="C82" s="871">
        <f>IF(C81=0,0,VLOOKUP($A82,IMPOSTAZIONI!$B$338:$AM$344,C$108,FALSE))</f>
        <v>0</v>
      </c>
      <c r="D82" s="872">
        <f>IF(D81=0,0,VLOOKUP($A82,IMPOSTAZIONI!$B$338:$AM$344,D$108,FALSE))</f>
        <v>0</v>
      </c>
      <c r="E82" s="872">
        <f>IF(E81=0,0,VLOOKUP($A82,IMPOSTAZIONI!$B$338:$AM$344,E$108,FALSE))</f>
        <v>0</v>
      </c>
      <c r="F82" s="873">
        <f>SUM(C82:E82)</f>
        <v>0</v>
      </c>
      <c r="G82" s="871">
        <f>IF(G81=0,0,VLOOKUP($A82,IMPOSTAZIONI!$B$338:$AM$344,G$108,FALSE))</f>
        <v>0</v>
      </c>
      <c r="H82" s="872">
        <f>IF(H81=0,0,VLOOKUP($A82,IMPOSTAZIONI!$B$338:$AM$344,H$108,FALSE))</f>
        <v>0</v>
      </c>
      <c r="I82" s="872">
        <f>IF(I81=0,0,VLOOKUP($A82,IMPOSTAZIONI!$B$338:$AM$344,I$108,FALSE))</f>
        <v>0</v>
      </c>
      <c r="J82" s="873">
        <f>SUM(G82:I82)</f>
        <v>0</v>
      </c>
      <c r="K82" s="871">
        <f>IF(K81=0,0,VLOOKUP($A82,IMPOSTAZIONI!$B$338:$AM$344,K$108,FALSE))</f>
        <v>0</v>
      </c>
      <c r="L82" s="872">
        <f>IF(L81=0,0,VLOOKUP($A82,IMPOSTAZIONI!$B$338:$AM$344,L$108,FALSE))</f>
        <v>0</v>
      </c>
      <c r="M82" s="872">
        <f>IF(M81=0,0,VLOOKUP($A82,IMPOSTAZIONI!$B$338:$AM$344,M$108,FALSE))</f>
        <v>0</v>
      </c>
      <c r="N82" s="873">
        <f>SUM(K82:M82)</f>
        <v>0</v>
      </c>
      <c r="O82" s="871">
        <f>IF(O81=0,0,VLOOKUP($A82,IMPOSTAZIONI!$B$338:$AM$344,O$108,FALSE))</f>
        <v>0</v>
      </c>
      <c r="P82" s="872">
        <f>IF(P81=0,0,VLOOKUP($A82,IMPOSTAZIONI!$B$338:$AM$344,P$108,FALSE))</f>
        <v>0</v>
      </c>
      <c r="Q82" s="872">
        <f>IF(Q81=0,0,VLOOKUP($A82,IMPOSTAZIONI!$B$338:$AM$344,Q$108,FALSE))</f>
        <v>0</v>
      </c>
      <c r="R82" s="873">
        <f>SUM(O82:Q82)</f>
        <v>0</v>
      </c>
      <c r="S82" s="28"/>
      <c r="T82" s="874">
        <f>F82+J82+N82+R82</f>
        <v>0</v>
      </c>
      <c r="U82" s="25"/>
    </row>
    <row r="83" spans="1:21" ht="16.5" customHeight="1" x14ac:dyDescent="0.2">
      <c r="A83" s="301">
        <f>A81</f>
        <v>0</v>
      </c>
      <c r="B83" s="888" t="s">
        <v>536</v>
      </c>
      <c r="C83" s="875">
        <f>IF(C81=0,0,VLOOKUP($A83,IMPOSTAZIONI!$B$352:$AM$358,C$108,FALSE))</f>
        <v>0</v>
      </c>
      <c r="D83" s="876">
        <f>IF(D81=0,0,VLOOKUP($A83,IMPOSTAZIONI!$B$352:$AM$358,D$108,FALSE))</f>
        <v>0</v>
      </c>
      <c r="E83" s="876">
        <f>IF(E81=0,0,VLOOKUP($A83,IMPOSTAZIONI!$B$352:$AM$358,E$108,FALSE))</f>
        <v>0</v>
      </c>
      <c r="F83" s="877">
        <f>SUM(C83:E83)</f>
        <v>0</v>
      </c>
      <c r="G83" s="875">
        <f>IF(G81=0,0,VLOOKUP($A83,IMPOSTAZIONI!$B$352:$AM$358,G$108,FALSE))</f>
        <v>0</v>
      </c>
      <c r="H83" s="876">
        <f>IF(H81=0,0,VLOOKUP($A83,IMPOSTAZIONI!$B$352:$AM$358,H$108,FALSE))</f>
        <v>0</v>
      </c>
      <c r="I83" s="876">
        <f>IF(I81=0,0,VLOOKUP($A83,IMPOSTAZIONI!$B$352:$AM$358,I$108,FALSE))</f>
        <v>0</v>
      </c>
      <c r="J83" s="877">
        <f>SUM(G83:I83)</f>
        <v>0</v>
      </c>
      <c r="K83" s="875">
        <f>IF(K81=0,0,VLOOKUP($A83,IMPOSTAZIONI!$B$352:$AM$358,K$108,FALSE))</f>
        <v>0</v>
      </c>
      <c r="L83" s="876">
        <f>IF(L81=0,0,VLOOKUP($A83,IMPOSTAZIONI!$B$352:$AM$358,L$108,FALSE))</f>
        <v>0</v>
      </c>
      <c r="M83" s="876">
        <f>IF(M81=0,0,VLOOKUP($A83,IMPOSTAZIONI!$B$352:$AM$358,M$108,FALSE))</f>
        <v>0</v>
      </c>
      <c r="N83" s="877">
        <f>SUM(K83:M83)</f>
        <v>0</v>
      </c>
      <c r="O83" s="875">
        <f>IF(O81=0,0,VLOOKUP($A83,IMPOSTAZIONI!$B$352:$AM$358,O$108,FALSE))</f>
        <v>0</v>
      </c>
      <c r="P83" s="876">
        <f>IF(P81=0,0,VLOOKUP($A83,IMPOSTAZIONI!$B$352:$AM$358,P$108,FALSE))</f>
        <v>0</v>
      </c>
      <c r="Q83" s="876">
        <f>IF(Q81=0,0,VLOOKUP($A83,IMPOSTAZIONI!$B$352:$AM$358,Q$108,FALSE))</f>
        <v>0</v>
      </c>
      <c r="R83" s="877">
        <f>SUM(O83:Q83)</f>
        <v>0</v>
      </c>
      <c r="S83" s="28"/>
      <c r="T83" s="878">
        <f>F83+J83+N83+R83</f>
        <v>0</v>
      </c>
      <c r="U83" s="25"/>
    </row>
    <row r="84" spans="1:21" ht="6" customHeight="1" x14ac:dyDescent="0.2">
      <c r="A84" s="1258"/>
      <c r="B84" s="48"/>
      <c r="C84" s="44"/>
      <c r="D84" s="44"/>
      <c r="E84" s="44"/>
      <c r="F84" s="44"/>
      <c r="G84" s="44"/>
      <c r="H84" s="44"/>
      <c r="I84" s="44"/>
      <c r="J84" s="44"/>
      <c r="K84" s="44"/>
      <c r="L84" s="44"/>
      <c r="M84" s="44"/>
      <c r="N84" s="44"/>
      <c r="O84" s="44"/>
      <c r="P84" s="44"/>
      <c r="Q84" s="44"/>
      <c r="R84" s="44"/>
      <c r="S84" s="28"/>
      <c r="T84" s="45"/>
      <c r="U84" s="25"/>
    </row>
    <row r="85" spans="1:21" ht="18" customHeight="1" x14ac:dyDescent="0.2">
      <c r="A85" s="47">
        <f>IF(C$175=0,0,A81+1)</f>
        <v>0</v>
      </c>
      <c r="B85" s="866" t="str">
        <f>VLOOKUP(A85,IMPOSTAZIONI!$B$324:$AQ$330,42,FALSE)</f>
        <v>GRUPPO #1</v>
      </c>
      <c r="C85" s="867">
        <f>IF($A85=0,0,VLOOKUP($A85,IMPOSTAZIONI!$B$324:$AM$330,C$108,FALSE))</f>
        <v>0</v>
      </c>
      <c r="D85" s="868">
        <f>IF($A85=0,0,VLOOKUP($A85,IMPOSTAZIONI!$B$324:$AM$330,D$108,FALSE))</f>
        <v>0</v>
      </c>
      <c r="E85" s="868">
        <f>IF($A85=0,0,VLOOKUP($A85,IMPOSTAZIONI!$B$324:$AM$330,E$108,FALSE))</f>
        <v>0</v>
      </c>
      <c r="F85" s="869">
        <f>SUM(C85:E85)</f>
        <v>0</v>
      </c>
      <c r="G85" s="867">
        <f>IF($A85=0,0,VLOOKUP($A85,IMPOSTAZIONI!$B$324:$AM$330,G$108,FALSE))</f>
        <v>0</v>
      </c>
      <c r="H85" s="868">
        <f>IF($A85=0,0,VLOOKUP($A85,IMPOSTAZIONI!$B$324:$AM$330,H$108,FALSE))</f>
        <v>0</v>
      </c>
      <c r="I85" s="868">
        <f>IF($A85=0,0,VLOOKUP($A85,IMPOSTAZIONI!$B$324:$AM$330,I$108,FALSE))</f>
        <v>0</v>
      </c>
      <c r="J85" s="869">
        <f>SUM(G85:I85)</f>
        <v>0</v>
      </c>
      <c r="K85" s="867">
        <f>IF($A85=0,0,VLOOKUP($A85,IMPOSTAZIONI!$B$324:$AM$330,K$108,FALSE))</f>
        <v>0</v>
      </c>
      <c r="L85" s="868">
        <f>IF($A85=0,0,VLOOKUP($A85,IMPOSTAZIONI!$B$324:$AM$330,L$108,FALSE))</f>
        <v>0</v>
      </c>
      <c r="M85" s="868">
        <f>IF($A85=0,0,VLOOKUP($A85,IMPOSTAZIONI!$B$324:$AM$330,M$108,FALSE))</f>
        <v>0</v>
      </c>
      <c r="N85" s="869">
        <f>SUM(K85:M85)</f>
        <v>0</v>
      </c>
      <c r="O85" s="867">
        <f>IF($A85=0,0,VLOOKUP($A85,IMPOSTAZIONI!$B$324:$AM$330,O$108,FALSE))</f>
        <v>0</v>
      </c>
      <c r="P85" s="868">
        <f>IF($A85=0,0,VLOOKUP($A85,IMPOSTAZIONI!$B$324:$AM$330,P$108,FALSE))</f>
        <v>0</v>
      </c>
      <c r="Q85" s="868">
        <f>IF($A85=0,0,VLOOKUP($A85,IMPOSTAZIONI!$B$324:$AM$330,Q$108,FALSE))</f>
        <v>0</v>
      </c>
      <c r="R85" s="869">
        <f>SUM(O85:Q85)</f>
        <v>0</v>
      </c>
      <c r="S85" s="28"/>
      <c r="T85" s="870">
        <f>F85+J85+N85+R85</f>
        <v>0</v>
      </c>
      <c r="U85" s="25"/>
    </row>
    <row r="86" spans="1:21" ht="16.5" customHeight="1" x14ac:dyDescent="0.2">
      <c r="A86" s="301">
        <f>A85</f>
        <v>0</v>
      </c>
      <c r="B86" s="1254" t="s">
        <v>515</v>
      </c>
      <c r="C86" s="871">
        <f>IF(C85=0,0,VLOOKUP($A86,IMPOSTAZIONI!$B$338:$AM$344,C$108,FALSE))</f>
        <v>0</v>
      </c>
      <c r="D86" s="872">
        <f>IF(D85=0,0,VLOOKUP($A86,IMPOSTAZIONI!$B$338:$AM$344,D$108,FALSE))</f>
        <v>0</v>
      </c>
      <c r="E86" s="872">
        <f>IF(E85=0,0,VLOOKUP($A86,IMPOSTAZIONI!$B$338:$AM$344,E$108,FALSE))</f>
        <v>0</v>
      </c>
      <c r="F86" s="873">
        <f>SUM(C86:E86)</f>
        <v>0</v>
      </c>
      <c r="G86" s="871">
        <f>IF(G85=0,0,VLOOKUP($A86,IMPOSTAZIONI!$B$338:$AM$344,G$108,FALSE))</f>
        <v>0</v>
      </c>
      <c r="H86" s="872">
        <f>IF(H85=0,0,VLOOKUP($A86,IMPOSTAZIONI!$B$338:$AM$344,H$108,FALSE))</f>
        <v>0</v>
      </c>
      <c r="I86" s="872">
        <f>IF(I85=0,0,VLOOKUP($A86,IMPOSTAZIONI!$B$338:$AM$344,I$108,FALSE))</f>
        <v>0</v>
      </c>
      <c r="J86" s="873">
        <f>SUM(G86:I86)</f>
        <v>0</v>
      </c>
      <c r="K86" s="871">
        <f>IF(K85=0,0,VLOOKUP($A86,IMPOSTAZIONI!$B$338:$AM$344,K$108,FALSE))</f>
        <v>0</v>
      </c>
      <c r="L86" s="872">
        <f>IF(L85=0,0,VLOOKUP($A86,IMPOSTAZIONI!$B$338:$AM$344,L$108,FALSE))</f>
        <v>0</v>
      </c>
      <c r="M86" s="872">
        <f>IF(M85=0,0,VLOOKUP($A86,IMPOSTAZIONI!$B$338:$AM$344,M$108,FALSE))</f>
        <v>0</v>
      </c>
      <c r="N86" s="873">
        <f>SUM(K86:M86)</f>
        <v>0</v>
      </c>
      <c r="O86" s="871">
        <f>IF(O85=0,0,VLOOKUP($A86,IMPOSTAZIONI!$B$338:$AM$344,O$108,FALSE))</f>
        <v>0</v>
      </c>
      <c r="P86" s="872">
        <f>IF(P85=0,0,VLOOKUP($A86,IMPOSTAZIONI!$B$338:$AM$344,P$108,FALSE))</f>
        <v>0</v>
      </c>
      <c r="Q86" s="872">
        <f>IF(Q85=0,0,VLOOKUP($A86,IMPOSTAZIONI!$B$338:$AM$344,Q$108,FALSE))</f>
        <v>0</v>
      </c>
      <c r="R86" s="873">
        <f>SUM(O86:Q86)</f>
        <v>0</v>
      </c>
      <c r="S86" s="28"/>
      <c r="T86" s="874">
        <f>F86+J86+N86+R86</f>
        <v>0</v>
      </c>
      <c r="U86" s="25"/>
    </row>
    <row r="87" spans="1:21" ht="16.5" customHeight="1" x14ac:dyDescent="0.2">
      <c r="A87" s="301">
        <f>A85</f>
        <v>0</v>
      </c>
      <c r="B87" s="888" t="s">
        <v>536</v>
      </c>
      <c r="C87" s="875">
        <f>IF(C85=0,0,VLOOKUP($A87,IMPOSTAZIONI!$B$352:$AM$358,C$108,FALSE))</f>
        <v>0</v>
      </c>
      <c r="D87" s="876">
        <f>IF(D85=0,0,VLOOKUP($A87,IMPOSTAZIONI!$B$352:$AM$358,D$108,FALSE))</f>
        <v>0</v>
      </c>
      <c r="E87" s="876">
        <f>IF(E85=0,0,VLOOKUP($A87,IMPOSTAZIONI!$B$352:$AM$358,E$108,FALSE))</f>
        <v>0</v>
      </c>
      <c r="F87" s="877">
        <f>SUM(C87:E87)</f>
        <v>0</v>
      </c>
      <c r="G87" s="875">
        <f>IF(G85=0,0,VLOOKUP($A87,IMPOSTAZIONI!$B$352:$AM$358,G$108,FALSE))</f>
        <v>0</v>
      </c>
      <c r="H87" s="876">
        <f>IF(H85=0,0,VLOOKUP($A87,IMPOSTAZIONI!$B$352:$AM$358,H$108,FALSE))</f>
        <v>0</v>
      </c>
      <c r="I87" s="876">
        <f>IF(I85=0,0,VLOOKUP($A87,IMPOSTAZIONI!$B$352:$AM$358,I$108,FALSE))</f>
        <v>0</v>
      </c>
      <c r="J87" s="877">
        <f>SUM(G87:I87)</f>
        <v>0</v>
      </c>
      <c r="K87" s="875">
        <f>IF(K85=0,0,VLOOKUP($A87,IMPOSTAZIONI!$B$352:$AM$358,K$108,FALSE))</f>
        <v>0</v>
      </c>
      <c r="L87" s="876">
        <f>IF(L85=0,0,VLOOKUP($A87,IMPOSTAZIONI!$B$352:$AM$358,L$108,FALSE))</f>
        <v>0</v>
      </c>
      <c r="M87" s="876">
        <f>IF(M85=0,0,VLOOKUP($A87,IMPOSTAZIONI!$B$352:$AM$358,M$108,FALSE))</f>
        <v>0</v>
      </c>
      <c r="N87" s="877">
        <f>SUM(K87:M87)</f>
        <v>0</v>
      </c>
      <c r="O87" s="875">
        <f>IF(O85=0,0,VLOOKUP($A87,IMPOSTAZIONI!$B$352:$AM$358,O$108,FALSE))</f>
        <v>0</v>
      </c>
      <c r="P87" s="876">
        <f>IF(P85=0,0,VLOOKUP($A87,IMPOSTAZIONI!$B$352:$AM$358,P$108,FALSE))</f>
        <v>0</v>
      </c>
      <c r="Q87" s="876">
        <f>IF(Q85=0,0,VLOOKUP($A87,IMPOSTAZIONI!$B$352:$AM$358,Q$108,FALSE))</f>
        <v>0</v>
      </c>
      <c r="R87" s="877">
        <f>SUM(O87:Q87)</f>
        <v>0</v>
      </c>
      <c r="S87" s="28"/>
      <c r="T87" s="878">
        <f>F87+J87+N87+R87</f>
        <v>0</v>
      </c>
      <c r="U87" s="25"/>
    </row>
    <row r="88" spans="1:21" ht="6" customHeight="1" x14ac:dyDescent="0.2">
      <c r="A88" s="1258"/>
      <c r="B88" s="48"/>
      <c r="C88" s="44"/>
      <c r="D88" s="44"/>
      <c r="E88" s="44"/>
      <c r="F88" s="44"/>
      <c r="G88" s="44"/>
      <c r="H88" s="44"/>
      <c r="I88" s="44"/>
      <c r="J88" s="44"/>
      <c r="K88" s="44"/>
      <c r="L88" s="44"/>
      <c r="M88" s="44"/>
      <c r="N88" s="44"/>
      <c r="O88" s="44"/>
      <c r="P88" s="44"/>
      <c r="Q88" s="44"/>
      <c r="R88" s="44"/>
      <c r="S88" s="28"/>
      <c r="T88" s="45"/>
      <c r="U88" s="25"/>
    </row>
    <row r="89" spans="1:21" ht="18" customHeight="1" x14ac:dyDescent="0.2">
      <c r="A89" s="47">
        <f>IF(C$175=0,0,A85+1)</f>
        <v>0</v>
      </c>
      <c r="B89" s="866" t="str">
        <f>VLOOKUP(A89,IMPOSTAZIONI!$B$324:$AQ$330,42,FALSE)</f>
        <v>GRUPPO #1</v>
      </c>
      <c r="C89" s="867">
        <f>IF($A89=0,0,VLOOKUP($A89,IMPOSTAZIONI!$B$324:$AM$330,C$108,FALSE))</f>
        <v>0</v>
      </c>
      <c r="D89" s="868">
        <f>IF($A89=0,0,VLOOKUP($A89,IMPOSTAZIONI!$B$324:$AM$330,D$108,FALSE))</f>
        <v>0</v>
      </c>
      <c r="E89" s="868">
        <f>IF($A89=0,0,VLOOKUP($A89,IMPOSTAZIONI!$B$324:$AM$330,E$108,FALSE))</f>
        <v>0</v>
      </c>
      <c r="F89" s="869">
        <f>SUM(C89:E89)</f>
        <v>0</v>
      </c>
      <c r="G89" s="867">
        <f>IF($A89=0,0,VLOOKUP($A89,IMPOSTAZIONI!$B$324:$AM$330,G$108,FALSE))</f>
        <v>0</v>
      </c>
      <c r="H89" s="868">
        <f>IF($A89=0,0,VLOOKUP($A89,IMPOSTAZIONI!$B$324:$AM$330,H$108,FALSE))</f>
        <v>0</v>
      </c>
      <c r="I89" s="868">
        <f>IF($A89=0,0,VLOOKUP($A89,IMPOSTAZIONI!$B$324:$AM$330,I$108,FALSE))</f>
        <v>0</v>
      </c>
      <c r="J89" s="869">
        <f>SUM(G89:I89)</f>
        <v>0</v>
      </c>
      <c r="K89" s="867">
        <f>IF($A89=0,0,VLOOKUP($A89,IMPOSTAZIONI!$B$324:$AM$330,K$108,FALSE))</f>
        <v>0</v>
      </c>
      <c r="L89" s="868">
        <f>IF($A89=0,0,VLOOKUP($A89,IMPOSTAZIONI!$B$324:$AM$330,L$108,FALSE))</f>
        <v>0</v>
      </c>
      <c r="M89" s="868">
        <f>IF($A89=0,0,VLOOKUP($A89,IMPOSTAZIONI!$B$324:$AM$330,M$108,FALSE))</f>
        <v>0</v>
      </c>
      <c r="N89" s="869">
        <f>SUM(K89:M89)</f>
        <v>0</v>
      </c>
      <c r="O89" s="867">
        <f>IF($A89=0,0,VLOOKUP($A89,IMPOSTAZIONI!$B$324:$AM$330,O$108,FALSE))</f>
        <v>0</v>
      </c>
      <c r="P89" s="868">
        <f>IF($A89=0,0,VLOOKUP($A89,IMPOSTAZIONI!$B$324:$AM$330,P$108,FALSE))</f>
        <v>0</v>
      </c>
      <c r="Q89" s="868">
        <f>IF($A89=0,0,VLOOKUP($A89,IMPOSTAZIONI!$B$324:$AM$330,Q$108,FALSE))</f>
        <v>0</v>
      </c>
      <c r="R89" s="869">
        <f>SUM(O89:Q89)</f>
        <v>0</v>
      </c>
      <c r="S89" s="28"/>
      <c r="T89" s="870">
        <f>F89+J89+N89+R89</f>
        <v>0</v>
      </c>
      <c r="U89" s="25"/>
    </row>
    <row r="90" spans="1:21" ht="16.5" customHeight="1" x14ac:dyDescent="0.2">
      <c r="A90" s="301">
        <f>A89</f>
        <v>0</v>
      </c>
      <c r="B90" s="1254" t="s">
        <v>515</v>
      </c>
      <c r="C90" s="871">
        <f>IF(C89=0,0,VLOOKUP($A90,IMPOSTAZIONI!$B$338:$AM$344,C$108,FALSE))</f>
        <v>0</v>
      </c>
      <c r="D90" s="872">
        <f>IF(D89=0,0,VLOOKUP($A90,IMPOSTAZIONI!$B$338:$AM$344,D$108,FALSE))</f>
        <v>0</v>
      </c>
      <c r="E90" s="872">
        <f>IF(E89=0,0,VLOOKUP($A90,IMPOSTAZIONI!$B$338:$AM$344,E$108,FALSE))</f>
        <v>0</v>
      </c>
      <c r="F90" s="873">
        <f>SUM(C90:E90)</f>
        <v>0</v>
      </c>
      <c r="G90" s="871">
        <f>IF(G89=0,0,VLOOKUP($A90,IMPOSTAZIONI!$B$338:$AM$344,G$108,FALSE))</f>
        <v>0</v>
      </c>
      <c r="H90" s="872">
        <f>IF(H89=0,0,VLOOKUP($A90,IMPOSTAZIONI!$B$338:$AM$344,H$108,FALSE))</f>
        <v>0</v>
      </c>
      <c r="I90" s="872">
        <f>IF(I89=0,0,VLOOKUP($A90,IMPOSTAZIONI!$B$338:$AM$344,I$108,FALSE))</f>
        <v>0</v>
      </c>
      <c r="J90" s="873">
        <f>SUM(G90:I90)</f>
        <v>0</v>
      </c>
      <c r="K90" s="871">
        <f>IF(K89=0,0,VLOOKUP($A90,IMPOSTAZIONI!$B$338:$AM$344,K$108,FALSE))</f>
        <v>0</v>
      </c>
      <c r="L90" s="872">
        <f>IF(L89=0,0,VLOOKUP($A90,IMPOSTAZIONI!$B$338:$AM$344,L$108,FALSE))</f>
        <v>0</v>
      </c>
      <c r="M90" s="872">
        <f>IF(M89=0,0,VLOOKUP($A90,IMPOSTAZIONI!$B$338:$AM$344,M$108,FALSE))</f>
        <v>0</v>
      </c>
      <c r="N90" s="873">
        <f>SUM(K90:M90)</f>
        <v>0</v>
      </c>
      <c r="O90" s="871">
        <f>IF(O89=0,0,VLOOKUP($A90,IMPOSTAZIONI!$B$338:$AM$344,O$108,FALSE))</f>
        <v>0</v>
      </c>
      <c r="P90" s="872">
        <f>IF(P89=0,0,VLOOKUP($A90,IMPOSTAZIONI!$B$338:$AM$344,P$108,FALSE))</f>
        <v>0</v>
      </c>
      <c r="Q90" s="872">
        <f>IF(Q89=0,0,VLOOKUP($A90,IMPOSTAZIONI!$B$338:$AM$344,Q$108,FALSE))</f>
        <v>0</v>
      </c>
      <c r="R90" s="873">
        <f>SUM(O90:Q90)</f>
        <v>0</v>
      </c>
      <c r="S90" s="28"/>
      <c r="T90" s="874">
        <f>F90+J90+N90+R90</f>
        <v>0</v>
      </c>
      <c r="U90" s="25"/>
    </row>
    <row r="91" spans="1:21" ht="16.5" customHeight="1" x14ac:dyDescent="0.2">
      <c r="A91" s="301">
        <f>A89</f>
        <v>0</v>
      </c>
      <c r="B91" s="888" t="s">
        <v>536</v>
      </c>
      <c r="C91" s="875">
        <f>IF(C89=0,0,VLOOKUP($A91,IMPOSTAZIONI!$B$352:$AM$358,C$108,FALSE))</f>
        <v>0</v>
      </c>
      <c r="D91" s="876">
        <f>IF(D89=0,0,VLOOKUP($A91,IMPOSTAZIONI!$B$352:$AM$358,D$108,FALSE))</f>
        <v>0</v>
      </c>
      <c r="E91" s="876">
        <f>IF(E89=0,0,VLOOKUP($A91,IMPOSTAZIONI!$B$352:$AM$358,E$108,FALSE))</f>
        <v>0</v>
      </c>
      <c r="F91" s="877">
        <f>SUM(C91:E91)</f>
        <v>0</v>
      </c>
      <c r="G91" s="875">
        <f>IF(G89=0,0,VLOOKUP($A91,IMPOSTAZIONI!$B$352:$AM$358,G$108,FALSE))</f>
        <v>0</v>
      </c>
      <c r="H91" s="876">
        <f>IF(H89=0,0,VLOOKUP($A91,IMPOSTAZIONI!$B$352:$AM$358,H$108,FALSE))</f>
        <v>0</v>
      </c>
      <c r="I91" s="876">
        <f>IF(I89=0,0,VLOOKUP($A91,IMPOSTAZIONI!$B$352:$AM$358,I$108,FALSE))</f>
        <v>0</v>
      </c>
      <c r="J91" s="877">
        <f>SUM(G91:I91)</f>
        <v>0</v>
      </c>
      <c r="K91" s="875">
        <f>IF(K89=0,0,VLOOKUP($A91,IMPOSTAZIONI!$B$352:$AM$358,K$108,FALSE))</f>
        <v>0</v>
      </c>
      <c r="L91" s="876">
        <f>IF(L89=0,0,VLOOKUP($A91,IMPOSTAZIONI!$B$352:$AM$358,L$108,FALSE))</f>
        <v>0</v>
      </c>
      <c r="M91" s="876">
        <f>IF(M89=0,0,VLOOKUP($A91,IMPOSTAZIONI!$B$352:$AM$358,M$108,FALSE))</f>
        <v>0</v>
      </c>
      <c r="N91" s="877">
        <f>SUM(K91:M91)</f>
        <v>0</v>
      </c>
      <c r="O91" s="875">
        <f>IF(O89=0,0,VLOOKUP($A91,IMPOSTAZIONI!$B$352:$AM$358,O$108,FALSE))</f>
        <v>0</v>
      </c>
      <c r="P91" s="876">
        <f>IF(P89=0,0,VLOOKUP($A91,IMPOSTAZIONI!$B$352:$AM$358,P$108,FALSE))</f>
        <v>0</v>
      </c>
      <c r="Q91" s="876">
        <f>IF(Q89=0,0,VLOOKUP($A91,IMPOSTAZIONI!$B$352:$AM$358,Q$108,FALSE))</f>
        <v>0</v>
      </c>
      <c r="R91" s="877">
        <f>SUM(O91:Q91)</f>
        <v>0</v>
      </c>
      <c r="S91" s="28"/>
      <c r="T91" s="878">
        <f>F91+J91+N91+R91</f>
        <v>0</v>
      </c>
      <c r="U91" s="25"/>
    </row>
    <row r="92" spans="1:21" ht="6" customHeight="1" x14ac:dyDescent="0.2">
      <c r="A92" s="1258"/>
      <c r="B92" s="48"/>
      <c r="C92" s="44"/>
      <c r="D92" s="44"/>
      <c r="E92" s="44"/>
      <c r="F92" s="44"/>
      <c r="G92" s="44"/>
      <c r="H92" s="44"/>
      <c r="I92" s="44"/>
      <c r="J92" s="44"/>
      <c r="K92" s="44"/>
      <c r="L92" s="44"/>
      <c r="M92" s="44"/>
      <c r="N92" s="44"/>
      <c r="O92" s="44"/>
      <c r="P92" s="44"/>
      <c r="Q92" s="44"/>
      <c r="R92" s="44"/>
      <c r="S92" s="28"/>
      <c r="T92" s="45"/>
      <c r="U92" s="25"/>
    </row>
    <row r="93" spans="1:21" ht="18" customHeight="1" x14ac:dyDescent="0.2">
      <c r="A93" s="47">
        <f>IF(C$175=0,0,A89+1)</f>
        <v>0</v>
      </c>
      <c r="B93" s="866" t="str">
        <f>VLOOKUP(A93,IMPOSTAZIONI!$B$324:$AQ$330,42,FALSE)</f>
        <v>GRUPPO #1</v>
      </c>
      <c r="C93" s="867">
        <f>IF($A93=0,0,VLOOKUP($A93,IMPOSTAZIONI!$B$324:$AM$330,C$108,FALSE))</f>
        <v>0</v>
      </c>
      <c r="D93" s="868">
        <f>IF($A93=0,0,VLOOKUP($A93,IMPOSTAZIONI!$B$324:$AM$330,D$108,FALSE))</f>
        <v>0</v>
      </c>
      <c r="E93" s="868">
        <f>IF($A93=0,0,VLOOKUP($A93,IMPOSTAZIONI!$B$324:$AM$330,E$108,FALSE))</f>
        <v>0</v>
      </c>
      <c r="F93" s="869">
        <f>SUM(C93:E93)</f>
        <v>0</v>
      </c>
      <c r="G93" s="867">
        <f>IF($A93=0,0,VLOOKUP($A93,IMPOSTAZIONI!$B$324:$AM$330,G$108,FALSE))</f>
        <v>0</v>
      </c>
      <c r="H93" s="868">
        <f>IF($A93=0,0,VLOOKUP($A93,IMPOSTAZIONI!$B$324:$AM$330,H$108,FALSE))</f>
        <v>0</v>
      </c>
      <c r="I93" s="868">
        <f>IF($A93=0,0,VLOOKUP($A93,IMPOSTAZIONI!$B$324:$AM$330,I$108,FALSE))</f>
        <v>0</v>
      </c>
      <c r="J93" s="869">
        <f>SUM(G93:I93)</f>
        <v>0</v>
      </c>
      <c r="K93" s="867">
        <f>IF($A93=0,0,VLOOKUP($A93,IMPOSTAZIONI!$B$324:$AM$330,K$108,FALSE))</f>
        <v>0</v>
      </c>
      <c r="L93" s="868">
        <f>IF($A93=0,0,VLOOKUP($A93,IMPOSTAZIONI!$B$324:$AM$330,L$108,FALSE))</f>
        <v>0</v>
      </c>
      <c r="M93" s="868">
        <f>IF($A93=0,0,VLOOKUP($A93,IMPOSTAZIONI!$B$324:$AM$330,M$108,FALSE))</f>
        <v>0</v>
      </c>
      <c r="N93" s="869">
        <f>SUM(K93:M93)</f>
        <v>0</v>
      </c>
      <c r="O93" s="867">
        <f>IF($A93=0,0,VLOOKUP($A93,IMPOSTAZIONI!$B$324:$AM$330,O$108,FALSE))</f>
        <v>0</v>
      </c>
      <c r="P93" s="868">
        <f>IF($A93=0,0,VLOOKUP($A93,IMPOSTAZIONI!$B$324:$AM$330,P$108,FALSE))</f>
        <v>0</v>
      </c>
      <c r="Q93" s="868">
        <f>IF($A93=0,0,VLOOKUP($A93,IMPOSTAZIONI!$B$324:$AM$330,Q$108,FALSE))</f>
        <v>0</v>
      </c>
      <c r="R93" s="869">
        <f>SUM(O93:Q93)</f>
        <v>0</v>
      </c>
      <c r="S93" s="28"/>
      <c r="T93" s="870">
        <f>F93+J93+N93+R93</f>
        <v>0</v>
      </c>
      <c r="U93" s="25"/>
    </row>
    <row r="94" spans="1:21" ht="16.5" customHeight="1" x14ac:dyDescent="0.2">
      <c r="A94" s="301">
        <f>A93</f>
        <v>0</v>
      </c>
      <c r="B94" s="1254" t="s">
        <v>515</v>
      </c>
      <c r="C94" s="871">
        <f>IF(C93=0,0,VLOOKUP($A94,IMPOSTAZIONI!$B$338:$AM$344,C$108,FALSE))</f>
        <v>0</v>
      </c>
      <c r="D94" s="872">
        <f>IF(D93=0,0,VLOOKUP($A94,IMPOSTAZIONI!$B$338:$AM$344,D$108,FALSE))</f>
        <v>0</v>
      </c>
      <c r="E94" s="872">
        <f>IF(E93=0,0,VLOOKUP($A94,IMPOSTAZIONI!$B$338:$AM$344,E$108,FALSE))</f>
        <v>0</v>
      </c>
      <c r="F94" s="873">
        <f>SUM(C94:E94)</f>
        <v>0</v>
      </c>
      <c r="G94" s="871">
        <f>IF(G93=0,0,VLOOKUP($A94,IMPOSTAZIONI!$B$338:$AM$344,G$108,FALSE))</f>
        <v>0</v>
      </c>
      <c r="H94" s="872">
        <f>IF(H93=0,0,VLOOKUP($A94,IMPOSTAZIONI!$B$338:$AM$344,H$108,FALSE))</f>
        <v>0</v>
      </c>
      <c r="I94" s="872">
        <f>IF(I93=0,0,VLOOKUP($A94,IMPOSTAZIONI!$B$338:$AM$344,I$108,FALSE))</f>
        <v>0</v>
      </c>
      <c r="J94" s="873">
        <f>SUM(G94:I94)</f>
        <v>0</v>
      </c>
      <c r="K94" s="871">
        <f>IF(K93=0,0,VLOOKUP($A94,IMPOSTAZIONI!$B$338:$AM$344,K$108,FALSE))</f>
        <v>0</v>
      </c>
      <c r="L94" s="872">
        <f>IF(L93=0,0,VLOOKUP($A94,IMPOSTAZIONI!$B$338:$AM$344,L$108,FALSE))</f>
        <v>0</v>
      </c>
      <c r="M94" s="872">
        <f>IF(M93=0,0,VLOOKUP($A94,IMPOSTAZIONI!$B$338:$AM$344,M$108,FALSE))</f>
        <v>0</v>
      </c>
      <c r="N94" s="873">
        <f>SUM(K94:M94)</f>
        <v>0</v>
      </c>
      <c r="O94" s="871">
        <f>IF(O93=0,0,VLOOKUP($A94,IMPOSTAZIONI!$B$338:$AM$344,O$108,FALSE))</f>
        <v>0</v>
      </c>
      <c r="P94" s="872">
        <f>IF(P93=0,0,VLOOKUP($A94,IMPOSTAZIONI!$B$338:$AM$344,P$108,FALSE))</f>
        <v>0</v>
      </c>
      <c r="Q94" s="872">
        <f>IF(Q93=0,0,VLOOKUP($A94,IMPOSTAZIONI!$B$338:$AM$344,Q$108,FALSE))</f>
        <v>0</v>
      </c>
      <c r="R94" s="873">
        <f>SUM(O94:Q94)</f>
        <v>0</v>
      </c>
      <c r="S94" s="28"/>
      <c r="T94" s="874">
        <f>F94+J94+N94+R94</f>
        <v>0</v>
      </c>
      <c r="U94" s="25"/>
    </row>
    <row r="95" spans="1:21" ht="16.5" customHeight="1" x14ac:dyDescent="0.2">
      <c r="A95" s="301">
        <f>A93</f>
        <v>0</v>
      </c>
      <c r="B95" s="888" t="s">
        <v>536</v>
      </c>
      <c r="C95" s="875">
        <f>IF(C93=0,0,VLOOKUP($A95,IMPOSTAZIONI!$B$352:$AM$358,C$108,FALSE))</f>
        <v>0</v>
      </c>
      <c r="D95" s="876">
        <f>IF(D93=0,0,VLOOKUP($A95,IMPOSTAZIONI!$B$352:$AM$358,D$108,FALSE))</f>
        <v>0</v>
      </c>
      <c r="E95" s="876">
        <f>IF(E93=0,0,VLOOKUP($A95,IMPOSTAZIONI!$B$352:$AM$358,E$108,FALSE))</f>
        <v>0</v>
      </c>
      <c r="F95" s="877">
        <f>SUM(C95:E95)</f>
        <v>0</v>
      </c>
      <c r="G95" s="875">
        <f>IF(G93=0,0,VLOOKUP($A95,IMPOSTAZIONI!$B$352:$AM$358,G$108,FALSE))</f>
        <v>0</v>
      </c>
      <c r="H95" s="876">
        <f>IF(H93=0,0,VLOOKUP($A95,IMPOSTAZIONI!$B$352:$AM$358,H$108,FALSE))</f>
        <v>0</v>
      </c>
      <c r="I95" s="876">
        <f>IF(I93=0,0,VLOOKUP($A95,IMPOSTAZIONI!$B$352:$AM$358,I$108,FALSE))</f>
        <v>0</v>
      </c>
      <c r="J95" s="877">
        <f>SUM(G95:I95)</f>
        <v>0</v>
      </c>
      <c r="K95" s="875">
        <f>IF(K93=0,0,VLOOKUP($A95,IMPOSTAZIONI!$B$352:$AM$358,K$108,FALSE))</f>
        <v>0</v>
      </c>
      <c r="L95" s="876">
        <f>IF(L93=0,0,VLOOKUP($A95,IMPOSTAZIONI!$B$352:$AM$358,L$108,FALSE))</f>
        <v>0</v>
      </c>
      <c r="M95" s="876">
        <f>IF(M93=0,0,VLOOKUP($A95,IMPOSTAZIONI!$B$352:$AM$358,M$108,FALSE))</f>
        <v>0</v>
      </c>
      <c r="N95" s="877">
        <f>SUM(K95:M95)</f>
        <v>0</v>
      </c>
      <c r="O95" s="875">
        <f>IF(O93=0,0,VLOOKUP($A95,IMPOSTAZIONI!$B$352:$AM$358,O$108,FALSE))</f>
        <v>0</v>
      </c>
      <c r="P95" s="876">
        <f>IF(P93=0,0,VLOOKUP($A95,IMPOSTAZIONI!$B$352:$AM$358,P$108,FALSE))</f>
        <v>0</v>
      </c>
      <c r="Q95" s="876">
        <f>IF(Q93=0,0,VLOOKUP($A95,IMPOSTAZIONI!$B$352:$AM$358,Q$108,FALSE))</f>
        <v>0</v>
      </c>
      <c r="R95" s="877">
        <f>SUM(O95:Q95)</f>
        <v>0</v>
      </c>
      <c r="S95" s="28"/>
      <c r="T95" s="878">
        <f>F95+J95+N95+R95</f>
        <v>0</v>
      </c>
      <c r="U95" s="25"/>
    </row>
    <row r="96" spans="1:21" ht="6" customHeight="1" x14ac:dyDescent="0.2">
      <c r="A96" s="1258"/>
      <c r="B96" s="48"/>
      <c r="C96" s="44"/>
      <c r="D96" s="44"/>
      <c r="E96" s="44"/>
      <c r="F96" s="44"/>
      <c r="G96" s="44"/>
      <c r="H96" s="44"/>
      <c r="I96" s="44"/>
      <c r="J96" s="44"/>
      <c r="K96" s="44"/>
      <c r="L96" s="44"/>
      <c r="M96" s="44"/>
      <c r="N96" s="44"/>
      <c r="O96" s="44"/>
      <c r="P96" s="44"/>
      <c r="Q96" s="44"/>
      <c r="R96" s="44"/>
      <c r="S96" s="28"/>
      <c r="T96" s="45"/>
      <c r="U96" s="25"/>
    </row>
    <row r="97" spans="1:21" ht="18" customHeight="1" x14ac:dyDescent="0.2">
      <c r="A97" s="1255">
        <f>IF(C$175=0,0,A93+1)</f>
        <v>0</v>
      </c>
      <c r="B97" s="866" t="str">
        <f>IF(A97=0,"","SENZA RIGA 3")</f>
        <v/>
      </c>
      <c r="C97" s="867">
        <f>IMPOSTAZIONI!D331</f>
        <v>1000</v>
      </c>
      <c r="D97" s="868">
        <f>IMPOSTAZIONI!G331</f>
        <v>0</v>
      </c>
      <c r="E97" s="868">
        <f>IMPOSTAZIONI!J331</f>
        <v>0</v>
      </c>
      <c r="F97" s="869">
        <f>SUM(C97:E97)</f>
        <v>1000</v>
      </c>
      <c r="G97" s="867">
        <f>IMPOSTAZIONI!M331</f>
        <v>0</v>
      </c>
      <c r="H97" s="868">
        <f>IMPOSTAZIONI!P331</f>
        <v>0</v>
      </c>
      <c r="I97" s="868">
        <f>IMPOSTAZIONI!S331</f>
        <v>0</v>
      </c>
      <c r="J97" s="869">
        <f>SUM(G97:I97)</f>
        <v>0</v>
      </c>
      <c r="K97" s="867">
        <f>IMPOSTAZIONI!V331</f>
        <v>0</v>
      </c>
      <c r="L97" s="868">
        <f>IMPOSTAZIONI!Y331</f>
        <v>0</v>
      </c>
      <c r="M97" s="868">
        <f>IMPOSTAZIONI!AB331</f>
        <v>0</v>
      </c>
      <c r="N97" s="869">
        <f>SUM(K97:M97)</f>
        <v>0</v>
      </c>
      <c r="O97" s="867">
        <f>IMPOSTAZIONI!AE331</f>
        <v>0</v>
      </c>
      <c r="P97" s="868">
        <f>IMPOSTAZIONI!AH331</f>
        <v>0</v>
      </c>
      <c r="Q97" s="868">
        <f>IMPOSTAZIONI!AK331</f>
        <v>0</v>
      </c>
      <c r="R97" s="869">
        <f>SUM(O97:Q97)</f>
        <v>0</v>
      </c>
      <c r="S97" s="28"/>
      <c r="T97" s="870">
        <f>F97+J97+N97+R97</f>
        <v>1000</v>
      </c>
      <c r="U97" s="25"/>
    </row>
    <row r="98" spans="1:21" ht="16.5" customHeight="1" x14ac:dyDescent="0.2">
      <c r="A98" s="301">
        <f>A97</f>
        <v>0</v>
      </c>
      <c r="B98" s="1380" t="s">
        <v>515</v>
      </c>
      <c r="C98" s="871">
        <f>IMPOSTAZIONI!D345</f>
        <v>1000</v>
      </c>
      <c r="D98" s="872">
        <f>IMPOSTAZIONI!G345</f>
        <v>0</v>
      </c>
      <c r="E98" s="872">
        <f>IMPOSTAZIONI!J345</f>
        <v>0</v>
      </c>
      <c r="F98" s="873">
        <f t="shared" ref="F98:F99" si="11">SUM(C98:E98)</f>
        <v>1000</v>
      </c>
      <c r="G98" s="871">
        <f>IMPOSTAZIONI!M345</f>
        <v>0</v>
      </c>
      <c r="H98" s="872">
        <f>IMPOSTAZIONI!P345</f>
        <v>0</v>
      </c>
      <c r="I98" s="872">
        <f>IMPOSTAZIONI!S345</f>
        <v>0</v>
      </c>
      <c r="J98" s="873">
        <f t="shared" ref="J98:J99" si="12">SUM(G98:I98)</f>
        <v>0</v>
      </c>
      <c r="K98" s="871">
        <f>IMPOSTAZIONI!V345</f>
        <v>0</v>
      </c>
      <c r="L98" s="872">
        <f>IMPOSTAZIONI!Y345</f>
        <v>0</v>
      </c>
      <c r="M98" s="872">
        <f>IMPOSTAZIONI!AB345</f>
        <v>0</v>
      </c>
      <c r="N98" s="873">
        <f t="shared" ref="N98:N99" si="13">SUM(K98:M98)</f>
        <v>0</v>
      </c>
      <c r="O98" s="871">
        <f>IMPOSTAZIONI!AE345</f>
        <v>0</v>
      </c>
      <c r="P98" s="872">
        <f>IMPOSTAZIONI!AH345</f>
        <v>0</v>
      </c>
      <c r="Q98" s="872">
        <f>IMPOSTAZIONI!AK345</f>
        <v>0</v>
      </c>
      <c r="R98" s="873">
        <f>SUM(O98:Q98)</f>
        <v>0</v>
      </c>
      <c r="S98" s="28"/>
      <c r="T98" s="874">
        <f>F98+J98+N98+R98</f>
        <v>1000</v>
      </c>
      <c r="U98" s="25"/>
    </row>
    <row r="99" spans="1:21" ht="16.5" customHeight="1" x14ac:dyDescent="0.2">
      <c r="A99" s="301">
        <f>A97</f>
        <v>0</v>
      </c>
      <c r="B99" s="888" t="s">
        <v>536</v>
      </c>
      <c r="C99" s="875">
        <f>IMPOSTAZIONI!D359</f>
        <v>0</v>
      </c>
      <c r="D99" s="876">
        <f>IMPOSTAZIONI!G359</f>
        <v>0</v>
      </c>
      <c r="E99" s="876">
        <f>IMPOSTAZIONI!J359</f>
        <v>0</v>
      </c>
      <c r="F99" s="877">
        <f t="shared" si="11"/>
        <v>0</v>
      </c>
      <c r="G99" s="875">
        <f>IMPOSTAZIONI!M359</f>
        <v>0</v>
      </c>
      <c r="H99" s="876">
        <f>IMPOSTAZIONI!P359</f>
        <v>0</v>
      </c>
      <c r="I99" s="876">
        <f>IMPOSTAZIONI!S359</f>
        <v>0</v>
      </c>
      <c r="J99" s="877">
        <f t="shared" si="12"/>
        <v>0</v>
      </c>
      <c r="K99" s="875">
        <f>IMPOSTAZIONI!V359</f>
        <v>0</v>
      </c>
      <c r="L99" s="876">
        <f>IMPOSTAZIONI!Y359</f>
        <v>0</v>
      </c>
      <c r="M99" s="876">
        <f>IMPOSTAZIONI!AB359</f>
        <v>0</v>
      </c>
      <c r="N99" s="877">
        <f t="shared" si="13"/>
        <v>0</v>
      </c>
      <c r="O99" s="875">
        <f>IMPOSTAZIONI!AE359</f>
        <v>0</v>
      </c>
      <c r="P99" s="876">
        <f>IMPOSTAZIONI!AH359</f>
        <v>0</v>
      </c>
      <c r="Q99" s="876">
        <f>IMPOSTAZIONI!AK359</f>
        <v>0</v>
      </c>
      <c r="R99" s="877">
        <f>SUM(O99:Q99)</f>
        <v>0</v>
      </c>
      <c r="S99" s="28"/>
      <c r="T99" s="878">
        <f>F99+J99+N99+R99</f>
        <v>0</v>
      </c>
      <c r="U99" s="25"/>
    </row>
    <row r="100" spans="1:21" ht="6" hidden="1" customHeight="1" x14ac:dyDescent="0.2">
      <c r="A100" s="47"/>
      <c r="B100" s="48"/>
      <c r="C100" s="44"/>
      <c r="D100" s="44"/>
      <c r="E100" s="44"/>
      <c r="F100" s="44"/>
      <c r="G100" s="44"/>
      <c r="H100" s="44"/>
      <c r="I100" s="44"/>
      <c r="J100" s="44"/>
      <c r="K100" s="44"/>
      <c r="L100" s="44"/>
      <c r="M100" s="44"/>
      <c r="N100" s="44"/>
      <c r="O100" s="44"/>
      <c r="P100" s="44"/>
      <c r="Q100" s="44"/>
      <c r="R100" s="44"/>
      <c r="S100" s="28"/>
      <c r="T100" s="45"/>
      <c r="U100" s="25"/>
    </row>
    <row r="101" spans="1:21" ht="4.5" hidden="1" customHeight="1" x14ac:dyDescent="0.2"/>
    <row r="102" spans="1:21" ht="4.5" hidden="1" customHeight="1" x14ac:dyDescent="0.2"/>
    <row r="103" spans="1:21" ht="4.5" hidden="1" customHeight="1" x14ac:dyDescent="0.2"/>
    <row r="104" spans="1:21" ht="4.5" hidden="1" customHeight="1" x14ac:dyDescent="0.2"/>
    <row r="105" spans="1:21" ht="4.5" hidden="1" customHeight="1" x14ac:dyDescent="0.2"/>
    <row r="106" spans="1:21" ht="4.5" hidden="1" customHeight="1" x14ac:dyDescent="0.2"/>
    <row r="107" spans="1:21" ht="4.5" hidden="1" customHeight="1" x14ac:dyDescent="0.2"/>
    <row r="108" spans="1:21" ht="18" hidden="1" customHeight="1" x14ac:dyDescent="0.2">
      <c r="A108" s="883"/>
      <c r="B108" s="884"/>
      <c r="C108" s="885">
        <v>3</v>
      </c>
      <c r="D108" s="885">
        <f>C108+3</f>
        <v>6</v>
      </c>
      <c r="E108" s="885">
        <f>D108+3</f>
        <v>9</v>
      </c>
      <c r="F108" s="886"/>
      <c r="G108" s="885">
        <v>12</v>
      </c>
      <c r="H108" s="885">
        <f>G108+3</f>
        <v>15</v>
      </c>
      <c r="I108" s="885">
        <f>H108+3</f>
        <v>18</v>
      </c>
      <c r="J108" s="886"/>
      <c r="K108" s="885">
        <v>21</v>
      </c>
      <c r="L108" s="885">
        <f>K108+3</f>
        <v>24</v>
      </c>
      <c r="M108" s="885">
        <f>L108+3</f>
        <v>27</v>
      </c>
      <c r="N108" s="886"/>
      <c r="O108" s="885">
        <v>30</v>
      </c>
      <c r="P108" s="885">
        <f>O108+3</f>
        <v>33</v>
      </c>
      <c r="Q108" s="885">
        <f>P108+3</f>
        <v>36</v>
      </c>
      <c r="R108" s="44"/>
      <c r="S108" s="28"/>
      <c r="T108" s="44"/>
      <c r="U108" s="25"/>
    </row>
    <row r="109" spans="1:21" ht="6" customHeight="1" x14ac:dyDescent="0.2">
      <c r="A109" s="1258"/>
      <c r="B109" s="50"/>
      <c r="C109" s="51"/>
      <c r="D109" s="51"/>
      <c r="E109" s="51"/>
      <c r="F109" s="51"/>
      <c r="G109" s="51"/>
      <c r="H109" s="51"/>
      <c r="I109" s="51"/>
      <c r="J109" s="51"/>
      <c r="K109" s="51"/>
      <c r="L109" s="51"/>
      <c r="M109" s="51"/>
      <c r="N109" s="51"/>
      <c r="O109" s="51"/>
      <c r="P109" s="51"/>
      <c r="Q109" s="51"/>
      <c r="R109" s="51"/>
      <c r="S109" s="52"/>
      <c r="T109" s="53"/>
      <c r="U109" s="25"/>
    </row>
    <row r="110" spans="1:21" ht="15" customHeight="1" x14ac:dyDescent="0.2">
      <c r="A110" s="1258"/>
      <c r="B110" s="274"/>
      <c r="C110" s="275"/>
      <c r="D110" s="275"/>
      <c r="E110" s="275"/>
      <c r="F110" s="275"/>
      <c r="G110" s="275"/>
      <c r="H110" s="275"/>
      <c r="I110" s="275"/>
      <c r="J110" s="275"/>
      <c r="K110" s="275"/>
      <c r="L110" s="275"/>
      <c r="M110" s="275"/>
      <c r="N110" s="275"/>
      <c r="O110" s="275"/>
      <c r="P110" s="275"/>
      <c r="Q110" s="275"/>
      <c r="R110" s="275"/>
      <c r="S110" s="276"/>
      <c r="T110" s="277"/>
      <c r="U110" s="25"/>
    </row>
    <row r="111" spans="1:21" ht="22.5" customHeight="1" x14ac:dyDescent="0.25">
      <c r="A111" s="123"/>
      <c r="B111" s="895" t="s">
        <v>151</v>
      </c>
      <c r="C111" s="483" t="e">
        <f>C112/$T112*100</f>
        <v>#DIV/0!</v>
      </c>
      <c r="D111" s="483" t="e">
        <f t="shared" ref="D111:R111" si="14">D112/$T112*100</f>
        <v>#DIV/0!</v>
      </c>
      <c r="E111" s="483" t="e">
        <f t="shared" si="14"/>
        <v>#DIV/0!</v>
      </c>
      <c r="F111" s="484" t="e">
        <f t="shared" si="14"/>
        <v>#DIV/0!</v>
      </c>
      <c r="G111" s="483" t="e">
        <f t="shared" si="14"/>
        <v>#DIV/0!</v>
      </c>
      <c r="H111" s="483" t="e">
        <f t="shared" si="14"/>
        <v>#DIV/0!</v>
      </c>
      <c r="I111" s="483" t="e">
        <f t="shared" si="14"/>
        <v>#DIV/0!</v>
      </c>
      <c r="J111" s="484" t="e">
        <f t="shared" si="14"/>
        <v>#DIV/0!</v>
      </c>
      <c r="K111" s="483" t="e">
        <f t="shared" si="14"/>
        <v>#DIV/0!</v>
      </c>
      <c r="L111" s="483" t="e">
        <f t="shared" si="14"/>
        <v>#DIV/0!</v>
      </c>
      <c r="M111" s="483" t="e">
        <f t="shared" si="14"/>
        <v>#DIV/0!</v>
      </c>
      <c r="N111" s="484" t="e">
        <f t="shared" si="14"/>
        <v>#DIV/0!</v>
      </c>
      <c r="O111" s="483" t="e">
        <f t="shared" si="14"/>
        <v>#DIV/0!</v>
      </c>
      <c r="P111" s="483" t="e">
        <f t="shared" si="14"/>
        <v>#DIV/0!</v>
      </c>
      <c r="Q111" s="483" t="e">
        <f t="shared" si="14"/>
        <v>#DIV/0!</v>
      </c>
      <c r="R111" s="484" t="e">
        <f t="shared" si="14"/>
        <v>#DIV/0!</v>
      </c>
      <c r="S111" s="378"/>
      <c r="T111" s="478" t="e">
        <f>F111+J111+N111+R111</f>
        <v>#DIV/0!</v>
      </c>
      <c r="U111" s="25"/>
    </row>
    <row r="112" spans="1:21" ht="22.5" customHeight="1" x14ac:dyDescent="0.2">
      <c r="A112" s="123"/>
      <c r="B112" s="896" t="str">
        <f>CONCATENATE(B6," ",IMPOSTAZIONI!M82)</f>
        <v>a CONTO EUR</v>
      </c>
      <c r="C112" s="897">
        <f>C6+C117</f>
        <v>0</v>
      </c>
      <c r="D112" s="897">
        <f t="shared" ref="D112:R112" si="15">D6+D117</f>
        <v>0</v>
      </c>
      <c r="E112" s="897">
        <f t="shared" si="15"/>
        <v>0</v>
      </c>
      <c r="F112" s="897">
        <f t="shared" si="15"/>
        <v>0</v>
      </c>
      <c r="G112" s="897">
        <f t="shared" si="15"/>
        <v>0</v>
      </c>
      <c r="H112" s="897">
        <f t="shared" si="15"/>
        <v>0</v>
      </c>
      <c r="I112" s="897">
        <f t="shared" si="15"/>
        <v>0</v>
      </c>
      <c r="J112" s="897">
        <f t="shared" si="15"/>
        <v>0</v>
      </c>
      <c r="K112" s="897">
        <f t="shared" si="15"/>
        <v>0</v>
      </c>
      <c r="L112" s="897">
        <f t="shared" si="15"/>
        <v>0</v>
      </c>
      <c r="M112" s="897">
        <f t="shared" si="15"/>
        <v>0</v>
      </c>
      <c r="N112" s="897">
        <f t="shared" si="15"/>
        <v>0</v>
      </c>
      <c r="O112" s="897">
        <f t="shared" si="15"/>
        <v>0</v>
      </c>
      <c r="P112" s="897">
        <f t="shared" si="15"/>
        <v>0</v>
      </c>
      <c r="Q112" s="897">
        <f t="shared" si="15"/>
        <v>0</v>
      </c>
      <c r="R112" s="897">
        <f t="shared" si="15"/>
        <v>0</v>
      </c>
      <c r="S112" s="195"/>
      <c r="T112" s="897">
        <f>T6+T117</f>
        <v>0</v>
      </c>
      <c r="U112" s="25"/>
    </row>
    <row r="113" spans="1:21" ht="18" customHeight="1" x14ac:dyDescent="0.2">
      <c r="A113" s="123"/>
      <c r="B113" s="58"/>
      <c r="C113" s="288" t="str">
        <f>IF(C116=0,"",C2)</f>
        <v/>
      </c>
      <c r="D113" s="288" t="str">
        <f t="shared" ref="D113:E113" si="16">IF(D116=0,"",D2)</f>
        <v/>
      </c>
      <c r="E113" s="288" t="str">
        <f t="shared" si="16"/>
        <v/>
      </c>
      <c r="F113" s="30"/>
      <c r="G113" s="288" t="str">
        <f>IF(G116=0,"",G2)</f>
        <v/>
      </c>
      <c r="H113" s="288" t="str">
        <f t="shared" ref="H113:I113" si="17">IF(H116=0,"",H2)</f>
        <v/>
      </c>
      <c r="I113" s="288" t="str">
        <f t="shared" si="17"/>
        <v/>
      </c>
      <c r="J113" s="30"/>
      <c r="K113" s="288" t="str">
        <f>IF(K116=0,"",K2)</f>
        <v/>
      </c>
      <c r="L113" s="288" t="str">
        <f t="shared" ref="L113:M113" si="18">IF(L116=0,"",L2)</f>
        <v/>
      </c>
      <c r="M113" s="288" t="str">
        <f t="shared" si="18"/>
        <v/>
      </c>
      <c r="N113" s="30"/>
      <c r="O113" s="288" t="str">
        <f>IF(O116=0,"",O2)</f>
        <v/>
      </c>
      <c r="P113" s="288" t="str">
        <f t="shared" ref="P113:Q113" si="19">IF(P116=0,"",P2)</f>
        <v/>
      </c>
      <c r="Q113" s="288" t="str">
        <f t="shared" si="19"/>
        <v/>
      </c>
      <c r="R113" s="30"/>
      <c r="S113" s="195"/>
      <c r="T113" s="273"/>
      <c r="U113" s="25"/>
    </row>
    <row r="114" spans="1:21" ht="21" customHeight="1" x14ac:dyDescent="0.2">
      <c r="A114" s="1257"/>
      <c r="B114" s="269"/>
      <c r="C114" s="2379" t="str">
        <f>IF(G179&gt;0,H179,H179)</f>
        <v>Riepilogo degli importi annotati nelle COLONNE ESCLUSE</v>
      </c>
      <c r="D114" s="2379"/>
      <c r="E114" s="2379"/>
      <c r="F114" s="2379"/>
      <c r="G114" s="2379"/>
      <c r="H114" s="2374"/>
      <c r="I114" s="2374"/>
      <c r="J114" s="2374"/>
      <c r="K114" s="2379" t="str">
        <f>C114</f>
        <v>Riepilogo degli importi annotati nelle COLONNE ESCLUSE</v>
      </c>
      <c r="L114" s="2379"/>
      <c r="M114" s="2379"/>
      <c r="N114" s="2379"/>
      <c r="O114" s="2379"/>
      <c r="P114" s="2374"/>
      <c r="Q114" s="2374"/>
      <c r="R114" s="2374"/>
      <c r="S114" s="26"/>
      <c r="T114" s="930" t="s">
        <v>243</v>
      </c>
      <c r="U114" s="25"/>
    </row>
    <row r="115" spans="1:21" ht="22.5" customHeight="1" x14ac:dyDescent="0.2">
      <c r="A115" s="1195"/>
      <c r="B115" s="826" t="str">
        <f>B4</f>
        <v>Totale EUR</v>
      </c>
      <c r="C115" s="840" t="s">
        <v>270</v>
      </c>
      <c r="D115" s="841" t="s">
        <v>271</v>
      </c>
      <c r="E115" s="841" t="s">
        <v>272</v>
      </c>
      <c r="F115" s="186" t="s">
        <v>273</v>
      </c>
      <c r="G115" s="842" t="s">
        <v>274</v>
      </c>
      <c r="H115" s="841" t="s">
        <v>275</v>
      </c>
      <c r="I115" s="841" t="s">
        <v>276</v>
      </c>
      <c r="J115" s="186" t="s">
        <v>277</v>
      </c>
      <c r="K115" s="840" t="s">
        <v>278</v>
      </c>
      <c r="L115" s="841" t="s">
        <v>279</v>
      </c>
      <c r="M115" s="841" t="s">
        <v>280</v>
      </c>
      <c r="N115" s="186" t="s">
        <v>281</v>
      </c>
      <c r="O115" s="841" t="s">
        <v>282</v>
      </c>
      <c r="P115" s="841" t="s">
        <v>283</v>
      </c>
      <c r="Q115" s="843" t="s">
        <v>284</v>
      </c>
      <c r="R115" s="186" t="s">
        <v>285</v>
      </c>
      <c r="S115" s="844"/>
      <c r="T115" s="931">
        <f>T4</f>
        <v>2024</v>
      </c>
      <c r="U115" s="25"/>
    </row>
    <row r="116" spans="1:21" ht="22.5" customHeight="1" x14ac:dyDescent="0.2">
      <c r="A116" s="1195"/>
      <c r="B116" s="845" t="str">
        <f t="shared" ref="B116:B117" si="20">B5</f>
        <v>INSERITO</v>
      </c>
      <c r="C116" s="827">
        <f>SUMIF(GEN!$G$42:$M$42,$F$179,GEN!$G$46:$M$46)</f>
        <v>0</v>
      </c>
      <c r="D116" s="828">
        <f>SUMIF(FEB!$G$42:$M$42,$F$179,FEB!$G$46:$M$46)</f>
        <v>0</v>
      </c>
      <c r="E116" s="828">
        <f>SUMIF(MAR!$G$42:$M$42,$F$179,MAR!$G$46:$M$46)</f>
        <v>0</v>
      </c>
      <c r="F116" s="846">
        <f t="shared" ref="F116:F128" si="21">SUM(C116:E116)</f>
        <v>0</v>
      </c>
      <c r="G116" s="827">
        <f>SUMIF(APR!$G$42:$M$42,$F$179,APR!$G$46:$M$46)</f>
        <v>0</v>
      </c>
      <c r="H116" s="828">
        <f>SUMIF(MAG!$G$42:$M$42,$F$179,MAG!$G$46:$M$46)</f>
        <v>0</v>
      </c>
      <c r="I116" s="828">
        <f>SUMIF(GIU!$G$42:$M$42,$F$179,GIU!$G$46:$M$46)</f>
        <v>0</v>
      </c>
      <c r="J116" s="846">
        <f t="shared" ref="J116:J128" si="22">SUM(G116:I116)</f>
        <v>0</v>
      </c>
      <c r="K116" s="827">
        <f>SUMIF(LUG!$G$42:$M$42,$F$179,LUG!$G$46:$M$46)</f>
        <v>0</v>
      </c>
      <c r="L116" s="828">
        <f>SUMIF(AGO!$G$42:$M$42,$F$179,AGO!$G$46:$M$46)</f>
        <v>0</v>
      </c>
      <c r="M116" s="828">
        <f>SUMIF(SET!$G$42:$M$42,$F$179,SET!$G$46:$M$46)</f>
        <v>0</v>
      </c>
      <c r="N116" s="846">
        <f t="shared" ref="N116:N128" si="23">SUM(K116:M116)</f>
        <v>0</v>
      </c>
      <c r="O116" s="827">
        <f>SUMIF(OTT!$G$42:$M$42,$F$179,OTT!$G$46:$M$46)</f>
        <v>0</v>
      </c>
      <c r="P116" s="828">
        <f>SUMIF(NOV!$G$42:$M$42,$F$179,NOV!$G$46:$M$46)</f>
        <v>0</v>
      </c>
      <c r="Q116" s="828">
        <f>SUMIF(DIC!$G$42:$M$42,$F$179,DIC!$G$46:$M$46)</f>
        <v>0</v>
      </c>
      <c r="R116" s="846">
        <f t="shared" ref="R116:R128" si="24">SUM(O116:Q116)</f>
        <v>0</v>
      </c>
      <c r="S116" s="847"/>
      <c r="T116" s="837">
        <f t="shared" ref="T116:T128" si="25">F116+J116+N116+R116</f>
        <v>0</v>
      </c>
      <c r="U116" s="25"/>
    </row>
    <row r="117" spans="1:21" ht="22.5" customHeight="1" x14ac:dyDescent="0.2">
      <c r="A117" s="1195"/>
      <c r="B117" s="848" t="str">
        <f t="shared" si="20"/>
        <v>a CONTO</v>
      </c>
      <c r="C117" s="849">
        <f>SUMIF(GEN!$G$42:$M$42,$F$179,GEN!$G$47:$M$47)</f>
        <v>0</v>
      </c>
      <c r="D117" s="849">
        <f>SUMIF(FEB!$G$42:$M$42,$F$179,FEB!$G$47:$M$47)</f>
        <v>0</v>
      </c>
      <c r="E117" s="849">
        <f>SUMIF(MAR!$G$42:$M$42,$F$179,MAR!$G$47:$M$47)</f>
        <v>0</v>
      </c>
      <c r="F117" s="850">
        <f t="shared" si="21"/>
        <v>0</v>
      </c>
      <c r="G117" s="849">
        <f>SUMIF(APR!$G$42:$M$42,$F$179,APR!$G$47:$M$47)</f>
        <v>0</v>
      </c>
      <c r="H117" s="849">
        <f>SUMIF(MAG!$G$42:$M$42,$F$179,MAG!$G$47:$M$47)</f>
        <v>0</v>
      </c>
      <c r="I117" s="849">
        <f>SUMIF(GIU!$G$42:$M$42,$F$179,GIU!$G$47:$M$47)</f>
        <v>0</v>
      </c>
      <c r="J117" s="850">
        <f t="shared" si="22"/>
        <v>0</v>
      </c>
      <c r="K117" s="849">
        <f>SUMIF(LUG!$G$42:$M$42,$F$179,LUG!$G$47:$M$47)</f>
        <v>0</v>
      </c>
      <c r="L117" s="849">
        <f>SUMIF(AGO!$G$42:$M$42,$F$179,AGO!$G$47:$M$47)</f>
        <v>0</v>
      </c>
      <c r="M117" s="849">
        <f>SUMIF(SET!$G$42:$M$42,$F$179,SET!$G$47:$M$47)</f>
        <v>0</v>
      </c>
      <c r="N117" s="850">
        <f t="shared" si="23"/>
        <v>0</v>
      </c>
      <c r="O117" s="849">
        <f>SUMIF(OTT!$G$42:$M$42,$F$179,OTT!$G$47:$M$47)</f>
        <v>0</v>
      </c>
      <c r="P117" s="849">
        <f>SUMIF(NOV!$G$42:$M$42,$F$179,NOV!$G$47:$M$47)</f>
        <v>0</v>
      </c>
      <c r="Q117" s="849">
        <f>SUMIF(DIC!$G$42:$M$42,$F$179,DIC!$G$47:$M$47)</f>
        <v>0</v>
      </c>
      <c r="R117" s="850">
        <f t="shared" si="24"/>
        <v>0</v>
      </c>
      <c r="S117" s="847"/>
      <c r="T117" s="851">
        <f t="shared" si="25"/>
        <v>0</v>
      </c>
      <c r="U117" s="25"/>
    </row>
    <row r="118" spans="1:21" ht="13.5" customHeight="1" x14ac:dyDescent="0.2">
      <c r="A118" s="123"/>
      <c r="B118" s="1022" t="str">
        <f>B7</f>
        <v>Valori percentuali:</v>
      </c>
      <c r="C118" s="829"/>
      <c r="D118" s="830"/>
      <c r="E118" s="830"/>
      <c r="F118" s="855"/>
      <c r="G118" s="829"/>
      <c r="H118" s="830"/>
      <c r="I118" s="830"/>
      <c r="J118" s="855"/>
      <c r="K118" s="829"/>
      <c r="L118" s="830"/>
      <c r="M118" s="830"/>
      <c r="N118" s="855"/>
      <c r="O118" s="829"/>
      <c r="P118" s="830"/>
      <c r="Q118" s="830"/>
      <c r="R118" s="855"/>
      <c r="S118" s="27"/>
      <c r="T118" s="859"/>
      <c r="U118" s="25"/>
    </row>
    <row r="119" spans="1:21" ht="18" customHeight="1" x14ac:dyDescent="0.2">
      <c r="A119" s="1253" t="str">
        <f t="shared" ref="A119:B119" si="26">A8</f>
        <v>11</v>
      </c>
      <c r="B119" s="852" t="str">
        <f t="shared" si="26"/>
        <v>Descrizione #1 0 %</v>
      </c>
      <c r="C119" s="831">
        <f>SUMIF(GEN!$G$121:$M$121,$A119,GEN!$G$128:$M$128)+SUMIF(GEN!$B$70:$B$73,$A119,GEN!$Q$70:$Q$73)</f>
        <v>0</v>
      </c>
      <c r="D119" s="832">
        <f>SUMIF(FEB!$G$121:$M$121,$A119,FEB!$G$128:$M$128)+SUMIF(FEB!$B$70:$B$73,$A119,FEB!$Q$70:$Q$73)</f>
        <v>0</v>
      </c>
      <c r="E119" s="832">
        <f>SUMIF(MAR!$G$121:$M$121,$A119,MAR!$G$128:$M$128)+SUMIF(MAR!$B$70:$B$73,$A119,MAR!$Q$70:$Q$73)</f>
        <v>0</v>
      </c>
      <c r="F119" s="856">
        <f t="shared" si="21"/>
        <v>0</v>
      </c>
      <c r="G119" s="831">
        <f>SUMIF(APR!$G$121:$M$121,$A119,APR!$G$128:$M$128)+SUMIF(APR!$B$70:$B$73,$A119,APR!$Q$70:$Q$73)</f>
        <v>0</v>
      </c>
      <c r="H119" s="832">
        <f>SUMIF(MAG!$G$121:$M$121,$A119,MAG!$G$128:$M$128)+SUMIF(MAG!$B$70:$B$73,$A119,MAG!$Q$70:$Q$73)</f>
        <v>0</v>
      </c>
      <c r="I119" s="832">
        <f>SUMIF(GIU!$G$121:$M$121,$A119,GIU!$G$128:$M$128)+SUMIF(GIU!$B$70:$B$73,$A119,GIU!$Q$70:$Q$73)</f>
        <v>0</v>
      </c>
      <c r="J119" s="856">
        <f t="shared" si="22"/>
        <v>0</v>
      </c>
      <c r="K119" s="831">
        <f>SUMIF(LUG!$G$121:$M$121,$A119,LUG!$G$128:$M$128)+SUMIF(LUG!$B$70:$B$73,$A119,LUG!$Q$70:$Q$73)</f>
        <v>0</v>
      </c>
      <c r="L119" s="832">
        <f>SUMIF(AGO!$G$121:$M$121,$A119,AGO!$G$128:$M$128)+SUMIF(AGO!$B$70:$B$73,$A119,AGO!$Q$70:$Q$73)</f>
        <v>0</v>
      </c>
      <c r="M119" s="832">
        <f>SUMIF(SET!$G$121:$M$121,$A119,SET!$G$128:$M$128)+SUMIF(SET!$B$70:$B$73,$A119,SET!$Q$70:$Q$73)</f>
        <v>0</v>
      </c>
      <c r="N119" s="856">
        <f t="shared" si="23"/>
        <v>0</v>
      </c>
      <c r="O119" s="831">
        <f>SUMIF(OTT!$G$121:$M$121,$A119,OTT!$G$128:$M$128)+SUMIF(OTT!$B$70:$B$73,$A119,OTT!$Q$70:$Q$73)</f>
        <v>0</v>
      </c>
      <c r="P119" s="832">
        <f>SUMIF(NOV!$G$121:$M$121,$A119,NOV!$G$128:$M$128)+SUMIF(NOV!$B$70:$B$73,$A119,NOV!$Q$70:$Q$73)</f>
        <v>0</v>
      </c>
      <c r="Q119" s="832">
        <f>SUMIF(DIC!$G$121:$M$121,$A119,DIC!$G$128:$M$128)+SUMIF(DIC!$B$70:$B$73,$A119,DIC!$Q$70:$Q$73)</f>
        <v>0</v>
      </c>
      <c r="R119" s="856">
        <f t="shared" si="24"/>
        <v>0</v>
      </c>
      <c r="S119" s="27"/>
      <c r="T119" s="860">
        <f t="shared" si="25"/>
        <v>0</v>
      </c>
      <c r="U119" s="25"/>
    </row>
    <row r="120" spans="1:21" x14ac:dyDescent="0.2">
      <c r="A120" s="1253" t="str">
        <f t="shared" ref="A120:B120" si="27">A9</f>
        <v>12</v>
      </c>
      <c r="B120" s="853" t="str">
        <f t="shared" si="27"/>
        <v>Descrizione #2 10 %</v>
      </c>
      <c r="C120" s="833">
        <f>SUMIF(GEN!$G$121:$M$121,$A120,GEN!$G$128:$M$128)+SUMIF(GEN!$B$70:$B$73,$A120,GEN!$Q$70:$Q$73)</f>
        <v>0</v>
      </c>
      <c r="D120" s="834">
        <f>SUMIF(FEB!$G$121:$M$121,$A120,FEB!$G$128:$M$128)+SUMIF(FEB!$B$70:$B$73,$A120,FEB!$Q$70:$Q$73)</f>
        <v>0</v>
      </c>
      <c r="E120" s="834">
        <f>SUMIF(MAR!$G$121:$M$121,$A120,MAR!$G$128:$M$128)+SUMIF(MAR!$B$70:$B$73,$A120,MAR!$Q$70:$Q$73)</f>
        <v>0</v>
      </c>
      <c r="F120" s="857">
        <f t="shared" si="21"/>
        <v>0</v>
      </c>
      <c r="G120" s="833">
        <f>SUMIF(APR!$G$121:$M$121,$A120,APR!$G$128:$M$128)+SUMIF(APR!$B$70:$B$73,$A120,APR!$Q$70:$Q$73)</f>
        <v>0</v>
      </c>
      <c r="H120" s="834">
        <f>SUMIF(MAG!$G$121:$M$121,$A120,MAG!$G$128:$M$128)+SUMIF(MAG!$B$70:$B$73,$A120,MAG!$Q$70:$Q$73)</f>
        <v>0</v>
      </c>
      <c r="I120" s="834">
        <f>SUMIF(GIU!$G$121:$M$121,$A120,GIU!$G$128:$M$128)+SUMIF(GIU!$B$70:$B$73,$A120,GIU!$Q$70:$Q$73)</f>
        <v>0</v>
      </c>
      <c r="J120" s="857">
        <f t="shared" si="22"/>
        <v>0</v>
      </c>
      <c r="K120" s="833">
        <f>SUMIF(LUG!$G$121:$M$121,$A120,LUG!$G$128:$M$128)+SUMIF(LUG!$B$70:$B$73,$A120,LUG!$Q$70:$Q$73)</f>
        <v>0</v>
      </c>
      <c r="L120" s="834">
        <f>SUMIF(AGO!$G$121:$M$121,$A120,AGO!$G$128:$M$128)+SUMIF(AGO!$B$70:$B$73,$A120,AGO!$Q$70:$Q$73)</f>
        <v>0</v>
      </c>
      <c r="M120" s="834">
        <f>SUMIF(SET!$G$121:$M$121,$A120,SET!$G$128:$M$128)+SUMIF(SET!$B$70:$B$73,$A120,SET!$Q$70:$Q$73)</f>
        <v>0</v>
      </c>
      <c r="N120" s="857">
        <f t="shared" si="23"/>
        <v>0</v>
      </c>
      <c r="O120" s="833">
        <f>SUMIF(OTT!$G$121:$M$121,$A120,OTT!$G$128:$M$128)+SUMIF(OTT!$B$70:$B$73,$A120,OTT!$Q$70:$Q$73)</f>
        <v>0</v>
      </c>
      <c r="P120" s="834">
        <f>SUMIF(NOV!$G$121:$M$121,$A120,NOV!$G$128:$M$128)+SUMIF(NOV!$B$70:$B$73,$A120,NOV!$Q$70:$Q$73)</f>
        <v>0</v>
      </c>
      <c r="Q120" s="834">
        <f>SUMIF(DIC!$G$121:$M$121,$A120,DIC!$G$128:$M$128)+SUMIF(DIC!$B$70:$B$73,$A120,DIC!$Q$70:$Q$73)</f>
        <v>0</v>
      </c>
      <c r="R120" s="857">
        <f t="shared" si="24"/>
        <v>0</v>
      </c>
      <c r="S120" s="27"/>
      <c r="T120" s="861">
        <f t="shared" si="25"/>
        <v>0</v>
      </c>
      <c r="U120" s="25"/>
    </row>
    <row r="121" spans="1:21" x14ac:dyDescent="0.2">
      <c r="A121" s="1253" t="str">
        <f t="shared" ref="A121:B121" si="28">A10</f>
        <v>13</v>
      </c>
      <c r="B121" s="853" t="str">
        <f t="shared" si="28"/>
        <v>Descrizione #3 22 %</v>
      </c>
      <c r="C121" s="833">
        <f>SUMIF(GEN!$G$121:$M$121,$A121,GEN!$G$128:$M$128)+SUMIF(GEN!$B$70:$B$73,$A121,GEN!$Q$70:$Q$73)</f>
        <v>0</v>
      </c>
      <c r="D121" s="834">
        <f>SUMIF(FEB!$G$121:$M$121,$A121,FEB!$G$128:$M$128)+SUMIF(FEB!$B$70:$B$73,$A121,FEB!$Q$70:$Q$73)</f>
        <v>0</v>
      </c>
      <c r="E121" s="834">
        <f>SUMIF(MAR!$G$121:$M$121,$A121,MAR!$G$128:$M$128)+SUMIF(MAR!$B$70:$B$73,$A121,MAR!$Q$70:$Q$73)</f>
        <v>0</v>
      </c>
      <c r="F121" s="857">
        <f t="shared" si="21"/>
        <v>0</v>
      </c>
      <c r="G121" s="833">
        <f>SUMIF(APR!$G$121:$M$121,$A121,APR!$G$128:$M$128)+SUMIF(APR!$B$70:$B$73,$A121,APR!$Q$70:$Q$73)</f>
        <v>0</v>
      </c>
      <c r="H121" s="834">
        <f>SUMIF(MAG!$G$121:$M$121,$A121,MAG!$G$128:$M$128)+SUMIF(MAG!$B$70:$B$73,$A121,MAG!$Q$70:$Q$73)</f>
        <v>0</v>
      </c>
      <c r="I121" s="834">
        <f>SUMIF(GIU!$G$121:$M$121,$A121,GIU!$G$128:$M$128)+SUMIF(GIU!$B$70:$B$73,$A121,GIU!$Q$70:$Q$73)</f>
        <v>0</v>
      </c>
      <c r="J121" s="857">
        <f t="shared" si="22"/>
        <v>0</v>
      </c>
      <c r="K121" s="833">
        <f>SUMIF(LUG!$G$121:$M$121,$A121,LUG!$G$128:$M$128)+SUMIF(LUG!$B$70:$B$73,$A121,LUG!$Q$70:$Q$73)</f>
        <v>0</v>
      </c>
      <c r="L121" s="834">
        <f>SUMIF(AGO!$G$121:$M$121,$A121,AGO!$G$128:$M$128)+SUMIF(AGO!$B$70:$B$73,$A121,AGO!$Q$70:$Q$73)</f>
        <v>0</v>
      </c>
      <c r="M121" s="834">
        <f>SUMIF(SET!$G$121:$M$121,$A121,SET!$G$128:$M$128)+SUMIF(SET!$B$70:$B$73,$A121,SET!$Q$70:$Q$73)</f>
        <v>0</v>
      </c>
      <c r="N121" s="857">
        <f t="shared" si="23"/>
        <v>0</v>
      </c>
      <c r="O121" s="833">
        <f>SUMIF(OTT!$G$121:$M$121,$A121,OTT!$G$128:$M$128)+SUMIF(OTT!$B$70:$B$73,$A121,OTT!$Q$70:$Q$73)</f>
        <v>0</v>
      </c>
      <c r="P121" s="834">
        <f>SUMIF(NOV!$G$121:$M$121,$A121,NOV!$G$128:$M$128)+SUMIF(NOV!$B$70:$B$73,$A121,NOV!$Q$70:$Q$73)</f>
        <v>0</v>
      </c>
      <c r="Q121" s="834">
        <f>SUMIF(DIC!$G$121:$M$121,$A121,DIC!$G$128:$M$128)+SUMIF(DIC!$B$70:$B$73,$A121,DIC!$Q$70:$Q$73)</f>
        <v>0</v>
      </c>
      <c r="R121" s="857">
        <f t="shared" si="24"/>
        <v>0</v>
      </c>
      <c r="S121" s="27"/>
      <c r="T121" s="861">
        <f t="shared" si="25"/>
        <v>0</v>
      </c>
      <c r="U121" s="25"/>
    </row>
    <row r="122" spans="1:21" x14ac:dyDescent="0.2">
      <c r="A122" s="1253" t="str">
        <f t="shared" ref="A122:B122" si="29">A11</f>
        <v>14</v>
      </c>
      <c r="B122" s="853" t="str">
        <f t="shared" si="29"/>
        <v/>
      </c>
      <c r="C122" s="833">
        <f>SUMIF(GEN!$G$121:$M$121,$A122,GEN!$G$128:$M$128)+SUMIF(GEN!$B$70:$B$73,$A122,GEN!$Q$70:$Q$73)</f>
        <v>0</v>
      </c>
      <c r="D122" s="834">
        <f>SUMIF(FEB!$G$121:$M$121,$A122,FEB!$G$128:$M$128)+SUMIF(FEB!$B$70:$B$73,$A122,FEB!$Q$70:$Q$73)</f>
        <v>0</v>
      </c>
      <c r="E122" s="834">
        <f>SUMIF(MAR!$G$121:$M$121,$A122,MAR!$G$128:$M$128)+SUMIF(MAR!$B$70:$B$73,$A122,MAR!$Q$70:$Q$73)</f>
        <v>0</v>
      </c>
      <c r="F122" s="857">
        <f t="shared" si="21"/>
        <v>0</v>
      </c>
      <c r="G122" s="833">
        <f>SUMIF(APR!$G$121:$M$121,$A122,APR!$G$128:$M$128)+SUMIF(APR!$B$70:$B$73,$A122,APR!$Q$70:$Q$73)</f>
        <v>0</v>
      </c>
      <c r="H122" s="834">
        <f>SUMIF(MAG!$G$121:$M$121,$A122,MAG!$G$128:$M$128)+SUMIF(MAG!$B$70:$B$73,$A122,MAG!$Q$70:$Q$73)</f>
        <v>0</v>
      </c>
      <c r="I122" s="834">
        <f>SUMIF(GIU!$G$121:$M$121,$A122,GIU!$G$128:$M$128)+SUMIF(GIU!$B$70:$B$73,$A122,GIU!$Q$70:$Q$73)</f>
        <v>0</v>
      </c>
      <c r="J122" s="857">
        <f t="shared" si="22"/>
        <v>0</v>
      </c>
      <c r="K122" s="833">
        <f>SUMIF(LUG!$G$121:$M$121,$A122,LUG!$G$128:$M$128)+SUMIF(LUG!$B$70:$B$73,$A122,LUG!$Q$70:$Q$73)</f>
        <v>0</v>
      </c>
      <c r="L122" s="834">
        <f>SUMIF(AGO!$G$121:$M$121,$A122,AGO!$G$128:$M$128)+SUMIF(AGO!$B$70:$B$73,$A122,AGO!$Q$70:$Q$73)</f>
        <v>0</v>
      </c>
      <c r="M122" s="834">
        <f>SUMIF(SET!$G$121:$M$121,$A122,SET!$G$128:$M$128)+SUMIF(SET!$B$70:$B$73,$A122,SET!$Q$70:$Q$73)</f>
        <v>0</v>
      </c>
      <c r="N122" s="857">
        <f t="shared" si="23"/>
        <v>0</v>
      </c>
      <c r="O122" s="833">
        <f>SUMIF(OTT!$G$121:$M$121,$A122,OTT!$G$128:$M$128)+SUMIF(OTT!$B$70:$B$73,$A122,OTT!$Q$70:$Q$73)</f>
        <v>0</v>
      </c>
      <c r="P122" s="834">
        <f>SUMIF(NOV!$G$121:$M$121,$A122,NOV!$G$128:$M$128)+SUMIF(NOV!$B$70:$B$73,$A122,NOV!$Q$70:$Q$73)</f>
        <v>0</v>
      </c>
      <c r="Q122" s="834">
        <f>SUMIF(DIC!$G$121:$M$121,$A122,DIC!$G$128:$M$128)+SUMIF(DIC!$B$70:$B$73,$A122,DIC!$Q$70:$Q$73)</f>
        <v>0</v>
      </c>
      <c r="R122" s="857">
        <f t="shared" si="24"/>
        <v>0</v>
      </c>
      <c r="S122" s="27"/>
      <c r="T122" s="861">
        <f t="shared" si="25"/>
        <v>0</v>
      </c>
      <c r="U122" s="25"/>
    </row>
    <row r="123" spans="1:21" x14ac:dyDescent="0.2">
      <c r="A123" s="1253" t="str">
        <f t="shared" ref="A123:B123" si="30">A12</f>
        <v>15</v>
      </c>
      <c r="B123" s="853" t="str">
        <f t="shared" si="30"/>
        <v/>
      </c>
      <c r="C123" s="833">
        <f>SUMIF(GEN!$G$121:$M$121,$A123,GEN!$G$128:$M$128)+SUMIF(GEN!$B$70:$B$73,$A123,GEN!$Q$70:$Q$73)</f>
        <v>0</v>
      </c>
      <c r="D123" s="834">
        <f>SUMIF(FEB!$G$121:$M$121,$A123,FEB!$G$128:$M$128)+SUMIF(FEB!$B$70:$B$73,$A123,FEB!$Q$70:$Q$73)</f>
        <v>0</v>
      </c>
      <c r="E123" s="834">
        <f>SUMIF(MAR!$G$121:$M$121,$A123,MAR!$G$128:$M$128)+SUMIF(MAR!$B$70:$B$73,$A123,MAR!$Q$70:$Q$73)</f>
        <v>0</v>
      </c>
      <c r="F123" s="857">
        <f t="shared" si="21"/>
        <v>0</v>
      </c>
      <c r="G123" s="833">
        <f>SUMIF(APR!$G$121:$M$121,$A123,APR!$G$128:$M$128)+SUMIF(APR!$B$70:$B$73,$A123,APR!$Q$70:$Q$73)</f>
        <v>0</v>
      </c>
      <c r="H123" s="834">
        <f>SUMIF(MAG!$G$121:$M$121,$A123,MAG!$G$128:$M$128)+SUMIF(MAG!$B$70:$B$73,$A123,MAG!$Q$70:$Q$73)</f>
        <v>0</v>
      </c>
      <c r="I123" s="834">
        <f>SUMIF(GIU!$G$121:$M$121,$A123,GIU!$G$128:$M$128)+SUMIF(GIU!$B$70:$B$73,$A123,GIU!$Q$70:$Q$73)</f>
        <v>0</v>
      </c>
      <c r="J123" s="857">
        <f t="shared" si="22"/>
        <v>0</v>
      </c>
      <c r="K123" s="833">
        <f>SUMIF(LUG!$G$121:$M$121,$A123,LUG!$G$128:$M$128)+SUMIF(LUG!$B$70:$B$73,$A123,LUG!$Q$70:$Q$73)</f>
        <v>0</v>
      </c>
      <c r="L123" s="834">
        <f>SUMIF(AGO!$G$121:$M$121,$A123,AGO!$G$128:$M$128)+SUMIF(AGO!$B$70:$B$73,$A123,AGO!$Q$70:$Q$73)</f>
        <v>0</v>
      </c>
      <c r="M123" s="834">
        <f>SUMIF(SET!$G$121:$M$121,$A123,SET!$G$128:$M$128)+SUMIF(SET!$B$70:$B$73,$A123,SET!$Q$70:$Q$73)</f>
        <v>0</v>
      </c>
      <c r="N123" s="857">
        <f t="shared" si="23"/>
        <v>0</v>
      </c>
      <c r="O123" s="833">
        <f>SUMIF(OTT!$G$121:$M$121,$A123,OTT!$G$128:$M$128)+SUMIF(OTT!$B$70:$B$73,$A123,OTT!$Q$70:$Q$73)</f>
        <v>0</v>
      </c>
      <c r="P123" s="834">
        <f>SUMIF(NOV!$G$121:$M$121,$A123,NOV!$G$128:$M$128)+SUMIF(NOV!$B$70:$B$73,$A123,NOV!$Q$70:$Q$73)</f>
        <v>0</v>
      </c>
      <c r="Q123" s="834">
        <f>SUMIF(DIC!$G$121:$M$121,$A123,DIC!$G$128:$M$128)+SUMIF(DIC!$B$70:$B$73,$A123,DIC!$Q$70:$Q$73)</f>
        <v>0</v>
      </c>
      <c r="R123" s="857">
        <f t="shared" si="24"/>
        <v>0</v>
      </c>
      <c r="S123" s="27"/>
      <c r="T123" s="861">
        <f t="shared" si="25"/>
        <v>0</v>
      </c>
      <c r="U123" s="25"/>
    </row>
    <row r="124" spans="1:21" x14ac:dyDescent="0.2">
      <c r="A124" s="1253" t="str">
        <f t="shared" ref="A124:B124" si="31">A13</f>
        <v>16</v>
      </c>
      <c r="B124" s="853" t="str">
        <f t="shared" si="31"/>
        <v/>
      </c>
      <c r="C124" s="833">
        <f>SUMIF(GEN!$G$121:$M$121,$A124,GEN!$G$128:$M$128)+SUMIF(GEN!$B$70:$B$73,$A124,GEN!$Q$70:$Q$73)</f>
        <v>0</v>
      </c>
      <c r="D124" s="834">
        <f>SUMIF(FEB!$G$121:$M$121,$A124,FEB!$G$128:$M$128)+SUMIF(FEB!$B$70:$B$73,$A124,FEB!$Q$70:$Q$73)</f>
        <v>0</v>
      </c>
      <c r="E124" s="834">
        <f>SUMIF(MAR!$G$121:$M$121,$A124,MAR!$G$128:$M$128)+SUMIF(MAR!$B$70:$B$73,$A124,MAR!$Q$70:$Q$73)</f>
        <v>0</v>
      </c>
      <c r="F124" s="857">
        <f t="shared" si="21"/>
        <v>0</v>
      </c>
      <c r="G124" s="833">
        <f>SUMIF(APR!$G$121:$M$121,$A124,APR!$G$128:$M$128)+SUMIF(APR!$B$70:$B$73,$A124,APR!$Q$70:$Q$73)</f>
        <v>0</v>
      </c>
      <c r="H124" s="834">
        <f>SUMIF(MAG!$G$121:$M$121,$A124,MAG!$G$128:$M$128)+SUMIF(MAG!$B$70:$B$73,$A124,MAG!$Q$70:$Q$73)</f>
        <v>0</v>
      </c>
      <c r="I124" s="834">
        <f>SUMIF(GIU!$G$121:$M$121,$A124,GIU!$G$128:$M$128)+SUMIF(GIU!$B$70:$B$73,$A124,GIU!$Q$70:$Q$73)</f>
        <v>0</v>
      </c>
      <c r="J124" s="857">
        <f t="shared" si="22"/>
        <v>0</v>
      </c>
      <c r="K124" s="833">
        <f>SUMIF(LUG!$G$121:$M$121,$A124,LUG!$G$128:$M$128)+SUMIF(LUG!$B$70:$B$73,$A124,LUG!$Q$70:$Q$73)</f>
        <v>0</v>
      </c>
      <c r="L124" s="834">
        <f>SUMIF(AGO!$G$121:$M$121,$A124,AGO!$G$128:$M$128)+SUMIF(AGO!$B$70:$B$73,$A124,AGO!$Q$70:$Q$73)</f>
        <v>0</v>
      </c>
      <c r="M124" s="834">
        <f>SUMIF(SET!$G$121:$M$121,$A124,SET!$G$128:$M$128)+SUMIF(SET!$B$70:$B$73,$A124,SET!$Q$70:$Q$73)</f>
        <v>0</v>
      </c>
      <c r="N124" s="857">
        <f t="shared" si="23"/>
        <v>0</v>
      </c>
      <c r="O124" s="833">
        <f>SUMIF(OTT!$G$121:$M$121,$A124,OTT!$G$128:$M$128)+SUMIF(OTT!$B$70:$B$73,$A124,OTT!$Q$70:$Q$73)</f>
        <v>0</v>
      </c>
      <c r="P124" s="834">
        <f>SUMIF(NOV!$G$121:$M$121,$A124,NOV!$G$128:$M$128)+SUMIF(NOV!$B$70:$B$73,$A124,NOV!$Q$70:$Q$73)</f>
        <v>0</v>
      </c>
      <c r="Q124" s="834">
        <f>SUMIF(DIC!$G$121:$M$121,$A124,DIC!$G$128:$M$128)+SUMIF(DIC!$B$70:$B$73,$A124,DIC!$Q$70:$Q$73)</f>
        <v>0</v>
      </c>
      <c r="R124" s="857">
        <f t="shared" si="24"/>
        <v>0</v>
      </c>
      <c r="S124" s="27"/>
      <c r="T124" s="861">
        <f t="shared" si="25"/>
        <v>0</v>
      </c>
      <c r="U124" s="25"/>
    </row>
    <row r="125" spans="1:21" x14ac:dyDescent="0.2">
      <c r="A125" s="1253" t="str">
        <f t="shared" ref="A125:B125" si="32">A14</f>
        <v>17</v>
      </c>
      <c r="B125" s="853" t="str">
        <f t="shared" si="32"/>
        <v/>
      </c>
      <c r="C125" s="833">
        <f>SUMIF(GEN!$G$121:$M$121,$A125,GEN!$G$128:$M$128)+SUMIF(GEN!$B$70:$B$73,$A125,GEN!$Q$70:$Q$73)</f>
        <v>0</v>
      </c>
      <c r="D125" s="834">
        <f>SUMIF(FEB!$G$121:$M$121,$A125,FEB!$G$128:$M$128)+SUMIF(FEB!$B$70:$B$73,$A125,FEB!$Q$70:$Q$73)</f>
        <v>0</v>
      </c>
      <c r="E125" s="834">
        <f>SUMIF(MAR!$G$121:$M$121,$A125,MAR!$G$128:$M$128)+SUMIF(MAR!$B$70:$B$73,$A125,MAR!$Q$70:$Q$73)</f>
        <v>0</v>
      </c>
      <c r="F125" s="857">
        <f t="shared" si="21"/>
        <v>0</v>
      </c>
      <c r="G125" s="833">
        <f>SUMIF(APR!$G$121:$M$121,$A125,APR!$G$128:$M$128)+SUMIF(APR!$B$70:$B$73,$A125,APR!$Q$70:$Q$73)</f>
        <v>0</v>
      </c>
      <c r="H125" s="834">
        <f>SUMIF(MAG!$G$121:$M$121,$A125,MAG!$G$128:$M$128)+SUMIF(MAG!$B$70:$B$73,$A125,MAG!$Q$70:$Q$73)</f>
        <v>0</v>
      </c>
      <c r="I125" s="834">
        <f>SUMIF(GIU!$G$121:$M$121,$A125,GIU!$G$128:$M$128)+SUMIF(GIU!$B$70:$B$73,$A125,GIU!$Q$70:$Q$73)</f>
        <v>0</v>
      </c>
      <c r="J125" s="857">
        <f t="shared" si="22"/>
        <v>0</v>
      </c>
      <c r="K125" s="833">
        <f>SUMIF(LUG!$G$121:$M$121,$A125,LUG!$G$128:$M$128)+SUMIF(LUG!$B$70:$B$73,$A125,LUG!$Q$70:$Q$73)</f>
        <v>0</v>
      </c>
      <c r="L125" s="834">
        <f>SUMIF(AGO!$G$121:$M$121,$A125,AGO!$G$128:$M$128)+SUMIF(AGO!$B$70:$B$73,$A125,AGO!$Q$70:$Q$73)</f>
        <v>0</v>
      </c>
      <c r="M125" s="834">
        <f>SUMIF(SET!$G$121:$M$121,$A125,SET!$G$128:$M$128)+SUMIF(SET!$B$70:$B$73,$A125,SET!$Q$70:$Q$73)</f>
        <v>0</v>
      </c>
      <c r="N125" s="857">
        <f t="shared" si="23"/>
        <v>0</v>
      </c>
      <c r="O125" s="833">
        <f>SUMIF(OTT!$G$121:$M$121,$A125,OTT!$G$128:$M$128)+SUMIF(OTT!$B$70:$B$73,$A125,OTT!$Q$70:$Q$73)</f>
        <v>0</v>
      </c>
      <c r="P125" s="834">
        <f>SUMIF(NOV!$G$121:$M$121,$A125,NOV!$G$128:$M$128)+SUMIF(NOV!$B$70:$B$73,$A125,NOV!$Q$70:$Q$73)</f>
        <v>0</v>
      </c>
      <c r="Q125" s="834">
        <f>SUMIF(DIC!$G$121:$M$121,$A125,DIC!$G$128:$M$128)+SUMIF(DIC!$B$70:$B$73,$A125,DIC!$Q$70:$Q$73)</f>
        <v>0</v>
      </c>
      <c r="R125" s="857">
        <f t="shared" si="24"/>
        <v>0</v>
      </c>
      <c r="S125" s="27"/>
      <c r="T125" s="861">
        <f t="shared" si="25"/>
        <v>0</v>
      </c>
      <c r="U125" s="25"/>
    </row>
    <row r="126" spans="1:21" x14ac:dyDescent="0.2">
      <c r="A126" s="1253" t="str">
        <f t="shared" ref="A126:B126" si="33">A15</f>
        <v>18</v>
      </c>
      <c r="B126" s="853" t="str">
        <f t="shared" si="33"/>
        <v/>
      </c>
      <c r="C126" s="833">
        <f>SUMIF(GEN!$G$121:$M$121,$A126,GEN!$G$128:$M$128)+SUMIF(GEN!$B$70:$B$73,$A126,GEN!$Q$70:$Q$73)</f>
        <v>0</v>
      </c>
      <c r="D126" s="834">
        <f>SUMIF(FEB!$G$121:$M$121,$A126,FEB!$G$128:$M$128)+SUMIF(FEB!$B$70:$B$73,$A126,FEB!$Q$70:$Q$73)</f>
        <v>0</v>
      </c>
      <c r="E126" s="834">
        <f>SUMIF(MAR!$G$121:$M$121,$A126,MAR!$G$128:$M$128)+SUMIF(MAR!$B$70:$B$73,$A126,MAR!$Q$70:$Q$73)</f>
        <v>0</v>
      </c>
      <c r="F126" s="857">
        <f t="shared" si="21"/>
        <v>0</v>
      </c>
      <c r="G126" s="833">
        <f>SUMIF(APR!$G$121:$M$121,$A126,APR!$G$128:$M$128)+SUMIF(APR!$B$70:$B$73,$A126,APR!$Q$70:$Q$73)</f>
        <v>0</v>
      </c>
      <c r="H126" s="834">
        <f>SUMIF(MAG!$G$121:$M$121,$A126,MAG!$G$128:$M$128)+SUMIF(MAG!$B$70:$B$73,$A126,MAG!$Q$70:$Q$73)</f>
        <v>0</v>
      </c>
      <c r="I126" s="834">
        <f>SUMIF(GIU!$G$121:$M$121,$A126,GIU!$G$128:$M$128)+SUMIF(GIU!$B$70:$B$73,$A126,GIU!$Q$70:$Q$73)</f>
        <v>0</v>
      </c>
      <c r="J126" s="857">
        <f t="shared" si="22"/>
        <v>0</v>
      </c>
      <c r="K126" s="833">
        <f>SUMIF(LUG!$G$121:$M$121,$A126,LUG!$G$128:$M$128)+SUMIF(LUG!$B$70:$B$73,$A126,LUG!$Q$70:$Q$73)</f>
        <v>0</v>
      </c>
      <c r="L126" s="834">
        <f>SUMIF(AGO!$G$121:$M$121,$A126,AGO!$G$128:$M$128)+SUMIF(AGO!$B$70:$B$73,$A126,AGO!$Q$70:$Q$73)</f>
        <v>0</v>
      </c>
      <c r="M126" s="834">
        <f>SUMIF(SET!$G$121:$M$121,$A126,SET!$G$128:$M$128)+SUMIF(SET!$B$70:$B$73,$A126,SET!$Q$70:$Q$73)</f>
        <v>0</v>
      </c>
      <c r="N126" s="857">
        <f t="shared" si="23"/>
        <v>0</v>
      </c>
      <c r="O126" s="833">
        <f>SUMIF(OTT!$G$121:$M$121,$A126,OTT!$G$128:$M$128)+SUMIF(OTT!$B$70:$B$73,$A126,OTT!$Q$70:$Q$73)</f>
        <v>0</v>
      </c>
      <c r="P126" s="834">
        <f>SUMIF(NOV!$G$121:$M$121,$A126,NOV!$G$128:$M$128)+SUMIF(NOV!$B$70:$B$73,$A126,NOV!$Q$70:$Q$73)</f>
        <v>0</v>
      </c>
      <c r="Q126" s="834">
        <f>SUMIF(DIC!$G$121:$M$121,$A126,DIC!$G$128:$M$128)+SUMIF(DIC!$B$70:$B$73,$A126,DIC!$Q$70:$Q$73)</f>
        <v>0</v>
      </c>
      <c r="R126" s="857">
        <f t="shared" si="24"/>
        <v>0</v>
      </c>
      <c r="S126" s="27"/>
      <c r="T126" s="861">
        <f t="shared" si="25"/>
        <v>0</v>
      </c>
      <c r="U126" s="25"/>
    </row>
    <row r="127" spans="1:21" ht="18" customHeight="1" x14ac:dyDescent="0.2">
      <c r="A127" s="1253" t="str">
        <f t="shared" ref="A127:B127" si="34">A16</f>
        <v>19</v>
      </c>
      <c r="B127" s="854" t="str">
        <f t="shared" si="34"/>
        <v/>
      </c>
      <c r="C127" s="835">
        <f>SUMIF(GEN!$G$121:$M$121,$A127,GEN!$G$128:$M$128)+SUMIF(GEN!$B$70:$B$73,$A127,GEN!$Q$70:$Q$73)</f>
        <v>0</v>
      </c>
      <c r="D127" s="836">
        <f>SUMIF(FEB!$G$121:$M$121,$A127,FEB!$G$128:$M$128)+SUMIF(FEB!$B$70:$B$73,$A127,FEB!$Q$70:$Q$73)</f>
        <v>0</v>
      </c>
      <c r="E127" s="836">
        <f>SUMIF(MAR!$G$121:$M$121,$A127,MAR!$G$128:$M$128)+SUMIF(MAR!$B$70:$B$73,$A127,MAR!$Q$70:$Q$73)</f>
        <v>0</v>
      </c>
      <c r="F127" s="858">
        <f t="shared" si="21"/>
        <v>0</v>
      </c>
      <c r="G127" s="835">
        <f>SUMIF(APR!$G$121:$M$121,$A127,APR!$G$128:$M$128)+SUMIF(APR!$B$70:$B$73,$A127,APR!$Q$70:$Q$73)</f>
        <v>0</v>
      </c>
      <c r="H127" s="836">
        <f>SUMIF(MAG!$G$121:$M$121,$A127,MAG!$G$128:$M$128)+SUMIF(MAG!$B$70:$B$73,$A127,MAG!$Q$70:$Q$73)</f>
        <v>0</v>
      </c>
      <c r="I127" s="836">
        <f>SUMIF(GIU!$G$121:$M$121,$A127,GIU!$G$128:$M$128)+SUMIF(GIU!$B$70:$B$73,$A127,GIU!$Q$70:$Q$73)</f>
        <v>0</v>
      </c>
      <c r="J127" s="858">
        <f t="shared" si="22"/>
        <v>0</v>
      </c>
      <c r="K127" s="835">
        <f>SUMIF(LUG!$G$121:$M$121,$A127,LUG!$G$128:$M$128)+SUMIF(LUG!$B$70:$B$73,$A127,LUG!$Q$70:$Q$73)</f>
        <v>0</v>
      </c>
      <c r="L127" s="836">
        <f>SUMIF(AGO!$G$121:$M$121,$A127,AGO!$G$128:$M$128)+SUMIF(AGO!$B$70:$B$73,$A127,AGO!$Q$70:$Q$73)</f>
        <v>0</v>
      </c>
      <c r="M127" s="836">
        <f>SUMIF(SET!$G$121:$M$121,$A127,SET!$G$128:$M$128)+SUMIF(SET!$B$70:$B$73,$A127,SET!$Q$70:$Q$73)</f>
        <v>0</v>
      </c>
      <c r="N127" s="858">
        <f t="shared" si="23"/>
        <v>0</v>
      </c>
      <c r="O127" s="835">
        <f>SUMIF(OTT!$G$121:$M$121,$A127,OTT!$G$128:$M$128)+SUMIF(OTT!$B$70:$B$73,$A127,OTT!$Q$70:$Q$73)</f>
        <v>0</v>
      </c>
      <c r="P127" s="836">
        <f>SUMIF(NOV!$G$121:$M$121,$A127,NOV!$G$128:$M$128)+SUMIF(NOV!$B$70:$B$73,$A127,NOV!$Q$70:$Q$73)</f>
        <v>0</v>
      </c>
      <c r="Q127" s="836">
        <f>SUMIF(DIC!$G$121:$M$121,$A127,DIC!$G$128:$M$128)+SUMIF(DIC!$B$70:$B$73,$A127,DIC!$Q$70:$Q$73)</f>
        <v>0</v>
      </c>
      <c r="R127" s="858">
        <f t="shared" si="24"/>
        <v>0</v>
      </c>
      <c r="S127" s="27"/>
      <c r="T127" s="879">
        <f t="shared" si="25"/>
        <v>0</v>
      </c>
      <c r="U127" s="25"/>
    </row>
    <row r="128" spans="1:21" ht="22.5" customHeight="1" x14ac:dyDescent="0.2">
      <c r="A128" s="123"/>
      <c r="B128" s="1256" t="str">
        <f>$B$17</f>
        <v>Somma percentuali</v>
      </c>
      <c r="C128" s="862">
        <f>SUM(C119:C127)</f>
        <v>0</v>
      </c>
      <c r="D128" s="863">
        <f>SUM(D119:D127)</f>
        <v>0</v>
      </c>
      <c r="E128" s="863">
        <f>SUM(E119:E127)</f>
        <v>0</v>
      </c>
      <c r="F128" s="864">
        <f t="shared" si="21"/>
        <v>0</v>
      </c>
      <c r="G128" s="862">
        <f>SUM(G119:G127)</f>
        <v>0</v>
      </c>
      <c r="H128" s="863">
        <f>SUM(H119:H127)</f>
        <v>0</v>
      </c>
      <c r="I128" s="863">
        <f>SUM(I119:I127)</f>
        <v>0</v>
      </c>
      <c r="J128" s="864">
        <f t="shared" si="22"/>
        <v>0</v>
      </c>
      <c r="K128" s="862">
        <f>SUM(K119:K127)</f>
        <v>0</v>
      </c>
      <c r="L128" s="863">
        <f>SUM(L119:L127)</f>
        <v>0</v>
      </c>
      <c r="M128" s="863">
        <f>SUM(M119:M127)</f>
        <v>0</v>
      </c>
      <c r="N128" s="864">
        <f t="shared" si="23"/>
        <v>0</v>
      </c>
      <c r="O128" s="862">
        <f>SUM(O119:O127)</f>
        <v>0</v>
      </c>
      <c r="P128" s="863">
        <f>SUM(P119:P127)</f>
        <v>0</v>
      </c>
      <c r="Q128" s="863">
        <f>SUM(Q119:Q127)</f>
        <v>0</v>
      </c>
      <c r="R128" s="864">
        <f t="shared" si="24"/>
        <v>0</v>
      </c>
      <c r="S128" s="28"/>
      <c r="T128" s="865">
        <f t="shared" si="25"/>
        <v>0</v>
      </c>
      <c r="U128" s="25"/>
    </row>
    <row r="129" spans="1:21" ht="21" customHeight="1" x14ac:dyDescent="0.2">
      <c r="A129" s="123"/>
      <c r="B129" s="202" t="str">
        <f>IF(C176=B173,B173,"")</f>
        <v/>
      </c>
      <c r="C129" s="2377" t="str">
        <f>Presentazione!$D$82</f>
        <v>Questo file risulta al momento completamente funzionante ed il sistema rileva tutti i suoi fogli.</v>
      </c>
      <c r="D129" s="2377"/>
      <c r="E129" s="2377"/>
      <c r="F129" s="2377"/>
      <c r="G129" s="2377"/>
      <c r="H129" s="2377"/>
      <c r="I129" s="2377"/>
      <c r="J129" s="2377"/>
      <c r="K129" s="2377" t="str">
        <f>Presentazione!$D$82</f>
        <v>Questo file risulta al momento completamente funzionante ed il sistema rileva tutti i suoi fogli.</v>
      </c>
      <c r="L129" s="2377"/>
      <c r="M129" s="2377"/>
      <c r="N129" s="2377"/>
      <c r="O129" s="2377"/>
      <c r="P129" s="2377"/>
      <c r="Q129" s="2377"/>
      <c r="R129" s="2377"/>
      <c r="S129" s="28"/>
      <c r="T129" s="45"/>
      <c r="U129" s="25"/>
    </row>
    <row r="130" spans="1:21" ht="21" customHeight="1" x14ac:dyDescent="0.2">
      <c r="A130" s="123"/>
      <c r="B130" s="46"/>
      <c r="C130" s="194"/>
      <c r="D130" s="194"/>
      <c r="E130" s="194"/>
      <c r="F130" s="194"/>
      <c r="G130" s="194"/>
      <c r="H130" s="194"/>
      <c r="I130" s="194"/>
      <c r="J130" s="194"/>
      <c r="K130" s="194"/>
      <c r="L130" s="194"/>
      <c r="M130" s="194"/>
      <c r="N130" s="194"/>
      <c r="O130" s="194"/>
      <c r="P130" s="194"/>
      <c r="Q130" s="194"/>
      <c r="R130" s="194"/>
      <c r="S130" s="28"/>
      <c r="T130" s="45"/>
      <c r="U130" s="25"/>
    </row>
    <row r="131" spans="1:21" ht="21" customHeight="1" x14ac:dyDescent="0.2">
      <c r="A131" s="123"/>
      <c r="B131" s="46"/>
      <c r="C131" s="481" t="s">
        <v>152</v>
      </c>
      <c r="D131" s="194"/>
      <c r="E131" s="194"/>
      <c r="F131" s="194"/>
      <c r="G131" s="194"/>
      <c r="H131" s="194"/>
      <c r="I131" s="194"/>
      <c r="J131" s="194"/>
      <c r="K131" s="481" t="s">
        <v>152</v>
      </c>
      <c r="L131" s="194"/>
      <c r="M131" s="194"/>
      <c r="N131" s="194"/>
      <c r="O131" s="194"/>
      <c r="P131" s="194"/>
      <c r="Q131" s="194"/>
      <c r="R131" s="194"/>
      <c r="S131" s="28"/>
      <c r="T131" s="45"/>
      <c r="U131" s="25"/>
    </row>
    <row r="132" spans="1:21" ht="21" customHeight="1" x14ac:dyDescent="0.2">
      <c r="A132" s="123"/>
      <c r="B132" s="46"/>
      <c r="C132" s="482" t="s">
        <v>205</v>
      </c>
      <c r="D132" s="194"/>
      <c r="E132" s="194"/>
      <c r="F132" s="194"/>
      <c r="G132" s="194"/>
      <c r="H132" s="194"/>
      <c r="I132" s="194"/>
      <c r="J132" s="194"/>
      <c r="K132" s="482" t="s">
        <v>205</v>
      </c>
      <c r="L132" s="194"/>
      <c r="M132" s="194"/>
      <c r="N132" s="194"/>
      <c r="O132" s="194"/>
      <c r="P132" s="194"/>
      <c r="Q132" s="194"/>
      <c r="R132" s="194"/>
      <c r="S132" s="28"/>
      <c r="T132" s="45"/>
      <c r="U132" s="25"/>
    </row>
    <row r="133" spans="1:21" ht="18" customHeight="1" x14ac:dyDescent="0.2">
      <c r="A133" s="123"/>
      <c r="B133" s="46"/>
      <c r="C133" s="476" t="s">
        <v>418</v>
      </c>
      <c r="D133" s="476" t="s">
        <v>419</v>
      </c>
      <c r="E133" s="476" t="s">
        <v>420</v>
      </c>
      <c r="F133" s="476" t="s">
        <v>421</v>
      </c>
      <c r="G133" s="476" t="s">
        <v>422</v>
      </c>
      <c r="H133" s="476" t="s">
        <v>423</v>
      </c>
      <c r="I133" s="476" t="s">
        <v>424</v>
      </c>
      <c r="J133" s="194"/>
      <c r="K133" s="476" t="str">
        <f t="shared" ref="K133:Q133" si="35">C133</f>
        <v>Colonna 1</v>
      </c>
      <c r="L133" s="476" t="str">
        <f t="shared" si="35"/>
        <v>Colonna 2</v>
      </c>
      <c r="M133" s="476" t="str">
        <f t="shared" si="35"/>
        <v>Colonna 3</v>
      </c>
      <c r="N133" s="476" t="str">
        <f t="shared" si="35"/>
        <v>Colonna 4</v>
      </c>
      <c r="O133" s="476" t="str">
        <f t="shared" si="35"/>
        <v>Colonna 5</v>
      </c>
      <c r="P133" s="476" t="str">
        <f t="shared" si="35"/>
        <v>Colonna 6</v>
      </c>
      <c r="Q133" s="476" t="str">
        <f t="shared" si="35"/>
        <v>Colonna 7</v>
      </c>
      <c r="R133" s="194"/>
      <c r="S133" s="28"/>
      <c r="T133" s="45"/>
      <c r="U133" s="25"/>
    </row>
    <row r="134" spans="1:21" ht="19.5" customHeight="1" x14ac:dyDescent="0.2">
      <c r="A134" s="123"/>
      <c r="B134" s="46"/>
      <c r="C134" s="473" t="str">
        <f>IMPOSTAZIONI!H27</f>
        <v/>
      </c>
      <c r="D134" s="473" t="str">
        <f>IMPOSTAZIONI!L27</f>
        <v/>
      </c>
      <c r="E134" s="473" t="str">
        <f>IMPOSTAZIONI!P27</f>
        <v/>
      </c>
      <c r="F134" s="473" t="str">
        <f>IMPOSTAZIONI!T27</f>
        <v/>
      </c>
      <c r="G134" s="473" t="str">
        <f>IMPOSTAZIONI!X27</f>
        <v/>
      </c>
      <c r="H134" s="473" t="str">
        <f>IMPOSTAZIONI!AB27</f>
        <v/>
      </c>
      <c r="I134" s="473" t="str">
        <f>IMPOSTAZIONI!AF27</f>
        <v/>
      </c>
      <c r="J134" s="194"/>
      <c r="K134" s="473" t="str">
        <f t="shared" ref="K134:O138" si="36">C134</f>
        <v/>
      </c>
      <c r="L134" s="473" t="str">
        <f t="shared" si="36"/>
        <v/>
      </c>
      <c r="M134" s="473" t="str">
        <f t="shared" si="36"/>
        <v/>
      </c>
      <c r="N134" s="473" t="str">
        <f t="shared" si="36"/>
        <v/>
      </c>
      <c r="O134" s="473" t="str">
        <f t="shared" si="36"/>
        <v/>
      </c>
      <c r="P134" s="473" t="str">
        <f t="shared" ref="P134:Q138" si="37">H134</f>
        <v/>
      </c>
      <c r="Q134" s="473" t="str">
        <f t="shared" si="37"/>
        <v/>
      </c>
      <c r="R134" s="194"/>
      <c r="S134" s="28"/>
      <c r="T134" s="45"/>
      <c r="U134" s="25"/>
    </row>
    <row r="135" spans="1:21" ht="15" customHeight="1" x14ac:dyDescent="0.2">
      <c r="A135" s="123"/>
      <c r="B135" s="46"/>
      <c r="C135" s="474" t="str">
        <f>IMPOSTAZIONI!H28</f>
        <v>- - - - - - -</v>
      </c>
      <c r="D135" s="474" t="str">
        <f>IMPOSTAZIONI!L28</f>
        <v>- - - - - - -</v>
      </c>
      <c r="E135" s="474" t="str">
        <f>IMPOSTAZIONI!P28</f>
        <v>- - - - - - -</v>
      </c>
      <c r="F135" s="474" t="str">
        <f>IMPOSTAZIONI!T28</f>
        <v>- - - - - - -</v>
      </c>
      <c r="G135" s="474" t="str">
        <f>IMPOSTAZIONI!X28</f>
        <v>- - - - - - -</v>
      </c>
      <c r="H135" s="474" t="str">
        <f>IMPOSTAZIONI!AB28</f>
        <v>- - - - - - -</v>
      </c>
      <c r="I135" s="474" t="str">
        <f>IMPOSTAZIONI!AF28</f>
        <v>- - - - - - -</v>
      </c>
      <c r="J135" s="194"/>
      <c r="K135" s="474" t="str">
        <f t="shared" si="36"/>
        <v>- - - - - - -</v>
      </c>
      <c r="L135" s="474" t="str">
        <f t="shared" si="36"/>
        <v>- - - - - - -</v>
      </c>
      <c r="M135" s="474" t="str">
        <f t="shared" si="36"/>
        <v>- - - - - - -</v>
      </c>
      <c r="N135" s="474" t="str">
        <f t="shared" si="36"/>
        <v>- - - - - - -</v>
      </c>
      <c r="O135" s="474" t="str">
        <f t="shared" si="36"/>
        <v>- - - - - - -</v>
      </c>
      <c r="P135" s="474" t="str">
        <f t="shared" si="37"/>
        <v>- - - - - - -</v>
      </c>
      <c r="Q135" s="474" t="str">
        <f t="shared" si="37"/>
        <v>- - - - - - -</v>
      </c>
      <c r="R135" s="194"/>
      <c r="S135" s="28"/>
      <c r="T135" s="45"/>
      <c r="U135" s="25"/>
    </row>
    <row r="136" spans="1:21" ht="19.5" customHeight="1" x14ac:dyDescent="0.2">
      <c r="A136" s="123"/>
      <c r="B136" s="46"/>
      <c r="C136" s="475" t="str">
        <f>IMPOSTAZIONI!H29</f>
        <v/>
      </c>
      <c r="D136" s="475" t="str">
        <f>IMPOSTAZIONI!L29</f>
        <v/>
      </c>
      <c r="E136" s="475" t="str">
        <f>IMPOSTAZIONI!P29</f>
        <v/>
      </c>
      <c r="F136" s="475" t="str">
        <f>IMPOSTAZIONI!T29</f>
        <v/>
      </c>
      <c r="G136" s="475" t="str">
        <f>IMPOSTAZIONI!X29</f>
        <v/>
      </c>
      <c r="H136" s="475" t="str">
        <f>IMPOSTAZIONI!AB29</f>
        <v/>
      </c>
      <c r="I136" s="475" t="str">
        <f>IMPOSTAZIONI!AF29</f>
        <v/>
      </c>
      <c r="J136" s="194"/>
      <c r="K136" s="475" t="str">
        <f t="shared" si="36"/>
        <v/>
      </c>
      <c r="L136" s="475" t="str">
        <f t="shared" si="36"/>
        <v/>
      </c>
      <c r="M136" s="475" t="str">
        <f t="shared" si="36"/>
        <v/>
      </c>
      <c r="N136" s="475" t="str">
        <f t="shared" si="36"/>
        <v/>
      </c>
      <c r="O136" s="475" t="str">
        <f t="shared" si="36"/>
        <v/>
      </c>
      <c r="P136" s="475" t="str">
        <f t="shared" si="37"/>
        <v/>
      </c>
      <c r="Q136" s="475" t="str">
        <f t="shared" si="37"/>
        <v/>
      </c>
      <c r="R136" s="194"/>
      <c r="S136" s="28"/>
      <c r="T136" s="45"/>
      <c r="U136" s="25"/>
    </row>
    <row r="137" spans="1:21" ht="18" customHeight="1" x14ac:dyDescent="0.2">
      <c r="A137" s="123"/>
      <c r="B137" s="46"/>
      <c r="C137" s="480" t="str">
        <f>IMPOSTAZIONI!H35</f>
        <v/>
      </c>
      <c r="D137" s="480" t="str">
        <f>IMPOSTAZIONI!L35</f>
        <v/>
      </c>
      <c r="E137" s="480" t="str">
        <f>IMPOSTAZIONI!P35</f>
        <v/>
      </c>
      <c r="F137" s="480" t="str">
        <f>IMPOSTAZIONI!T35</f>
        <v/>
      </c>
      <c r="G137" s="480" t="str">
        <f>IMPOSTAZIONI!X35</f>
        <v/>
      </c>
      <c r="H137" s="480" t="str">
        <f>IMPOSTAZIONI!AB35</f>
        <v/>
      </c>
      <c r="I137" s="480" t="str">
        <f>IMPOSTAZIONI!AF35</f>
        <v/>
      </c>
      <c r="J137" s="194"/>
      <c r="K137" s="480" t="str">
        <f t="shared" ref="K137:Q137" si="38">C137</f>
        <v/>
      </c>
      <c r="L137" s="480" t="str">
        <f t="shared" si="38"/>
        <v/>
      </c>
      <c r="M137" s="480" t="str">
        <f t="shared" si="38"/>
        <v/>
      </c>
      <c r="N137" s="480" t="str">
        <f t="shared" si="38"/>
        <v/>
      </c>
      <c r="O137" s="480" t="str">
        <f t="shared" si="38"/>
        <v/>
      </c>
      <c r="P137" s="480" t="str">
        <f t="shared" si="38"/>
        <v/>
      </c>
      <c r="Q137" s="480" t="str">
        <f t="shared" si="38"/>
        <v/>
      </c>
      <c r="R137" s="194"/>
      <c r="S137" s="28"/>
      <c r="T137" s="45"/>
      <c r="U137" s="25"/>
    </row>
    <row r="138" spans="1:21" ht="18" customHeight="1" x14ac:dyDescent="0.2">
      <c r="A138" s="123"/>
      <c r="B138" s="46"/>
      <c r="C138" s="479">
        <f>IMPOSTAZIONI!H36</f>
        <v>0</v>
      </c>
      <c r="D138" s="479">
        <f>IMPOSTAZIONI!L36</f>
        <v>0</v>
      </c>
      <c r="E138" s="479">
        <f>IMPOSTAZIONI!P36</f>
        <v>0</v>
      </c>
      <c r="F138" s="479">
        <f>IMPOSTAZIONI!T36</f>
        <v>0</v>
      </c>
      <c r="G138" s="479">
        <f>IMPOSTAZIONI!X36</f>
        <v>0</v>
      </c>
      <c r="H138" s="479">
        <f>IMPOSTAZIONI!AB36</f>
        <v>0</v>
      </c>
      <c r="I138" s="479">
        <f>IMPOSTAZIONI!AF36</f>
        <v>0</v>
      </c>
      <c r="J138" s="194"/>
      <c r="K138" s="479">
        <f t="shared" si="36"/>
        <v>0</v>
      </c>
      <c r="L138" s="479">
        <f t="shared" si="36"/>
        <v>0</v>
      </c>
      <c r="M138" s="479">
        <f t="shared" si="36"/>
        <v>0</v>
      </c>
      <c r="N138" s="479">
        <f t="shared" si="36"/>
        <v>0</v>
      </c>
      <c r="O138" s="479">
        <f t="shared" si="36"/>
        <v>0</v>
      </c>
      <c r="P138" s="479">
        <f t="shared" si="37"/>
        <v>0</v>
      </c>
      <c r="Q138" s="479">
        <f t="shared" si="37"/>
        <v>0</v>
      </c>
      <c r="R138" s="194"/>
      <c r="S138" s="28"/>
      <c r="T138" s="45"/>
      <c r="U138" s="25"/>
    </row>
    <row r="139" spans="1:21" ht="21" customHeight="1" x14ac:dyDescent="0.2">
      <c r="A139" s="123"/>
      <c r="B139" s="46"/>
      <c r="C139" s="194"/>
      <c r="D139" s="194"/>
      <c r="E139" s="194"/>
      <c r="F139" s="194"/>
      <c r="G139" s="194"/>
      <c r="H139" s="194"/>
      <c r="I139" s="194"/>
      <c r="J139" s="194"/>
      <c r="K139" s="194"/>
      <c r="L139" s="194"/>
      <c r="M139" s="194"/>
      <c r="N139" s="194"/>
      <c r="O139" s="194"/>
      <c r="P139" s="194"/>
      <c r="Q139" s="194"/>
      <c r="R139" s="194"/>
      <c r="S139" s="28"/>
      <c r="T139" s="45"/>
      <c r="U139" s="25"/>
    </row>
    <row r="140" spans="1:21" ht="4.5" hidden="1" customHeight="1" x14ac:dyDescent="0.2">
      <c r="A140" s="572"/>
    </row>
    <row r="141" spans="1:21" ht="4.5" hidden="1" customHeight="1" x14ac:dyDescent="0.2">
      <c r="A141" s="572"/>
    </row>
    <row r="142" spans="1:21" ht="4.5" hidden="1" customHeight="1" x14ac:dyDescent="0.2">
      <c r="A142" s="572"/>
    </row>
    <row r="143" spans="1:21" ht="4.5" hidden="1" customHeight="1" x14ac:dyDescent="0.2">
      <c r="A143" s="572"/>
    </row>
    <row r="144" spans="1:21" ht="4.5" hidden="1" customHeight="1" x14ac:dyDescent="0.2">
      <c r="A144" s="572"/>
    </row>
    <row r="145" spans="1:21" ht="4.5" hidden="1" customHeight="1" x14ac:dyDescent="0.2">
      <c r="A145" s="572"/>
    </row>
    <row r="146" spans="1:21" ht="4.5" hidden="1" customHeight="1" x14ac:dyDescent="0.2">
      <c r="A146" s="572"/>
    </row>
    <row r="147" spans="1:21" ht="21" customHeight="1" x14ac:dyDescent="0.2">
      <c r="A147" s="1258"/>
      <c r="B147" s="25"/>
      <c r="C147" s="2384" t="s">
        <v>551</v>
      </c>
      <c r="D147" s="2384"/>
      <c r="E147" s="2384"/>
      <c r="F147" s="2384"/>
      <c r="G147" s="2384"/>
      <c r="H147" s="2384"/>
      <c r="I147" s="2384"/>
      <c r="J147" s="44"/>
      <c r="K147" s="2384" t="str">
        <f>C147</f>
        <v>Area "Eventuali integrazioni"</v>
      </c>
      <c r="L147" s="2384"/>
      <c r="M147" s="2384"/>
      <c r="N147" s="2384"/>
      <c r="O147" s="2384"/>
      <c r="P147" s="2384"/>
      <c r="Q147" s="2384"/>
      <c r="R147" s="44"/>
      <c r="S147" s="28"/>
      <c r="T147" s="45"/>
      <c r="U147" s="25"/>
    </row>
    <row r="148" spans="1:21" ht="22.5" customHeight="1" x14ac:dyDescent="0.2">
      <c r="A148" s="1259"/>
      <c r="B148" s="614"/>
      <c r="C148" s="912" t="s">
        <v>552</v>
      </c>
      <c r="D148" s="614"/>
      <c r="E148" s="614"/>
      <c r="F148" s="614"/>
      <c r="G148" s="614"/>
      <c r="H148" s="614"/>
      <c r="I148" s="614"/>
      <c r="J148" s="614"/>
      <c r="K148" s="912" t="str">
        <f>C148</f>
        <v>riporto del piè di pagina dei fogli mensili</v>
      </c>
      <c r="L148" s="614"/>
      <c r="M148" s="614"/>
      <c r="N148" s="614"/>
      <c r="O148" s="614"/>
      <c r="P148" s="614"/>
      <c r="Q148" s="614"/>
      <c r="R148" s="614"/>
      <c r="S148" s="614"/>
      <c r="T148" s="614"/>
      <c r="U148" s="614"/>
    </row>
    <row r="149" spans="1:21" ht="16.5" customHeight="1" x14ac:dyDescent="0.25">
      <c r="A149" s="123"/>
      <c r="C149" s="914" t="str">
        <f>C4</f>
        <v>Gennaio</v>
      </c>
      <c r="D149" s="914" t="str">
        <f t="shared" ref="D149:E149" si="39">D4</f>
        <v>Febbraio</v>
      </c>
      <c r="E149" s="914" t="str">
        <f t="shared" si="39"/>
        <v>Marzo</v>
      </c>
      <c r="F149" s="915"/>
      <c r="G149" s="914" t="str">
        <f>G4</f>
        <v>Aprile</v>
      </c>
      <c r="H149" s="914" t="str">
        <f t="shared" ref="H149:I149" si="40">H4</f>
        <v>Maggio</v>
      </c>
      <c r="I149" s="914" t="str">
        <f t="shared" si="40"/>
        <v>Giugno</v>
      </c>
      <c r="J149" s="915"/>
      <c r="K149" s="914" t="str">
        <f>K4</f>
        <v>Luglio</v>
      </c>
      <c r="L149" s="914" t="str">
        <f t="shared" ref="L149:M149" si="41">L4</f>
        <v>Agosto</v>
      </c>
      <c r="M149" s="914" t="str">
        <f t="shared" si="41"/>
        <v>Settembre</v>
      </c>
      <c r="N149" s="915"/>
      <c r="O149" s="914" t="str">
        <f>O4</f>
        <v>Ottobre</v>
      </c>
      <c r="P149" s="914" t="str">
        <f t="shared" ref="P149:Q149" si="42">P4</f>
        <v>Novembre</v>
      </c>
      <c r="Q149" s="914" t="str">
        <f t="shared" si="42"/>
        <v>Dicembre</v>
      </c>
      <c r="R149" s="614"/>
      <c r="S149" s="28"/>
      <c r="T149" s="614"/>
      <c r="U149" s="25"/>
    </row>
    <row r="150" spans="1:21" ht="16.5" customHeight="1" x14ac:dyDescent="0.2">
      <c r="A150" s="1"/>
      <c r="B150" s="258" t="str">
        <f>B$4</f>
        <v>Totale EUR</v>
      </c>
      <c r="C150" s="2383" t="s">
        <v>555</v>
      </c>
      <c r="D150" s="2383"/>
      <c r="E150" s="2383"/>
      <c r="F150" s="913" t="s">
        <v>556</v>
      </c>
      <c r="G150" s="2383" t="s">
        <v>555</v>
      </c>
      <c r="H150" s="2383"/>
      <c r="I150" s="2383"/>
      <c r="J150" s="913" t="s">
        <v>557</v>
      </c>
      <c r="K150" s="2383" t="s">
        <v>555</v>
      </c>
      <c r="L150" s="2383"/>
      <c r="M150" s="2383"/>
      <c r="N150" s="913" t="s">
        <v>558</v>
      </c>
      <c r="O150" s="2383" t="s">
        <v>555</v>
      </c>
      <c r="P150" s="2383"/>
      <c r="Q150" s="2383"/>
      <c r="R150" s="913" t="s">
        <v>559</v>
      </c>
      <c r="S150" s="28"/>
      <c r="T150" s="1218" t="str">
        <f>CONCATENATE(T$3," ",T$4)</f>
        <v>ANNO 2024</v>
      </c>
      <c r="U150" s="25"/>
    </row>
    <row r="151" spans="1:21" s="1361" customFormat="1" ht="18" customHeight="1" x14ac:dyDescent="0.2">
      <c r="A151" s="839"/>
      <c r="B151" s="1222" t="s">
        <v>553</v>
      </c>
      <c r="C151" s="1223">
        <f>GEN!$H$54</f>
        <v>0</v>
      </c>
      <c r="D151" s="1224">
        <f>FEB!$H$54</f>
        <v>0</v>
      </c>
      <c r="E151" s="1225">
        <f>MAR!$H$54</f>
        <v>0</v>
      </c>
      <c r="F151" s="1226">
        <f>C151+D151+E151</f>
        <v>0</v>
      </c>
      <c r="G151" s="1223">
        <f>APR!$H$54</f>
        <v>0</v>
      </c>
      <c r="H151" s="1224">
        <f>MAG!$H$54</f>
        <v>0</v>
      </c>
      <c r="I151" s="1225">
        <f>GIU!$H$54</f>
        <v>0</v>
      </c>
      <c r="J151" s="1226">
        <f>G151+H151+I151</f>
        <v>0</v>
      </c>
      <c r="K151" s="1223">
        <f>LUG!$H$54</f>
        <v>0</v>
      </c>
      <c r="L151" s="1224">
        <f>AGO!$H$54</f>
        <v>0</v>
      </c>
      <c r="M151" s="1225">
        <f>SET!$H$54</f>
        <v>0</v>
      </c>
      <c r="N151" s="1226">
        <f>K151+L151+M151</f>
        <v>0</v>
      </c>
      <c r="O151" s="1223">
        <f>OTT!$H$54</f>
        <v>0</v>
      </c>
      <c r="P151" s="1224">
        <f>NOV!$H$54</f>
        <v>0</v>
      </c>
      <c r="Q151" s="1225">
        <f>DIC!$H$54</f>
        <v>0</v>
      </c>
      <c r="R151" s="1226">
        <f>O151+P151+Q151</f>
        <v>0</v>
      </c>
      <c r="S151" s="847"/>
      <c r="T151" s="1219">
        <f>SUM(C151:E151)+SUM(G151:I151)+SUM(K151:M151)+SUM(O151:Q151)</f>
        <v>0</v>
      </c>
      <c r="U151" s="25"/>
    </row>
    <row r="152" spans="1:21" s="1361" customFormat="1" ht="18" customHeight="1" x14ac:dyDescent="0.2">
      <c r="A152" s="839"/>
      <c r="B152" s="1227" t="s">
        <v>554</v>
      </c>
      <c r="C152" s="1228">
        <f>GEN!$H$55</f>
        <v>0</v>
      </c>
      <c r="D152" s="1229">
        <f>FEB!$H$55</f>
        <v>0</v>
      </c>
      <c r="E152" s="1230">
        <f>MAR!$H$55</f>
        <v>0</v>
      </c>
      <c r="F152" s="1231">
        <f>C152+D152+E152</f>
        <v>0</v>
      </c>
      <c r="G152" s="1228">
        <f>APR!$H$55</f>
        <v>0</v>
      </c>
      <c r="H152" s="1229">
        <f>MAG!$H$55</f>
        <v>0</v>
      </c>
      <c r="I152" s="1230">
        <f>GIU!$H$55</f>
        <v>0</v>
      </c>
      <c r="J152" s="1231">
        <f>G152+H152+I152</f>
        <v>0</v>
      </c>
      <c r="K152" s="1228">
        <f>LUG!$H$55</f>
        <v>0</v>
      </c>
      <c r="L152" s="1229">
        <f>AGO!$H$55</f>
        <v>0</v>
      </c>
      <c r="M152" s="1230">
        <f>SET!$H$55</f>
        <v>0</v>
      </c>
      <c r="N152" s="1231">
        <f>K152+L152+M152</f>
        <v>0</v>
      </c>
      <c r="O152" s="1228">
        <f>OTT!$H$55</f>
        <v>0</v>
      </c>
      <c r="P152" s="1229">
        <f>NOV!$H$55</f>
        <v>0</v>
      </c>
      <c r="Q152" s="1230">
        <f>DIC!$H$55</f>
        <v>0</v>
      </c>
      <c r="R152" s="1231">
        <f>O152+P152+Q152</f>
        <v>0</v>
      </c>
      <c r="S152" s="847"/>
      <c r="T152" s="1220">
        <f>SUM(C152:E152)+SUM(G152:I152)+SUM(K152:M152)+SUM(O152:Q152)</f>
        <v>0</v>
      </c>
      <c r="U152" s="25"/>
    </row>
    <row r="153" spans="1:21" ht="18" customHeight="1" x14ac:dyDescent="0.2">
      <c r="A153" s="839"/>
      <c r="B153" s="1232" t="str">
        <f>B6</f>
        <v>a CONTO</v>
      </c>
      <c r="C153" s="1233">
        <f>GEN!$H$56</f>
        <v>0</v>
      </c>
      <c r="D153" s="1234">
        <f>FEB!$H$56</f>
        <v>0</v>
      </c>
      <c r="E153" s="1235">
        <f>MAR!$H$56</f>
        <v>0</v>
      </c>
      <c r="F153" s="1236">
        <f>C153+D153+E153</f>
        <v>0</v>
      </c>
      <c r="G153" s="1233">
        <f>APR!$H$56</f>
        <v>0</v>
      </c>
      <c r="H153" s="1234">
        <f>MAG!$H$56</f>
        <v>0</v>
      </c>
      <c r="I153" s="1235">
        <f>GIU!$H$56</f>
        <v>0</v>
      </c>
      <c r="J153" s="1236">
        <f>G153+H153+I153</f>
        <v>0</v>
      </c>
      <c r="K153" s="1233">
        <f>LUG!$H$56</f>
        <v>0</v>
      </c>
      <c r="L153" s="1234">
        <f>AGO!$H$56</f>
        <v>0</v>
      </c>
      <c r="M153" s="1235">
        <f>SET!$H$56</f>
        <v>0</v>
      </c>
      <c r="N153" s="1236">
        <f>K153+L153+M153</f>
        <v>0</v>
      </c>
      <c r="O153" s="1233">
        <f>OTT!$H$56</f>
        <v>0</v>
      </c>
      <c r="P153" s="1234">
        <f>NOV!$H$56</f>
        <v>0</v>
      </c>
      <c r="Q153" s="1235">
        <f>DIC!$H$56</f>
        <v>0</v>
      </c>
      <c r="R153" s="1236">
        <f>O153+P153+Q153</f>
        <v>0</v>
      </c>
      <c r="S153" s="847"/>
      <c r="T153" s="1221">
        <f>SUMIF(C153:E153,"&lt;&gt;0")+SUMIF(G153:I153,"&lt;&gt;0")+SUMIF(K153:M153,"&lt;&gt;0")+SUMIF(O153:Q153,"&lt;&gt;0")</f>
        <v>0</v>
      </c>
      <c r="U153" s="25"/>
    </row>
    <row r="154" spans="1:21" ht="11.25" customHeight="1" x14ac:dyDescent="0.2">
      <c r="A154" s="1195"/>
      <c r="B154" s="30"/>
      <c r="C154" s="30"/>
      <c r="D154" s="30"/>
      <c r="E154" s="30"/>
      <c r="F154" s="614"/>
      <c r="G154" s="30"/>
      <c r="H154" s="30"/>
      <c r="I154" s="30"/>
      <c r="J154" s="614"/>
      <c r="K154" s="30"/>
      <c r="L154" s="30"/>
      <c r="M154" s="30"/>
      <c r="N154" s="614"/>
      <c r="O154" s="30"/>
      <c r="P154" s="30"/>
      <c r="Q154" s="30"/>
      <c r="R154" s="614"/>
      <c r="S154" s="844"/>
      <c r="T154" s="30"/>
      <c r="U154" s="25"/>
    </row>
    <row r="155" spans="1:21" ht="16.5" customHeight="1" x14ac:dyDescent="0.2">
      <c r="A155" s="839"/>
      <c r="B155" s="614"/>
      <c r="C155" s="2383" t="s">
        <v>555</v>
      </c>
      <c r="D155" s="2383"/>
      <c r="E155" s="2383"/>
      <c r="F155" s="614"/>
      <c r="G155" s="2383" t="s">
        <v>555</v>
      </c>
      <c r="H155" s="2383"/>
      <c r="I155" s="2383"/>
      <c r="J155" s="614"/>
      <c r="K155" s="2383" t="s">
        <v>555</v>
      </c>
      <c r="L155" s="2383"/>
      <c r="M155" s="2383"/>
      <c r="N155" s="614"/>
      <c r="O155" s="2383" t="s">
        <v>555</v>
      </c>
      <c r="P155" s="2383"/>
      <c r="Q155" s="2383"/>
      <c r="R155" s="614"/>
      <c r="S155" s="28"/>
      <c r="T155" s="49"/>
      <c r="U155" s="25"/>
    </row>
    <row r="156" spans="1:21" s="1361" customFormat="1" ht="18" customHeight="1" x14ac:dyDescent="0.2">
      <c r="A156" s="839"/>
      <c r="B156" s="1222" t="s">
        <v>553</v>
      </c>
      <c r="C156" s="1223">
        <f>GEN!$I$54</f>
        <v>0</v>
      </c>
      <c r="D156" s="1224">
        <f>FEB!$I$54</f>
        <v>0</v>
      </c>
      <c r="E156" s="1225">
        <f>MAR!$I$54</f>
        <v>0</v>
      </c>
      <c r="F156" s="1226">
        <f>C156+D156+E156</f>
        <v>0</v>
      </c>
      <c r="G156" s="1223">
        <f>APR!$I$54</f>
        <v>0</v>
      </c>
      <c r="H156" s="1224">
        <f>MAG!$I$54</f>
        <v>0</v>
      </c>
      <c r="I156" s="1225">
        <f>GIU!$I$54</f>
        <v>0</v>
      </c>
      <c r="J156" s="1226">
        <f>G156+H156+I156</f>
        <v>0</v>
      </c>
      <c r="K156" s="1223">
        <f>LUG!$I$54</f>
        <v>0</v>
      </c>
      <c r="L156" s="1224">
        <f>AGO!$I$54</f>
        <v>0</v>
      </c>
      <c r="M156" s="1225">
        <f>SET!$I$54</f>
        <v>0</v>
      </c>
      <c r="N156" s="1226">
        <f>K156+L156+M156</f>
        <v>0</v>
      </c>
      <c r="O156" s="1223">
        <f>OTT!$I$54</f>
        <v>0</v>
      </c>
      <c r="P156" s="1224">
        <f>NOV!$I$54</f>
        <v>0</v>
      </c>
      <c r="Q156" s="1225">
        <f>DIC!$I$54</f>
        <v>0</v>
      </c>
      <c r="R156" s="1226">
        <f>O156+P156+Q156</f>
        <v>0</v>
      </c>
      <c r="S156" s="847"/>
      <c r="T156" s="1219">
        <f>SUM(C156:E156)+SUM(G156:I156)+SUM(K156:M156)+SUM(O156:Q156)</f>
        <v>0</v>
      </c>
      <c r="U156" s="25"/>
    </row>
    <row r="157" spans="1:21" s="1361" customFormat="1" ht="18" customHeight="1" x14ac:dyDescent="0.2">
      <c r="A157" s="839"/>
      <c r="B157" s="1227" t="s">
        <v>554</v>
      </c>
      <c r="C157" s="1228">
        <f>GEN!$I$55</f>
        <v>0</v>
      </c>
      <c r="D157" s="1229">
        <f>FEB!$I$55</f>
        <v>0</v>
      </c>
      <c r="E157" s="1230">
        <f>MAR!$I$55</f>
        <v>0</v>
      </c>
      <c r="F157" s="1231">
        <f>C157+D157+E157</f>
        <v>0</v>
      </c>
      <c r="G157" s="1228">
        <f>APR!$I$55</f>
        <v>0</v>
      </c>
      <c r="H157" s="1229">
        <f>MAG!$I$55</f>
        <v>0</v>
      </c>
      <c r="I157" s="1230">
        <f>GIU!$I$55</f>
        <v>0</v>
      </c>
      <c r="J157" s="1231">
        <f>G157+H157+I157</f>
        <v>0</v>
      </c>
      <c r="K157" s="1228">
        <f>LUG!$I$55</f>
        <v>0</v>
      </c>
      <c r="L157" s="1229">
        <f>AGO!$I$55</f>
        <v>0</v>
      </c>
      <c r="M157" s="1230">
        <f>SET!$I$55</f>
        <v>0</v>
      </c>
      <c r="N157" s="1231">
        <f>K157+L157+M157</f>
        <v>0</v>
      </c>
      <c r="O157" s="1228">
        <f>OTT!$I$55</f>
        <v>0</v>
      </c>
      <c r="P157" s="1229">
        <f>NOV!$I$55</f>
        <v>0</v>
      </c>
      <c r="Q157" s="1230">
        <f>DIC!$I$55</f>
        <v>0</v>
      </c>
      <c r="R157" s="1231">
        <f>O157+P157+Q157</f>
        <v>0</v>
      </c>
      <c r="S157" s="847"/>
      <c r="T157" s="1220">
        <f>SUM(C157:E157)+SUM(G157:I157)+SUM(K157:M157)+SUM(O157:Q157)</f>
        <v>0</v>
      </c>
      <c r="U157" s="25"/>
    </row>
    <row r="158" spans="1:21" ht="18" customHeight="1" x14ac:dyDescent="0.2">
      <c r="A158" s="839"/>
      <c r="B158" s="1232" t="str">
        <f>B24</f>
        <v>Valori percentuali</v>
      </c>
      <c r="C158" s="1233">
        <f>GEN!$I$56</f>
        <v>0</v>
      </c>
      <c r="D158" s="1234">
        <f>FEB!$I$56</f>
        <v>0</v>
      </c>
      <c r="E158" s="1235">
        <f>MAR!$I$56</f>
        <v>0</v>
      </c>
      <c r="F158" s="1236">
        <f>C158+D158+E158</f>
        <v>0</v>
      </c>
      <c r="G158" s="1233">
        <f>APR!$I$56</f>
        <v>0</v>
      </c>
      <c r="H158" s="1234">
        <f>MAG!$I$56</f>
        <v>0</v>
      </c>
      <c r="I158" s="1235">
        <f>GIU!$I$56</f>
        <v>0</v>
      </c>
      <c r="J158" s="1236">
        <f>G158+H158+I158</f>
        <v>0</v>
      </c>
      <c r="K158" s="1233">
        <f>LUG!$I$56</f>
        <v>0</v>
      </c>
      <c r="L158" s="1234">
        <f>AGO!$I$56</f>
        <v>0</v>
      </c>
      <c r="M158" s="1235">
        <f>SET!$I$56</f>
        <v>0</v>
      </c>
      <c r="N158" s="1236">
        <f>K158+L158+M158</f>
        <v>0</v>
      </c>
      <c r="O158" s="1233">
        <f>OTT!$I$56</f>
        <v>0</v>
      </c>
      <c r="P158" s="1234">
        <f>NOV!$I$56</f>
        <v>0</v>
      </c>
      <c r="Q158" s="1235">
        <f>DIC!$I$56</f>
        <v>0</v>
      </c>
      <c r="R158" s="1236">
        <f>O158+P158+Q158</f>
        <v>0</v>
      </c>
      <c r="S158" s="847"/>
      <c r="T158" s="1221">
        <f>SUMIF(C158:E158,"&lt;&gt;0")+SUMIF(G158:I158,"&lt;&gt;0")+SUMIF(K158:M158,"&lt;&gt;0")+SUMIF(O158:Q158,"&lt;&gt;0")</f>
        <v>0</v>
      </c>
      <c r="U158" s="25"/>
    </row>
    <row r="159" spans="1:21" ht="11.25" customHeight="1" x14ac:dyDescent="0.2">
      <c r="A159" s="123"/>
      <c r="B159" s="30"/>
      <c r="C159" s="30"/>
      <c r="D159" s="30"/>
      <c r="E159" s="30"/>
      <c r="F159" s="614"/>
      <c r="G159" s="30"/>
      <c r="H159" s="30"/>
      <c r="I159" s="30"/>
      <c r="J159" s="30"/>
      <c r="K159" s="30"/>
      <c r="L159" s="30"/>
      <c r="M159" s="30"/>
      <c r="N159" s="30"/>
      <c r="O159" s="30"/>
      <c r="P159" s="30"/>
      <c r="Q159" s="30"/>
      <c r="R159" s="30"/>
      <c r="S159" s="26"/>
      <c r="T159" s="30"/>
      <c r="U159" s="25"/>
    </row>
    <row r="160" spans="1:21" ht="21" customHeight="1" x14ac:dyDescent="0.2">
      <c r="A160" s="1258"/>
      <c r="B160" s="145"/>
      <c r="C160" s="2382" t="s">
        <v>544</v>
      </c>
      <c r="D160" s="2382"/>
      <c r="E160" s="2382"/>
      <c r="F160" s="614"/>
      <c r="G160" s="2382" t="s">
        <v>544</v>
      </c>
      <c r="H160" s="2382"/>
      <c r="I160" s="2382"/>
      <c r="J160" s="44"/>
      <c r="K160" s="2382" t="s">
        <v>544</v>
      </c>
      <c r="L160" s="2382"/>
      <c r="M160" s="2382"/>
      <c r="N160" s="44"/>
      <c r="O160" s="2382" t="s">
        <v>544</v>
      </c>
      <c r="P160" s="2382"/>
      <c r="Q160" s="2382"/>
      <c r="R160" s="44"/>
      <c r="S160" s="28"/>
      <c r="T160" s="45"/>
      <c r="U160" s="25"/>
    </row>
    <row r="161" spans="1:21" ht="18" customHeight="1" x14ac:dyDescent="0.2">
      <c r="A161" s="123"/>
      <c r="B161" s="242" t="s">
        <v>286</v>
      </c>
      <c r="C161" s="196">
        <f>GEN!$C$52</f>
        <v>0</v>
      </c>
      <c r="D161" s="197">
        <f>FEB!$C$52</f>
        <v>0</v>
      </c>
      <c r="E161" s="198">
        <f>MAR!$C$52</f>
        <v>0</v>
      </c>
      <c r="F161" s="614"/>
      <c r="G161" s="196">
        <f>APR!$C$52</f>
        <v>0</v>
      </c>
      <c r="H161" s="197">
        <f>MAG!$C$52</f>
        <v>0</v>
      </c>
      <c r="I161" s="198">
        <f>GIU!$C$52</f>
        <v>0</v>
      </c>
      <c r="J161" s="614"/>
      <c r="K161" s="196">
        <f>LUG!$C$52</f>
        <v>0</v>
      </c>
      <c r="L161" s="197">
        <f>AGO!$C$52</f>
        <v>0</v>
      </c>
      <c r="M161" s="198">
        <f>SET!$C$52</f>
        <v>0</v>
      </c>
      <c r="N161" s="614"/>
      <c r="O161" s="196">
        <f>OTT!$C$52</f>
        <v>0</v>
      </c>
      <c r="P161" s="197">
        <f>NOV!$C$52</f>
        <v>0</v>
      </c>
      <c r="Q161" s="198">
        <f>DIC!$C$52</f>
        <v>0</v>
      </c>
      <c r="R161" s="614"/>
      <c r="S161" s="26"/>
      <c r="T161" s="614"/>
      <c r="U161" s="25"/>
    </row>
    <row r="162" spans="1:21" ht="18" customHeight="1" x14ac:dyDescent="0.2">
      <c r="A162" s="123"/>
      <c r="B162" s="242" t="s">
        <v>545</v>
      </c>
      <c r="C162" s="898">
        <f>GEN!$C$54</f>
        <v>0</v>
      </c>
      <c r="D162" s="899">
        <f>FEB!$C$54</f>
        <v>0</v>
      </c>
      <c r="E162" s="900">
        <f>MAR!$C$54</f>
        <v>0</v>
      </c>
      <c r="F162" s="614"/>
      <c r="G162" s="898">
        <f>APR!$C$54</f>
        <v>0</v>
      </c>
      <c r="H162" s="899">
        <f>MAG!$C$54</f>
        <v>0</v>
      </c>
      <c r="I162" s="900">
        <f>GIU!$C$54</f>
        <v>0</v>
      </c>
      <c r="J162" s="614"/>
      <c r="K162" s="898">
        <f>LUG!$C$54</f>
        <v>0</v>
      </c>
      <c r="L162" s="899">
        <f>AGO!$C$54</f>
        <v>0</v>
      </c>
      <c r="M162" s="900">
        <f>SET!$C$54</f>
        <v>0</v>
      </c>
      <c r="N162" s="614"/>
      <c r="O162" s="898">
        <f>OTT!$C$54</f>
        <v>0</v>
      </c>
      <c r="P162" s="899">
        <f>NOV!$C$54</f>
        <v>0</v>
      </c>
      <c r="Q162" s="900">
        <f>DIC!$C$54</f>
        <v>0</v>
      </c>
      <c r="R162" s="614"/>
      <c r="S162" s="26"/>
      <c r="T162" s="614"/>
      <c r="U162" s="25"/>
    </row>
    <row r="163" spans="1:21" ht="18" customHeight="1" x14ac:dyDescent="0.2">
      <c r="A163" s="123"/>
      <c r="B163" s="242" t="s">
        <v>99</v>
      </c>
      <c r="C163" s="533">
        <f>GEN!$C$56</f>
        <v>0</v>
      </c>
      <c r="D163" s="534">
        <f>FEB!$C$56</f>
        <v>0</v>
      </c>
      <c r="E163" s="535">
        <f>MAR!$C$56</f>
        <v>0</v>
      </c>
      <c r="F163" s="614"/>
      <c r="G163" s="533">
        <f>APR!$C$56</f>
        <v>0</v>
      </c>
      <c r="H163" s="534">
        <f>MAG!$C$56</f>
        <v>0</v>
      </c>
      <c r="I163" s="535">
        <f>GIU!$C$56</f>
        <v>0</v>
      </c>
      <c r="J163" s="614"/>
      <c r="K163" s="533">
        <f>LUG!$C$56</f>
        <v>0</v>
      </c>
      <c r="L163" s="534">
        <f>AGO!$C$56</f>
        <v>0</v>
      </c>
      <c r="M163" s="535">
        <f>SET!$C$56</f>
        <v>0</v>
      </c>
      <c r="N163" s="614"/>
      <c r="O163" s="533">
        <f>OTT!$C$56</f>
        <v>0</v>
      </c>
      <c r="P163" s="534">
        <f>NOV!$C$56</f>
        <v>0</v>
      </c>
      <c r="Q163" s="535">
        <f>DIC!$C$56</f>
        <v>0</v>
      </c>
      <c r="R163" s="614"/>
      <c r="S163" s="26"/>
      <c r="T163" s="614"/>
      <c r="U163" s="25"/>
    </row>
    <row r="164" spans="1:21" ht="18" customHeight="1" x14ac:dyDescent="0.2">
      <c r="A164" s="123"/>
      <c r="B164" s="242" t="s">
        <v>100</v>
      </c>
      <c r="C164" s="199">
        <f>GEN!$E$56</f>
        <v>0</v>
      </c>
      <c r="D164" s="200">
        <f>FEB!$E$56</f>
        <v>0</v>
      </c>
      <c r="E164" s="201">
        <f>MAR!$E$56</f>
        <v>0</v>
      </c>
      <c r="F164" s="614"/>
      <c r="G164" s="199">
        <f>APR!$E$56</f>
        <v>0</v>
      </c>
      <c r="H164" s="200">
        <f>MAG!$E$56</f>
        <v>0</v>
      </c>
      <c r="I164" s="201">
        <f>GIU!$E$56</f>
        <v>0</v>
      </c>
      <c r="J164" s="614"/>
      <c r="K164" s="199">
        <f>LUG!$E$56</f>
        <v>0</v>
      </c>
      <c r="L164" s="200">
        <f>AGO!$E$56</f>
        <v>0</v>
      </c>
      <c r="M164" s="201">
        <f>SET!$E$56</f>
        <v>0</v>
      </c>
      <c r="N164" s="614"/>
      <c r="O164" s="199">
        <f>OTT!$E$56</f>
        <v>0</v>
      </c>
      <c r="P164" s="200">
        <f>NOV!$E$56</f>
        <v>0</v>
      </c>
      <c r="Q164" s="201">
        <f>DIC!$E$56</f>
        <v>0</v>
      </c>
      <c r="R164" s="614"/>
      <c r="S164" s="26"/>
      <c r="T164" s="614"/>
      <c r="U164" s="25"/>
    </row>
    <row r="165" spans="1:21" ht="15" customHeight="1" x14ac:dyDescent="0.2">
      <c r="A165" s="1259"/>
      <c r="B165" s="614"/>
      <c r="C165" s="614"/>
      <c r="D165" s="614"/>
      <c r="E165" s="614"/>
      <c r="F165" s="614"/>
      <c r="G165" s="614"/>
      <c r="H165" s="614"/>
      <c r="I165" s="614"/>
      <c r="J165" s="614"/>
      <c r="K165" s="614"/>
      <c r="L165" s="614"/>
      <c r="M165" s="614"/>
      <c r="N165" s="614"/>
      <c r="O165" s="614"/>
      <c r="P165" s="614"/>
      <c r="Q165" s="614"/>
      <c r="R165" s="614"/>
      <c r="S165" s="614"/>
      <c r="T165" s="614"/>
      <c r="U165" s="614"/>
    </row>
    <row r="166" spans="1:21" ht="21" customHeight="1" x14ac:dyDescent="0.2">
      <c r="A166" s="123"/>
      <c r="B166" s="58"/>
      <c r="C166" s="358" t="str">
        <f>Presentazione!$H$23</f>
        <v/>
      </c>
      <c r="D166" s="30"/>
      <c r="E166" s="30"/>
      <c r="F166" s="30"/>
      <c r="G166" s="30"/>
      <c r="H166" s="30"/>
      <c r="I166" s="30"/>
      <c r="J166" s="30"/>
      <c r="K166" s="358" t="str">
        <f>C166</f>
        <v/>
      </c>
      <c r="L166" s="30"/>
      <c r="M166" s="30"/>
      <c r="N166" s="30"/>
      <c r="O166" s="30"/>
      <c r="P166" s="30"/>
      <c r="Q166" s="272"/>
      <c r="R166" s="272"/>
      <c r="S166" s="195"/>
      <c r="T166" s="273"/>
      <c r="U166" s="25"/>
    </row>
    <row r="167" spans="1:21" ht="26.25" customHeight="1" x14ac:dyDescent="0.2">
      <c r="A167" s="123"/>
      <c r="B167" s="30"/>
      <c r="C167" s="357" t="str">
        <f>IF(Presentazione!$J$173=Presentazione!$K$95,CONCATENATE(Presentazione!$F$89,"   -   ","P.I./C.F ",Presentazione!$K$91),Presentazione!$I$165)</f>
        <v>Sistema attivato dal 01/01 al 31/03. Modifica il trimestre dal foglio Presentazione.</v>
      </c>
      <c r="D167" s="356"/>
      <c r="E167" s="356"/>
      <c r="F167" s="356"/>
      <c r="G167" s="356"/>
      <c r="H167" s="440"/>
      <c r="I167" s="440"/>
      <c r="J167" s="440"/>
      <c r="K167" s="357" t="str">
        <f>C167</f>
        <v>Sistema attivato dal 01/01 al 31/03. Modifica il trimestre dal foglio Presentazione.</v>
      </c>
      <c r="L167" s="356"/>
      <c r="M167" s="356"/>
      <c r="N167" s="356"/>
      <c r="O167" s="356"/>
      <c r="P167" s="2381"/>
      <c r="Q167" s="2381"/>
      <c r="R167" s="2381"/>
      <c r="S167" s="26"/>
      <c r="T167" s="30"/>
      <c r="U167" s="25"/>
    </row>
    <row r="168" spans="1:21" ht="17.25" customHeight="1" x14ac:dyDescent="0.2">
      <c r="A168" s="123"/>
      <c r="B168" s="30"/>
      <c r="C168" s="362"/>
      <c r="D168" s="122"/>
      <c r="E168" s="31"/>
      <c r="F168" s="2380" t="str">
        <f>CONCATENATE(Presentazione!$G$29,"   -   ",Presentazione!$L$100)</f>
        <v>Registro Contabile Giornaliero 6.0.7 - per EXCEL .xlsm   -   www.marcopiccoli.it</v>
      </c>
      <c r="G168" s="2380"/>
      <c r="H168" s="2380"/>
      <c r="I168" s="2380"/>
      <c r="J168" s="2380"/>
      <c r="K168" s="362"/>
      <c r="L168" s="122"/>
      <c r="M168" s="30"/>
      <c r="N168" s="2380" t="str">
        <f>CONCATENATE(Presentazione!$G$29,"   -   ",Presentazione!$L$100)</f>
        <v>Registro Contabile Giornaliero 6.0.7 - per EXCEL .xlsm   -   www.marcopiccoli.it</v>
      </c>
      <c r="O168" s="2380"/>
      <c r="P168" s="2380"/>
      <c r="Q168" s="2380"/>
      <c r="R168" s="2380"/>
      <c r="S168" s="80"/>
      <c r="T168" s="80"/>
      <c r="U168" s="25"/>
    </row>
    <row r="169" spans="1:21" ht="15" customHeight="1" x14ac:dyDescent="0.2">
      <c r="A169" s="1"/>
      <c r="B169" s="46"/>
      <c r="C169" s="194"/>
      <c r="D169" s="194"/>
      <c r="E169" s="194"/>
      <c r="F169" s="194"/>
      <c r="G169" s="194"/>
      <c r="H169" s="194"/>
      <c r="I169" s="194"/>
      <c r="J169" s="194"/>
      <c r="K169" s="194"/>
      <c r="L169" s="194"/>
      <c r="M169" s="194"/>
      <c r="N169" s="194"/>
      <c r="O169" s="194"/>
      <c r="P169" s="194"/>
      <c r="Q169" s="194"/>
      <c r="R169" s="194"/>
      <c r="S169" s="28"/>
      <c r="T169" s="45"/>
      <c r="U169" s="270"/>
    </row>
    <row r="170" spans="1:21" hidden="1" x14ac:dyDescent="0.2">
      <c r="A170" s="25"/>
      <c r="B170" s="1020" t="s">
        <v>365</v>
      </c>
      <c r="C170" s="1021">
        <f>IF(AND(OR(C116&lt;&gt;0,C5&lt;&gt;0),C173=1),1,0)</f>
        <v>0</v>
      </c>
      <c r="D170" s="1021">
        <f>IF(AND(OR(D116&lt;&gt;0,D5&lt;&gt;0),D173=1),1,0)</f>
        <v>0</v>
      </c>
      <c r="E170" s="1021">
        <f>IF(AND(OR(E116&lt;&gt;0,E5&lt;&gt;0),E173=1),1,0)</f>
        <v>0</v>
      </c>
      <c r="F170" s="507"/>
      <c r="G170" s="1021">
        <f>IF(AND(OR(G116&lt;&gt;0,G5&lt;&gt;0),G173=1),1,0)</f>
        <v>0</v>
      </c>
      <c r="H170" s="1021">
        <f>IF(AND(OR(H116&lt;&gt;0,H5&lt;&gt;0),H173=1),1,0)</f>
        <v>0</v>
      </c>
      <c r="I170" s="1021">
        <f>IF(AND(OR(I116&lt;&gt;0,I5&lt;&gt;0),I173=1),1,0)</f>
        <v>0</v>
      </c>
      <c r="J170" s="507"/>
      <c r="K170" s="1021">
        <f>IF(AND(OR(K116&lt;&gt;0,K5&lt;&gt;0),K173=1),1,0)</f>
        <v>0</v>
      </c>
      <c r="L170" s="1021">
        <f>IF(AND(OR(L116&lt;&gt;0,L5&lt;&gt;0),L173=1),1,0)</f>
        <v>0</v>
      </c>
      <c r="M170" s="1021">
        <f>IF(AND(OR(M116&lt;&gt;0,M5&lt;&gt;0),M173=1),1,0)</f>
        <v>0</v>
      </c>
      <c r="N170" s="507"/>
      <c r="O170" s="1021">
        <f>IF(AND(OR(O116&lt;&gt;0,O5&lt;&gt;0),O173=1),1,0)</f>
        <v>0</v>
      </c>
      <c r="P170" s="1021">
        <f>IF(AND(OR(P116&lt;&gt;0,P5&lt;&gt;0),P173=1),1,0)</f>
        <v>0</v>
      </c>
      <c r="Q170" s="1021">
        <f>IF(AND(OR(Q116&lt;&gt;0,Q5&lt;&gt;0),Q173=1),1,0)</f>
        <v>0</v>
      </c>
      <c r="R170" s="507"/>
      <c r="S170" s="25"/>
      <c r="T170" s="25"/>
      <c r="U170" s="25"/>
    </row>
    <row r="171" spans="1:21" hidden="1" x14ac:dyDescent="0.2">
      <c r="A171" s="25"/>
      <c r="B171" s="109"/>
      <c r="C171" s="292">
        <v>1</v>
      </c>
      <c r="D171" s="292">
        <v>2</v>
      </c>
      <c r="E171" s="292">
        <v>3</v>
      </c>
      <c r="F171" s="25"/>
      <c r="G171" s="292">
        <v>4</v>
      </c>
      <c r="H171" s="292">
        <v>5</v>
      </c>
      <c r="I171" s="292">
        <v>6</v>
      </c>
      <c r="J171" s="25"/>
      <c r="K171" s="292">
        <v>7</v>
      </c>
      <c r="L171" s="292">
        <v>8</v>
      </c>
      <c r="M171" s="292">
        <v>9</v>
      </c>
      <c r="N171" s="25"/>
      <c r="O171" s="292">
        <v>10</v>
      </c>
      <c r="P171" s="292">
        <v>11</v>
      </c>
      <c r="Q171" s="292">
        <v>12</v>
      </c>
      <c r="R171" s="25"/>
      <c r="S171" s="25"/>
      <c r="T171" s="25"/>
      <c r="U171" s="25"/>
    </row>
    <row r="172" spans="1:21" hidden="1" x14ac:dyDescent="0.2">
      <c r="A172" s="25"/>
      <c r="B172" s="109" t="s">
        <v>397</v>
      </c>
      <c r="C172" s="293">
        <f>IF(C171&gt;MONTH(GEN!$B$130),1,0)</f>
        <v>0</v>
      </c>
      <c r="D172" s="293">
        <f>IF(D171&gt;MONTH(FEB!$B$130),1,0)</f>
        <v>0</v>
      </c>
      <c r="E172" s="293">
        <f>IF(E171&gt;MONTH(MAR!$B$130),1,0)</f>
        <v>0</v>
      </c>
      <c r="F172" s="25"/>
      <c r="G172" s="293">
        <f>IF(G171&gt;MONTH(APR!$B$130),1,0)</f>
        <v>1</v>
      </c>
      <c r="H172" s="293">
        <f>IF(H171&gt;MONTH(MAG!$B$130),1,0)</f>
        <v>1</v>
      </c>
      <c r="I172" s="293">
        <f>IF(I171&gt;MONTH(GIU!$B$130),1,0)</f>
        <v>1</v>
      </c>
      <c r="J172" s="25"/>
      <c r="K172" s="293">
        <f>IF(K171&gt;MONTH(LUG!$B$130),1,0)</f>
        <v>1</v>
      </c>
      <c r="L172" s="293">
        <f>IF(L171&gt;MONTH(AGO!$B$130),1,0)</f>
        <v>1</v>
      </c>
      <c r="M172" s="293">
        <f>IF(M171&gt;MONTH(SET!$B$130),1,0)</f>
        <v>1</v>
      </c>
      <c r="N172" s="25"/>
      <c r="O172" s="293">
        <f>IF(O171&gt;MONTH(OTT!$B$130),1,0)</f>
        <v>1</v>
      </c>
      <c r="P172" s="293">
        <f>IF(P171&gt;MONTH(NOV!$B$130),1,0)</f>
        <v>1</v>
      </c>
      <c r="Q172" s="293">
        <f>IF(Q171&gt;MONTH(DIC!$B$130),1,0)</f>
        <v>1</v>
      </c>
      <c r="R172" s="25"/>
      <c r="S172" s="25"/>
      <c r="T172" s="25"/>
      <c r="U172" s="25"/>
    </row>
    <row r="173" spans="1:21" hidden="1" x14ac:dyDescent="0.2">
      <c r="A173" s="25"/>
      <c r="B173" s="109" t="s">
        <v>365</v>
      </c>
      <c r="C173" s="293">
        <f>GEN!$O$199</f>
        <v>0</v>
      </c>
      <c r="D173" s="293">
        <f>FEB!$O$199</f>
        <v>0</v>
      </c>
      <c r="E173" s="293">
        <f>MAR!$O$199</f>
        <v>0</v>
      </c>
      <c r="F173" s="25"/>
      <c r="G173" s="293">
        <f>APR!$O$199</f>
        <v>0</v>
      </c>
      <c r="H173" s="293">
        <f>MAG!$O$199</f>
        <v>0</v>
      </c>
      <c r="I173" s="293">
        <f>GIU!$O$199</f>
        <v>0</v>
      </c>
      <c r="J173" s="25"/>
      <c r="K173" s="293">
        <f>LUG!$O$199</f>
        <v>0</v>
      </c>
      <c r="L173" s="293">
        <f>AGO!$O$199</f>
        <v>0</v>
      </c>
      <c r="M173" s="293">
        <f>SET!$O$199</f>
        <v>0</v>
      </c>
      <c r="N173" s="25"/>
      <c r="O173" s="293">
        <f>OTT!$O$199</f>
        <v>0</v>
      </c>
      <c r="P173" s="293">
        <f>NOV!$O$199</f>
        <v>0</v>
      </c>
      <c r="Q173" s="293">
        <f>DIC!$O$199</f>
        <v>0</v>
      </c>
      <c r="R173" s="25"/>
      <c r="S173" s="25"/>
      <c r="T173" s="25"/>
      <c r="U173" s="25"/>
    </row>
    <row r="174" spans="1:21" hidden="1" x14ac:dyDescent="0.2">
      <c r="A174" s="25"/>
      <c r="B174" s="25"/>
      <c r="C174" s="25"/>
      <c r="D174" s="25"/>
      <c r="E174" s="25"/>
      <c r="F174" s="25"/>
      <c r="G174" s="25"/>
      <c r="H174" s="25"/>
      <c r="I174" s="25"/>
      <c r="J174" s="25"/>
      <c r="K174" s="25"/>
      <c r="L174" s="25"/>
      <c r="M174" s="25"/>
      <c r="N174" s="25"/>
      <c r="O174" s="25"/>
      <c r="P174" s="25"/>
      <c r="Q174" s="25"/>
      <c r="R174" s="25"/>
      <c r="S174" s="25"/>
      <c r="T174" s="25"/>
      <c r="U174" s="25"/>
    </row>
    <row r="175" spans="1:21" hidden="1" x14ac:dyDescent="0.2">
      <c r="A175" s="25"/>
      <c r="B175" s="25"/>
      <c r="C175" s="142">
        <f>IMPOSTAZIONI!D143</f>
        <v>0</v>
      </c>
      <c r="D175" s="125" t="s">
        <v>442</v>
      </c>
      <c r="E175" s="25"/>
      <c r="F175" s="460"/>
      <c r="G175" s="461"/>
      <c r="H175" s="25"/>
      <c r="I175" s="25"/>
      <c r="J175" s="25"/>
      <c r="K175" s="25"/>
      <c r="L175" s="25"/>
      <c r="M175" s="25"/>
      <c r="N175" s="25"/>
      <c r="O175" s="25"/>
      <c r="P175" s="25"/>
      <c r="Q175" s="25"/>
      <c r="R175" s="25"/>
      <c r="S175" s="25"/>
      <c r="T175" s="25"/>
      <c r="U175" s="25"/>
    </row>
    <row r="176" spans="1:21" hidden="1" x14ac:dyDescent="0.2">
      <c r="A176" s="25"/>
      <c r="B176" s="25"/>
      <c r="C176" s="142" t="str">
        <f>IMPOSTAZIONI!D145</f>
        <v>OK</v>
      </c>
      <c r="D176" s="25"/>
      <c r="E176" s="25"/>
      <c r="F176" s="462"/>
      <c r="G176" s="463"/>
      <c r="H176" s="25"/>
      <c r="I176" s="25"/>
      <c r="J176" s="25"/>
      <c r="K176" s="25"/>
      <c r="L176" s="25"/>
      <c r="M176" s="25"/>
      <c r="N176" s="25"/>
      <c r="O176" s="25"/>
      <c r="P176" s="25"/>
      <c r="Q176" s="25"/>
      <c r="R176" s="25"/>
      <c r="S176" s="25"/>
      <c r="T176" s="25"/>
      <c r="U176" s="25"/>
    </row>
    <row r="177" spans="1:21" hidden="1" x14ac:dyDescent="0.2">
      <c r="A177" s="25"/>
      <c r="B177" s="25"/>
      <c r="C177" s="25"/>
      <c r="D177" s="25"/>
      <c r="E177" s="25"/>
      <c r="F177" s="464"/>
      <c r="G177" s="142">
        <f>IMPOSTAZIONI!B377</f>
        <v>0</v>
      </c>
      <c r="H177" s="125" t="s">
        <v>539</v>
      </c>
      <c r="I177" s="25"/>
      <c r="J177" s="25"/>
      <c r="K177" s="25"/>
      <c r="L177" s="25"/>
      <c r="M177" s="25"/>
      <c r="N177" s="25"/>
      <c r="O177" s="25"/>
      <c r="P177" s="25"/>
      <c r="Q177" s="25"/>
      <c r="R177" s="25"/>
      <c r="S177" s="25"/>
      <c r="T177" s="25"/>
      <c r="U177" s="25"/>
    </row>
    <row r="178" spans="1:21" hidden="1" x14ac:dyDescent="0.2">
      <c r="A178" s="25"/>
      <c r="B178" s="25"/>
      <c r="C178" s="25"/>
      <c r="D178" s="25"/>
      <c r="E178" s="25"/>
      <c r="F178" s="25"/>
      <c r="G178" s="142">
        <f>IMPOSTAZIONI!B331</f>
        <v>0</v>
      </c>
      <c r="H178" s="125" t="s">
        <v>541</v>
      </c>
      <c r="I178" s="25"/>
      <c r="J178" s="25"/>
      <c r="K178" s="25"/>
      <c r="L178" s="25"/>
      <c r="M178" s="25"/>
      <c r="N178" s="25"/>
      <c r="O178" s="25"/>
      <c r="P178" s="25"/>
      <c r="Q178" s="25"/>
      <c r="R178" s="25"/>
      <c r="S178" s="25"/>
      <c r="T178" s="25"/>
      <c r="U178" s="25"/>
    </row>
    <row r="179" spans="1:21" hidden="1" x14ac:dyDescent="0.2">
      <c r="A179" s="25"/>
      <c r="B179" s="25"/>
      <c r="C179" s="36">
        <v>1</v>
      </c>
      <c r="D179" s="117" t="s">
        <v>395</v>
      </c>
      <c r="E179" s="25"/>
      <c r="F179" s="159" t="str">
        <f>IMPOSTAZIONI!D141</f>
        <v>ESCLUDI</v>
      </c>
      <c r="G179" s="472">
        <f>COUNTIF(IMPOSTAZIONI!H36:AI36,F179)</f>
        <v>0</v>
      </c>
      <c r="H179" s="125" t="s">
        <v>149</v>
      </c>
      <c r="I179" s="25"/>
      <c r="J179" s="25"/>
      <c r="L179" s="25"/>
      <c r="M179" s="25"/>
      <c r="N179" s="25"/>
      <c r="O179" s="25"/>
      <c r="P179" s="25"/>
      <c r="Q179" s="25"/>
      <c r="R179" s="25"/>
      <c r="S179" s="25"/>
      <c r="T179" s="25"/>
      <c r="U179" s="25"/>
    </row>
    <row r="180" spans="1:21" hidden="1" x14ac:dyDescent="0.2">
      <c r="A180" s="25"/>
      <c r="B180" s="25"/>
      <c r="C180" s="36">
        <f>Presentazione!K167</f>
        <v>18</v>
      </c>
      <c r="D180" s="117" t="s">
        <v>395</v>
      </c>
      <c r="E180" s="25"/>
      <c r="F180" s="25"/>
      <c r="G180" s="25"/>
      <c r="H180" s="25"/>
      <c r="I180" s="25"/>
      <c r="J180" s="25"/>
      <c r="K180" s="25"/>
      <c r="L180" s="25"/>
      <c r="M180" s="25"/>
      <c r="N180" s="25"/>
      <c r="O180" s="25"/>
      <c r="P180" s="25"/>
      <c r="Q180" s="25"/>
      <c r="R180" s="25"/>
      <c r="S180" s="25"/>
      <c r="T180" s="25"/>
      <c r="U180" s="25"/>
    </row>
    <row r="181" spans="1:21" hidden="1" x14ac:dyDescent="0.2">
      <c r="A181" s="25"/>
      <c r="B181" s="25"/>
      <c r="C181" s="25"/>
      <c r="D181" s="25"/>
      <c r="E181" s="25"/>
      <c r="F181" s="25"/>
      <c r="G181" s="25"/>
      <c r="H181" s="25"/>
      <c r="I181" s="25"/>
      <c r="J181" s="25"/>
      <c r="K181" s="25"/>
      <c r="L181" s="25"/>
      <c r="M181" s="25"/>
      <c r="N181" s="25"/>
      <c r="O181" s="25"/>
      <c r="P181" s="25"/>
      <c r="Q181" s="25"/>
      <c r="R181" s="25"/>
      <c r="S181" s="25"/>
      <c r="T181" s="25"/>
      <c r="U181" s="25"/>
    </row>
    <row r="182" spans="1:21" hidden="1" x14ac:dyDescent="0.2">
      <c r="A182" s="25"/>
      <c r="B182" s="25"/>
      <c r="C182" s="36">
        <f>Presentazione!E167</f>
        <v>0</v>
      </c>
      <c r="D182" s="117" t="s">
        <v>535</v>
      </c>
      <c r="E182" s="43"/>
      <c r="F182" s="614"/>
      <c r="G182" s="614"/>
      <c r="H182" s="25"/>
      <c r="I182" s="25"/>
      <c r="J182" s="25"/>
      <c r="K182" s="25"/>
      <c r="L182" s="25"/>
      <c r="M182" s="25"/>
      <c r="N182" s="25"/>
      <c r="O182" s="25"/>
      <c r="P182" s="25"/>
      <c r="Q182" s="25"/>
      <c r="R182" s="25"/>
      <c r="S182" s="25"/>
      <c r="T182" s="25"/>
      <c r="U182" s="25"/>
    </row>
    <row r="183" spans="1:21" hidden="1" x14ac:dyDescent="0.2">
      <c r="A183" s="25"/>
      <c r="B183" s="25"/>
      <c r="C183" s="25"/>
      <c r="D183" s="25"/>
      <c r="E183" s="25"/>
      <c r="F183" s="614"/>
      <c r="G183" s="614"/>
      <c r="H183" s="25"/>
      <c r="I183" s="25"/>
      <c r="J183" s="25"/>
      <c r="K183" s="25"/>
      <c r="L183" s="25"/>
      <c r="M183" s="25"/>
      <c r="N183" s="25"/>
      <c r="O183" s="25"/>
      <c r="P183" s="25"/>
      <c r="Q183" s="25"/>
      <c r="R183" s="25"/>
      <c r="S183" s="25"/>
      <c r="T183" s="25"/>
      <c r="U183" s="25"/>
    </row>
    <row r="184" spans="1:21" hidden="1" x14ac:dyDescent="0.2">
      <c r="A184" s="25"/>
      <c r="B184" s="25"/>
      <c r="C184" s="25"/>
      <c r="D184" s="25"/>
      <c r="E184" s="25"/>
      <c r="F184" s="614"/>
      <c r="G184" s="614"/>
      <c r="H184" s="614"/>
      <c r="I184" s="25"/>
      <c r="J184" s="25"/>
      <c r="K184" s="25"/>
      <c r="L184" s="25"/>
      <c r="M184" s="25"/>
      <c r="N184" s="25"/>
      <c r="O184" s="25"/>
      <c r="P184" s="25"/>
      <c r="Q184" s="25"/>
      <c r="R184" s="25"/>
      <c r="S184" s="25"/>
      <c r="T184" s="25"/>
      <c r="U184" s="25"/>
    </row>
  </sheetData>
  <sheetProtection algorithmName="SHA-512" hashValue="vJPt9hBmqcx9Uzsqa/Mkv7gTqqzrHqm7rrcz/FJrvaJ+2is97U6mYeD9EQqki2K7VNsDfxPZq+JD3eLSno+00Q==" saltValue="resLcMICKmFShyDKbvk0tg==" spinCount="100000" sheet="1" objects="1" scenarios="1" selectLockedCells="1"/>
  <mergeCells count="35">
    <mergeCell ref="C114:G114"/>
    <mergeCell ref="H114:J114"/>
    <mergeCell ref="C147:I147"/>
    <mergeCell ref="C129:J129"/>
    <mergeCell ref="G160:I160"/>
    <mergeCell ref="C160:E160"/>
    <mergeCell ref="F168:J168"/>
    <mergeCell ref="G150:I150"/>
    <mergeCell ref="G155:I155"/>
    <mergeCell ref="C150:E150"/>
    <mergeCell ref="C155:E155"/>
    <mergeCell ref="K129:R129"/>
    <mergeCell ref="K114:O114"/>
    <mergeCell ref="P114:R114"/>
    <mergeCell ref="N168:R168"/>
    <mergeCell ref="P167:R167"/>
    <mergeCell ref="K160:M160"/>
    <mergeCell ref="O160:Q160"/>
    <mergeCell ref="K150:M150"/>
    <mergeCell ref="K155:M155"/>
    <mergeCell ref="O150:Q150"/>
    <mergeCell ref="O155:Q155"/>
    <mergeCell ref="K147:Q147"/>
    <mergeCell ref="P3:R3"/>
    <mergeCell ref="K20:O20"/>
    <mergeCell ref="K3:O3"/>
    <mergeCell ref="K67:O67"/>
    <mergeCell ref="C3:G3"/>
    <mergeCell ref="H3:J3"/>
    <mergeCell ref="C18:J18"/>
    <mergeCell ref="C67:E67"/>
    <mergeCell ref="F67:J67"/>
    <mergeCell ref="C20:E20"/>
    <mergeCell ref="F20:J20"/>
    <mergeCell ref="K18:R18"/>
  </mergeCells>
  <phoneticPr fontId="4" type="noConversion"/>
  <conditionalFormatting sqref="A100 A109:A110">
    <cfRule type="expression" dxfId="878" priority="1157" stopIfTrue="1">
      <formula>ISERROR($B100)</formula>
    </cfRule>
  </conditionalFormatting>
  <conditionalFormatting sqref="C111:R111 T111">
    <cfRule type="expression" dxfId="877" priority="1192" stopIfTrue="1">
      <formula>ISERROR(C111)</formula>
    </cfRule>
    <cfRule type="expression" dxfId="876" priority="1193" stopIfTrue="1">
      <formula>C111=0</formula>
    </cfRule>
    <cfRule type="expression" dxfId="875" priority="1194" stopIfTrue="1">
      <formula>ROUND(C112,2)=0</formula>
    </cfRule>
  </conditionalFormatting>
  <conditionalFormatting sqref="F175:F176">
    <cfRule type="expression" dxfId="874" priority="1244" stopIfTrue="1">
      <formula>#REF!=#REF!</formula>
    </cfRule>
  </conditionalFormatting>
  <conditionalFormatting sqref="K138:Q138 C138:I138 G161:I164 O161:Q164 K161:M164 C161:E164">
    <cfRule type="cellIs" dxfId="873" priority="1279" stopIfTrue="1" operator="equal">
      <formula>0</formula>
    </cfRule>
  </conditionalFormatting>
  <conditionalFormatting sqref="S7 T17">
    <cfRule type="expression" dxfId="872" priority="1280" stopIfTrue="1">
      <formula>ISERROR(S7)</formula>
    </cfRule>
  </conditionalFormatting>
  <conditionalFormatting sqref="S66:S68 S8:S21 S169 S109:S110 S138:S139 S129:S132 S150">
    <cfRule type="expression" dxfId="871" priority="1283" stopIfTrue="1">
      <formula>OR(S8=0,ISERROR(S8))</formula>
    </cfRule>
  </conditionalFormatting>
  <conditionalFormatting sqref="T129:T132 K109:M110 C109:E110 G109:I110 O109:Q110 P67:Q67 T66:T67 P20:Q20 T18:T20 T169 T109:T110 T138:T139">
    <cfRule type="expression" dxfId="870" priority="1284" stopIfTrue="1">
      <formula>OR(C18=0,ISERROR(C18))</formula>
    </cfRule>
    <cfRule type="expression" dxfId="869" priority="1285" stopIfTrue="1">
      <formula>ISERROR(C18)</formula>
    </cfRule>
  </conditionalFormatting>
  <conditionalFormatting sqref="R67 R20 R109:R110 J109:J110 F109:F110 N109:N110">
    <cfRule type="expression" dxfId="868" priority="1286" stopIfTrue="1">
      <formula>OR(F20=0,ISERROR(F20))</formula>
    </cfRule>
    <cfRule type="expression" dxfId="867" priority="1287" stopIfTrue="1">
      <formula>ISERROR(F20)</formula>
    </cfRule>
  </conditionalFormatting>
  <conditionalFormatting sqref="B130:B132 C130:Q130 R130:R132 J138 B66:R66 B19:R19 C139:Q139 B138:B139 R138:R139 B169:R169">
    <cfRule type="expression" dxfId="866" priority="1289" stopIfTrue="1">
      <formula>#REF!=0</formula>
    </cfRule>
  </conditionalFormatting>
  <conditionalFormatting sqref="C129:R129 C18:R18">
    <cfRule type="expression" dxfId="865" priority="1293" stopIfTrue="1">
      <formula>ISERROR($C$180)</formula>
    </cfRule>
  </conditionalFormatting>
  <conditionalFormatting sqref="B109:B110">
    <cfRule type="expression" dxfId="864" priority="1299" stopIfTrue="1">
      <formula>ISERROR(#REF!)</formula>
    </cfRule>
  </conditionalFormatting>
  <conditionalFormatting sqref="R68 N68 J68 F68 T68 F21 T21 R21 N21 J21">
    <cfRule type="expression" dxfId="863" priority="1300" stopIfTrue="1">
      <formula>ISERROR($B$69)</formula>
    </cfRule>
  </conditionalFormatting>
  <conditionalFormatting sqref="S111">
    <cfRule type="expression" dxfId="862" priority="1301" stopIfTrue="1">
      <formula>ISERROR(S111)</formula>
    </cfRule>
    <cfRule type="expression" dxfId="861" priority="1302" stopIfTrue="1">
      <formula>S111=0</formula>
    </cfRule>
  </conditionalFormatting>
  <conditionalFormatting sqref="C112:R112 T112">
    <cfRule type="cellIs" dxfId="860" priority="1303" stopIfTrue="1" operator="equal">
      <formula>0</formula>
    </cfRule>
    <cfRule type="expression" dxfId="859" priority="1304" stopIfTrue="1">
      <formula>ROUND(C112,2)=0</formula>
    </cfRule>
  </conditionalFormatting>
  <conditionalFormatting sqref="G8:I16 K8:M16 O8:Q16 C8:E16">
    <cfRule type="expression" dxfId="858" priority="1394" stopIfTrue="1">
      <formula>ISERROR(C8)</formula>
    </cfRule>
    <cfRule type="expression" dxfId="857" priority="1395" stopIfTrue="1">
      <formula>OR(C$5=0,$B8="")</formula>
    </cfRule>
    <cfRule type="cellIs" dxfId="856" priority="1396" stopIfTrue="1" operator="equal">
      <formula>0</formula>
    </cfRule>
  </conditionalFormatting>
  <conditionalFormatting sqref="F8:F16 J8:J16 N8:N16 R8:R16">
    <cfRule type="expression" dxfId="855" priority="643" stopIfTrue="1">
      <formula>F$5=0</formula>
    </cfRule>
    <cfRule type="expression" dxfId="854" priority="1402" stopIfTrue="1">
      <formula>ISERROR(F8)</formula>
    </cfRule>
    <cfRule type="expression" dxfId="853" priority="1403" stopIfTrue="1">
      <formula>$A8=""</formula>
    </cfRule>
    <cfRule type="cellIs" dxfId="852" priority="1404" operator="equal">
      <formula>0</formula>
    </cfRule>
  </conditionalFormatting>
  <conditionalFormatting sqref="G17:I17 K17:M17 O17:Q17 C17:E17">
    <cfRule type="expression" dxfId="851" priority="4571" stopIfTrue="1">
      <formula>ISERROR(C17)</formula>
    </cfRule>
    <cfRule type="expression" dxfId="850" priority="4572" stopIfTrue="1">
      <formula>C5=0</formula>
    </cfRule>
  </conditionalFormatting>
  <conditionalFormatting sqref="J17 N17 R17 F17">
    <cfRule type="expression" dxfId="849" priority="4588" stopIfTrue="1">
      <formula>ISERROR(F17)</formula>
    </cfRule>
    <cfRule type="expression" dxfId="848" priority="4589" stopIfTrue="1">
      <formula>F5=0</formula>
    </cfRule>
  </conditionalFormatting>
  <conditionalFormatting sqref="O7:Q7">
    <cfRule type="expression" dxfId="847" priority="4822" stopIfTrue="1">
      <formula>ISERROR(O7)</formula>
    </cfRule>
    <cfRule type="expression" dxfId="846" priority="4823" stopIfTrue="1">
      <formula>OR(AND(O7=0,$R7=0),#REF!=0)</formula>
    </cfRule>
    <cfRule type="cellIs" dxfId="845" priority="4824" stopIfTrue="1" operator="equal">
      <formula>0</formula>
    </cfRule>
  </conditionalFormatting>
  <conditionalFormatting sqref="K7:M7">
    <cfRule type="expression" dxfId="844" priority="4828" stopIfTrue="1">
      <formula>ISERROR(K7)</formula>
    </cfRule>
    <cfRule type="expression" dxfId="843" priority="4829" stopIfTrue="1">
      <formula>OR(AND(K7=0,$N7=0),#REF!=0)</formula>
    </cfRule>
    <cfRule type="cellIs" dxfId="842" priority="4830" stopIfTrue="1" operator="equal">
      <formula>0</formula>
    </cfRule>
  </conditionalFormatting>
  <conditionalFormatting sqref="G7:I7">
    <cfRule type="expression" dxfId="841" priority="4834" stopIfTrue="1">
      <formula>ISERROR(G7)</formula>
    </cfRule>
    <cfRule type="expression" dxfId="840" priority="4835" stopIfTrue="1">
      <formula>OR(AND(G7=0,$J7=0),#REF!=0)</formula>
    </cfRule>
    <cfRule type="cellIs" dxfId="839" priority="4836" stopIfTrue="1" operator="equal">
      <formula>0</formula>
    </cfRule>
  </conditionalFormatting>
  <conditionalFormatting sqref="C6:E6">
    <cfRule type="expression" dxfId="838" priority="1138" stopIfTrue="1">
      <formula>ISERROR(C6)</formula>
    </cfRule>
    <cfRule type="expression" dxfId="837" priority="1139" stopIfTrue="1">
      <formula>ROUND(C6,2)=0</formula>
    </cfRule>
  </conditionalFormatting>
  <conditionalFormatting sqref="S6">
    <cfRule type="expression" dxfId="836" priority="1140" stopIfTrue="1">
      <formula>ISERROR(S6)</formula>
    </cfRule>
  </conditionalFormatting>
  <conditionalFormatting sqref="S5">
    <cfRule type="expression" dxfId="835" priority="1141" stopIfTrue="1">
      <formula>S5=0</formula>
    </cfRule>
  </conditionalFormatting>
  <conditionalFormatting sqref="F6">
    <cfRule type="expression" dxfId="834" priority="1144" stopIfTrue="1">
      <formula>ISERROR(F6)</formula>
    </cfRule>
    <cfRule type="cellIs" dxfId="833" priority="1145" stopIfTrue="1" operator="equal">
      <formula>0</formula>
    </cfRule>
    <cfRule type="expression" dxfId="832" priority="1146" stopIfTrue="1">
      <formula>ROUND(F6,2)=0</formula>
    </cfRule>
  </conditionalFormatting>
  <conditionalFormatting sqref="T6">
    <cfRule type="expression" dxfId="831" priority="1149" stopIfTrue="1">
      <formula>ISERROR(T6)</formula>
    </cfRule>
    <cfRule type="cellIs" dxfId="830" priority="1150" stopIfTrue="1" operator="equal">
      <formula>0</formula>
    </cfRule>
    <cfRule type="expression" dxfId="829" priority="1151" stopIfTrue="1">
      <formula>ROUND(T6,2)=0</formula>
    </cfRule>
  </conditionalFormatting>
  <conditionalFormatting sqref="C5:E5">
    <cfRule type="expression" dxfId="828" priority="1153" stopIfTrue="1">
      <formula>ROUND(C5,2)=0</formula>
    </cfRule>
  </conditionalFormatting>
  <conditionalFormatting sqref="C5:E5">
    <cfRule type="expression" dxfId="827" priority="1152">
      <formula>ISERROR(C5)</formula>
    </cfRule>
  </conditionalFormatting>
  <conditionalFormatting sqref="F5">
    <cfRule type="expression" dxfId="826" priority="1137">
      <formula>ISERROR(F5)</formula>
    </cfRule>
    <cfRule type="expression" dxfId="825" priority="1142" stopIfTrue="1">
      <formula>F5=0</formula>
    </cfRule>
    <cfRule type="expression" dxfId="824" priority="1143" stopIfTrue="1">
      <formula>ROUND(F5,2)=0</formula>
    </cfRule>
  </conditionalFormatting>
  <conditionalFormatting sqref="T5">
    <cfRule type="expression" dxfId="823" priority="1135">
      <formula>ISERROR(T5)</formula>
    </cfRule>
    <cfRule type="expression" dxfId="822" priority="1147" stopIfTrue="1">
      <formula>T5=0</formula>
    </cfRule>
    <cfRule type="expression" dxfId="821" priority="1148" stopIfTrue="1">
      <formula>ROUND(T5,2)=0</formula>
    </cfRule>
  </conditionalFormatting>
  <conditionalFormatting sqref="C5:F6">
    <cfRule type="expression" dxfId="820" priority="1136" stopIfTrue="1">
      <formula>ISERROR($C$180)</formula>
    </cfRule>
  </conditionalFormatting>
  <conditionalFormatting sqref="G6:I6 K6:M6 O6:Q6">
    <cfRule type="expression" dxfId="819" priority="1126" stopIfTrue="1">
      <formula>ISERROR(G6)</formula>
    </cfRule>
    <cfRule type="expression" dxfId="818" priority="1127" stopIfTrue="1">
      <formula>ROUND(G6,2)=0</formula>
    </cfRule>
  </conditionalFormatting>
  <conditionalFormatting sqref="J6 N6 R6">
    <cfRule type="expression" dxfId="817" priority="1130" stopIfTrue="1">
      <formula>ISERROR(J6)</formula>
    </cfRule>
    <cfRule type="cellIs" dxfId="816" priority="1131" stopIfTrue="1" operator="equal">
      <formula>0</formula>
    </cfRule>
    <cfRule type="expression" dxfId="815" priority="1132" stopIfTrue="1">
      <formula>ROUND(J6,2)=0</formula>
    </cfRule>
  </conditionalFormatting>
  <conditionalFormatting sqref="G5:I5 K5:M5 O5:Q5">
    <cfRule type="expression" dxfId="814" priority="1134" stopIfTrue="1">
      <formula>ROUND(G5,2)=0</formula>
    </cfRule>
  </conditionalFormatting>
  <conditionalFormatting sqref="G5:I5 K5:M5 O5:Q5">
    <cfRule type="expression" dxfId="813" priority="1133">
      <formula>ISERROR(G5)</formula>
    </cfRule>
  </conditionalFormatting>
  <conditionalFormatting sqref="J5 N5 R5">
    <cfRule type="expression" dxfId="812" priority="1125">
      <formula>ISERROR(J5)</formula>
    </cfRule>
    <cfRule type="expression" dxfId="811" priority="1128" stopIfTrue="1">
      <formula>J5=0</formula>
    </cfRule>
    <cfRule type="expression" dxfId="810" priority="1129" stopIfTrue="1">
      <formula>ROUND(J5,2)=0</formula>
    </cfRule>
  </conditionalFormatting>
  <conditionalFormatting sqref="G5:R6">
    <cfRule type="expression" dxfId="809" priority="1124" stopIfTrue="1">
      <formula>ISERROR($C$180)</formula>
    </cfRule>
  </conditionalFormatting>
  <conditionalFormatting sqref="T5:T6">
    <cfRule type="expression" dxfId="808" priority="1123">
      <formula>ISERROR($C$180)</formula>
    </cfRule>
  </conditionalFormatting>
  <conditionalFormatting sqref="B23">
    <cfRule type="expression" dxfId="807" priority="831" stopIfTrue="1">
      <formula>ISERROR($B22)</formula>
    </cfRule>
  </conditionalFormatting>
  <conditionalFormatting sqref="B24">
    <cfRule type="expression" dxfId="806" priority="832" stopIfTrue="1">
      <formula>ISERROR($B22)</formula>
    </cfRule>
  </conditionalFormatting>
  <conditionalFormatting sqref="A23:A25">
    <cfRule type="expression" dxfId="805" priority="833" stopIfTrue="1">
      <formula>ISERROR($B23)</formula>
    </cfRule>
  </conditionalFormatting>
  <conditionalFormatting sqref="A22">
    <cfRule type="expression" dxfId="804" priority="834" stopIfTrue="1">
      <formula>ISERROR($B22)</formula>
    </cfRule>
    <cfRule type="cellIs" dxfId="803" priority="835" stopIfTrue="1" operator="equal">
      <formula>0</formula>
    </cfRule>
  </conditionalFormatting>
  <conditionalFormatting sqref="B22">
    <cfRule type="expression" dxfId="802" priority="836" stopIfTrue="1">
      <formula>ISERROR($B22)</formula>
    </cfRule>
  </conditionalFormatting>
  <conditionalFormatting sqref="T25 C25:E25">
    <cfRule type="expression" dxfId="801" priority="850" stopIfTrue="1">
      <formula>OR(C25=0,ISERROR(C25))</formula>
    </cfRule>
    <cfRule type="expression" dxfId="800" priority="851" stopIfTrue="1">
      <formula>ISERROR(C25)</formula>
    </cfRule>
  </conditionalFormatting>
  <conditionalFormatting sqref="F25">
    <cfRule type="expression" dxfId="799" priority="852" stopIfTrue="1">
      <formula>OR(F25=0,ISERROR(F25))</formula>
    </cfRule>
    <cfRule type="expression" dxfId="798" priority="853" stopIfTrue="1">
      <formula>ISERROR(F25)</formula>
    </cfRule>
  </conditionalFormatting>
  <conditionalFormatting sqref="S22:S25">
    <cfRule type="expression" dxfId="797" priority="854" stopIfTrue="1">
      <formula>OR(S22=0,ISERROR(S22))</formula>
    </cfRule>
  </conditionalFormatting>
  <conditionalFormatting sqref="G25:I25">
    <cfRule type="expression" dxfId="796" priority="827" stopIfTrue="1">
      <formula>OR(G25=0,ISERROR(G25))</formula>
    </cfRule>
    <cfRule type="expression" dxfId="795" priority="828" stopIfTrue="1">
      <formula>ISERROR(G25)</formula>
    </cfRule>
  </conditionalFormatting>
  <conditionalFormatting sqref="J25">
    <cfRule type="expression" dxfId="794" priority="829" stopIfTrue="1">
      <formula>OR(J25=0,ISERROR(J25))</formula>
    </cfRule>
    <cfRule type="expression" dxfId="793" priority="830" stopIfTrue="1">
      <formula>ISERROR(J25)</formula>
    </cfRule>
  </conditionalFormatting>
  <conditionalFormatting sqref="K25:M25">
    <cfRule type="expression" dxfId="792" priority="823" stopIfTrue="1">
      <formula>OR(K25=0,ISERROR(K25))</formula>
    </cfRule>
    <cfRule type="expression" dxfId="791" priority="824" stopIfTrue="1">
      <formula>ISERROR(K25)</formula>
    </cfRule>
  </conditionalFormatting>
  <conditionalFormatting sqref="N25">
    <cfRule type="expression" dxfId="790" priority="825" stopIfTrue="1">
      <formula>OR(N25=0,ISERROR(N25))</formula>
    </cfRule>
    <cfRule type="expression" dxfId="789" priority="826" stopIfTrue="1">
      <formula>ISERROR(N25)</formula>
    </cfRule>
  </conditionalFormatting>
  <conditionalFormatting sqref="O25:Q25">
    <cfRule type="expression" dxfId="788" priority="819" stopIfTrue="1">
      <formula>OR(O25=0,ISERROR(O25))</formula>
    </cfRule>
    <cfRule type="expression" dxfId="787" priority="820" stopIfTrue="1">
      <formula>ISERROR(O25)</formula>
    </cfRule>
  </conditionalFormatting>
  <conditionalFormatting sqref="R25">
    <cfRule type="expression" dxfId="786" priority="821" stopIfTrue="1">
      <formula>OR(R25=0,ISERROR(R25))</formula>
    </cfRule>
    <cfRule type="expression" dxfId="785" priority="822" stopIfTrue="1">
      <formula>ISERROR(R25)</formula>
    </cfRule>
  </conditionalFormatting>
  <conditionalFormatting sqref="C22:E22">
    <cfRule type="expression" dxfId="784" priority="818" stopIfTrue="1">
      <formula>ISERROR($B22)</formula>
    </cfRule>
    <cfRule type="expression" dxfId="783" priority="837" stopIfTrue="1">
      <formula>ISERROR(C22)</formula>
    </cfRule>
    <cfRule type="cellIs" dxfId="782" priority="838" stopIfTrue="1" operator="equal">
      <formula>0</formula>
    </cfRule>
  </conditionalFormatting>
  <conditionalFormatting sqref="F22">
    <cfRule type="expression" dxfId="781" priority="817" stopIfTrue="1">
      <formula>ISERROR($B22)</formula>
    </cfRule>
    <cfRule type="expression" dxfId="780" priority="844" stopIfTrue="1">
      <formula>ISERROR(F22)</formula>
    </cfRule>
    <cfRule type="cellIs" dxfId="779" priority="845" stopIfTrue="1" operator="equal">
      <formula>0</formula>
    </cfRule>
  </conditionalFormatting>
  <conditionalFormatting sqref="C23:E23">
    <cfRule type="expression" dxfId="778" priority="816" stopIfTrue="1">
      <formula>ISERROR($B22)</formula>
    </cfRule>
    <cfRule type="expression" dxfId="777" priority="839" stopIfTrue="1">
      <formula>ISERROR(C23)</formula>
    </cfRule>
    <cfRule type="cellIs" dxfId="776" priority="840" stopIfTrue="1" operator="equal">
      <formula>0</formula>
    </cfRule>
  </conditionalFormatting>
  <conditionalFormatting sqref="C24:E24">
    <cfRule type="expression" dxfId="775" priority="841" stopIfTrue="1">
      <formula>ISERROR($B22)</formula>
    </cfRule>
    <cfRule type="expression" dxfId="774" priority="842" stopIfTrue="1">
      <formula>ISERROR(C24)</formula>
    </cfRule>
    <cfRule type="cellIs" dxfId="773" priority="843" stopIfTrue="1" operator="equal">
      <formula>0</formula>
    </cfRule>
  </conditionalFormatting>
  <conditionalFormatting sqref="F23">
    <cfRule type="expression" dxfId="772" priority="815" stopIfTrue="1">
      <formula>ISERROR($B22)</formula>
    </cfRule>
    <cfRule type="expression" dxfId="771" priority="846" stopIfTrue="1">
      <formula>ISERROR(F23)</formula>
    </cfRule>
    <cfRule type="cellIs" dxfId="770" priority="847" stopIfTrue="1" operator="equal">
      <formula>0</formula>
    </cfRule>
  </conditionalFormatting>
  <conditionalFormatting sqref="F24">
    <cfRule type="expression" dxfId="769" priority="814" stopIfTrue="1">
      <formula>ISERROR($B22)</formula>
    </cfRule>
    <cfRule type="expression" dxfId="768" priority="848" stopIfTrue="1">
      <formula>ISERROR(F24)</formula>
    </cfRule>
    <cfRule type="expression" dxfId="767" priority="849" stopIfTrue="1">
      <formula>F22=0</formula>
    </cfRule>
  </conditionalFormatting>
  <conditionalFormatting sqref="G22:I22">
    <cfRule type="expression" dxfId="766" priority="800" stopIfTrue="1">
      <formula>ISERROR($B22)</formula>
    </cfRule>
    <cfRule type="expression" dxfId="765" priority="801">
      <formula>ISERROR(G22)</formula>
    </cfRule>
    <cfRule type="cellIs" dxfId="764" priority="802" stopIfTrue="1" operator="equal">
      <formula>0</formula>
    </cfRule>
  </conditionalFormatting>
  <conditionalFormatting sqref="J22">
    <cfRule type="expression" dxfId="763" priority="799" stopIfTrue="1">
      <formula>ISERROR($B22)</formula>
    </cfRule>
    <cfRule type="expression" dxfId="762" priority="808">
      <formula>ISERROR(J22)</formula>
    </cfRule>
    <cfRule type="cellIs" dxfId="761" priority="809" stopIfTrue="1" operator="equal">
      <formula>0</formula>
    </cfRule>
  </conditionalFormatting>
  <conditionalFormatting sqref="G23:I23">
    <cfRule type="expression" dxfId="760" priority="798">
      <formula>ISERROR($B22)</formula>
    </cfRule>
    <cfRule type="expression" dxfId="759" priority="803">
      <formula>ISERROR(G23)</formula>
    </cfRule>
    <cfRule type="cellIs" dxfId="758" priority="804" operator="equal">
      <formula>0</formula>
    </cfRule>
  </conditionalFormatting>
  <conditionalFormatting sqref="G24:I24">
    <cfRule type="expression" dxfId="757" priority="805" stopIfTrue="1">
      <formula>ISERROR($B22)</formula>
    </cfRule>
    <cfRule type="expression" dxfId="756" priority="806" stopIfTrue="1">
      <formula>ISERROR(G24)</formula>
    </cfRule>
    <cfRule type="cellIs" dxfId="755" priority="807" stopIfTrue="1" operator="equal">
      <formula>0</formula>
    </cfRule>
  </conditionalFormatting>
  <conditionalFormatting sqref="J23">
    <cfRule type="expression" dxfId="754" priority="797" stopIfTrue="1">
      <formula>ISERROR($B22)</formula>
    </cfRule>
    <cfRule type="expression" dxfId="753" priority="810">
      <formula>ISERROR(J23)</formula>
    </cfRule>
    <cfRule type="cellIs" dxfId="752" priority="811" stopIfTrue="1" operator="equal">
      <formula>0</formula>
    </cfRule>
  </conditionalFormatting>
  <conditionalFormatting sqref="J24">
    <cfRule type="expression" dxfId="751" priority="796" stopIfTrue="1">
      <formula>ISERROR($B22)</formula>
    </cfRule>
    <cfRule type="expression" dxfId="750" priority="812">
      <formula>ISERROR(J24)</formula>
    </cfRule>
    <cfRule type="expression" dxfId="749" priority="813" stopIfTrue="1">
      <formula>J22=0</formula>
    </cfRule>
  </conditionalFormatting>
  <conditionalFormatting sqref="K22:M22">
    <cfRule type="expression" dxfId="748" priority="782" stopIfTrue="1">
      <formula>ISERROR($B22)</formula>
    </cfRule>
    <cfRule type="expression" dxfId="747" priority="783">
      <formula>ISERROR(K22)</formula>
    </cfRule>
    <cfRule type="cellIs" dxfId="746" priority="784" stopIfTrue="1" operator="equal">
      <formula>0</formula>
    </cfRule>
  </conditionalFormatting>
  <conditionalFormatting sqref="N22">
    <cfRule type="expression" dxfId="745" priority="781" stopIfTrue="1">
      <formula>ISERROR($B22)</formula>
    </cfRule>
    <cfRule type="expression" dxfId="744" priority="790">
      <formula>ISERROR(N22)</formula>
    </cfRule>
    <cfRule type="cellIs" dxfId="743" priority="791" stopIfTrue="1" operator="equal">
      <formula>0</formula>
    </cfRule>
  </conditionalFormatting>
  <conditionalFormatting sqref="K23:M23">
    <cfRule type="expression" dxfId="742" priority="780">
      <formula>ISERROR($B22)</formula>
    </cfRule>
    <cfRule type="expression" dxfId="741" priority="785">
      <formula>ISERROR(K23)</formula>
    </cfRule>
    <cfRule type="cellIs" dxfId="740" priority="786" operator="equal">
      <formula>0</formula>
    </cfRule>
  </conditionalFormatting>
  <conditionalFormatting sqref="K24:M24">
    <cfRule type="expression" dxfId="739" priority="787" stopIfTrue="1">
      <formula>ISERROR($B22)</formula>
    </cfRule>
    <cfRule type="expression" dxfId="738" priority="788" stopIfTrue="1">
      <formula>ISERROR(K24)</formula>
    </cfRule>
    <cfRule type="cellIs" dxfId="737" priority="789" stopIfTrue="1" operator="equal">
      <formula>0</formula>
    </cfRule>
  </conditionalFormatting>
  <conditionalFormatting sqref="N23">
    <cfRule type="expression" dxfId="736" priority="779" stopIfTrue="1">
      <formula>ISERROR($B22)</formula>
    </cfRule>
    <cfRule type="expression" dxfId="735" priority="792">
      <formula>ISERROR(N23)</formula>
    </cfRule>
    <cfRule type="cellIs" dxfId="734" priority="793" stopIfTrue="1" operator="equal">
      <formula>0</formula>
    </cfRule>
  </conditionalFormatting>
  <conditionalFormatting sqref="N24">
    <cfRule type="expression" dxfId="733" priority="778" stopIfTrue="1">
      <formula>ISERROR($B22)</formula>
    </cfRule>
    <cfRule type="expression" dxfId="732" priority="794">
      <formula>ISERROR(N24)</formula>
    </cfRule>
    <cfRule type="expression" dxfId="731" priority="795" stopIfTrue="1">
      <formula>N22=0</formula>
    </cfRule>
  </conditionalFormatting>
  <conditionalFormatting sqref="O22:Q22">
    <cfRule type="expression" dxfId="730" priority="764" stopIfTrue="1">
      <formula>ISERROR($B22)</formula>
    </cfRule>
    <cfRule type="expression" dxfId="729" priority="765">
      <formula>ISERROR(O22)</formula>
    </cfRule>
    <cfRule type="cellIs" dxfId="728" priority="766" stopIfTrue="1" operator="equal">
      <formula>0</formula>
    </cfRule>
  </conditionalFormatting>
  <conditionalFormatting sqref="R22">
    <cfRule type="expression" dxfId="727" priority="763" stopIfTrue="1">
      <formula>ISERROR($B22)</formula>
    </cfRule>
    <cfRule type="expression" dxfId="726" priority="772">
      <formula>ISERROR(R22)</formula>
    </cfRule>
    <cfRule type="cellIs" dxfId="725" priority="773" stopIfTrue="1" operator="equal">
      <formula>0</formula>
    </cfRule>
  </conditionalFormatting>
  <conditionalFormatting sqref="O23:Q23">
    <cfRule type="expression" dxfId="724" priority="762">
      <formula>ISERROR($B22)</formula>
    </cfRule>
    <cfRule type="expression" dxfId="723" priority="767">
      <formula>ISERROR(O23)</formula>
    </cfRule>
    <cfRule type="cellIs" dxfId="722" priority="768" operator="equal">
      <formula>0</formula>
    </cfRule>
  </conditionalFormatting>
  <conditionalFormatting sqref="O24:Q24">
    <cfRule type="expression" dxfId="721" priority="769" stopIfTrue="1">
      <formula>ISERROR($B22)</formula>
    </cfRule>
    <cfRule type="expression" dxfId="720" priority="770" stopIfTrue="1">
      <formula>ISERROR(O24)</formula>
    </cfRule>
    <cfRule type="cellIs" dxfId="719" priority="771" stopIfTrue="1" operator="equal">
      <formula>0</formula>
    </cfRule>
  </conditionalFormatting>
  <conditionalFormatting sqref="R23">
    <cfRule type="expression" dxfId="718" priority="761" stopIfTrue="1">
      <formula>ISERROR($B22)</formula>
    </cfRule>
    <cfRule type="expression" dxfId="717" priority="774">
      <formula>ISERROR(R23)</formula>
    </cfRule>
    <cfRule type="cellIs" dxfId="716" priority="775" stopIfTrue="1" operator="equal">
      <formula>0</formula>
    </cfRule>
  </conditionalFormatting>
  <conditionalFormatting sqref="R24">
    <cfRule type="expression" dxfId="715" priority="760" stopIfTrue="1">
      <formula>ISERROR($B22)</formula>
    </cfRule>
    <cfRule type="expression" dxfId="714" priority="776">
      <formula>ISERROR(R24)</formula>
    </cfRule>
    <cfRule type="expression" dxfId="713" priority="777" stopIfTrue="1">
      <formula>R22=0</formula>
    </cfRule>
  </conditionalFormatting>
  <conditionalFormatting sqref="T22">
    <cfRule type="expression" dxfId="712" priority="753" stopIfTrue="1">
      <formula>ISERROR($B22)</formula>
    </cfRule>
    <cfRule type="expression" dxfId="711" priority="754" stopIfTrue="1">
      <formula>ISERROR(T22)</formula>
    </cfRule>
    <cfRule type="cellIs" dxfId="710" priority="755" stopIfTrue="1" operator="equal">
      <formula>0</formula>
    </cfRule>
  </conditionalFormatting>
  <conditionalFormatting sqref="T23">
    <cfRule type="expression" dxfId="709" priority="752" stopIfTrue="1">
      <formula>ISERROR($B22)</formula>
    </cfRule>
    <cfRule type="expression" dxfId="708" priority="756" stopIfTrue="1">
      <formula>ISERROR(T23)</formula>
    </cfRule>
    <cfRule type="cellIs" dxfId="707" priority="757" stopIfTrue="1" operator="equal">
      <formula>0</formula>
    </cfRule>
  </conditionalFormatting>
  <conditionalFormatting sqref="T24">
    <cfRule type="expression" dxfId="706" priority="751" stopIfTrue="1">
      <formula>ISERROR($B22)</formula>
    </cfRule>
    <cfRule type="expression" dxfId="705" priority="758" stopIfTrue="1">
      <formula>ISERROR(T24)</formula>
    </cfRule>
    <cfRule type="expression" dxfId="704" priority="759" stopIfTrue="1">
      <formula>T22=0</formula>
    </cfRule>
  </conditionalFormatting>
  <conditionalFormatting sqref="B27 B31 B35 B39 B43 B47 B51 B55 B59">
    <cfRule type="expression" dxfId="703" priority="727" stopIfTrue="1">
      <formula>ISERROR($B26)</formula>
    </cfRule>
  </conditionalFormatting>
  <conditionalFormatting sqref="B28 B32 B36 B40 B44 B48 B52 B56 B60">
    <cfRule type="expression" dxfId="702" priority="728" stopIfTrue="1">
      <formula>ISERROR($B26)</formula>
    </cfRule>
  </conditionalFormatting>
  <conditionalFormatting sqref="A27:A29 A31:A33 A35:A37 A39:A41 A43:A45 A47:A49 A51:A53 A55:A57 A59:A60 A65">
    <cfRule type="expression" dxfId="701" priority="729" stopIfTrue="1">
      <formula>ISERROR($B27)</formula>
    </cfRule>
  </conditionalFormatting>
  <conditionalFormatting sqref="A26 A30 A34 A38 A42 A46 A50 A54 A58">
    <cfRule type="expression" dxfId="700" priority="730" stopIfTrue="1">
      <formula>ISERROR($B26)</formula>
    </cfRule>
    <cfRule type="cellIs" dxfId="699" priority="731" stopIfTrue="1" operator="equal">
      <formula>0</formula>
    </cfRule>
  </conditionalFormatting>
  <conditionalFormatting sqref="B26 B30 B34 B38 B42 B46 B50 B54 B58">
    <cfRule type="expression" dxfId="698" priority="732" stopIfTrue="1">
      <formula>ISERROR($B26)</formula>
    </cfRule>
  </conditionalFormatting>
  <conditionalFormatting sqref="T29 T33 T37 T41 T45 T49 T53 T57 T65 C29:E29 C33:E33 C37:E37 C41:E41 C45:E45 C49:E49 C53:E53 C57:E57 C65:E65">
    <cfRule type="expression" dxfId="697" priority="746" stopIfTrue="1">
      <formula>OR(C29=0,ISERROR(C29))</formula>
    </cfRule>
    <cfRule type="expression" dxfId="696" priority="747" stopIfTrue="1">
      <formula>ISERROR(C29)</formula>
    </cfRule>
  </conditionalFormatting>
  <conditionalFormatting sqref="F29 F33 F37 F41 F45 F49 F53 F57 F65">
    <cfRule type="expression" dxfId="695" priority="748" stopIfTrue="1">
      <formula>OR(F29=0,ISERROR(F29))</formula>
    </cfRule>
    <cfRule type="expression" dxfId="694" priority="749" stopIfTrue="1">
      <formula>ISERROR(F29)</formula>
    </cfRule>
  </conditionalFormatting>
  <conditionalFormatting sqref="S26:S60 S65">
    <cfRule type="expression" dxfId="693" priority="750" stopIfTrue="1">
      <formula>OR(S26=0,ISERROR(S26))</formula>
    </cfRule>
  </conditionalFormatting>
  <conditionalFormatting sqref="G29:I29 G33:I33 G37:I37 G41:I41 G45:I45 G49:I49 G53:I53 G57:I57 G65:I65">
    <cfRule type="expression" dxfId="692" priority="723" stopIfTrue="1">
      <formula>OR(G29=0,ISERROR(G29))</formula>
    </cfRule>
    <cfRule type="expression" dxfId="691" priority="724" stopIfTrue="1">
      <formula>ISERROR(G29)</formula>
    </cfRule>
  </conditionalFormatting>
  <conditionalFormatting sqref="J29 J33 J37 J41 J45 J49 J53 J57 J65">
    <cfRule type="expression" dxfId="690" priority="725" stopIfTrue="1">
      <formula>OR(J29=0,ISERROR(J29))</formula>
    </cfRule>
    <cfRule type="expression" dxfId="689" priority="726" stopIfTrue="1">
      <formula>ISERROR(J29)</formula>
    </cfRule>
  </conditionalFormatting>
  <conditionalFormatting sqref="K29:M29 K33:M33 K37:M37 K41:M41 K45:M45 K49:M49 K53:M53 K57:M57 K65:M65">
    <cfRule type="expression" dxfId="688" priority="719" stopIfTrue="1">
      <formula>OR(K29=0,ISERROR(K29))</formula>
    </cfRule>
    <cfRule type="expression" dxfId="687" priority="720" stopIfTrue="1">
      <formula>ISERROR(K29)</formula>
    </cfRule>
  </conditionalFormatting>
  <conditionalFormatting sqref="N29 N33 N37 N41 N45 N49 N53 N57 N65">
    <cfRule type="expression" dxfId="686" priority="721" stopIfTrue="1">
      <formula>OR(N29=0,ISERROR(N29))</formula>
    </cfRule>
    <cfRule type="expression" dxfId="685" priority="722" stopIfTrue="1">
      <formula>ISERROR(N29)</formula>
    </cfRule>
  </conditionalFormatting>
  <conditionalFormatting sqref="O29:Q29 O33:Q33 O37:Q37 O41:Q41 O45:Q45 O49:Q49 O53:Q53 O57:Q57 O65:Q65">
    <cfRule type="expression" dxfId="684" priority="715" stopIfTrue="1">
      <formula>OR(O29=0,ISERROR(O29))</formula>
    </cfRule>
    <cfRule type="expression" dxfId="683" priority="716" stopIfTrue="1">
      <formula>ISERROR(O29)</formula>
    </cfRule>
  </conditionalFormatting>
  <conditionalFormatting sqref="R29 R33 R37 R41 R45 R49 R53 R57 R65">
    <cfRule type="expression" dxfId="682" priority="717" stopIfTrue="1">
      <formula>OR(R29=0,ISERROR(R29))</formula>
    </cfRule>
    <cfRule type="expression" dxfId="681" priority="718" stopIfTrue="1">
      <formula>ISERROR(R29)</formula>
    </cfRule>
  </conditionalFormatting>
  <conditionalFormatting sqref="C26:E26 C30:E30 C34:E34 C38:E38 C42:E42 C46:E46 C50:E50 C54:E54 C58:E58">
    <cfRule type="expression" dxfId="680" priority="714" stopIfTrue="1">
      <formula>ISERROR($B26)</formula>
    </cfRule>
    <cfRule type="expression" dxfId="679" priority="733" stopIfTrue="1">
      <formula>ISERROR(C26)</formula>
    </cfRule>
    <cfRule type="cellIs" dxfId="678" priority="734" stopIfTrue="1" operator="equal">
      <formula>0</formula>
    </cfRule>
  </conditionalFormatting>
  <conditionalFormatting sqref="F26 F30 F34 F38 F42 F46 F50 F54 F58">
    <cfRule type="expression" dxfId="677" priority="713" stopIfTrue="1">
      <formula>ISERROR($B26)</formula>
    </cfRule>
    <cfRule type="expression" dxfId="676" priority="740" stopIfTrue="1">
      <formula>ISERROR(F26)</formula>
    </cfRule>
    <cfRule type="cellIs" dxfId="675" priority="741" stopIfTrue="1" operator="equal">
      <formula>0</formula>
    </cfRule>
  </conditionalFormatting>
  <conditionalFormatting sqref="C27:E27 C31:E31 C35:E35 C39:E39 C43:E43 C47:E47 C51:E51 C55:E55 C59:E59">
    <cfRule type="expression" dxfId="674" priority="712" stopIfTrue="1">
      <formula>ISERROR($B26)</formula>
    </cfRule>
    <cfRule type="expression" dxfId="673" priority="735" stopIfTrue="1">
      <formula>ISERROR(C27)</formula>
    </cfRule>
    <cfRule type="cellIs" dxfId="672" priority="736" stopIfTrue="1" operator="equal">
      <formula>0</formula>
    </cfRule>
  </conditionalFormatting>
  <conditionalFormatting sqref="C28:E28 C32:E32 C36:E36 C40:E40 C44:E44 C48:E48 C52:E52 C56:E56 C60:E60">
    <cfRule type="expression" dxfId="671" priority="737" stopIfTrue="1">
      <formula>ISERROR($B26)</formula>
    </cfRule>
    <cfRule type="expression" dxfId="670" priority="738" stopIfTrue="1">
      <formula>ISERROR(C28)</formula>
    </cfRule>
    <cfRule type="cellIs" dxfId="669" priority="739" stopIfTrue="1" operator="equal">
      <formula>0</formula>
    </cfRule>
  </conditionalFormatting>
  <conditionalFormatting sqref="F27 F31 F35 F39 F43 F47 F51 F55 F59">
    <cfRule type="expression" dxfId="668" priority="711" stopIfTrue="1">
      <formula>ISERROR($B26)</formula>
    </cfRule>
    <cfRule type="expression" dxfId="667" priority="742" stopIfTrue="1">
      <formula>ISERROR(F27)</formula>
    </cfRule>
    <cfRule type="cellIs" dxfId="666" priority="743" stopIfTrue="1" operator="equal">
      <formula>0</formula>
    </cfRule>
  </conditionalFormatting>
  <conditionalFormatting sqref="F28 F32 F36 F40 F44 F48 F52 F56 F60">
    <cfRule type="expression" dxfId="665" priority="710" stopIfTrue="1">
      <formula>ISERROR($B26)</formula>
    </cfRule>
    <cfRule type="expression" dxfId="664" priority="744" stopIfTrue="1">
      <formula>ISERROR(F28)</formula>
    </cfRule>
    <cfRule type="expression" dxfId="663" priority="745" stopIfTrue="1">
      <formula>F26=0</formula>
    </cfRule>
  </conditionalFormatting>
  <conditionalFormatting sqref="G26:I26 G30:I30 G34:I34 G38:I38 G42:I42 G46:I46 G50:I50 G54:I54 G58:I58">
    <cfRule type="expression" dxfId="662" priority="696" stopIfTrue="1">
      <formula>ISERROR($B26)</formula>
    </cfRule>
    <cfRule type="expression" dxfId="661" priority="697">
      <formula>ISERROR(G26)</formula>
    </cfRule>
    <cfRule type="cellIs" dxfId="660" priority="698" stopIfTrue="1" operator="equal">
      <formula>0</formula>
    </cfRule>
  </conditionalFormatting>
  <conditionalFormatting sqref="J26 J30 J34 J38 J42 J46 J50 J54 J58">
    <cfRule type="expression" dxfId="659" priority="695" stopIfTrue="1">
      <formula>ISERROR($B26)</formula>
    </cfRule>
    <cfRule type="expression" dxfId="658" priority="704">
      <formula>ISERROR(J26)</formula>
    </cfRule>
    <cfRule type="cellIs" dxfId="657" priority="705" stopIfTrue="1" operator="equal">
      <formula>0</formula>
    </cfRule>
  </conditionalFormatting>
  <conditionalFormatting sqref="G27:I27 G31:I31 G35:I35 G39:I39 G43:I43 G47:I47 G51:I51 G55:I55 G59:I59">
    <cfRule type="expression" dxfId="656" priority="694">
      <formula>ISERROR($B26)</formula>
    </cfRule>
    <cfRule type="expression" dxfId="655" priority="699">
      <formula>ISERROR(G27)</formula>
    </cfRule>
    <cfRule type="cellIs" dxfId="654" priority="700" operator="equal">
      <formula>0</formula>
    </cfRule>
  </conditionalFormatting>
  <conditionalFormatting sqref="G28:I28 G32:I32 G36:I36 G40:I40 G44:I44 G48:I48 G52:I52 G56:I56 G60:I60">
    <cfRule type="expression" dxfId="653" priority="701" stopIfTrue="1">
      <formula>ISERROR($B26)</formula>
    </cfRule>
    <cfRule type="expression" dxfId="652" priority="702" stopIfTrue="1">
      <formula>ISERROR(G28)</formula>
    </cfRule>
    <cfRule type="cellIs" dxfId="651" priority="703" stopIfTrue="1" operator="equal">
      <formula>0</formula>
    </cfRule>
  </conditionalFormatting>
  <conditionalFormatting sqref="J27 J31 J35 J39 J43 J47 J51 J55 J59">
    <cfRule type="expression" dxfId="650" priority="693" stopIfTrue="1">
      <formula>ISERROR($B26)</formula>
    </cfRule>
    <cfRule type="expression" dxfId="649" priority="706">
      <formula>ISERROR(J27)</formula>
    </cfRule>
    <cfRule type="cellIs" dxfId="648" priority="707" stopIfTrue="1" operator="equal">
      <formula>0</formula>
    </cfRule>
  </conditionalFormatting>
  <conditionalFormatting sqref="J28 J32 J36 J40 J44 J48 J52 J56 J60">
    <cfRule type="expression" dxfId="647" priority="692" stopIfTrue="1">
      <formula>ISERROR($B26)</formula>
    </cfRule>
    <cfRule type="expression" dxfId="646" priority="708">
      <formula>ISERROR(J28)</formula>
    </cfRule>
    <cfRule type="expression" dxfId="645" priority="709" stopIfTrue="1">
      <formula>J26=0</formula>
    </cfRule>
  </conditionalFormatting>
  <conditionalFormatting sqref="K26:M26 K30:M30 K34:M34 K38:M38 K42:M42 K46:M46 K50:M50 K54:M54 K58:M58">
    <cfRule type="expression" dxfId="644" priority="678" stopIfTrue="1">
      <formula>ISERROR($B26)</formula>
    </cfRule>
    <cfRule type="expression" dxfId="643" priority="679">
      <formula>ISERROR(K26)</formula>
    </cfRule>
    <cfRule type="cellIs" dxfId="642" priority="680" stopIfTrue="1" operator="equal">
      <formula>0</formula>
    </cfRule>
  </conditionalFormatting>
  <conditionalFormatting sqref="N26 N30 N34 N38 N42 N46 N50 N54 N58">
    <cfRule type="expression" dxfId="641" priority="677" stopIfTrue="1">
      <formula>ISERROR($B26)</formula>
    </cfRule>
    <cfRule type="expression" dxfId="640" priority="686">
      <formula>ISERROR(N26)</formula>
    </cfRule>
    <cfRule type="cellIs" dxfId="639" priority="687" stopIfTrue="1" operator="equal">
      <formula>0</formula>
    </cfRule>
  </conditionalFormatting>
  <conditionalFormatting sqref="K27:M27 K31:M31 K35:M35 K39:M39 K43:M43 K47:M47 K51:M51 K55:M55 K59:M59">
    <cfRule type="expression" dxfId="638" priority="676">
      <formula>ISERROR($B26)</formula>
    </cfRule>
    <cfRule type="expression" dxfId="637" priority="681">
      <formula>ISERROR(K27)</formula>
    </cfRule>
    <cfRule type="cellIs" dxfId="636" priority="682" operator="equal">
      <formula>0</formula>
    </cfRule>
  </conditionalFormatting>
  <conditionalFormatting sqref="K28:M28 K32:M32 K36:M36 K40:M40 K44:M44 K48:M48 K52:M52 K56:M56 K60:M60">
    <cfRule type="expression" dxfId="635" priority="683" stopIfTrue="1">
      <formula>ISERROR($B26)</formula>
    </cfRule>
    <cfRule type="expression" dxfId="634" priority="684" stopIfTrue="1">
      <formula>ISERROR(K28)</formula>
    </cfRule>
    <cfRule type="cellIs" dxfId="633" priority="685" stopIfTrue="1" operator="equal">
      <formula>0</formula>
    </cfRule>
  </conditionalFormatting>
  <conditionalFormatting sqref="N27 N31 N35 N39 N43 N47 N51 N55 N59">
    <cfRule type="expression" dxfId="632" priority="675" stopIfTrue="1">
      <formula>ISERROR($B26)</formula>
    </cfRule>
    <cfRule type="expression" dxfId="631" priority="688">
      <formula>ISERROR(N27)</formula>
    </cfRule>
    <cfRule type="cellIs" dxfId="630" priority="689" stopIfTrue="1" operator="equal">
      <formula>0</formula>
    </cfRule>
  </conditionalFormatting>
  <conditionalFormatting sqref="N28 N32 N36 N40 N44 N48 N52 N56 N60">
    <cfRule type="expression" dxfId="629" priority="674" stopIfTrue="1">
      <formula>ISERROR($B26)</formula>
    </cfRule>
    <cfRule type="expression" dxfId="628" priority="690">
      <formula>ISERROR(N28)</formula>
    </cfRule>
    <cfRule type="expression" dxfId="627" priority="691" stopIfTrue="1">
      <formula>N26=0</formula>
    </cfRule>
  </conditionalFormatting>
  <conditionalFormatting sqref="O26:Q26 O30:Q30 O34:Q34 O38:Q38 O42:Q42 O46:Q46 O50:Q50 O54:Q54 O58:Q58">
    <cfRule type="expression" dxfId="626" priority="660" stopIfTrue="1">
      <formula>ISERROR($B26)</formula>
    </cfRule>
    <cfRule type="expression" dxfId="625" priority="661">
      <formula>ISERROR(O26)</formula>
    </cfRule>
    <cfRule type="cellIs" dxfId="624" priority="662" stopIfTrue="1" operator="equal">
      <formula>0</formula>
    </cfRule>
  </conditionalFormatting>
  <conditionalFormatting sqref="R26 R30 R34 R38 R42 R46 R50 R54 R58">
    <cfRule type="expression" dxfId="623" priority="659" stopIfTrue="1">
      <formula>ISERROR($B26)</formula>
    </cfRule>
    <cfRule type="expression" dxfId="622" priority="668">
      <formula>ISERROR(R26)</formula>
    </cfRule>
    <cfRule type="cellIs" dxfId="621" priority="669" stopIfTrue="1" operator="equal">
      <formula>0</formula>
    </cfRule>
  </conditionalFormatting>
  <conditionalFormatting sqref="O27:Q27 O31:Q31 O35:Q35 O39:Q39 O43:Q43 O47:Q47 O51:Q51 O55:Q55 O59:Q59">
    <cfRule type="expression" dxfId="620" priority="658">
      <formula>ISERROR($B26)</formula>
    </cfRule>
    <cfRule type="expression" dxfId="619" priority="663">
      <formula>ISERROR(O27)</formula>
    </cfRule>
    <cfRule type="cellIs" dxfId="618" priority="664" operator="equal">
      <formula>0</formula>
    </cfRule>
  </conditionalFormatting>
  <conditionalFormatting sqref="O28:Q28 O32:Q32 O36:Q36 O40:Q40 O44:Q44 O48:Q48 O52:Q52 O56:Q56 O60:Q60">
    <cfRule type="expression" dxfId="617" priority="665" stopIfTrue="1">
      <formula>ISERROR($B26)</formula>
    </cfRule>
    <cfRule type="expression" dxfId="616" priority="666" stopIfTrue="1">
      <formula>ISERROR(O28)</formula>
    </cfRule>
    <cfRule type="cellIs" dxfId="615" priority="667" stopIfTrue="1" operator="equal">
      <formula>0</formula>
    </cfRule>
  </conditionalFormatting>
  <conditionalFormatting sqref="R27 R31 R35 R39 R43 R47 R51 R55 R59">
    <cfRule type="expression" dxfId="614" priority="657" stopIfTrue="1">
      <formula>ISERROR($B26)</formula>
    </cfRule>
    <cfRule type="expression" dxfId="613" priority="670">
      <formula>ISERROR(R27)</formula>
    </cfRule>
    <cfRule type="cellIs" dxfId="612" priority="671" stopIfTrue="1" operator="equal">
      <formula>0</formula>
    </cfRule>
  </conditionalFormatting>
  <conditionalFormatting sqref="R28 R32 R36 R40 R44 R48 R52 R56 R60">
    <cfRule type="expression" dxfId="611" priority="656" stopIfTrue="1">
      <formula>ISERROR($B26)</formula>
    </cfRule>
    <cfRule type="expression" dxfId="610" priority="672">
      <formula>ISERROR(R28)</formula>
    </cfRule>
    <cfRule type="expression" dxfId="609" priority="673" stopIfTrue="1">
      <formula>R26=0</formula>
    </cfRule>
  </conditionalFormatting>
  <conditionalFormatting sqref="T26 T30 T34 T38 T42 T46 T50 T54 T58">
    <cfRule type="expression" dxfId="608" priority="649" stopIfTrue="1">
      <formula>ISERROR($B26)</formula>
    </cfRule>
    <cfRule type="expression" dxfId="607" priority="650" stopIfTrue="1">
      <formula>ISERROR(T26)</formula>
    </cfRule>
    <cfRule type="cellIs" dxfId="606" priority="651" stopIfTrue="1" operator="equal">
      <formula>0</formula>
    </cfRule>
  </conditionalFormatting>
  <conditionalFormatting sqref="T27 T31 T35 T39 T43 T47 T51 T55 T59">
    <cfRule type="expression" dxfId="605" priority="648" stopIfTrue="1">
      <formula>ISERROR($B26)</formula>
    </cfRule>
    <cfRule type="expression" dxfId="604" priority="652" stopIfTrue="1">
      <formula>ISERROR(T27)</formula>
    </cfRule>
    <cfRule type="cellIs" dxfId="603" priority="653" stopIfTrue="1" operator="equal">
      <formula>0</formula>
    </cfRule>
  </conditionalFormatting>
  <conditionalFormatting sqref="T28 T32 T36 T40 T44 T48 T52 T56 T60">
    <cfRule type="expression" dxfId="602" priority="647" stopIfTrue="1">
      <formula>ISERROR($B26)</formula>
    </cfRule>
    <cfRule type="expression" dxfId="601" priority="654" stopIfTrue="1">
      <formula>ISERROR(T28)</formula>
    </cfRule>
    <cfRule type="expression" dxfId="600" priority="655" stopIfTrue="1">
      <formula>T26=0</formula>
    </cfRule>
  </conditionalFormatting>
  <conditionalFormatting sqref="T8:T16">
    <cfRule type="expression" dxfId="599" priority="639" stopIfTrue="1">
      <formula>T$5=0</formula>
    </cfRule>
    <cfRule type="expression" dxfId="598" priority="640" stopIfTrue="1">
      <formula>ISERROR(T8)</formula>
    </cfRule>
    <cfRule type="expression" dxfId="597" priority="641" stopIfTrue="1">
      <formula>$A8=""</formula>
    </cfRule>
    <cfRule type="cellIs" dxfId="596" priority="642" operator="equal">
      <formula>0</formula>
    </cfRule>
  </conditionalFormatting>
  <conditionalFormatting sqref="B64">
    <cfRule type="expression" dxfId="595" priority="616" stopIfTrue="1">
      <formula>ISERROR($B62)</formula>
    </cfRule>
  </conditionalFormatting>
  <conditionalFormatting sqref="A61 A63:A64">
    <cfRule type="expression" dxfId="594" priority="617" stopIfTrue="1">
      <formula>ISERROR($B61)</formula>
    </cfRule>
  </conditionalFormatting>
  <conditionalFormatting sqref="A62">
    <cfRule type="expression" dxfId="593" priority="618" stopIfTrue="1">
      <formula>ISERROR($B62)</formula>
    </cfRule>
    <cfRule type="cellIs" dxfId="592" priority="619" stopIfTrue="1" operator="equal">
      <formula>0</formula>
    </cfRule>
  </conditionalFormatting>
  <conditionalFormatting sqref="T61 C61:E61">
    <cfRule type="expression" dxfId="591" priority="634" stopIfTrue="1">
      <formula>OR(C61=0,ISERROR(C61))</formula>
    </cfRule>
    <cfRule type="expression" dxfId="590" priority="635" stopIfTrue="1">
      <formula>ISERROR(C61)</formula>
    </cfRule>
  </conditionalFormatting>
  <conditionalFormatting sqref="F61">
    <cfRule type="expression" dxfId="589" priority="636" stopIfTrue="1">
      <formula>OR(F61=0,ISERROR(F61))</formula>
    </cfRule>
    <cfRule type="expression" dxfId="588" priority="637" stopIfTrue="1">
      <formula>ISERROR(F61)</formula>
    </cfRule>
  </conditionalFormatting>
  <conditionalFormatting sqref="S61:S64">
    <cfRule type="expression" dxfId="587" priority="638" stopIfTrue="1">
      <formula>OR(S61=0,ISERROR(S61))</formula>
    </cfRule>
  </conditionalFormatting>
  <conditionalFormatting sqref="G61:I61">
    <cfRule type="expression" dxfId="586" priority="611" stopIfTrue="1">
      <formula>OR(G61=0,ISERROR(G61))</formula>
    </cfRule>
    <cfRule type="expression" dxfId="585" priority="612" stopIfTrue="1">
      <formula>ISERROR(G61)</formula>
    </cfRule>
  </conditionalFormatting>
  <conditionalFormatting sqref="J61">
    <cfRule type="expression" dxfId="584" priority="613" stopIfTrue="1">
      <formula>OR(J61=0,ISERROR(J61))</formula>
    </cfRule>
    <cfRule type="expression" dxfId="583" priority="614" stopIfTrue="1">
      <formula>ISERROR(J61)</formula>
    </cfRule>
  </conditionalFormatting>
  <conditionalFormatting sqref="K61:M61">
    <cfRule type="expression" dxfId="582" priority="607" stopIfTrue="1">
      <formula>OR(K61=0,ISERROR(K61))</formula>
    </cfRule>
    <cfRule type="expression" dxfId="581" priority="608" stopIfTrue="1">
      <formula>ISERROR(K61)</formula>
    </cfRule>
  </conditionalFormatting>
  <conditionalFormatting sqref="N61">
    <cfRule type="expression" dxfId="580" priority="609" stopIfTrue="1">
      <formula>OR(N61=0,ISERROR(N61))</formula>
    </cfRule>
    <cfRule type="expression" dxfId="579" priority="610" stopIfTrue="1">
      <formula>ISERROR(N61)</formula>
    </cfRule>
  </conditionalFormatting>
  <conditionalFormatting sqref="O61:Q61">
    <cfRule type="expression" dxfId="578" priority="603" stopIfTrue="1">
      <formula>OR(O61=0,ISERROR(O61))</formula>
    </cfRule>
    <cfRule type="expression" dxfId="577" priority="604" stopIfTrue="1">
      <formula>ISERROR(O61)</formula>
    </cfRule>
  </conditionalFormatting>
  <conditionalFormatting sqref="R61">
    <cfRule type="expression" dxfId="576" priority="605" stopIfTrue="1">
      <formula>OR(R61=0,ISERROR(R61))</formula>
    </cfRule>
    <cfRule type="expression" dxfId="575" priority="606" stopIfTrue="1">
      <formula>ISERROR(R61)</formula>
    </cfRule>
  </conditionalFormatting>
  <conditionalFormatting sqref="R62">
    <cfRule type="expression" dxfId="574" priority="601" stopIfTrue="1">
      <formula>$G$177=0</formula>
    </cfRule>
    <cfRule type="expression" dxfId="573" priority="628" stopIfTrue="1">
      <formula>ISERROR(R62)</formula>
    </cfRule>
    <cfRule type="cellIs" dxfId="572" priority="629" stopIfTrue="1" operator="equal">
      <formula>0</formula>
    </cfRule>
  </conditionalFormatting>
  <conditionalFormatting sqref="C63:E63 K63:M64 O63:Q64">
    <cfRule type="expression" dxfId="571" priority="600" stopIfTrue="1">
      <formula>$G$177=0</formula>
    </cfRule>
    <cfRule type="expression" dxfId="570" priority="623" stopIfTrue="1">
      <formula>ISERROR(C63)</formula>
    </cfRule>
    <cfRule type="cellIs" dxfId="569" priority="624" stopIfTrue="1" operator="equal">
      <formula>0</formula>
    </cfRule>
  </conditionalFormatting>
  <conditionalFormatting sqref="C64:E64">
    <cfRule type="expression" dxfId="568" priority="625" stopIfTrue="1">
      <formula>$G$177=0</formula>
    </cfRule>
    <cfRule type="expression" dxfId="567" priority="626" stopIfTrue="1">
      <formula>ISERROR(C64)</formula>
    </cfRule>
    <cfRule type="cellIs" dxfId="566" priority="627" stopIfTrue="1" operator="equal">
      <formula>0</formula>
    </cfRule>
  </conditionalFormatting>
  <conditionalFormatting sqref="F63 N63 R63">
    <cfRule type="expression" dxfId="565" priority="599" stopIfTrue="1">
      <formula>$G$177=0</formula>
    </cfRule>
    <cfRule type="expression" dxfId="564" priority="630" stopIfTrue="1">
      <formula>ISERROR(F63)</formula>
    </cfRule>
    <cfRule type="cellIs" dxfId="563" priority="631" stopIfTrue="1" operator="equal">
      <formula>0</formula>
    </cfRule>
  </conditionalFormatting>
  <conditionalFormatting sqref="F64 N64 R64">
    <cfRule type="expression" dxfId="562" priority="598" stopIfTrue="1">
      <formula>$G$177=0</formula>
    </cfRule>
    <cfRule type="expression" dxfId="561" priority="632" stopIfTrue="1">
      <formula>ISERROR(F64)</formula>
    </cfRule>
    <cfRule type="expression" dxfId="560" priority="633" stopIfTrue="1">
      <formula>F62=0</formula>
    </cfRule>
  </conditionalFormatting>
  <conditionalFormatting sqref="G63:I63">
    <cfRule type="expression" dxfId="559" priority="519" stopIfTrue="1">
      <formula>$G$177=0</formula>
    </cfRule>
    <cfRule type="expression" dxfId="558" priority="524" stopIfTrue="1">
      <formula>ISERROR(G63)</formula>
    </cfRule>
    <cfRule type="cellIs" dxfId="557" priority="525" stopIfTrue="1" operator="equal">
      <formula>0</formula>
    </cfRule>
  </conditionalFormatting>
  <conditionalFormatting sqref="G64:I64">
    <cfRule type="expression" dxfId="556" priority="526" stopIfTrue="1">
      <formula>$G$177=0</formula>
    </cfRule>
    <cfRule type="expression" dxfId="555" priority="527" stopIfTrue="1">
      <formula>ISERROR(G64)</formula>
    </cfRule>
    <cfRule type="cellIs" dxfId="554" priority="528" stopIfTrue="1" operator="equal">
      <formula>0</formula>
    </cfRule>
  </conditionalFormatting>
  <conditionalFormatting sqref="J63">
    <cfRule type="expression" dxfId="553" priority="518" stopIfTrue="1">
      <formula>$G$177=0</formula>
    </cfRule>
    <cfRule type="expression" dxfId="552" priority="531" stopIfTrue="1">
      <formula>ISERROR(J63)</formula>
    </cfRule>
    <cfRule type="cellIs" dxfId="551" priority="532" stopIfTrue="1" operator="equal">
      <formula>0</formula>
    </cfRule>
  </conditionalFormatting>
  <conditionalFormatting sqref="J64">
    <cfRule type="expression" dxfId="550" priority="517" stopIfTrue="1">
      <formula>$G$177=0</formula>
    </cfRule>
    <cfRule type="expression" dxfId="549" priority="533" stopIfTrue="1">
      <formula>ISERROR(J64)</formula>
    </cfRule>
    <cfRule type="expression" dxfId="548" priority="534" stopIfTrue="1">
      <formula>J62=0</formula>
    </cfRule>
  </conditionalFormatting>
  <conditionalFormatting sqref="T62">
    <cfRule type="expression" dxfId="547" priority="510" stopIfTrue="1">
      <formula>$G$177=0</formula>
    </cfRule>
    <cfRule type="expression" dxfId="546" priority="511" stopIfTrue="1">
      <formula>ISERROR(T62)</formula>
    </cfRule>
    <cfRule type="cellIs" dxfId="545" priority="512" stopIfTrue="1" operator="equal">
      <formula>0</formula>
    </cfRule>
  </conditionalFormatting>
  <conditionalFormatting sqref="T63">
    <cfRule type="expression" dxfId="544" priority="509" stopIfTrue="1">
      <formula>$G$177=0</formula>
    </cfRule>
    <cfRule type="expression" dxfId="543" priority="513" stopIfTrue="1">
      <formula>ISERROR(T63)</formula>
    </cfRule>
    <cfRule type="cellIs" dxfId="542" priority="514" stopIfTrue="1" operator="equal">
      <formula>0</formula>
    </cfRule>
  </conditionalFormatting>
  <conditionalFormatting sqref="T64">
    <cfRule type="expression" dxfId="541" priority="508" stopIfTrue="1">
      <formula>$G$177=0</formula>
    </cfRule>
    <cfRule type="expression" dxfId="540" priority="515" stopIfTrue="1">
      <formula>ISERROR(T64)</formula>
    </cfRule>
    <cfRule type="expression" dxfId="539" priority="516" stopIfTrue="1">
      <formula>T62=0</formula>
    </cfRule>
  </conditionalFormatting>
  <conditionalFormatting sqref="B70">
    <cfRule type="expression" dxfId="538" priority="457" stopIfTrue="1">
      <formula>ISERROR($B69)</formula>
    </cfRule>
  </conditionalFormatting>
  <conditionalFormatting sqref="B71">
    <cfRule type="expression" dxfId="537" priority="458" stopIfTrue="1">
      <formula>ISERROR($B69)</formula>
    </cfRule>
  </conditionalFormatting>
  <conditionalFormatting sqref="A70:A72">
    <cfRule type="expression" dxfId="536" priority="459" stopIfTrue="1">
      <formula>ISERROR($B70)</formula>
    </cfRule>
  </conditionalFormatting>
  <conditionalFormatting sqref="A69">
    <cfRule type="expression" dxfId="535" priority="460" stopIfTrue="1">
      <formula>ISERROR($B69)</formula>
    </cfRule>
    <cfRule type="cellIs" dxfId="534" priority="461" stopIfTrue="1" operator="equal">
      <formula>0</formula>
    </cfRule>
  </conditionalFormatting>
  <conditionalFormatting sqref="T72 C72:E72">
    <cfRule type="expression" dxfId="533" priority="476" stopIfTrue="1">
      <formula>OR(C72=0,ISERROR(C72))</formula>
    </cfRule>
    <cfRule type="expression" dxfId="532" priority="477" stopIfTrue="1">
      <formula>ISERROR(C72)</formula>
    </cfRule>
  </conditionalFormatting>
  <conditionalFormatting sqref="F72">
    <cfRule type="expression" dxfId="531" priority="478" stopIfTrue="1">
      <formula>OR(F72=0,ISERROR(F72))</formula>
    </cfRule>
    <cfRule type="expression" dxfId="530" priority="479" stopIfTrue="1">
      <formula>ISERROR(F72)</formula>
    </cfRule>
  </conditionalFormatting>
  <conditionalFormatting sqref="S69:S72">
    <cfRule type="expression" dxfId="529" priority="480" stopIfTrue="1">
      <formula>OR(S69=0,ISERROR(S69))</formula>
    </cfRule>
  </conditionalFormatting>
  <conditionalFormatting sqref="G72:I72">
    <cfRule type="expression" dxfId="528" priority="453" stopIfTrue="1">
      <formula>OR(G72=0,ISERROR(G72))</formula>
    </cfRule>
    <cfRule type="expression" dxfId="527" priority="454" stopIfTrue="1">
      <formula>ISERROR(G72)</formula>
    </cfRule>
  </conditionalFormatting>
  <conditionalFormatting sqref="J72">
    <cfRule type="expression" dxfId="526" priority="455" stopIfTrue="1">
      <formula>OR(J72=0,ISERROR(J72))</formula>
    </cfRule>
    <cfRule type="expression" dxfId="525" priority="456" stopIfTrue="1">
      <formula>ISERROR(J72)</formula>
    </cfRule>
  </conditionalFormatting>
  <conditionalFormatting sqref="K72:M72">
    <cfRule type="expression" dxfId="524" priority="449" stopIfTrue="1">
      <formula>OR(K72=0,ISERROR(K72))</formula>
    </cfRule>
    <cfRule type="expression" dxfId="523" priority="450" stopIfTrue="1">
      <formula>ISERROR(K72)</formula>
    </cfRule>
  </conditionalFormatting>
  <conditionalFormatting sqref="N72">
    <cfRule type="expression" dxfId="522" priority="451" stopIfTrue="1">
      <formula>OR(N72=0,ISERROR(N72))</formula>
    </cfRule>
    <cfRule type="expression" dxfId="521" priority="452" stopIfTrue="1">
      <formula>ISERROR(N72)</formula>
    </cfRule>
  </conditionalFormatting>
  <conditionalFormatting sqref="O72:Q72">
    <cfRule type="expression" dxfId="520" priority="445" stopIfTrue="1">
      <formula>OR(O72=0,ISERROR(O72))</formula>
    </cfRule>
    <cfRule type="expression" dxfId="519" priority="446" stopIfTrue="1">
      <formula>ISERROR(O72)</formula>
    </cfRule>
  </conditionalFormatting>
  <conditionalFormatting sqref="R72">
    <cfRule type="expression" dxfId="518" priority="447" stopIfTrue="1">
      <formula>OR(R72=0,ISERROR(R72))</formula>
    </cfRule>
    <cfRule type="expression" dxfId="517" priority="448" stopIfTrue="1">
      <formula>ISERROR(R72)</formula>
    </cfRule>
  </conditionalFormatting>
  <conditionalFormatting sqref="C69:E69">
    <cfRule type="expression" dxfId="516" priority="444" stopIfTrue="1">
      <formula>ISERROR($B69)</formula>
    </cfRule>
    <cfRule type="expression" dxfId="515" priority="463" stopIfTrue="1">
      <formula>ISERROR(C69)</formula>
    </cfRule>
    <cfRule type="cellIs" dxfId="514" priority="464" stopIfTrue="1" operator="equal">
      <formula>0</formula>
    </cfRule>
  </conditionalFormatting>
  <conditionalFormatting sqref="F69">
    <cfRule type="expression" dxfId="513" priority="443" stopIfTrue="1">
      <formula>ISERROR($B69)</formula>
    </cfRule>
    <cfRule type="expression" dxfId="512" priority="470" stopIfTrue="1">
      <formula>ISERROR(F69)</formula>
    </cfRule>
    <cfRule type="cellIs" dxfId="511" priority="471" stopIfTrue="1" operator="equal">
      <formula>0</formula>
    </cfRule>
  </conditionalFormatting>
  <conditionalFormatting sqref="C70:E70">
    <cfRule type="expression" dxfId="510" priority="442" stopIfTrue="1">
      <formula>ISERROR($B69)</formula>
    </cfRule>
    <cfRule type="expression" dxfId="509" priority="465" stopIfTrue="1">
      <formula>ISERROR(C70)</formula>
    </cfRule>
    <cfRule type="cellIs" dxfId="508" priority="466" stopIfTrue="1" operator="equal">
      <formula>0</formula>
    </cfRule>
  </conditionalFormatting>
  <conditionalFormatting sqref="C71:E71">
    <cfRule type="expression" dxfId="507" priority="467" stopIfTrue="1">
      <formula>ISERROR($B69)</formula>
    </cfRule>
    <cfRule type="expression" dxfId="506" priority="468" stopIfTrue="1">
      <formula>ISERROR(C71)</formula>
    </cfRule>
    <cfRule type="cellIs" dxfId="505" priority="469" stopIfTrue="1" operator="equal">
      <formula>0</formula>
    </cfRule>
  </conditionalFormatting>
  <conditionalFormatting sqref="F70">
    <cfRule type="expression" dxfId="504" priority="441" stopIfTrue="1">
      <formula>ISERROR($B69)</formula>
    </cfRule>
    <cfRule type="expression" dxfId="503" priority="472" stopIfTrue="1">
      <formula>ISERROR(F70)</formula>
    </cfRule>
    <cfRule type="cellIs" dxfId="502" priority="473" stopIfTrue="1" operator="equal">
      <formula>0</formula>
    </cfRule>
  </conditionalFormatting>
  <conditionalFormatting sqref="F71">
    <cfRule type="expression" dxfId="501" priority="440" stopIfTrue="1">
      <formula>ISERROR($B69)</formula>
    </cfRule>
    <cfRule type="expression" dxfId="500" priority="474" stopIfTrue="1">
      <formula>ISERROR(F71)</formula>
    </cfRule>
    <cfRule type="expression" dxfId="499" priority="475" stopIfTrue="1">
      <formula>F69=0</formula>
    </cfRule>
  </conditionalFormatting>
  <conditionalFormatting sqref="G69:I69">
    <cfRule type="expression" dxfId="498" priority="426" stopIfTrue="1">
      <formula>ISERROR($B69)</formula>
    </cfRule>
    <cfRule type="expression" dxfId="497" priority="427">
      <formula>ISERROR(G69)</formula>
    </cfRule>
    <cfRule type="cellIs" dxfId="496" priority="428" stopIfTrue="1" operator="equal">
      <formula>0</formula>
    </cfRule>
  </conditionalFormatting>
  <conditionalFormatting sqref="J69">
    <cfRule type="expression" dxfId="495" priority="425" stopIfTrue="1">
      <formula>ISERROR($B69)</formula>
    </cfRule>
    <cfRule type="expression" dxfId="494" priority="434">
      <formula>ISERROR(J69)</formula>
    </cfRule>
    <cfRule type="cellIs" dxfId="493" priority="435" stopIfTrue="1" operator="equal">
      <formula>0</formula>
    </cfRule>
  </conditionalFormatting>
  <conditionalFormatting sqref="G70:I70">
    <cfRule type="expression" dxfId="492" priority="424">
      <formula>ISERROR($B69)</formula>
    </cfRule>
    <cfRule type="expression" dxfId="491" priority="429">
      <formula>ISERROR(G70)</formula>
    </cfRule>
    <cfRule type="cellIs" dxfId="490" priority="430" operator="equal">
      <formula>0</formula>
    </cfRule>
  </conditionalFormatting>
  <conditionalFormatting sqref="G71:I71">
    <cfRule type="expression" dxfId="489" priority="431" stopIfTrue="1">
      <formula>ISERROR($B69)</formula>
    </cfRule>
    <cfRule type="expression" dxfId="488" priority="432" stopIfTrue="1">
      <formula>ISERROR(G71)</formula>
    </cfRule>
    <cfRule type="cellIs" dxfId="487" priority="433" stopIfTrue="1" operator="equal">
      <formula>0</formula>
    </cfRule>
  </conditionalFormatting>
  <conditionalFormatting sqref="J70">
    <cfRule type="expression" dxfId="486" priority="423" stopIfTrue="1">
      <formula>ISERROR($B69)</formula>
    </cfRule>
    <cfRule type="expression" dxfId="485" priority="436">
      <formula>ISERROR(J70)</formula>
    </cfRule>
    <cfRule type="cellIs" dxfId="484" priority="437" stopIfTrue="1" operator="equal">
      <formula>0</formula>
    </cfRule>
  </conditionalFormatting>
  <conditionalFormatting sqref="J71">
    <cfRule type="expression" dxfId="483" priority="422" stopIfTrue="1">
      <formula>ISERROR($B69)</formula>
    </cfRule>
    <cfRule type="expression" dxfId="482" priority="438">
      <formula>ISERROR(J71)</formula>
    </cfRule>
    <cfRule type="expression" dxfId="481" priority="439" stopIfTrue="1">
      <formula>J69=0</formula>
    </cfRule>
  </conditionalFormatting>
  <conditionalFormatting sqref="K69:M69">
    <cfRule type="expression" dxfId="480" priority="408" stopIfTrue="1">
      <formula>ISERROR($B69)</formula>
    </cfRule>
    <cfRule type="expression" dxfId="479" priority="409">
      <formula>ISERROR(K69)</formula>
    </cfRule>
    <cfRule type="cellIs" dxfId="478" priority="410" stopIfTrue="1" operator="equal">
      <formula>0</formula>
    </cfRule>
  </conditionalFormatting>
  <conditionalFormatting sqref="N69">
    <cfRule type="expression" dxfId="477" priority="407" stopIfTrue="1">
      <formula>ISERROR($B69)</formula>
    </cfRule>
    <cfRule type="expression" dxfId="476" priority="416">
      <formula>ISERROR(N69)</formula>
    </cfRule>
    <cfRule type="cellIs" dxfId="475" priority="417" stopIfTrue="1" operator="equal">
      <formula>0</formula>
    </cfRule>
  </conditionalFormatting>
  <conditionalFormatting sqref="K70:M70">
    <cfRule type="expression" dxfId="474" priority="406">
      <formula>ISERROR($B69)</formula>
    </cfRule>
    <cfRule type="expression" dxfId="473" priority="411">
      <formula>ISERROR(K70)</formula>
    </cfRule>
    <cfRule type="cellIs" dxfId="472" priority="412" operator="equal">
      <formula>0</formula>
    </cfRule>
  </conditionalFormatting>
  <conditionalFormatting sqref="K71:M71">
    <cfRule type="expression" dxfId="471" priority="413" stopIfTrue="1">
      <formula>ISERROR($B69)</formula>
    </cfRule>
    <cfRule type="expression" dxfId="470" priority="414" stopIfTrue="1">
      <formula>ISERROR(K71)</formula>
    </cfRule>
    <cfRule type="cellIs" dxfId="469" priority="415" stopIfTrue="1" operator="equal">
      <formula>0</formula>
    </cfRule>
  </conditionalFormatting>
  <conditionalFormatting sqref="N70">
    <cfRule type="expression" dxfId="468" priority="405" stopIfTrue="1">
      <formula>ISERROR($B69)</formula>
    </cfRule>
    <cfRule type="expression" dxfId="467" priority="418">
      <formula>ISERROR(N70)</formula>
    </cfRule>
    <cfRule type="cellIs" dxfId="466" priority="419" stopIfTrue="1" operator="equal">
      <formula>0</formula>
    </cfRule>
  </conditionalFormatting>
  <conditionalFormatting sqref="N71">
    <cfRule type="expression" dxfId="465" priority="404" stopIfTrue="1">
      <formula>ISERROR($B69)</formula>
    </cfRule>
    <cfRule type="expression" dxfId="464" priority="420">
      <formula>ISERROR(N71)</formula>
    </cfRule>
    <cfRule type="expression" dxfId="463" priority="421" stopIfTrue="1">
      <formula>N69=0</formula>
    </cfRule>
  </conditionalFormatting>
  <conditionalFormatting sqref="O69:Q69">
    <cfRule type="expression" dxfId="462" priority="390" stopIfTrue="1">
      <formula>ISERROR($B69)</formula>
    </cfRule>
    <cfRule type="expression" dxfId="461" priority="391">
      <formula>ISERROR(O69)</formula>
    </cfRule>
    <cfRule type="cellIs" dxfId="460" priority="392" stopIfTrue="1" operator="equal">
      <formula>0</formula>
    </cfRule>
  </conditionalFormatting>
  <conditionalFormatting sqref="R69">
    <cfRule type="expression" dxfId="459" priority="389" stopIfTrue="1">
      <formula>ISERROR($B69)</formula>
    </cfRule>
    <cfRule type="expression" dxfId="458" priority="398">
      <formula>ISERROR(R69)</formula>
    </cfRule>
    <cfRule type="cellIs" dxfId="457" priority="399" stopIfTrue="1" operator="equal">
      <formula>0</formula>
    </cfRule>
  </conditionalFormatting>
  <conditionalFormatting sqref="O70:Q70">
    <cfRule type="expression" dxfId="456" priority="388">
      <formula>ISERROR($B69)</formula>
    </cfRule>
    <cfRule type="expression" dxfId="455" priority="393">
      <formula>ISERROR(O70)</formula>
    </cfRule>
    <cfRule type="cellIs" dxfId="454" priority="394" operator="equal">
      <formula>0</formula>
    </cfRule>
  </conditionalFormatting>
  <conditionalFormatting sqref="O71:Q71">
    <cfRule type="expression" dxfId="453" priority="395" stopIfTrue="1">
      <formula>ISERROR($B69)</formula>
    </cfRule>
    <cfRule type="expression" dxfId="452" priority="396" stopIfTrue="1">
      <formula>ISERROR(O71)</formula>
    </cfRule>
    <cfRule type="cellIs" dxfId="451" priority="397" stopIfTrue="1" operator="equal">
      <formula>0</formula>
    </cfRule>
  </conditionalFormatting>
  <conditionalFormatting sqref="R70">
    <cfRule type="expression" dxfId="450" priority="387" stopIfTrue="1">
      <formula>ISERROR($B69)</formula>
    </cfRule>
    <cfRule type="expression" dxfId="449" priority="400">
      <formula>ISERROR(R70)</formula>
    </cfRule>
    <cfRule type="cellIs" dxfId="448" priority="401" stopIfTrue="1" operator="equal">
      <formula>0</formula>
    </cfRule>
  </conditionalFormatting>
  <conditionalFormatting sqref="R71">
    <cfRule type="expression" dxfId="447" priority="386" stopIfTrue="1">
      <formula>ISERROR($B69)</formula>
    </cfRule>
    <cfRule type="expression" dxfId="446" priority="402">
      <formula>ISERROR(R71)</formula>
    </cfRule>
    <cfRule type="expression" dxfId="445" priority="403" stopIfTrue="1">
      <formula>R69=0</formula>
    </cfRule>
  </conditionalFormatting>
  <conditionalFormatting sqref="T69">
    <cfRule type="expression" dxfId="444" priority="379" stopIfTrue="1">
      <formula>ISERROR($B69)</formula>
    </cfRule>
    <cfRule type="expression" dxfId="443" priority="380" stopIfTrue="1">
      <formula>ISERROR(T69)</formula>
    </cfRule>
    <cfRule type="cellIs" dxfId="442" priority="381" stopIfTrue="1" operator="equal">
      <formula>0</formula>
    </cfRule>
  </conditionalFormatting>
  <conditionalFormatting sqref="T70">
    <cfRule type="expression" dxfId="441" priority="378" stopIfTrue="1">
      <formula>ISERROR($B69)</formula>
    </cfRule>
    <cfRule type="expression" dxfId="440" priority="382" stopIfTrue="1">
      <formula>ISERROR(T70)</formula>
    </cfRule>
    <cfRule type="cellIs" dxfId="439" priority="383" stopIfTrue="1" operator="equal">
      <formula>0</formula>
    </cfRule>
  </conditionalFormatting>
  <conditionalFormatting sqref="T71">
    <cfRule type="expression" dxfId="438" priority="377" stopIfTrue="1">
      <formula>ISERROR($B69)</formula>
    </cfRule>
    <cfRule type="expression" dxfId="437" priority="384" stopIfTrue="1">
      <formula>ISERROR(T71)</formula>
    </cfRule>
    <cfRule type="expression" dxfId="436" priority="385" stopIfTrue="1">
      <formula>T69=0</formula>
    </cfRule>
  </conditionalFormatting>
  <conditionalFormatting sqref="B74 B78 B82 B86 B90 B94">
    <cfRule type="expression" dxfId="435" priority="353" stopIfTrue="1">
      <formula>ISERROR($B73)</formula>
    </cfRule>
  </conditionalFormatting>
  <conditionalFormatting sqref="B75 B79 B83 B87 B91 B95">
    <cfRule type="expression" dxfId="434" priority="354" stopIfTrue="1">
      <formula>ISERROR($B73)</formula>
    </cfRule>
  </conditionalFormatting>
  <conditionalFormatting sqref="A74:A76 A78:A80 A82:A84 A86:A88 A90:A92 A94:A96">
    <cfRule type="expression" dxfId="433" priority="355" stopIfTrue="1">
      <formula>ISERROR($B74)</formula>
    </cfRule>
  </conditionalFormatting>
  <conditionalFormatting sqref="A73 A77 A81 A85 A89 A93">
    <cfRule type="expression" dxfId="432" priority="356" stopIfTrue="1">
      <formula>ISERROR($B73)</formula>
    </cfRule>
    <cfRule type="cellIs" dxfId="431" priority="357" stopIfTrue="1" operator="equal">
      <formula>0</formula>
    </cfRule>
  </conditionalFormatting>
  <conditionalFormatting sqref="B73 B77 B81 B85 B89 B93">
    <cfRule type="expression" dxfId="430" priority="358" stopIfTrue="1">
      <formula>ISERROR($B73)</formula>
    </cfRule>
  </conditionalFormatting>
  <conditionalFormatting sqref="T76 T80 T84 T88 T92 T96 C76:E76 C80:E80 C84:E84 C88:E88 C92:E92 C96:E96">
    <cfRule type="expression" dxfId="429" priority="372" stopIfTrue="1">
      <formula>OR(C76=0,ISERROR(C76))</formula>
    </cfRule>
    <cfRule type="expression" dxfId="428" priority="373" stopIfTrue="1">
      <formula>ISERROR(C76)</formula>
    </cfRule>
  </conditionalFormatting>
  <conditionalFormatting sqref="F76 F80 F84 F88 F92 F96">
    <cfRule type="expression" dxfId="427" priority="374" stopIfTrue="1">
      <formula>OR(F76=0,ISERROR(F76))</formula>
    </cfRule>
    <cfRule type="expression" dxfId="426" priority="375" stopIfTrue="1">
      <formula>ISERROR(F76)</formula>
    </cfRule>
  </conditionalFormatting>
  <conditionalFormatting sqref="S73:S96">
    <cfRule type="expression" dxfId="425" priority="376" stopIfTrue="1">
      <formula>OR(S73=0,ISERROR(S73))</formula>
    </cfRule>
  </conditionalFormatting>
  <conditionalFormatting sqref="G76:I76 G80:I80 G84:I84 G88:I88 G92:I92 G96:I96">
    <cfRule type="expression" dxfId="424" priority="349" stopIfTrue="1">
      <formula>OR(G76=0,ISERROR(G76))</formula>
    </cfRule>
    <cfRule type="expression" dxfId="423" priority="350" stopIfTrue="1">
      <formula>ISERROR(G76)</formula>
    </cfRule>
  </conditionalFormatting>
  <conditionalFormatting sqref="J76 J80 J84 J88 J92 J96">
    <cfRule type="expression" dxfId="422" priority="351" stopIfTrue="1">
      <formula>OR(J76=0,ISERROR(J76))</formula>
    </cfRule>
    <cfRule type="expression" dxfId="421" priority="352" stopIfTrue="1">
      <formula>ISERROR(J76)</formula>
    </cfRule>
  </conditionalFormatting>
  <conditionalFormatting sqref="K76:M76 K80:M80 K84:M84 K88:M88 K92:M92 K96:M96">
    <cfRule type="expression" dxfId="420" priority="345" stopIfTrue="1">
      <formula>OR(K76=0,ISERROR(K76))</formula>
    </cfRule>
    <cfRule type="expression" dxfId="419" priority="346" stopIfTrue="1">
      <formula>ISERROR(K76)</formula>
    </cfRule>
  </conditionalFormatting>
  <conditionalFormatting sqref="N76 N80 N84 N88 N92 N96">
    <cfRule type="expression" dxfId="418" priority="347" stopIfTrue="1">
      <formula>OR(N76=0,ISERROR(N76))</formula>
    </cfRule>
    <cfRule type="expression" dxfId="417" priority="348" stopIfTrue="1">
      <formula>ISERROR(N76)</formula>
    </cfRule>
  </conditionalFormatting>
  <conditionalFormatting sqref="O76:Q76 O80:Q80 O84:Q84 O88:Q88 O92:Q92 O96:Q96">
    <cfRule type="expression" dxfId="416" priority="341" stopIfTrue="1">
      <formula>OR(O76=0,ISERROR(O76))</formula>
    </cfRule>
    <cfRule type="expression" dxfId="415" priority="342" stopIfTrue="1">
      <formula>ISERROR(O76)</formula>
    </cfRule>
  </conditionalFormatting>
  <conditionalFormatting sqref="R76 R80 R84 R88 R92 R96">
    <cfRule type="expression" dxfId="414" priority="343" stopIfTrue="1">
      <formula>OR(R76=0,ISERROR(R76))</formula>
    </cfRule>
    <cfRule type="expression" dxfId="413" priority="344" stopIfTrue="1">
      <formula>ISERROR(R76)</formula>
    </cfRule>
  </conditionalFormatting>
  <conditionalFormatting sqref="C73:E73 C77:E77 C81:E81 C85:E85 C89:E89 C93:E93">
    <cfRule type="expression" dxfId="412" priority="340" stopIfTrue="1">
      <formula>ISERROR($B73)</formula>
    </cfRule>
    <cfRule type="expression" dxfId="411" priority="359" stopIfTrue="1">
      <formula>ISERROR(C73)</formula>
    </cfRule>
    <cfRule type="cellIs" dxfId="410" priority="360" stopIfTrue="1" operator="equal">
      <formula>0</formula>
    </cfRule>
  </conditionalFormatting>
  <conditionalFormatting sqref="F73 F77 F81 F85 F89 F93">
    <cfRule type="expression" dxfId="409" priority="339" stopIfTrue="1">
      <formula>ISERROR($B73)</formula>
    </cfRule>
    <cfRule type="expression" dxfId="408" priority="366" stopIfTrue="1">
      <formula>ISERROR(F73)</formula>
    </cfRule>
    <cfRule type="cellIs" dxfId="407" priority="367" stopIfTrue="1" operator="equal">
      <formula>0</formula>
    </cfRule>
  </conditionalFormatting>
  <conditionalFormatting sqref="C74:E74 C78:E78 C82:E82 C86:E86 C90:E90 C94:E94">
    <cfRule type="expression" dxfId="406" priority="338" stopIfTrue="1">
      <formula>ISERROR($B73)</formula>
    </cfRule>
    <cfRule type="expression" dxfId="405" priority="361" stopIfTrue="1">
      <formula>ISERROR(C74)</formula>
    </cfRule>
    <cfRule type="cellIs" dxfId="404" priority="362" stopIfTrue="1" operator="equal">
      <formula>0</formula>
    </cfRule>
  </conditionalFormatting>
  <conditionalFormatting sqref="C75:E75 C79:E79 C83:E83 C87:E87 C91:E91 C95:E95">
    <cfRule type="expression" dxfId="403" priority="363" stopIfTrue="1">
      <formula>ISERROR($B73)</formula>
    </cfRule>
    <cfRule type="expression" dxfId="402" priority="364" stopIfTrue="1">
      <formula>ISERROR(C75)</formula>
    </cfRule>
    <cfRule type="cellIs" dxfId="401" priority="365" stopIfTrue="1" operator="equal">
      <formula>0</formula>
    </cfRule>
  </conditionalFormatting>
  <conditionalFormatting sqref="F74 F78 F82 F86 F90 F94">
    <cfRule type="expression" dxfId="400" priority="337" stopIfTrue="1">
      <formula>ISERROR($B73)</formula>
    </cfRule>
    <cfRule type="expression" dxfId="399" priority="368" stopIfTrue="1">
      <formula>ISERROR(F74)</formula>
    </cfRule>
    <cfRule type="cellIs" dxfId="398" priority="369" stopIfTrue="1" operator="equal">
      <formula>0</formula>
    </cfRule>
  </conditionalFormatting>
  <conditionalFormatting sqref="F75 F79 F83 F87 F91 F95">
    <cfRule type="expression" dxfId="397" priority="336" stopIfTrue="1">
      <formula>ISERROR($B73)</formula>
    </cfRule>
    <cfRule type="expression" dxfId="396" priority="370" stopIfTrue="1">
      <formula>ISERROR(F75)</formula>
    </cfRule>
    <cfRule type="expression" dxfId="395" priority="371" stopIfTrue="1">
      <formula>F73=0</formula>
    </cfRule>
  </conditionalFormatting>
  <conditionalFormatting sqref="G73:I73 G77:I77 G81:I81 G85:I85 G89:I89 G93:I93">
    <cfRule type="expression" dxfId="394" priority="322" stopIfTrue="1">
      <formula>ISERROR($B73)</formula>
    </cfRule>
    <cfRule type="expression" dxfId="393" priority="323">
      <formula>ISERROR(G73)</formula>
    </cfRule>
    <cfRule type="cellIs" dxfId="392" priority="324" stopIfTrue="1" operator="equal">
      <formula>0</formula>
    </cfRule>
  </conditionalFormatting>
  <conditionalFormatting sqref="J73 J77 J81 J85 J89 J93">
    <cfRule type="expression" dxfId="391" priority="321" stopIfTrue="1">
      <formula>ISERROR($B73)</formula>
    </cfRule>
    <cfRule type="expression" dxfId="390" priority="330">
      <formula>ISERROR(J73)</formula>
    </cfRule>
    <cfRule type="cellIs" dxfId="389" priority="331" stopIfTrue="1" operator="equal">
      <formula>0</formula>
    </cfRule>
  </conditionalFormatting>
  <conditionalFormatting sqref="G74:I74 G78:I78 G82:I82 G86:I86 G90:I90 G94:I94">
    <cfRule type="expression" dxfId="388" priority="320">
      <formula>ISERROR($B73)</formula>
    </cfRule>
    <cfRule type="expression" dxfId="387" priority="325">
      <formula>ISERROR(G74)</formula>
    </cfRule>
    <cfRule type="cellIs" dxfId="386" priority="326" operator="equal">
      <formula>0</formula>
    </cfRule>
  </conditionalFormatting>
  <conditionalFormatting sqref="G75:I75 G79:I79 G83:I83 G87:I87 G91:I91 G95:I95">
    <cfRule type="expression" dxfId="385" priority="327" stopIfTrue="1">
      <formula>ISERROR($B73)</formula>
    </cfRule>
    <cfRule type="expression" dxfId="384" priority="328" stopIfTrue="1">
      <formula>ISERROR(G75)</formula>
    </cfRule>
    <cfRule type="cellIs" dxfId="383" priority="329" stopIfTrue="1" operator="equal">
      <formula>0</formula>
    </cfRule>
  </conditionalFormatting>
  <conditionalFormatting sqref="J74 J78 J82 J86 J90 J94">
    <cfRule type="expression" dxfId="382" priority="319" stopIfTrue="1">
      <formula>ISERROR($B73)</formula>
    </cfRule>
    <cfRule type="expression" dxfId="381" priority="332">
      <formula>ISERROR(J74)</formula>
    </cfRule>
    <cfRule type="cellIs" dxfId="380" priority="333" stopIfTrue="1" operator="equal">
      <formula>0</formula>
    </cfRule>
  </conditionalFormatting>
  <conditionalFormatting sqref="J75 J79 J83 J87 J91 J95">
    <cfRule type="expression" dxfId="379" priority="318" stopIfTrue="1">
      <formula>ISERROR($B73)</formula>
    </cfRule>
    <cfRule type="expression" dxfId="378" priority="334">
      <formula>ISERROR(J75)</formula>
    </cfRule>
    <cfRule type="expression" dxfId="377" priority="335" stopIfTrue="1">
      <formula>J73=0</formula>
    </cfRule>
  </conditionalFormatting>
  <conditionalFormatting sqref="K73:M73 K77:M77 K81:M81 K85:M85 K89:M89 K93:M93">
    <cfRule type="expression" dxfId="376" priority="304" stopIfTrue="1">
      <formula>ISERROR($B73)</formula>
    </cfRule>
    <cfRule type="expression" dxfId="375" priority="305">
      <formula>ISERROR(K73)</formula>
    </cfRule>
    <cfRule type="cellIs" dxfId="374" priority="306" stopIfTrue="1" operator="equal">
      <formula>0</formula>
    </cfRule>
  </conditionalFormatting>
  <conditionalFormatting sqref="N73 N77 N81 N85 N89 N93">
    <cfRule type="expression" dxfId="373" priority="303" stopIfTrue="1">
      <formula>ISERROR($B73)</formula>
    </cfRule>
    <cfRule type="expression" dxfId="372" priority="312">
      <formula>ISERROR(N73)</formula>
    </cfRule>
    <cfRule type="cellIs" dxfId="371" priority="313" stopIfTrue="1" operator="equal">
      <formula>0</formula>
    </cfRule>
  </conditionalFormatting>
  <conditionalFormatting sqref="K74:M74 K78:M78 K82:M82 K86:M86 K90:M90 K94:M94">
    <cfRule type="expression" dxfId="370" priority="302">
      <formula>ISERROR($B73)</formula>
    </cfRule>
    <cfRule type="expression" dxfId="369" priority="307">
      <formula>ISERROR(K74)</formula>
    </cfRule>
    <cfRule type="cellIs" dxfId="368" priority="308" operator="equal">
      <formula>0</formula>
    </cfRule>
  </conditionalFormatting>
  <conditionalFormatting sqref="K75:M75 K79:M79 K83:M83 K87:M87 K91:M91 K95:M95">
    <cfRule type="expression" dxfId="367" priority="309" stopIfTrue="1">
      <formula>ISERROR($B73)</formula>
    </cfRule>
    <cfRule type="expression" dxfId="366" priority="310" stopIfTrue="1">
      <formula>ISERROR(K75)</formula>
    </cfRule>
    <cfRule type="cellIs" dxfId="365" priority="311" stopIfTrue="1" operator="equal">
      <formula>0</formula>
    </cfRule>
  </conditionalFormatting>
  <conditionalFormatting sqref="N74 N78 N82 N86 N90 N94">
    <cfRule type="expression" dxfId="364" priority="301" stopIfTrue="1">
      <formula>ISERROR($B73)</formula>
    </cfRule>
    <cfRule type="expression" dxfId="363" priority="314">
      <formula>ISERROR(N74)</formula>
    </cfRule>
    <cfRule type="cellIs" dxfId="362" priority="315" stopIfTrue="1" operator="equal">
      <formula>0</formula>
    </cfRule>
  </conditionalFormatting>
  <conditionalFormatting sqref="N75 N79 N83 N87 N91 N95">
    <cfRule type="expression" dxfId="361" priority="300" stopIfTrue="1">
      <formula>ISERROR($B73)</formula>
    </cfRule>
    <cfRule type="expression" dxfId="360" priority="316">
      <formula>ISERROR(N75)</formula>
    </cfRule>
    <cfRule type="expression" dxfId="359" priority="317" stopIfTrue="1">
      <formula>N73=0</formula>
    </cfRule>
  </conditionalFormatting>
  <conditionalFormatting sqref="O73:Q73 O77:Q77 O81:Q81 O85:Q85 O89:Q89 O93:Q93">
    <cfRule type="expression" dxfId="358" priority="286" stopIfTrue="1">
      <formula>ISERROR($B73)</formula>
    </cfRule>
    <cfRule type="expression" dxfId="357" priority="287">
      <formula>ISERROR(O73)</formula>
    </cfRule>
    <cfRule type="cellIs" dxfId="356" priority="288" stopIfTrue="1" operator="equal">
      <formula>0</formula>
    </cfRule>
  </conditionalFormatting>
  <conditionalFormatting sqref="R73 R77 R81 R85 R89 R93">
    <cfRule type="expression" dxfId="355" priority="285" stopIfTrue="1">
      <formula>ISERROR($B73)</formula>
    </cfRule>
    <cfRule type="expression" dxfId="354" priority="294">
      <formula>ISERROR(R73)</formula>
    </cfRule>
    <cfRule type="cellIs" dxfId="353" priority="295" stopIfTrue="1" operator="equal">
      <formula>0</formula>
    </cfRule>
  </conditionalFormatting>
  <conditionalFormatting sqref="O74:Q74 O78:Q78 O82:Q82 O86:Q86 O90:Q90 O94:Q94">
    <cfRule type="expression" dxfId="352" priority="284">
      <formula>ISERROR($B73)</formula>
    </cfRule>
    <cfRule type="expression" dxfId="351" priority="289">
      <formula>ISERROR(O74)</formula>
    </cfRule>
    <cfRule type="cellIs" dxfId="350" priority="290" operator="equal">
      <formula>0</formula>
    </cfRule>
  </conditionalFormatting>
  <conditionalFormatting sqref="O75:Q75 O79:Q79 O83:Q83 O87:Q87 O91:Q91 O95:Q95">
    <cfRule type="expression" dxfId="349" priority="291" stopIfTrue="1">
      <formula>ISERROR($B73)</formula>
    </cfRule>
    <cfRule type="expression" dxfId="348" priority="292" stopIfTrue="1">
      <formula>ISERROR(O75)</formula>
    </cfRule>
    <cfRule type="cellIs" dxfId="347" priority="293" stopIfTrue="1" operator="equal">
      <formula>0</formula>
    </cfRule>
  </conditionalFormatting>
  <conditionalFormatting sqref="R74 R78 R82 R86 R90 R94">
    <cfRule type="expression" dxfId="346" priority="283" stopIfTrue="1">
      <formula>ISERROR($B73)</formula>
    </cfRule>
    <cfRule type="expression" dxfId="345" priority="296">
      <formula>ISERROR(R74)</formula>
    </cfRule>
    <cfRule type="cellIs" dxfId="344" priority="297" stopIfTrue="1" operator="equal">
      <formula>0</formula>
    </cfRule>
  </conditionalFormatting>
  <conditionalFormatting sqref="R75 R79 R83 R87 R91 R95">
    <cfRule type="expression" dxfId="343" priority="282" stopIfTrue="1">
      <formula>ISERROR($B73)</formula>
    </cfRule>
    <cfRule type="expression" dxfId="342" priority="298">
      <formula>ISERROR(R75)</formula>
    </cfRule>
    <cfRule type="expression" dxfId="341" priority="299" stopIfTrue="1">
      <formula>R73=0</formula>
    </cfRule>
  </conditionalFormatting>
  <conditionalFormatting sqref="T73 T77 T81 T85 T89 T93">
    <cfRule type="expression" dxfId="340" priority="275" stopIfTrue="1">
      <formula>ISERROR($B73)</formula>
    </cfRule>
    <cfRule type="expression" dxfId="339" priority="276" stopIfTrue="1">
      <formula>ISERROR(T73)</formula>
    </cfRule>
    <cfRule type="cellIs" dxfId="338" priority="277" stopIfTrue="1" operator="equal">
      <formula>0</formula>
    </cfRule>
  </conditionalFormatting>
  <conditionalFormatting sqref="T74 T78 T82 T86 T90 T94">
    <cfRule type="expression" dxfId="337" priority="274" stopIfTrue="1">
      <formula>ISERROR($B73)</formula>
    </cfRule>
    <cfRule type="expression" dxfId="336" priority="278" stopIfTrue="1">
      <formula>ISERROR(T74)</formula>
    </cfRule>
    <cfRule type="cellIs" dxfId="335" priority="279" stopIfTrue="1" operator="equal">
      <formula>0</formula>
    </cfRule>
  </conditionalFormatting>
  <conditionalFormatting sqref="T75 T79 T83 T87 T91 T95">
    <cfRule type="expression" dxfId="334" priority="273" stopIfTrue="1">
      <formula>ISERROR($B73)</formula>
    </cfRule>
    <cfRule type="expression" dxfId="333" priority="280" stopIfTrue="1">
      <formula>ISERROR(T75)</formula>
    </cfRule>
    <cfRule type="expression" dxfId="332" priority="281" stopIfTrue="1">
      <formula>T73=0</formula>
    </cfRule>
  </conditionalFormatting>
  <conditionalFormatting sqref="B99">
    <cfRule type="expression" dxfId="331" priority="254" stopIfTrue="1">
      <formula>ISERROR($B97)</formula>
    </cfRule>
  </conditionalFormatting>
  <conditionalFormatting sqref="A98:A99">
    <cfRule type="expression" dxfId="330" priority="255" stopIfTrue="1">
      <formula>ISERROR($B98)</formula>
    </cfRule>
  </conditionalFormatting>
  <conditionalFormatting sqref="A97">
    <cfRule type="expression" dxfId="329" priority="256" stopIfTrue="1">
      <formula>ISERROR($B97)</formula>
    </cfRule>
    <cfRule type="cellIs" dxfId="328" priority="257" stopIfTrue="1" operator="equal">
      <formula>0</formula>
    </cfRule>
  </conditionalFormatting>
  <conditionalFormatting sqref="S97:S99">
    <cfRule type="expression" dxfId="327" priority="272" stopIfTrue="1">
      <formula>OR(S97=0,ISERROR(S97))</formula>
    </cfRule>
  </conditionalFormatting>
  <conditionalFormatting sqref="R97">
    <cfRule type="expression" dxfId="326" priority="251" stopIfTrue="1">
      <formula>$G$178=0</formula>
    </cfRule>
    <cfRule type="expression" dxfId="325" priority="266" stopIfTrue="1">
      <formula>ISERROR(R97)</formula>
    </cfRule>
    <cfRule type="cellIs" dxfId="324" priority="267" stopIfTrue="1" operator="equal">
      <formula>0</formula>
    </cfRule>
  </conditionalFormatting>
  <conditionalFormatting sqref="C98:E98 K98:M99 O98:Q99">
    <cfRule type="expression" dxfId="323" priority="250" stopIfTrue="1">
      <formula>$G$178=0</formula>
    </cfRule>
    <cfRule type="expression" dxfId="322" priority="261" stopIfTrue="1">
      <formula>ISERROR(C98)</formula>
    </cfRule>
    <cfRule type="cellIs" dxfId="321" priority="262" stopIfTrue="1" operator="equal">
      <formula>0</formula>
    </cfRule>
  </conditionalFormatting>
  <conditionalFormatting sqref="C99:E99">
    <cfRule type="expression" dxfId="320" priority="263" stopIfTrue="1">
      <formula>$G$178=0</formula>
    </cfRule>
    <cfRule type="expression" dxfId="319" priority="264" stopIfTrue="1">
      <formula>ISERROR(C99)</formula>
    </cfRule>
    <cfRule type="cellIs" dxfId="318" priority="265" stopIfTrue="1" operator="equal">
      <formula>0</formula>
    </cfRule>
  </conditionalFormatting>
  <conditionalFormatting sqref="F98 N98 R98">
    <cfRule type="expression" dxfId="317" priority="249" stopIfTrue="1">
      <formula>$G$178=0</formula>
    </cfRule>
    <cfRule type="expression" dxfId="316" priority="268" stopIfTrue="1">
      <formula>ISERROR(F98)</formula>
    </cfRule>
    <cfRule type="cellIs" dxfId="315" priority="269" stopIfTrue="1" operator="equal">
      <formula>0</formula>
    </cfRule>
  </conditionalFormatting>
  <conditionalFormatting sqref="F99 N99 R99">
    <cfRule type="expression" dxfId="314" priority="248" stopIfTrue="1">
      <formula>$G$178=0</formula>
    </cfRule>
    <cfRule type="expression" dxfId="313" priority="270" stopIfTrue="1">
      <formula>ISERROR(F99)</formula>
    </cfRule>
    <cfRule type="expression" dxfId="312" priority="271" stopIfTrue="1">
      <formula>F97=0</formula>
    </cfRule>
  </conditionalFormatting>
  <conditionalFormatting sqref="G98:I98">
    <cfRule type="expression" dxfId="311" priority="205" stopIfTrue="1">
      <formula>$G$178=0</formula>
    </cfRule>
    <cfRule type="expression" dxfId="310" priority="210" stopIfTrue="1">
      <formula>ISERROR(G98)</formula>
    </cfRule>
    <cfRule type="cellIs" dxfId="309" priority="211" stopIfTrue="1" operator="equal">
      <formula>0</formula>
    </cfRule>
  </conditionalFormatting>
  <conditionalFormatting sqref="G99:I99">
    <cfRule type="expression" dxfId="308" priority="212" stopIfTrue="1">
      <formula>$G$178=0</formula>
    </cfRule>
    <cfRule type="expression" dxfId="307" priority="213" stopIfTrue="1">
      <formula>ISERROR(G99)</formula>
    </cfRule>
    <cfRule type="cellIs" dxfId="306" priority="214" stopIfTrue="1" operator="equal">
      <formula>0</formula>
    </cfRule>
  </conditionalFormatting>
  <conditionalFormatting sqref="J98">
    <cfRule type="expression" dxfId="305" priority="204" stopIfTrue="1">
      <formula>$G$178=0</formula>
    </cfRule>
    <cfRule type="expression" dxfId="304" priority="217" stopIfTrue="1">
      <formula>ISERROR(J98)</formula>
    </cfRule>
    <cfRule type="cellIs" dxfId="303" priority="218" stopIfTrue="1" operator="equal">
      <formula>0</formula>
    </cfRule>
  </conditionalFormatting>
  <conditionalFormatting sqref="J99">
    <cfRule type="expression" dxfId="302" priority="203" stopIfTrue="1">
      <formula>$G$178=0</formula>
    </cfRule>
    <cfRule type="expression" dxfId="301" priority="219" stopIfTrue="1">
      <formula>ISERROR(J99)</formula>
    </cfRule>
    <cfRule type="expression" dxfId="300" priority="220" stopIfTrue="1">
      <formula>J97=0</formula>
    </cfRule>
  </conditionalFormatting>
  <conditionalFormatting sqref="T97">
    <cfRule type="expression" dxfId="299" priority="196" stopIfTrue="1">
      <formula>$G$178=0</formula>
    </cfRule>
    <cfRule type="expression" dxfId="298" priority="197" stopIfTrue="1">
      <formula>ISERROR(T97)</formula>
    </cfRule>
    <cfRule type="cellIs" dxfId="297" priority="198" stopIfTrue="1" operator="equal">
      <formula>0</formula>
    </cfRule>
  </conditionalFormatting>
  <conditionalFormatting sqref="T98">
    <cfRule type="expression" dxfId="296" priority="195" stopIfTrue="1">
      <formula>$G$178=0</formula>
    </cfRule>
    <cfRule type="expression" dxfId="295" priority="199" stopIfTrue="1">
      <formula>ISERROR(T98)</formula>
    </cfRule>
    <cfRule type="cellIs" dxfId="294" priority="200" stopIfTrue="1" operator="equal">
      <formula>0</formula>
    </cfRule>
  </conditionalFormatting>
  <conditionalFormatting sqref="T99">
    <cfRule type="expression" dxfId="293" priority="194" stopIfTrue="1">
      <formula>$G$178=0</formula>
    </cfRule>
    <cfRule type="expression" dxfId="292" priority="201" stopIfTrue="1">
      <formula>ISERROR(T99)</formula>
    </cfRule>
    <cfRule type="expression" dxfId="291" priority="202" stopIfTrue="1">
      <formula>T97=0</formula>
    </cfRule>
  </conditionalFormatting>
  <conditionalFormatting sqref="S118 T128">
    <cfRule type="expression" dxfId="290" priority="172" stopIfTrue="1">
      <formula>ISERROR(S118)</formula>
    </cfRule>
  </conditionalFormatting>
  <conditionalFormatting sqref="S119:S128">
    <cfRule type="expression" dxfId="289" priority="173" stopIfTrue="1">
      <formula>OR(S119=0,ISERROR(S119))</formula>
    </cfRule>
  </conditionalFormatting>
  <conditionalFormatting sqref="G119:I127 K119:M127 O119:Q127 C119:E127">
    <cfRule type="expression" dxfId="288" priority="174" stopIfTrue="1">
      <formula>ISERROR(C119)</formula>
    </cfRule>
    <cfRule type="expression" dxfId="287" priority="175" stopIfTrue="1">
      <formula>OR(C$116=0,$B119="")</formula>
    </cfRule>
    <cfRule type="cellIs" dxfId="286" priority="176" stopIfTrue="1" operator="equal">
      <formula>0</formula>
    </cfRule>
  </conditionalFormatting>
  <conditionalFormatting sqref="F119:F127 J119:J127 N119:N127 R119:R127">
    <cfRule type="expression" dxfId="285" priority="140" stopIfTrue="1">
      <formula>F$116=0</formula>
    </cfRule>
    <cfRule type="expression" dxfId="284" priority="177" stopIfTrue="1">
      <formula>ISERROR(F119)</formula>
    </cfRule>
    <cfRule type="expression" dxfId="283" priority="178" stopIfTrue="1">
      <formula>$A119=""</formula>
    </cfRule>
    <cfRule type="cellIs" dxfId="282" priority="179" operator="equal">
      <formula>0</formula>
    </cfRule>
  </conditionalFormatting>
  <conditionalFormatting sqref="G128:I128 K128:M128 O128:Q128 C128:E128">
    <cfRule type="expression" dxfId="281" priority="180" stopIfTrue="1">
      <formula>ISERROR(C128)</formula>
    </cfRule>
    <cfRule type="expression" dxfId="280" priority="181" stopIfTrue="1">
      <formula>C116=0</formula>
    </cfRule>
  </conditionalFormatting>
  <conditionalFormatting sqref="J128 N128 R128 F128">
    <cfRule type="expression" dxfId="279" priority="182" stopIfTrue="1">
      <formula>ISERROR(F128)</formula>
    </cfRule>
    <cfRule type="expression" dxfId="278" priority="183" stopIfTrue="1">
      <formula>F116=0</formula>
    </cfRule>
  </conditionalFormatting>
  <conditionalFormatting sqref="O118:Q118">
    <cfRule type="expression" dxfId="277" priority="184" stopIfTrue="1">
      <formula>ISERROR(O118)</formula>
    </cfRule>
    <cfRule type="expression" dxfId="276" priority="185" stopIfTrue="1">
      <formula>OR(AND(O118=0,$R118=0),#REF!=0)</formula>
    </cfRule>
    <cfRule type="cellIs" dxfId="275" priority="186" stopIfTrue="1" operator="equal">
      <formula>0</formula>
    </cfRule>
  </conditionalFormatting>
  <conditionalFormatting sqref="K118:M118">
    <cfRule type="expression" dxfId="274" priority="187" stopIfTrue="1">
      <formula>ISERROR(K118)</formula>
    </cfRule>
    <cfRule type="expression" dxfId="273" priority="188" stopIfTrue="1">
      <formula>OR(AND(K118=0,$N118=0),#REF!=0)</formula>
    </cfRule>
    <cfRule type="cellIs" dxfId="272" priority="189" stopIfTrue="1" operator="equal">
      <formula>0</formula>
    </cfRule>
  </conditionalFormatting>
  <conditionalFormatting sqref="G118:I118">
    <cfRule type="expression" dxfId="271" priority="190" stopIfTrue="1">
      <formula>ISERROR(G118)</formula>
    </cfRule>
    <cfRule type="expression" dxfId="270" priority="191" stopIfTrue="1">
      <formula>OR(AND(G118=0,$J118=0),#REF!=0)</formula>
    </cfRule>
    <cfRule type="cellIs" dxfId="269" priority="192" stopIfTrue="1" operator="equal">
      <formula>0</formula>
    </cfRule>
  </conditionalFormatting>
  <conditionalFormatting sqref="C117:E117">
    <cfRule type="expression" dxfId="268" priority="156" stopIfTrue="1">
      <formula>ISERROR(C117)</formula>
    </cfRule>
    <cfRule type="expression" dxfId="267" priority="157" stopIfTrue="1">
      <formula>ROUND(C117,2)=0</formula>
    </cfRule>
  </conditionalFormatting>
  <conditionalFormatting sqref="S117">
    <cfRule type="expression" dxfId="266" priority="158" stopIfTrue="1">
      <formula>ISERROR(S117)</formula>
    </cfRule>
  </conditionalFormatting>
  <conditionalFormatting sqref="S116">
    <cfRule type="expression" dxfId="265" priority="159" stopIfTrue="1">
      <formula>S116=0</formula>
    </cfRule>
  </conditionalFormatting>
  <conditionalFormatting sqref="F117">
    <cfRule type="expression" dxfId="264" priority="162" stopIfTrue="1">
      <formula>ISERROR(F117)</formula>
    </cfRule>
    <cfRule type="cellIs" dxfId="263" priority="163" stopIfTrue="1" operator="equal">
      <formula>0</formula>
    </cfRule>
    <cfRule type="expression" dxfId="262" priority="164" stopIfTrue="1">
      <formula>ROUND(F117,2)=0</formula>
    </cfRule>
  </conditionalFormatting>
  <conditionalFormatting sqref="T117">
    <cfRule type="expression" dxfId="261" priority="167" stopIfTrue="1">
      <formula>ISERROR(T117)</formula>
    </cfRule>
    <cfRule type="cellIs" dxfId="260" priority="168" stopIfTrue="1" operator="equal">
      <formula>0</formula>
    </cfRule>
    <cfRule type="expression" dxfId="259" priority="169" stopIfTrue="1">
      <formula>ROUND(T117,2)=0</formula>
    </cfRule>
  </conditionalFormatting>
  <conditionalFormatting sqref="C116:E116">
    <cfRule type="expression" dxfId="258" priority="171" stopIfTrue="1">
      <formula>ROUND(C116,2)=0</formula>
    </cfRule>
  </conditionalFormatting>
  <conditionalFormatting sqref="C116:E116">
    <cfRule type="expression" dxfId="257" priority="170">
      <formula>ISERROR(C116)</formula>
    </cfRule>
  </conditionalFormatting>
  <conditionalFormatting sqref="F116">
    <cfRule type="expression" dxfId="256" priority="155">
      <formula>ISERROR(F116)</formula>
    </cfRule>
    <cfRule type="expression" dxfId="255" priority="160" stopIfTrue="1">
      <formula>F116=0</formula>
    </cfRule>
    <cfRule type="expression" dxfId="254" priority="161" stopIfTrue="1">
      <formula>ROUND(F116,2)=0</formula>
    </cfRule>
  </conditionalFormatting>
  <conditionalFormatting sqref="T116">
    <cfRule type="expression" dxfId="253" priority="153">
      <formula>ISERROR(T116)</formula>
    </cfRule>
    <cfRule type="expression" dxfId="252" priority="165" stopIfTrue="1">
      <formula>T116=0</formula>
    </cfRule>
    <cfRule type="expression" dxfId="251" priority="166" stopIfTrue="1">
      <formula>ROUND(T116,2)=0</formula>
    </cfRule>
  </conditionalFormatting>
  <conditionalFormatting sqref="C116:F117">
    <cfRule type="expression" dxfId="250" priority="154" stopIfTrue="1">
      <formula>ISERROR($C$180)</formula>
    </cfRule>
  </conditionalFormatting>
  <conditionalFormatting sqref="G117:I117 K117:M117 O117:Q117">
    <cfRule type="expression" dxfId="249" priority="144" stopIfTrue="1">
      <formula>ISERROR(G117)</formula>
    </cfRule>
    <cfRule type="expression" dxfId="248" priority="145" stopIfTrue="1">
      <formula>ROUND(G117,2)=0</formula>
    </cfRule>
  </conditionalFormatting>
  <conditionalFormatting sqref="J117 N117 R117">
    <cfRule type="expression" dxfId="247" priority="148" stopIfTrue="1">
      <formula>ISERROR(J117)</formula>
    </cfRule>
    <cfRule type="cellIs" dxfId="246" priority="149" stopIfTrue="1" operator="equal">
      <formula>0</formula>
    </cfRule>
    <cfRule type="expression" dxfId="245" priority="150" stopIfTrue="1">
      <formula>ROUND(J117,2)=0</formula>
    </cfRule>
  </conditionalFormatting>
  <conditionalFormatting sqref="G116:I116 K116:M116 O116:Q116">
    <cfRule type="expression" dxfId="244" priority="152" stopIfTrue="1">
      <formula>ROUND(G116,2)=0</formula>
    </cfRule>
  </conditionalFormatting>
  <conditionalFormatting sqref="G116:I116 K116:M116 O116:Q116">
    <cfRule type="expression" dxfId="243" priority="151">
      <formula>ISERROR(G116)</formula>
    </cfRule>
  </conditionalFormatting>
  <conditionalFormatting sqref="J116 N116 R116">
    <cfRule type="expression" dxfId="242" priority="143">
      <formula>ISERROR(J116)</formula>
    </cfRule>
    <cfRule type="expression" dxfId="241" priority="146" stopIfTrue="1">
      <formula>J116=0</formula>
    </cfRule>
    <cfRule type="expression" dxfId="240" priority="147" stopIfTrue="1">
      <formula>ROUND(J116,2)=0</formula>
    </cfRule>
  </conditionalFormatting>
  <conditionalFormatting sqref="G116:R117">
    <cfRule type="expression" dxfId="239" priority="142" stopIfTrue="1">
      <formula>ISERROR($C$180)</formula>
    </cfRule>
  </conditionalFormatting>
  <conditionalFormatting sqref="T116:T117">
    <cfRule type="expression" dxfId="238" priority="141">
      <formula>ISERROR($C$180)</formula>
    </cfRule>
  </conditionalFormatting>
  <conditionalFormatting sqref="T119:T127">
    <cfRule type="expression" dxfId="237" priority="136" stopIfTrue="1">
      <formula>T$116=0</formula>
    </cfRule>
    <cfRule type="expression" dxfId="236" priority="137" stopIfTrue="1">
      <formula>ISERROR(T119)</formula>
    </cfRule>
    <cfRule type="expression" dxfId="235" priority="138" stopIfTrue="1">
      <formula>$A119=""</formula>
    </cfRule>
    <cfRule type="cellIs" dxfId="234" priority="139" operator="equal">
      <formula>0</formula>
    </cfRule>
  </conditionalFormatting>
  <conditionalFormatting sqref="A160">
    <cfRule type="expression" dxfId="233" priority="130" stopIfTrue="1">
      <formula>ISERROR($B160)</formula>
    </cfRule>
  </conditionalFormatting>
  <conditionalFormatting sqref="S160">
    <cfRule type="expression" dxfId="232" priority="131" stopIfTrue="1">
      <formula>OR(S160=0,ISERROR(S160))</formula>
    </cfRule>
  </conditionalFormatting>
  <conditionalFormatting sqref="T160">
    <cfRule type="expression" dxfId="231" priority="132" stopIfTrue="1">
      <formula>OR(T160=0,ISERROR(T160))</formula>
    </cfRule>
    <cfRule type="expression" dxfId="230" priority="133" stopIfTrue="1">
      <formula>ISERROR(T160)</formula>
    </cfRule>
  </conditionalFormatting>
  <conditionalFormatting sqref="N160 J160 R160">
    <cfRule type="expression" dxfId="229" priority="134" stopIfTrue="1">
      <formula>OR(J160=0,ISERROR(J160))</formula>
    </cfRule>
    <cfRule type="expression" dxfId="228" priority="135" stopIfTrue="1">
      <formula>ISERROR(J160)</formula>
    </cfRule>
  </conditionalFormatting>
  <conditionalFormatting sqref="A147">
    <cfRule type="expression" dxfId="227" priority="124" stopIfTrue="1">
      <formula>ISERROR($C147)</formula>
    </cfRule>
  </conditionalFormatting>
  <conditionalFormatting sqref="S147">
    <cfRule type="expression" dxfId="226" priority="125" stopIfTrue="1">
      <formula>OR(S147=0,ISERROR(S147))</formula>
    </cfRule>
  </conditionalFormatting>
  <conditionalFormatting sqref="T147">
    <cfRule type="expression" dxfId="225" priority="126" stopIfTrue="1">
      <formula>OR(T147=0,ISERROR(T147))</formula>
    </cfRule>
    <cfRule type="expression" dxfId="224" priority="127" stopIfTrue="1">
      <formula>ISERROR(T147)</formula>
    </cfRule>
  </conditionalFormatting>
  <conditionalFormatting sqref="R147 J147">
    <cfRule type="expression" dxfId="223" priority="128" stopIfTrue="1">
      <formula>OR(J147=0,ISERROR(J147))</formula>
    </cfRule>
    <cfRule type="expression" dxfId="222" priority="129" stopIfTrue="1">
      <formula>ISERROR(J147)</formula>
    </cfRule>
  </conditionalFormatting>
  <conditionalFormatting sqref="S149">
    <cfRule type="expression" dxfId="221" priority="106" stopIfTrue="1">
      <formula>OR(S149=0,ISERROR(S149))</formula>
    </cfRule>
  </conditionalFormatting>
  <conditionalFormatting sqref="T150">
    <cfRule type="expression" dxfId="220" priority="92" stopIfTrue="1">
      <formula>ISERROR($B$69)</formula>
    </cfRule>
  </conditionalFormatting>
  <conditionalFormatting sqref="B119:B127">
    <cfRule type="expression" dxfId="219" priority="99" stopIfTrue="1">
      <formula>$T119=0</formula>
    </cfRule>
  </conditionalFormatting>
  <conditionalFormatting sqref="B8:B16">
    <cfRule type="expression" dxfId="218" priority="98" stopIfTrue="1">
      <formula>$T8=0</formula>
    </cfRule>
  </conditionalFormatting>
  <conditionalFormatting sqref="B69">
    <cfRule type="expression" dxfId="217" priority="96" stopIfTrue="1">
      <formula>ISERROR($B69)</formula>
    </cfRule>
  </conditionalFormatting>
  <conditionalFormatting sqref="C115:E115 G115:I115 K115:M115 O115:Q115">
    <cfRule type="expression" dxfId="216" priority="9236" stopIfTrue="1">
      <formula>C$113=$B$173</formula>
    </cfRule>
  </conditionalFormatting>
  <conditionalFormatting sqref="C68:E68 G68:I68 K68:M68 O68:Q68 C21:E21 G21:I21 K21:M21 O21:Q21 C149:E149 G149:I149 K149:M149 O149:Q149">
    <cfRule type="expression" dxfId="215" priority="9240" stopIfTrue="1">
      <formula>ISERROR($B$69)</formula>
    </cfRule>
    <cfRule type="expression" dxfId="214" priority="9241" stopIfTrue="1">
      <formula>C$2=$B$173</formula>
    </cfRule>
  </conditionalFormatting>
  <conditionalFormatting sqref="C4:E4 G4:I4 K4:M4 O4:Q4">
    <cfRule type="expression" dxfId="213" priority="9264" stopIfTrue="1">
      <formula>C$2=$B$173</formula>
    </cfRule>
  </conditionalFormatting>
  <conditionalFormatting sqref="T158">
    <cfRule type="expression" dxfId="212" priority="81" stopIfTrue="1">
      <formula>ISERROR($B158)</formula>
    </cfRule>
  </conditionalFormatting>
  <conditionalFormatting sqref="T153">
    <cfRule type="expression" dxfId="211" priority="87" stopIfTrue="1">
      <formula>ISERROR($B153)</formula>
    </cfRule>
  </conditionalFormatting>
  <conditionalFormatting sqref="S153">
    <cfRule type="expression" dxfId="210" priority="89" stopIfTrue="1">
      <formula>OR(S153=0,ISERROR(S153))</formula>
    </cfRule>
  </conditionalFormatting>
  <conditionalFormatting sqref="S158 S155">
    <cfRule type="expression" dxfId="209" priority="83" stopIfTrue="1">
      <formula>OR(S155=0,ISERROR(S155))</formula>
    </cfRule>
  </conditionalFormatting>
  <conditionalFormatting sqref="T155">
    <cfRule type="expression" dxfId="208" priority="84" stopIfTrue="1">
      <formula>OR(T155=0,ISERROR(T155))</formula>
    </cfRule>
    <cfRule type="expression" dxfId="207" priority="85" stopIfTrue="1">
      <formula>ISERROR(T155)</formula>
    </cfRule>
  </conditionalFormatting>
  <conditionalFormatting sqref="S152">
    <cfRule type="expression" dxfId="206" priority="77" stopIfTrue="1">
      <formula>ISERROR(S152)</formula>
    </cfRule>
  </conditionalFormatting>
  <conditionalFormatting sqref="S151">
    <cfRule type="expression" dxfId="205" priority="78" stopIfTrue="1">
      <formula>S151=0</formula>
    </cfRule>
  </conditionalFormatting>
  <conditionalFormatting sqref="C151:E152">
    <cfRule type="expression" dxfId="204" priority="75" stopIfTrue="1">
      <formula>$F151=0</formula>
    </cfRule>
    <cfRule type="cellIs" dxfId="203" priority="76" stopIfTrue="1" operator="equal">
      <formula>0</formula>
    </cfRule>
  </conditionalFormatting>
  <conditionalFormatting sqref="G151:I152">
    <cfRule type="expression" dxfId="202" priority="73" stopIfTrue="1">
      <formula>$J151=0</formula>
    </cfRule>
    <cfRule type="cellIs" dxfId="201" priority="74" stopIfTrue="1" operator="equal">
      <formula>0</formula>
    </cfRule>
  </conditionalFormatting>
  <conditionalFormatting sqref="K151:M152">
    <cfRule type="expression" dxfId="200" priority="71" stopIfTrue="1">
      <formula>$N151=0</formula>
    </cfRule>
    <cfRule type="cellIs" dxfId="199" priority="72" stopIfTrue="1" operator="equal">
      <formula>0</formula>
    </cfRule>
  </conditionalFormatting>
  <conditionalFormatting sqref="O151:Q152">
    <cfRule type="expression" dxfId="198" priority="69" stopIfTrue="1">
      <formula>$R151=0</formula>
    </cfRule>
    <cfRule type="cellIs" dxfId="197" priority="70" stopIfTrue="1" operator="equal">
      <formula>0</formula>
    </cfRule>
  </conditionalFormatting>
  <conditionalFormatting sqref="S157">
    <cfRule type="expression" dxfId="196" priority="67" stopIfTrue="1">
      <formula>ISERROR(S157)</formula>
    </cfRule>
  </conditionalFormatting>
  <conditionalFormatting sqref="S156">
    <cfRule type="expression" dxfId="195" priority="68" stopIfTrue="1">
      <formula>S156=0</formula>
    </cfRule>
  </conditionalFormatting>
  <conditionalFormatting sqref="C156:E157">
    <cfRule type="expression" dxfId="194" priority="65" stopIfTrue="1">
      <formula>$F156=0</formula>
    </cfRule>
    <cfRule type="cellIs" dxfId="193" priority="66" stopIfTrue="1" operator="equal">
      <formula>0</formula>
    </cfRule>
  </conditionalFormatting>
  <conditionalFormatting sqref="G156:I157">
    <cfRule type="expression" dxfId="192" priority="63" stopIfTrue="1">
      <formula>$J156=0</formula>
    </cfRule>
    <cfRule type="cellIs" dxfId="191" priority="64" stopIfTrue="1" operator="equal">
      <formula>0</formula>
    </cfRule>
  </conditionalFormatting>
  <conditionalFormatting sqref="K156:M157">
    <cfRule type="expression" dxfId="190" priority="61" stopIfTrue="1">
      <formula>$N156=0</formula>
    </cfRule>
    <cfRule type="cellIs" dxfId="189" priority="62" stopIfTrue="1" operator="equal">
      <formula>0</formula>
    </cfRule>
  </conditionalFormatting>
  <conditionalFormatting sqref="O156:Q157">
    <cfRule type="expression" dxfId="188" priority="59" stopIfTrue="1">
      <formula>$R156=0</formula>
    </cfRule>
    <cfRule type="cellIs" dxfId="187" priority="60" stopIfTrue="1" operator="equal">
      <formula>0</formula>
    </cfRule>
  </conditionalFormatting>
  <conditionalFormatting sqref="B62">
    <cfRule type="expression" dxfId="186" priority="57" stopIfTrue="1">
      <formula>ISERROR($B62)</formula>
    </cfRule>
  </conditionalFormatting>
  <conditionalFormatting sqref="B62">
    <cfRule type="expression" dxfId="185" priority="58" stopIfTrue="1">
      <formula>$T62=0</formula>
    </cfRule>
  </conditionalFormatting>
  <conditionalFormatting sqref="B97">
    <cfRule type="expression" dxfId="184" priority="55" stopIfTrue="1">
      <formula>ISERROR($B97)</formula>
    </cfRule>
  </conditionalFormatting>
  <conditionalFormatting sqref="B97">
    <cfRule type="expression" dxfId="183" priority="56" stopIfTrue="1">
      <formula>$T97=0</formula>
    </cfRule>
  </conditionalFormatting>
  <conditionalFormatting sqref="B63">
    <cfRule type="expression" dxfId="182" priority="53" stopIfTrue="1">
      <formula>ISERROR($B62)</formula>
    </cfRule>
  </conditionalFormatting>
  <conditionalFormatting sqref="B63 B64">
    <cfRule type="expression" dxfId="181" priority="54" stopIfTrue="1">
      <formula>$T62=0</formula>
    </cfRule>
  </conditionalFormatting>
  <conditionalFormatting sqref="B98">
    <cfRule type="expression" dxfId="180" priority="51" stopIfTrue="1">
      <formula>ISERROR($B97)</formula>
    </cfRule>
  </conditionalFormatting>
  <conditionalFormatting sqref="B98 B99">
    <cfRule type="expression" dxfId="179" priority="52" stopIfTrue="1">
      <formula>$T97=0</formula>
    </cfRule>
  </conditionalFormatting>
  <conditionalFormatting sqref="N62">
    <cfRule type="expression" dxfId="178" priority="48" stopIfTrue="1">
      <formula>$G$177=0</formula>
    </cfRule>
    <cfRule type="expression" dxfId="177" priority="49" stopIfTrue="1">
      <formula>ISERROR(N62)</formula>
    </cfRule>
    <cfRule type="cellIs" dxfId="176" priority="50" stopIfTrue="1" operator="equal">
      <formula>0</formula>
    </cfRule>
  </conditionalFormatting>
  <conditionalFormatting sqref="J62">
    <cfRule type="expression" dxfId="175" priority="45" stopIfTrue="1">
      <formula>$G$177=0</formula>
    </cfRule>
    <cfRule type="expression" dxfId="174" priority="46" stopIfTrue="1">
      <formula>ISERROR(J62)</formula>
    </cfRule>
    <cfRule type="cellIs" dxfId="173" priority="47" stopIfTrue="1" operator="equal">
      <formula>0</formula>
    </cfRule>
  </conditionalFormatting>
  <conditionalFormatting sqref="C62:E62">
    <cfRule type="expression" dxfId="172" priority="38" stopIfTrue="1">
      <formula>AND($G$177=0,$F62&lt;&gt;0)</formula>
    </cfRule>
    <cfRule type="expression" dxfId="171" priority="40" stopIfTrue="1">
      <formula>$G$177=0</formula>
    </cfRule>
    <cfRule type="expression" dxfId="170" priority="41" stopIfTrue="1">
      <formula>ISERROR(C62)</formula>
    </cfRule>
    <cfRule type="cellIs" dxfId="169" priority="42" stopIfTrue="1" operator="equal">
      <formula>0</formula>
    </cfRule>
  </conditionalFormatting>
  <conditionalFormatting sqref="F62">
    <cfRule type="expression" dxfId="168" priority="39" stopIfTrue="1">
      <formula>$G$177=0</formula>
    </cfRule>
    <cfRule type="expression" dxfId="167" priority="43" stopIfTrue="1">
      <formula>ISERROR(F62)</formula>
    </cfRule>
    <cfRule type="cellIs" dxfId="166" priority="44" stopIfTrue="1" operator="equal">
      <formula>0</formula>
    </cfRule>
  </conditionalFormatting>
  <conditionalFormatting sqref="G62:I62">
    <cfRule type="expression" dxfId="165" priority="34" stopIfTrue="1">
      <formula>AND($G$177=0,$J62&lt;&gt;0)</formula>
    </cfRule>
    <cfRule type="expression" dxfId="164" priority="35" stopIfTrue="1">
      <formula>$G$177=0</formula>
    </cfRule>
    <cfRule type="expression" dxfId="163" priority="36" stopIfTrue="1">
      <formula>ISERROR(G62)</formula>
    </cfRule>
    <cfRule type="cellIs" dxfId="162" priority="37" stopIfTrue="1" operator="equal">
      <formula>0</formula>
    </cfRule>
  </conditionalFormatting>
  <conditionalFormatting sqref="K62:M62">
    <cfRule type="expression" dxfId="161" priority="30" stopIfTrue="1">
      <formula>AND($G$177=0,$N62&lt;&gt;0)</formula>
    </cfRule>
    <cfRule type="expression" dxfId="160" priority="31" stopIfTrue="1">
      <formula>$G$177=0</formula>
    </cfRule>
    <cfRule type="expression" dxfId="159" priority="32" stopIfTrue="1">
      <formula>ISERROR(K62)</formula>
    </cfRule>
    <cfRule type="cellIs" dxfId="158" priority="33" stopIfTrue="1" operator="equal">
      <formula>0</formula>
    </cfRule>
  </conditionalFormatting>
  <conditionalFormatting sqref="O62:Q62">
    <cfRule type="expression" dxfId="157" priority="26" stopIfTrue="1">
      <formula>AND($G$177=0,$R62&lt;&gt;0)</formula>
    </cfRule>
    <cfRule type="expression" dxfId="156" priority="27" stopIfTrue="1">
      <formula>$G$177=0</formula>
    </cfRule>
    <cfRule type="expression" dxfId="155" priority="28" stopIfTrue="1">
      <formula>ISERROR(O62)</formula>
    </cfRule>
    <cfRule type="cellIs" dxfId="154" priority="29" stopIfTrue="1" operator="equal">
      <formula>0</formula>
    </cfRule>
  </conditionalFormatting>
  <conditionalFormatting sqref="N97">
    <cfRule type="expression" dxfId="153" priority="23" stopIfTrue="1">
      <formula>$G$177=0</formula>
    </cfRule>
    <cfRule type="expression" dxfId="152" priority="24" stopIfTrue="1">
      <formula>ISERROR(N97)</formula>
    </cfRule>
    <cfRule type="cellIs" dxfId="151" priority="25" stopIfTrue="1" operator="equal">
      <formula>0</formula>
    </cfRule>
  </conditionalFormatting>
  <conditionalFormatting sqref="J97">
    <cfRule type="expression" dxfId="150" priority="20" stopIfTrue="1">
      <formula>$G$177=0</formula>
    </cfRule>
    <cfRule type="expression" dxfId="149" priority="21" stopIfTrue="1">
      <formula>ISERROR(J97)</formula>
    </cfRule>
    <cfRule type="cellIs" dxfId="148" priority="22" stopIfTrue="1" operator="equal">
      <formula>0</formula>
    </cfRule>
  </conditionalFormatting>
  <conditionalFormatting sqref="C97:E97">
    <cfRule type="expression" dxfId="147" priority="13" stopIfTrue="1">
      <formula>AND($G$177=0,$F97&lt;&gt;0)</formula>
    </cfRule>
    <cfRule type="expression" dxfId="146" priority="15" stopIfTrue="1">
      <formula>$G$177=0</formula>
    </cfRule>
    <cfRule type="expression" dxfId="145" priority="16" stopIfTrue="1">
      <formula>ISERROR(C97)</formula>
    </cfRule>
    <cfRule type="cellIs" dxfId="144" priority="17" stopIfTrue="1" operator="equal">
      <formula>0</formula>
    </cfRule>
  </conditionalFormatting>
  <conditionalFormatting sqref="F97">
    <cfRule type="expression" dxfId="143" priority="14" stopIfTrue="1">
      <formula>$G$177=0</formula>
    </cfRule>
    <cfRule type="expression" dxfId="142" priority="18" stopIfTrue="1">
      <formula>ISERROR(F97)</formula>
    </cfRule>
    <cfRule type="cellIs" dxfId="141" priority="19" stopIfTrue="1" operator="equal">
      <formula>0</formula>
    </cfRule>
  </conditionalFormatting>
  <conditionalFormatting sqref="G97:I97">
    <cfRule type="expression" dxfId="140" priority="9" stopIfTrue="1">
      <formula>AND($G$177=0,$J97&lt;&gt;0)</formula>
    </cfRule>
    <cfRule type="expression" dxfId="139" priority="10" stopIfTrue="1">
      <formula>$G$177=0</formula>
    </cfRule>
    <cfRule type="expression" dxfId="138" priority="11" stopIfTrue="1">
      <formula>ISERROR(G97)</formula>
    </cfRule>
    <cfRule type="cellIs" dxfId="137" priority="12" stopIfTrue="1" operator="equal">
      <formula>0</formula>
    </cfRule>
  </conditionalFormatting>
  <conditionalFormatting sqref="K97:M97">
    <cfRule type="expression" dxfId="136" priority="5" stopIfTrue="1">
      <formula>AND($G$177=0,$N97&lt;&gt;0)</formula>
    </cfRule>
    <cfRule type="expression" dxfId="135" priority="6" stopIfTrue="1">
      <formula>$G$177=0</formula>
    </cfRule>
    <cfRule type="expression" dxfId="134" priority="7" stopIfTrue="1">
      <formula>ISERROR(K97)</formula>
    </cfRule>
    <cfRule type="cellIs" dxfId="133" priority="8" stopIfTrue="1" operator="equal">
      <formula>0</formula>
    </cfRule>
  </conditionalFormatting>
  <conditionalFormatting sqref="O97:Q97">
    <cfRule type="expression" dxfId="132" priority="1" stopIfTrue="1">
      <formula>AND($G$177=0,$R97&lt;&gt;0)</formula>
    </cfRule>
    <cfRule type="expression" dxfId="131" priority="2" stopIfTrue="1">
      <formula>$G$177=0</formula>
    </cfRule>
    <cfRule type="expression" dxfId="130" priority="3" stopIfTrue="1">
      <formula>ISERROR(O97)</formula>
    </cfRule>
    <cfRule type="cellIs" dxfId="129" priority="4" stopIfTrue="1" operator="equal">
      <formula>0</formula>
    </cfRule>
  </conditionalFormatting>
  <pageMargins left="0.31496062992125984" right="0" top="0.19685039370078741" bottom="0.19685039370078741" header="0.51181102362204722" footer="0.19685039370078741"/>
  <pageSetup paperSize="9" scale="75" fitToWidth="2" fitToHeight="2" orientation="portrait" r:id="rId1"/>
  <headerFooter alignWithMargins="0"/>
  <rowBreaks count="2" manualBreakCount="2">
    <brk id="65" max="16383" man="1"/>
    <brk id="138" max="19" man="1"/>
  </rowBreaks>
  <colBreaks count="2" manualBreakCount="2">
    <brk id="10" max="1048575" man="1"/>
    <brk id="18" min="1" max="16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BQ136"/>
  <sheetViews>
    <sheetView showGridLines="0" showRowColHeaders="0" zoomScaleNormal="100" workbookViewId="0"/>
  </sheetViews>
  <sheetFormatPr defaultRowHeight="12.75" x14ac:dyDescent="0.2"/>
  <cols>
    <col min="1" max="1" width="1.42578125" style="54" customWidth="1"/>
    <col min="2" max="53" width="4.28515625" style="54" customWidth="1"/>
    <col min="54" max="56" width="4.28515625" style="54" hidden="1" customWidth="1"/>
    <col min="57" max="57" width="0" style="54" hidden="1" customWidth="1"/>
    <col min="58" max="69" width="14.28515625" style="633" hidden="1" customWidth="1"/>
    <col min="70" max="70" width="0" style="54" hidden="1" customWidth="1"/>
    <col min="71" max="16384" width="9.140625" style="54"/>
  </cols>
  <sheetData>
    <row r="1" spans="1:69" ht="11.25" customHeight="1" x14ac:dyDescent="0.2">
      <c r="A1" s="366"/>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35"/>
      <c r="AF1" s="35"/>
      <c r="AG1" s="35"/>
      <c r="AH1" s="35"/>
      <c r="AI1" s="35"/>
      <c r="AJ1" s="35"/>
      <c r="AK1" s="35"/>
      <c r="AL1" s="35"/>
      <c r="AM1" s="35"/>
      <c r="AN1" s="33"/>
      <c r="AO1" s="33"/>
      <c r="AP1" s="33"/>
      <c r="AQ1" s="33"/>
      <c r="AR1" s="33"/>
      <c r="AS1" s="33"/>
      <c r="AT1" s="33"/>
      <c r="AU1" s="33"/>
      <c r="AV1" s="33"/>
      <c r="AW1" s="33"/>
      <c r="AX1" s="33"/>
      <c r="AY1" s="33"/>
      <c r="AZ1" s="33"/>
      <c r="BA1" s="33"/>
      <c r="BB1" s="33"/>
      <c r="BC1" s="33"/>
      <c r="BD1" s="33"/>
      <c r="BE1" s="33"/>
    </row>
    <row r="2" spans="1:69" ht="18" customHeight="1" x14ac:dyDescent="0.2">
      <c r="A2" s="366"/>
      <c r="B2" s="1244"/>
      <c r="C2" s="1648" t="str">
        <f>CONCATENATE("STORICO del ",Presentazione!G29)</f>
        <v>STORICO del Registro Contabile Giornaliero 6.0.7 - per EXCEL .xlsm</v>
      </c>
      <c r="D2" s="1648"/>
      <c r="E2" s="1648"/>
      <c r="F2" s="1648"/>
      <c r="G2" s="1648"/>
      <c r="H2" s="1648"/>
      <c r="I2" s="1648"/>
      <c r="J2" s="1648"/>
      <c r="K2" s="1648"/>
      <c r="L2" s="1648"/>
      <c r="M2" s="1648"/>
      <c r="N2" s="1648"/>
      <c r="O2" s="1648"/>
      <c r="P2" s="1648"/>
      <c r="Q2" s="1648"/>
      <c r="R2" s="1648"/>
      <c r="S2" s="1648"/>
      <c r="T2" s="1648"/>
      <c r="U2" s="1648"/>
      <c r="V2" s="1648"/>
      <c r="W2" s="1648"/>
      <c r="X2" s="2455" t="str">
        <f>IF(ISERROR(O133),Presentazione!D82,"")</f>
        <v/>
      </c>
      <c r="Y2" s="2455"/>
      <c r="Z2" s="2455"/>
      <c r="AA2" s="2455"/>
      <c r="AB2" s="2455"/>
      <c r="AC2" s="2455"/>
      <c r="AD2" s="2455"/>
      <c r="AE2" s="2455"/>
      <c r="AF2" s="2455"/>
      <c r="AG2" s="2455"/>
      <c r="AH2" s="2455"/>
      <c r="AI2" s="2455"/>
      <c r="AJ2" s="2455"/>
      <c r="AK2" s="2455"/>
      <c r="AL2" s="2455"/>
      <c r="AM2" s="2455"/>
      <c r="AN2" s="2455"/>
      <c r="AO2" s="33"/>
      <c r="AP2" s="33"/>
      <c r="AQ2" s="33"/>
      <c r="AR2" s="33"/>
      <c r="AS2" s="33"/>
      <c r="AT2" s="33"/>
      <c r="AU2" s="33"/>
      <c r="AV2" s="33"/>
      <c r="AW2" s="33"/>
      <c r="AX2" s="33"/>
      <c r="AY2" s="33"/>
      <c r="AZ2" s="33"/>
      <c r="BA2" s="33"/>
      <c r="BB2" s="33"/>
      <c r="BC2" s="33"/>
      <c r="BD2" s="33"/>
      <c r="BE2" s="33"/>
    </row>
    <row r="3" spans="1:69" ht="18" customHeight="1" x14ac:dyDescent="0.25">
      <c r="A3" s="366"/>
      <c r="B3" s="1244"/>
      <c r="C3" s="337" t="s">
        <v>692</v>
      </c>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136"/>
      <c r="AN3" s="134"/>
      <c r="AO3" s="33"/>
      <c r="AP3" s="33"/>
      <c r="AQ3" s="33"/>
      <c r="AR3" s="33"/>
      <c r="AS3" s="33"/>
      <c r="AT3" s="33"/>
      <c r="AU3" s="33"/>
      <c r="AV3" s="33"/>
      <c r="AW3" s="33"/>
      <c r="AX3" s="33"/>
      <c r="AY3" s="33"/>
      <c r="AZ3" s="33"/>
      <c r="BA3" s="33"/>
      <c r="BB3" s="33"/>
      <c r="BC3" s="33"/>
      <c r="BD3" s="33"/>
      <c r="BE3" s="33"/>
    </row>
    <row r="4" spans="1:69" ht="18" customHeight="1" x14ac:dyDescent="0.2">
      <c r="A4" s="366"/>
      <c r="B4" s="1244"/>
      <c r="C4" s="315" t="s">
        <v>693</v>
      </c>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121"/>
      <c r="AN4" s="1"/>
      <c r="AO4" s="33"/>
      <c r="AP4" s="33"/>
      <c r="AQ4" s="33"/>
      <c r="AR4" s="33"/>
      <c r="AS4" s="33"/>
      <c r="AT4" s="33"/>
      <c r="AU4" s="33"/>
      <c r="AV4" s="33"/>
      <c r="AW4" s="33"/>
      <c r="AX4" s="33"/>
      <c r="AY4" s="33"/>
      <c r="AZ4" s="33"/>
      <c r="BA4" s="33"/>
      <c r="BB4" s="33"/>
      <c r="BC4" s="33"/>
      <c r="BD4" s="33"/>
      <c r="BE4" s="33"/>
    </row>
    <row r="5" spans="1:69" ht="18" customHeight="1" x14ac:dyDescent="0.2">
      <c r="A5" s="366"/>
      <c r="B5" s="1244"/>
      <c r="C5" s="2450" t="s">
        <v>76</v>
      </c>
      <c r="D5" s="2450"/>
      <c r="E5" s="2450"/>
      <c r="F5" s="2450"/>
      <c r="G5" s="2450"/>
      <c r="H5" s="2450"/>
      <c r="I5" s="2450"/>
      <c r="J5" s="573"/>
      <c r="K5" s="573"/>
      <c r="L5" s="573"/>
      <c r="M5" s="573"/>
      <c r="N5" s="573"/>
      <c r="O5" s="573"/>
      <c r="P5" s="573"/>
      <c r="Q5" s="573"/>
      <c r="R5" s="573"/>
      <c r="S5" s="573"/>
      <c r="T5" s="573"/>
      <c r="U5" s="573"/>
      <c r="V5" s="573"/>
      <c r="W5" s="573"/>
      <c r="X5" s="1246"/>
      <c r="Y5" s="1246"/>
      <c r="Z5" s="1246"/>
      <c r="AA5" s="1246"/>
      <c r="AB5" s="1246"/>
      <c r="AC5" s="1246"/>
      <c r="AD5" s="1246"/>
      <c r="AE5" s="121"/>
      <c r="AF5" s="121"/>
      <c r="AG5" s="121"/>
      <c r="AH5" s="121"/>
      <c r="AI5" s="121"/>
      <c r="AJ5" s="121"/>
      <c r="AK5" s="121"/>
      <c r="AL5" s="121"/>
      <c r="AM5" s="121"/>
      <c r="AN5" s="1"/>
      <c r="AO5" s="33"/>
      <c r="AP5" s="33"/>
      <c r="AQ5" s="33"/>
      <c r="AR5" s="33"/>
      <c r="AS5" s="33"/>
      <c r="AT5" s="33"/>
      <c r="AU5" s="33"/>
      <c r="AV5" s="33"/>
      <c r="AW5" s="33"/>
      <c r="AX5" s="33"/>
      <c r="AY5" s="33"/>
      <c r="AZ5" s="33"/>
      <c r="BA5" s="33"/>
      <c r="BB5" s="33"/>
      <c r="BC5" s="33"/>
      <c r="BD5" s="33"/>
      <c r="BE5" s="33"/>
    </row>
    <row r="6" spans="1:69" ht="18" customHeight="1" x14ac:dyDescent="0.25">
      <c r="A6" s="366"/>
      <c r="B6" s="1244"/>
      <c r="C6" s="337" t="s">
        <v>207</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121"/>
      <c r="AN6" s="1"/>
      <c r="AO6" s="33"/>
      <c r="AP6" s="33"/>
      <c r="AQ6" s="33"/>
      <c r="AR6" s="33"/>
      <c r="AS6" s="33"/>
      <c r="AT6" s="33"/>
      <c r="AU6" s="33"/>
      <c r="AV6" s="33"/>
      <c r="AW6" s="33"/>
      <c r="AX6" s="33"/>
      <c r="AY6" s="33"/>
      <c r="AZ6" s="33"/>
      <c r="BA6" s="33"/>
      <c r="BB6" s="33"/>
      <c r="BC6" s="33"/>
      <c r="BD6" s="33"/>
      <c r="BE6" s="33"/>
    </row>
    <row r="7" spans="1:69" ht="18" customHeight="1" x14ac:dyDescent="0.2">
      <c r="A7" s="366"/>
      <c r="B7" s="1244"/>
      <c r="C7" s="315" t="s">
        <v>694</v>
      </c>
      <c r="D7" s="315"/>
      <c r="E7" s="315"/>
      <c r="F7" s="315"/>
      <c r="G7" s="2451" t="str">
        <f>IF(IMPOSTAZIONI!AD45=0,IMPOSTAZIONI!_AGf133,IMPOSTAZIONI!AD45)</f>
        <v>Non convalidato</v>
      </c>
      <c r="H7" s="2451"/>
      <c r="I7" s="2451"/>
      <c r="J7" s="2451"/>
      <c r="K7" s="574" t="s">
        <v>72</v>
      </c>
      <c r="L7" s="630"/>
      <c r="M7" s="630"/>
      <c r="N7" s="630"/>
      <c r="O7" s="1237"/>
      <c r="P7" s="630"/>
      <c r="Q7" s="630"/>
      <c r="R7" s="630"/>
      <c r="S7" s="630"/>
      <c r="T7" s="1237"/>
      <c r="U7" s="315"/>
      <c r="V7" s="315"/>
      <c r="W7" s="315"/>
      <c r="X7" s="315"/>
      <c r="Y7" s="315"/>
      <c r="Z7" s="315"/>
      <c r="AA7" s="315"/>
      <c r="AB7" s="315"/>
      <c r="AC7" s="315"/>
      <c r="AD7" s="315"/>
      <c r="AE7" s="315"/>
      <c r="AF7" s="315"/>
      <c r="AG7" s="315"/>
      <c r="AH7" s="315"/>
      <c r="AI7" s="315"/>
      <c r="AJ7" s="315"/>
      <c r="AK7" s="315"/>
      <c r="AL7" s="315"/>
      <c r="AM7" s="121"/>
      <c r="AN7" s="1"/>
      <c r="AO7" s="33"/>
      <c r="AP7" s="33"/>
      <c r="AQ7" s="33"/>
      <c r="AR7" s="33"/>
      <c r="AS7" s="33"/>
      <c r="AT7" s="33"/>
      <c r="AU7" s="33"/>
      <c r="AV7" s="33"/>
      <c r="AW7" s="33"/>
      <c r="AX7" s="33"/>
      <c r="AY7" s="33"/>
      <c r="AZ7" s="33"/>
      <c r="BA7" s="33"/>
      <c r="BB7" s="33"/>
      <c r="BC7" s="33"/>
      <c r="BD7" s="33"/>
      <c r="BE7" s="33"/>
    </row>
    <row r="8" spans="1:69" ht="12" customHeight="1" x14ac:dyDescent="0.2">
      <c r="A8" s="366"/>
      <c r="B8" s="1244"/>
      <c r="C8" s="1246"/>
      <c r="D8" s="1246"/>
      <c r="E8" s="1246"/>
      <c r="F8" s="1522"/>
      <c r="G8" s="1522"/>
      <c r="H8" s="298"/>
      <c r="I8" s="298"/>
      <c r="J8" s="1238">
        <f>COUNTIF($J$9:$AX$9,J9)</f>
        <v>41</v>
      </c>
      <c r="K8" s="1238">
        <f>IMPOSTAZIONI!H24</f>
        <v>0</v>
      </c>
      <c r="L8" s="1239"/>
      <c r="M8" s="1239"/>
      <c r="N8" s="1238">
        <f>COUNTIF($J$9:$AX$9,N9)</f>
        <v>41</v>
      </c>
      <c r="O8" s="1238">
        <f>IMPOSTAZIONI!L24</f>
        <v>0</v>
      </c>
      <c r="P8" s="1239"/>
      <c r="Q8" s="1239"/>
      <c r="R8" s="1238">
        <f t="shared" ref="R8" si="0">COUNTIF($J$9:$AX$9,R9)</f>
        <v>41</v>
      </c>
      <c r="S8" s="1238">
        <f>IMPOSTAZIONI!P24</f>
        <v>0</v>
      </c>
      <c r="T8" s="1239"/>
      <c r="U8" s="1239"/>
      <c r="V8" s="1238">
        <f t="shared" ref="V8" si="1">COUNTIF($J$9:$AX$9,V9)</f>
        <v>41</v>
      </c>
      <c r="W8" s="1238">
        <f>IMPOSTAZIONI!T24</f>
        <v>0</v>
      </c>
      <c r="X8" s="1239"/>
      <c r="Y8" s="1239"/>
      <c r="Z8" s="1238">
        <f t="shared" ref="Z8" si="2">COUNTIF($J$9:$AX$9,Z9)</f>
        <v>41</v>
      </c>
      <c r="AA8" s="1238">
        <f>IMPOSTAZIONI!X24</f>
        <v>0</v>
      </c>
      <c r="AB8" s="1239"/>
      <c r="AC8" s="1239"/>
      <c r="AD8" s="1238">
        <f t="shared" ref="AD8" si="3">COUNTIF($J$9:$AX$9,AD9)</f>
        <v>41</v>
      </c>
      <c r="AE8" s="1238">
        <f>IMPOSTAZIONI!AB24</f>
        <v>0</v>
      </c>
      <c r="AF8" s="1239"/>
      <c r="AG8" s="1239"/>
      <c r="AH8" s="1238">
        <f t="shared" ref="AH8" si="4">COUNTIF($J$9:$AX$9,AH9)</f>
        <v>41</v>
      </c>
      <c r="AI8" s="1238">
        <f>IMPOSTAZIONI!AF24</f>
        <v>0</v>
      </c>
      <c r="AJ8" s="1239"/>
      <c r="AK8" s="1239"/>
      <c r="AL8" s="1240"/>
      <c r="AM8" s="1238">
        <f t="shared" ref="AM8" si="5">COUNTIF($J$9:$AX$9,AM9)</f>
        <v>41</v>
      </c>
      <c r="AN8" s="1238">
        <f>HLOOKUP(AM9,IMPOSTAZIONI!$AB$180:$AJ$188,9,FALSE)</f>
        <v>0</v>
      </c>
      <c r="AO8" s="1239"/>
      <c r="AP8" s="1239"/>
      <c r="AQ8" s="1238">
        <f t="shared" ref="AQ8" si="6">COUNTIF($J$9:$AX$9,AQ9)</f>
        <v>41</v>
      </c>
      <c r="AR8" s="1238">
        <f>HLOOKUP(AQ9,IMPOSTAZIONI!$AB$180:$AJ$188,9,FALSE)</f>
        <v>0</v>
      </c>
      <c r="AS8" s="1239"/>
      <c r="AT8" s="1239"/>
      <c r="AU8" s="1238">
        <f t="shared" ref="AU8" si="7">COUNTIF($J$9:$AX$9,AU9)</f>
        <v>41</v>
      </c>
      <c r="AV8" s="1238">
        <f>HLOOKUP(AU9,IMPOSTAZIONI!$AB$180:$AJ$188,9,FALSE)</f>
        <v>0</v>
      </c>
      <c r="AW8" s="1239"/>
      <c r="AX8" s="1239"/>
      <c r="AY8" s="33"/>
      <c r="AZ8" s="33"/>
      <c r="BA8" s="33"/>
      <c r="BB8" s="33"/>
      <c r="BC8" s="33"/>
      <c r="BD8" s="33"/>
      <c r="BE8" s="33"/>
    </row>
    <row r="9" spans="1:69" ht="18" hidden="1" customHeight="1" x14ac:dyDescent="0.2">
      <c r="A9" s="33"/>
      <c r="B9" s="1244"/>
      <c r="C9" s="127"/>
      <c r="D9" s="127"/>
      <c r="E9" s="33"/>
      <c r="F9" s="33"/>
      <c r="G9" s="33"/>
      <c r="H9" s="33"/>
      <c r="I9" s="33"/>
      <c r="J9" s="2465" t="str">
        <f>IMPOSTAZIONI!$B230</f>
        <v/>
      </c>
      <c r="K9" s="2463"/>
      <c r="L9" s="2463"/>
      <c r="M9" s="2463"/>
      <c r="N9" s="2463" t="str">
        <f>IMPOSTAZIONI!$B233</f>
        <v/>
      </c>
      <c r="O9" s="2463"/>
      <c r="P9" s="2463"/>
      <c r="Q9" s="2463"/>
      <c r="R9" s="2463" t="str">
        <f>IMPOSTAZIONI!$B236</f>
        <v/>
      </c>
      <c r="S9" s="2463"/>
      <c r="T9" s="2463"/>
      <c r="U9" s="2463"/>
      <c r="V9" s="2463" t="str">
        <f>IMPOSTAZIONI!$B239</f>
        <v/>
      </c>
      <c r="W9" s="2463"/>
      <c r="X9" s="2463"/>
      <c r="Y9" s="2463"/>
      <c r="Z9" s="2463" t="str">
        <f>IMPOSTAZIONI!$B242</f>
        <v/>
      </c>
      <c r="AA9" s="2463"/>
      <c r="AB9" s="2463"/>
      <c r="AC9" s="2463"/>
      <c r="AD9" s="2463" t="str">
        <f>IMPOSTAZIONI!$B245</f>
        <v/>
      </c>
      <c r="AE9" s="2463"/>
      <c r="AF9" s="2463"/>
      <c r="AG9" s="2463"/>
      <c r="AH9" s="2463" t="str">
        <f>IMPOSTAZIONI!$B248</f>
        <v/>
      </c>
      <c r="AI9" s="2463"/>
      <c r="AJ9" s="2463"/>
      <c r="AK9" s="2464"/>
      <c r="AL9" s="33"/>
      <c r="AM9" s="2465" t="str">
        <f>IMPOSTAZIONI!$B251</f>
        <v/>
      </c>
      <c r="AN9" s="2463"/>
      <c r="AO9" s="2463"/>
      <c r="AP9" s="2463"/>
      <c r="AQ9" s="2463" t="str">
        <f>IMPOSTAZIONI!$B254</f>
        <v/>
      </c>
      <c r="AR9" s="2463"/>
      <c r="AS9" s="2463"/>
      <c r="AT9" s="2463"/>
      <c r="AU9" s="2463" t="str">
        <f>IMPOSTAZIONI!$B257</f>
        <v/>
      </c>
      <c r="AV9" s="2463"/>
      <c r="AW9" s="2463"/>
      <c r="AX9" s="2464"/>
      <c r="AY9" s="341"/>
      <c r="AZ9" s="33"/>
      <c r="BA9" s="33"/>
      <c r="BB9" s="33"/>
      <c r="BC9" s="33"/>
      <c r="BD9" s="33"/>
      <c r="BE9" s="33"/>
    </row>
    <row r="10" spans="1:69" ht="18" customHeight="1" x14ac:dyDescent="0.2">
      <c r="A10" s="366"/>
      <c r="B10" s="1244"/>
      <c r="C10" s="317"/>
      <c r="D10" s="317"/>
      <c r="E10" s="1244"/>
      <c r="F10" s="1244"/>
      <c r="G10" s="33"/>
      <c r="H10" s="33"/>
      <c r="I10" s="33"/>
      <c r="J10" s="1801" t="s">
        <v>418</v>
      </c>
      <c r="K10" s="1801"/>
      <c r="L10" s="1801"/>
      <c r="M10" s="1801"/>
      <c r="N10" s="1801" t="s">
        <v>419</v>
      </c>
      <c r="O10" s="1801"/>
      <c r="P10" s="1801"/>
      <c r="Q10" s="1801"/>
      <c r="R10" s="1801" t="s">
        <v>420</v>
      </c>
      <c r="S10" s="1801"/>
      <c r="T10" s="1801"/>
      <c r="U10" s="1801"/>
      <c r="V10" s="1801" t="s">
        <v>421</v>
      </c>
      <c r="W10" s="1801"/>
      <c r="X10" s="1801"/>
      <c r="Y10" s="1801"/>
      <c r="Z10" s="1801" t="s">
        <v>422</v>
      </c>
      <c r="AA10" s="1801"/>
      <c r="AB10" s="1801"/>
      <c r="AC10" s="1801"/>
      <c r="AD10" s="1801" t="s">
        <v>423</v>
      </c>
      <c r="AE10" s="1801"/>
      <c r="AF10" s="1801"/>
      <c r="AG10" s="1801"/>
      <c r="AH10" s="1801" t="s">
        <v>424</v>
      </c>
      <c r="AI10" s="1801"/>
      <c r="AJ10" s="1801"/>
      <c r="AK10" s="1801"/>
      <c r="AL10" s="1244"/>
      <c r="AM10" s="1801" t="s">
        <v>211</v>
      </c>
      <c r="AN10" s="1801"/>
      <c r="AO10" s="1801"/>
      <c r="AP10" s="1801"/>
      <c r="AQ10" s="1801" t="s">
        <v>212</v>
      </c>
      <c r="AR10" s="1801"/>
      <c r="AS10" s="1801"/>
      <c r="AT10" s="1801"/>
      <c r="AU10" s="1801" t="s">
        <v>213</v>
      </c>
      <c r="AV10" s="1801"/>
      <c r="AW10" s="1801"/>
      <c r="AX10" s="1801"/>
      <c r="AY10" s="140"/>
      <c r="AZ10" s="1244"/>
      <c r="BA10" s="33"/>
      <c r="BB10" s="33"/>
      <c r="BC10" s="33"/>
      <c r="BD10" s="33"/>
      <c r="BE10" s="33"/>
    </row>
    <row r="11" spans="1:69" ht="18" customHeight="1" x14ac:dyDescent="0.2">
      <c r="A11" s="366"/>
      <c r="B11" s="1244"/>
      <c r="C11" s="318"/>
      <c r="D11" s="318"/>
      <c r="E11" s="138"/>
      <c r="F11" s="138"/>
      <c r="G11" s="138"/>
      <c r="H11" s="138"/>
      <c r="I11" s="33"/>
      <c r="J11" s="2460" t="str">
        <f>IMPOSTAZIONI!H27</f>
        <v/>
      </c>
      <c r="K11" s="2446"/>
      <c r="L11" s="2446"/>
      <c r="M11" s="2447"/>
      <c r="N11" s="2445" t="str">
        <f>IMPOSTAZIONI!L27</f>
        <v/>
      </c>
      <c r="O11" s="2446"/>
      <c r="P11" s="2446"/>
      <c r="Q11" s="2447"/>
      <c r="R11" s="2445" t="str">
        <f>IMPOSTAZIONI!P27</f>
        <v/>
      </c>
      <c r="S11" s="2446"/>
      <c r="T11" s="2446"/>
      <c r="U11" s="2447"/>
      <c r="V11" s="2445" t="str">
        <f>IMPOSTAZIONI!T27</f>
        <v/>
      </c>
      <c r="W11" s="2446"/>
      <c r="X11" s="2446"/>
      <c r="Y11" s="2447"/>
      <c r="Z11" s="2445" t="str">
        <f>IMPOSTAZIONI!X27</f>
        <v/>
      </c>
      <c r="AA11" s="2446"/>
      <c r="AB11" s="2446"/>
      <c r="AC11" s="2447"/>
      <c r="AD11" s="2445" t="str">
        <f>IMPOSTAZIONI!AB27</f>
        <v/>
      </c>
      <c r="AE11" s="2446"/>
      <c r="AF11" s="2446"/>
      <c r="AG11" s="2447"/>
      <c r="AH11" s="2445" t="str">
        <f>IMPOSTAZIONI!AF27</f>
        <v/>
      </c>
      <c r="AI11" s="2446"/>
      <c r="AJ11" s="2446"/>
      <c r="AK11" s="2459"/>
      <c r="AL11" s="33"/>
      <c r="AM11" s="2460" t="str">
        <f>IMPOSTAZIONI!AB182</f>
        <v/>
      </c>
      <c r="AN11" s="2446"/>
      <c r="AO11" s="2446"/>
      <c r="AP11" s="2447"/>
      <c r="AQ11" s="2445" t="str">
        <f>IMPOSTAZIONI!AE182</f>
        <v/>
      </c>
      <c r="AR11" s="2446"/>
      <c r="AS11" s="2446"/>
      <c r="AT11" s="2447"/>
      <c r="AU11" s="2445" t="str">
        <f>IMPOSTAZIONI!AH182</f>
        <v/>
      </c>
      <c r="AV11" s="2446"/>
      <c r="AW11" s="2446"/>
      <c r="AX11" s="2459"/>
      <c r="AY11" s="1245"/>
      <c r="AZ11" s="33"/>
      <c r="BA11" s="33"/>
      <c r="BB11" s="33"/>
      <c r="BC11" s="33"/>
      <c r="BD11" s="33"/>
      <c r="BE11" s="33"/>
    </row>
    <row r="12" spans="1:69" ht="15" customHeight="1" x14ac:dyDescent="0.2">
      <c r="A12" s="366"/>
      <c r="B12" s="1244"/>
      <c r="C12" s="2461" t="s">
        <v>243</v>
      </c>
      <c r="D12" s="2461"/>
      <c r="E12" s="138"/>
      <c r="F12" s="138"/>
      <c r="G12" s="138"/>
      <c r="H12" s="138"/>
      <c r="I12" s="33"/>
      <c r="J12" s="2442" t="str">
        <f>IMPOSTAZIONI!H28</f>
        <v>- - - - - - -</v>
      </c>
      <c r="K12" s="2443"/>
      <c r="L12" s="2443"/>
      <c r="M12" s="2444"/>
      <c r="N12" s="2454" t="str">
        <f>IMPOSTAZIONI!L28</f>
        <v>- - - - - - -</v>
      </c>
      <c r="O12" s="2443"/>
      <c r="P12" s="2443"/>
      <c r="Q12" s="2444"/>
      <c r="R12" s="2454" t="str">
        <f>IMPOSTAZIONI!P28</f>
        <v>- - - - - - -</v>
      </c>
      <c r="S12" s="2443"/>
      <c r="T12" s="2443"/>
      <c r="U12" s="2444"/>
      <c r="V12" s="2454" t="str">
        <f>IMPOSTAZIONI!T28</f>
        <v>- - - - - - -</v>
      </c>
      <c r="W12" s="2443"/>
      <c r="X12" s="2443"/>
      <c r="Y12" s="2444"/>
      <c r="Z12" s="2454" t="str">
        <f>IMPOSTAZIONI!X28</f>
        <v>- - - - - - -</v>
      </c>
      <c r="AA12" s="2443"/>
      <c r="AB12" s="2443"/>
      <c r="AC12" s="2444"/>
      <c r="AD12" s="2454" t="str">
        <f>IMPOSTAZIONI!AB28</f>
        <v>- - - - - - -</v>
      </c>
      <c r="AE12" s="2443"/>
      <c r="AF12" s="2443"/>
      <c r="AG12" s="2444"/>
      <c r="AH12" s="2454" t="str">
        <f>IMPOSTAZIONI!AF28</f>
        <v>- - - - - - -</v>
      </c>
      <c r="AI12" s="2443"/>
      <c r="AJ12" s="2443"/>
      <c r="AK12" s="2467"/>
      <c r="AL12" s="33"/>
      <c r="AM12" s="2442" t="str">
        <f>IMPOSTAZIONI!AB183</f>
        <v/>
      </c>
      <c r="AN12" s="2443"/>
      <c r="AO12" s="2443"/>
      <c r="AP12" s="2444"/>
      <c r="AQ12" s="2454" t="str">
        <f>IMPOSTAZIONI!AE183</f>
        <v/>
      </c>
      <c r="AR12" s="2443"/>
      <c r="AS12" s="2443"/>
      <c r="AT12" s="2444"/>
      <c r="AU12" s="2454" t="str">
        <f>IMPOSTAZIONI!AH183</f>
        <v/>
      </c>
      <c r="AV12" s="2443"/>
      <c r="AW12" s="2443"/>
      <c r="AX12" s="2467"/>
      <c r="AY12" s="340"/>
      <c r="AZ12" s="33"/>
      <c r="BA12" s="33"/>
      <c r="BB12" s="33"/>
      <c r="BC12" s="33"/>
      <c r="BD12" s="33"/>
      <c r="BE12" s="33"/>
    </row>
    <row r="13" spans="1:69" ht="18" customHeight="1" x14ac:dyDescent="0.2">
      <c r="A13" s="366"/>
      <c r="B13" s="1244"/>
      <c r="C13" s="2403" t="s">
        <v>78</v>
      </c>
      <c r="D13" s="2403"/>
      <c r="E13" s="2412" t="str">
        <f>RIEPILOGO!B4</f>
        <v>Totale EUR</v>
      </c>
      <c r="F13" s="2412"/>
      <c r="G13" s="2412"/>
      <c r="H13" s="2412"/>
      <c r="I13" s="33"/>
      <c r="J13" s="2456" t="str">
        <f>IMPOSTAZIONI!H29</f>
        <v/>
      </c>
      <c r="K13" s="2457"/>
      <c r="L13" s="2457"/>
      <c r="M13" s="2458"/>
      <c r="N13" s="2422" t="str">
        <f>IMPOSTAZIONI!L29</f>
        <v/>
      </c>
      <c r="O13" s="2423"/>
      <c r="P13" s="2423"/>
      <c r="Q13" s="2424"/>
      <c r="R13" s="2422" t="str">
        <f>IMPOSTAZIONI!P29</f>
        <v/>
      </c>
      <c r="S13" s="2423"/>
      <c r="T13" s="2423"/>
      <c r="U13" s="2424"/>
      <c r="V13" s="2422" t="str">
        <f>IMPOSTAZIONI!T29</f>
        <v/>
      </c>
      <c r="W13" s="2423"/>
      <c r="X13" s="2423"/>
      <c r="Y13" s="2424"/>
      <c r="Z13" s="2422" t="str">
        <f>IMPOSTAZIONI!X29</f>
        <v/>
      </c>
      <c r="AA13" s="2423"/>
      <c r="AB13" s="2423"/>
      <c r="AC13" s="2424"/>
      <c r="AD13" s="2422" t="str">
        <f>IMPOSTAZIONI!AB29</f>
        <v/>
      </c>
      <c r="AE13" s="2423"/>
      <c r="AF13" s="2423"/>
      <c r="AG13" s="2424"/>
      <c r="AH13" s="2422" t="str">
        <f>IMPOSTAZIONI!AF29</f>
        <v/>
      </c>
      <c r="AI13" s="2423"/>
      <c r="AJ13" s="2423"/>
      <c r="AK13" s="2466"/>
      <c r="AL13" s="33"/>
      <c r="AM13" s="2456" t="str">
        <f>IMPOSTAZIONI!AB184</f>
        <v/>
      </c>
      <c r="AN13" s="2423"/>
      <c r="AO13" s="2423"/>
      <c r="AP13" s="2424"/>
      <c r="AQ13" s="2422" t="str">
        <f>IMPOSTAZIONI!AE184</f>
        <v/>
      </c>
      <c r="AR13" s="2423"/>
      <c r="AS13" s="2423"/>
      <c r="AT13" s="2424"/>
      <c r="AU13" s="2422" t="str">
        <f>IMPOSTAZIONI!AH184</f>
        <v/>
      </c>
      <c r="AV13" s="2423"/>
      <c r="AW13" s="2423"/>
      <c r="AX13" s="2466"/>
      <c r="AY13" s="342"/>
      <c r="AZ13" s="33"/>
      <c r="BA13" s="33"/>
      <c r="BB13" s="33"/>
      <c r="BC13" s="33"/>
      <c r="BD13" s="33"/>
      <c r="BE13" s="33"/>
      <c r="BF13" s="648" t="s">
        <v>269</v>
      </c>
      <c r="BG13" s="648"/>
      <c r="BH13" s="648"/>
      <c r="BI13" s="648"/>
      <c r="BJ13" s="648"/>
      <c r="BK13" s="648"/>
      <c r="BL13" s="648"/>
      <c r="BM13" s="648"/>
      <c r="BN13" s="648"/>
      <c r="BO13" s="648"/>
      <c r="BP13" s="648"/>
      <c r="BQ13" s="648"/>
    </row>
    <row r="14" spans="1:69" ht="4.5" customHeight="1" x14ac:dyDescent="0.2">
      <c r="A14" s="366"/>
      <c r="B14" s="1244"/>
      <c r="C14" s="127"/>
      <c r="D14" s="127"/>
      <c r="E14" s="1244"/>
      <c r="F14" s="1244"/>
      <c r="G14" s="1244"/>
      <c r="H14" s="1244"/>
      <c r="I14" s="33"/>
      <c r="J14" s="127"/>
      <c r="K14" s="127"/>
      <c r="L14" s="127"/>
      <c r="M14" s="127"/>
      <c r="N14" s="127"/>
      <c r="O14" s="127"/>
      <c r="P14" s="127"/>
      <c r="Q14" s="127"/>
      <c r="R14" s="127"/>
      <c r="S14" s="127"/>
      <c r="T14" s="127"/>
      <c r="U14" s="127"/>
      <c r="V14" s="127"/>
      <c r="W14" s="127"/>
      <c r="X14" s="127"/>
      <c r="Y14" s="127"/>
      <c r="Z14" s="127"/>
      <c r="AA14" s="127"/>
      <c r="AB14" s="127"/>
      <c r="AC14" s="127"/>
      <c r="AD14" s="127"/>
      <c r="AE14" s="1244"/>
      <c r="AF14" s="1244"/>
      <c r="AG14" s="1244"/>
      <c r="AH14" s="127"/>
      <c r="AI14" s="1244"/>
      <c r="AJ14" s="1244"/>
      <c r="AK14" s="339"/>
      <c r="AL14" s="1244"/>
      <c r="AM14" s="127"/>
      <c r="AN14" s="1244"/>
      <c r="AO14" s="1244"/>
      <c r="AP14" s="1244"/>
      <c r="AQ14" s="127"/>
      <c r="AR14" s="1244"/>
      <c r="AS14" s="1244"/>
      <c r="AT14" s="1244"/>
      <c r="AU14" s="1244"/>
      <c r="AV14" s="1244"/>
      <c r="AW14" s="1244"/>
      <c r="AX14" s="1244"/>
      <c r="AY14" s="1244"/>
      <c r="AZ14" s="1244"/>
      <c r="BA14" s="33"/>
      <c r="BB14" s="33"/>
      <c r="BC14" s="33"/>
      <c r="BD14" s="33"/>
      <c r="BE14" s="33"/>
      <c r="BF14" s="648"/>
      <c r="BG14" s="648"/>
      <c r="BH14" s="648"/>
      <c r="BI14" s="648"/>
      <c r="BJ14" s="648"/>
      <c r="BK14" s="648"/>
      <c r="BL14" s="648"/>
      <c r="BM14" s="648"/>
      <c r="BN14" s="648"/>
      <c r="BO14" s="648"/>
      <c r="BP14" s="648"/>
      <c r="BQ14" s="648"/>
    </row>
    <row r="15" spans="1:69" ht="18" customHeight="1" x14ac:dyDescent="0.2">
      <c r="A15" s="366"/>
      <c r="B15" s="333" t="str">
        <f>$K$98</f>
        <v>INSERITO</v>
      </c>
      <c r="C15" s="2452">
        <f>IMPOSTAZIONI!AH53</f>
        <v>2024</v>
      </c>
      <c r="D15" s="2453"/>
      <c r="E15" s="2427">
        <f>IF(OR($C$133&lt;0,ISERROR($O$133)),0,ROUND(SUM(J15:AK15)+SUM(AM15:AX15),2))</f>
        <v>0</v>
      </c>
      <c r="F15" s="2428"/>
      <c r="G15" s="2428"/>
      <c r="H15" s="2429"/>
      <c r="I15" s="932" t="s">
        <v>560</v>
      </c>
      <c r="J15" s="2430">
        <f>IF(OR($G$7=$Q$98,$AB$133=FALSE),0,SUM(BF15:BQ15))</f>
        <v>0</v>
      </c>
      <c r="K15" s="2431"/>
      <c r="L15" s="2431"/>
      <c r="M15" s="2431"/>
      <c r="N15" s="2431">
        <f>IF(OR($G$7=$Q$98,$AB$133=FALSE),0,SUM(BF19:BQ19))</f>
        <v>0</v>
      </c>
      <c r="O15" s="2431"/>
      <c r="P15" s="2431"/>
      <c r="Q15" s="2431"/>
      <c r="R15" s="2448">
        <f>IF(OR($G$7=$Q$98,$AB$133=FALSE),0,SUM(BF23:BQ23))</f>
        <v>0</v>
      </c>
      <c r="S15" s="2428"/>
      <c r="T15" s="2428"/>
      <c r="U15" s="2449"/>
      <c r="V15" s="2448">
        <f>IF(OR($G$7=$Q$98,$AB$133=FALSE),0,SUM(BF27:BQ27))</f>
        <v>0</v>
      </c>
      <c r="W15" s="2428"/>
      <c r="X15" s="2428"/>
      <c r="Y15" s="2449"/>
      <c r="Z15" s="2448">
        <f>IF(OR($G$7=$Q$98,$AB$133=FALSE),0,SUM(BF31:BQ31))</f>
        <v>0</v>
      </c>
      <c r="AA15" s="2428"/>
      <c r="AB15" s="2428"/>
      <c r="AC15" s="2449"/>
      <c r="AD15" s="2448">
        <f>IF(OR($G$7=$Q$98,$AB$133=FALSE),0,SUM(BF35:BQ35))</f>
        <v>0</v>
      </c>
      <c r="AE15" s="2428"/>
      <c r="AF15" s="2428"/>
      <c r="AG15" s="2449"/>
      <c r="AH15" s="2448">
        <f>IF(OR($G$7=$Q$98,$AB$133=FALSE),0,SUM(BF39:BQ39))</f>
        <v>0</v>
      </c>
      <c r="AI15" s="2428"/>
      <c r="AJ15" s="2428"/>
      <c r="AK15" s="2429"/>
      <c r="AL15" s="1244"/>
      <c r="AM15" s="2427">
        <f>IF(OR($G$7=$Q$98,$AB$133=FALSE),0,SUM(BF43:BQ43))</f>
        <v>0</v>
      </c>
      <c r="AN15" s="2428"/>
      <c r="AO15" s="2428"/>
      <c r="AP15" s="2449"/>
      <c r="AQ15" s="2448">
        <f>IF(OR($G$7=$Q$98,$AB$133=FALSE),0,SUM(BF47:BQ47))</f>
        <v>0</v>
      </c>
      <c r="AR15" s="2428"/>
      <c r="AS15" s="2428"/>
      <c r="AT15" s="2449"/>
      <c r="AU15" s="2448">
        <f>IF(OR($G$7=$Q$98,$AB$133=FALSE),0,SUM(BF51:BQ51))</f>
        <v>0</v>
      </c>
      <c r="AV15" s="2428"/>
      <c r="AW15" s="2428"/>
      <c r="AX15" s="2429"/>
      <c r="AY15" s="347"/>
      <c r="AZ15" s="2385" t="str">
        <f>IF(E15=0,"",IF(E15&lt;&gt;BB15,"ERROR","OK"))</f>
        <v/>
      </c>
      <c r="BA15" s="2385"/>
      <c r="BB15" s="2386">
        <f>ROUND(RIEPILOGO!T5+RIEPILOGO!T116,2)</f>
        <v>1000</v>
      </c>
      <c r="BC15" s="2386"/>
      <c r="BD15" s="2386"/>
      <c r="BE15" s="33"/>
      <c r="BF15" s="916">
        <f>SUMIF(GEN!$G$1:$M$1,J9,GEN!$G$46:$M$46)</f>
        <v>0</v>
      </c>
      <c r="BG15" s="917">
        <f>SUMIF(FEB!$G$1:$M$1,J9,FEB!$G$46:$M$46)</f>
        <v>0</v>
      </c>
      <c r="BH15" s="917">
        <f>SUMIF(MAR!$G$1:$M$1,J9,MAR!$G$46:$M$46)</f>
        <v>0</v>
      </c>
      <c r="BI15" s="917">
        <f>SUMIF(APR!$G$1:$M$1,J9,APR!$G$46:$M$46)</f>
        <v>0</v>
      </c>
      <c r="BJ15" s="917">
        <f>SUMIF(MAG!$G$1:$M$1,J9,MAG!$G$46:$M$46)</f>
        <v>0</v>
      </c>
      <c r="BK15" s="917">
        <f>SUMIF(GIU!$G$1:$M$1,J9,GIU!$G$46:$M$46)</f>
        <v>0</v>
      </c>
      <c r="BL15" s="917">
        <f>SUMIF(LUG!$G$1:$M$1,J9,LUG!$G$46:$M$46)</f>
        <v>0</v>
      </c>
      <c r="BM15" s="917">
        <f>SUMIF(AGO!$G$1:$M$1,J9,AGO!$G$46:$M$46)</f>
        <v>0</v>
      </c>
      <c r="BN15" s="917">
        <f>SUMIF(SET!$G$1:$M$1,J9,SET!$G$46:$M$46)</f>
        <v>0</v>
      </c>
      <c r="BO15" s="917">
        <f>SUMIF(OTT!$G$1:$M$1,J9,OTT!$G$46:$M$46)</f>
        <v>0</v>
      </c>
      <c r="BP15" s="917">
        <f>SUMIF(NOV!$G$1:$M$1,J9,NOV!$G$46:$M$46)</f>
        <v>0</v>
      </c>
      <c r="BQ15" s="918">
        <f>SUMIF(DIC!$G$1:$M$1,J9,DIC!$G$46:$M$46)</f>
        <v>0</v>
      </c>
    </row>
    <row r="16" spans="1:69" ht="4.5" customHeight="1" x14ac:dyDescent="0.2">
      <c r="A16" s="366"/>
      <c r="B16" s="333"/>
      <c r="C16" s="127"/>
      <c r="D16" s="127"/>
      <c r="E16" s="1244"/>
      <c r="F16" s="1244"/>
      <c r="G16" s="1244"/>
      <c r="H16" s="1244"/>
      <c r="I16" s="33"/>
      <c r="J16" s="127"/>
      <c r="K16" s="127"/>
      <c r="L16" s="127"/>
      <c r="M16" s="127"/>
      <c r="N16" s="127"/>
      <c r="O16" s="127"/>
      <c r="P16" s="127"/>
      <c r="Q16" s="127"/>
      <c r="R16" s="127"/>
      <c r="S16" s="127"/>
      <c r="T16" s="127"/>
      <c r="U16" s="127"/>
      <c r="V16" s="127"/>
      <c r="W16" s="127"/>
      <c r="X16" s="127"/>
      <c r="Y16" s="127"/>
      <c r="Z16" s="127"/>
      <c r="AA16" s="127"/>
      <c r="AB16" s="127"/>
      <c r="AC16" s="127"/>
      <c r="AD16" s="127"/>
      <c r="AE16" s="1244"/>
      <c r="AF16" s="1244"/>
      <c r="AG16" s="1244"/>
      <c r="AH16" s="127"/>
      <c r="AI16" s="1244"/>
      <c r="AJ16" s="1244"/>
      <c r="AK16" s="339"/>
      <c r="AL16" s="1244"/>
      <c r="AM16" s="127"/>
      <c r="AN16" s="1244"/>
      <c r="AO16" s="1244"/>
      <c r="AP16" s="1244"/>
      <c r="AQ16" s="127"/>
      <c r="AR16" s="1244"/>
      <c r="AS16" s="1244"/>
      <c r="AT16" s="1244"/>
      <c r="AU16" s="1244"/>
      <c r="AV16" s="1244"/>
      <c r="AW16" s="1244"/>
      <c r="AX16" s="1244"/>
      <c r="AY16" s="1244"/>
      <c r="AZ16" s="631"/>
      <c r="BA16" s="631"/>
      <c r="BB16" s="631"/>
      <c r="BC16" s="631"/>
      <c r="BD16" s="631"/>
      <c r="BE16" s="33"/>
      <c r="BF16" s="919"/>
      <c r="BG16" s="920"/>
      <c r="BH16" s="920"/>
      <c r="BI16" s="920"/>
      <c r="BJ16" s="920"/>
      <c r="BK16" s="920"/>
      <c r="BL16" s="920"/>
      <c r="BM16" s="920"/>
      <c r="BN16" s="920"/>
      <c r="BO16" s="920"/>
      <c r="BP16" s="920"/>
      <c r="BQ16" s="921"/>
    </row>
    <row r="17" spans="1:69" ht="18" customHeight="1" x14ac:dyDescent="0.2">
      <c r="A17" s="366"/>
      <c r="B17" s="333" t="str">
        <f>$L$98</f>
        <v>a CONTO</v>
      </c>
      <c r="C17" s="2435" t="s">
        <v>515</v>
      </c>
      <c r="D17" s="2436"/>
      <c r="E17" s="2407">
        <f>IF(OR($C$133&lt;0,ISERROR($O$133)),0,SUM(J17:AK17)+SUM(AM17:AX17))</f>
        <v>0</v>
      </c>
      <c r="F17" s="2408"/>
      <c r="G17" s="2408"/>
      <c r="H17" s="2410"/>
      <c r="I17" s="33"/>
      <c r="J17" s="2407">
        <f>IF(OR($G$7=$Q$98,$AB$133=FALSE),0,SUM(BF17:BQ17))</f>
        <v>0</v>
      </c>
      <c r="K17" s="2408"/>
      <c r="L17" s="2408"/>
      <c r="M17" s="2409"/>
      <c r="N17" s="2426">
        <f>IF(OR($G$7=$Q$98,$AB$133=FALSE),0,SUM(BF21:BQ21))</f>
        <v>0</v>
      </c>
      <c r="O17" s="2408"/>
      <c r="P17" s="2408"/>
      <c r="Q17" s="2409"/>
      <c r="R17" s="2426">
        <f>IF(OR($G$7=$Q$98,$AB$133=FALSE),0,SUM(BF25:BQ25))</f>
        <v>0</v>
      </c>
      <c r="S17" s="2408"/>
      <c r="T17" s="2408"/>
      <c r="U17" s="2409"/>
      <c r="V17" s="2426">
        <f>IF(OR($G$7=$Q$98,$AB$133=FALSE),0,SUM(BF29:BQ29))</f>
        <v>0</v>
      </c>
      <c r="W17" s="2408"/>
      <c r="X17" s="2408"/>
      <c r="Y17" s="2409"/>
      <c r="Z17" s="2426">
        <f>IF(OR($G$7=$Q$98,$AB$133=FALSE),0,SUM(BF33:BQ33))</f>
        <v>0</v>
      </c>
      <c r="AA17" s="2408"/>
      <c r="AB17" s="2408"/>
      <c r="AC17" s="2409"/>
      <c r="AD17" s="2426">
        <f>IF(OR($G$7=$Q$98,$AB$133=FALSE),0,SUM(BF37:BQ37))</f>
        <v>0</v>
      </c>
      <c r="AE17" s="2408"/>
      <c r="AF17" s="2408"/>
      <c r="AG17" s="2409"/>
      <c r="AH17" s="2426">
        <f>IF(OR($G$7=$Q$98,$AB$133=FALSE),0,SUM(BF41:BQ41))</f>
        <v>0</v>
      </c>
      <c r="AI17" s="2408"/>
      <c r="AJ17" s="2408"/>
      <c r="AK17" s="2410"/>
      <c r="AL17" s="1244"/>
      <c r="AM17" s="2407">
        <f>IF(OR($G$7=$Q$98,$AB$133=FALSE),0,SUM(BF45:BQ45))</f>
        <v>0</v>
      </c>
      <c r="AN17" s="2408"/>
      <c r="AO17" s="2408"/>
      <c r="AP17" s="2409"/>
      <c r="AQ17" s="2426">
        <f>IF(OR($G$7=$Q$98,$AB$133=FALSE),0,SUM(BF49:BQ49))</f>
        <v>0</v>
      </c>
      <c r="AR17" s="2408"/>
      <c r="AS17" s="2408"/>
      <c r="AT17" s="2409"/>
      <c r="AU17" s="2426">
        <f>IF(OR($G$7=$Q$98,$AB$133=FALSE),0,SUM(BF53:BQ53))</f>
        <v>0</v>
      </c>
      <c r="AV17" s="2408"/>
      <c r="AW17" s="2408"/>
      <c r="AX17" s="2410"/>
      <c r="AY17" s="343"/>
      <c r="AZ17" s="2385" t="str">
        <f>IF(E17=0,"",IF(E17&lt;&gt;BB17,"ERROR","OK"))</f>
        <v/>
      </c>
      <c r="BA17" s="2385"/>
      <c r="BB17" s="2386">
        <f>ROUND(RIEPILOGO!T6+RIEPILOGO!T117,2)</f>
        <v>0</v>
      </c>
      <c r="BC17" s="2386"/>
      <c r="BD17" s="2386"/>
      <c r="BE17" s="33"/>
      <c r="BF17" s="922">
        <f>SUMIF(GEN!$G$1:$M$1,J9,GEN!$G$47:$M$47)</f>
        <v>0</v>
      </c>
      <c r="BG17" s="923">
        <f>SUMIF(FEB!$G$1:$M$1,J9,FEB!$G$47:$M$47)</f>
        <v>0</v>
      </c>
      <c r="BH17" s="923">
        <f>SUMIF(MAR!$G$1:$M$1,J9,MAR!$G$47:$M$47)</f>
        <v>0</v>
      </c>
      <c r="BI17" s="923">
        <f>SUMIF(APR!$G$1:$M$1,J9,APR!$G$47:$M$47)</f>
        <v>0</v>
      </c>
      <c r="BJ17" s="923">
        <f>SUMIF(MAG!$G$1:$M$1,J9,MAG!$G$47:$M$47)</f>
        <v>0</v>
      </c>
      <c r="BK17" s="923">
        <f>SUMIF(GIU!$G$1:$M$1,J9,GIU!$G$47:$M$47)</f>
        <v>0</v>
      </c>
      <c r="BL17" s="923">
        <f>SUMIF(LUG!$G$1:$M$1,J9,LUG!$G$47:$M$47)</f>
        <v>0</v>
      </c>
      <c r="BM17" s="923">
        <f>SUMIF(AGO!$G$1:$M$1,J9,AGO!$G$47:$M$47)</f>
        <v>0</v>
      </c>
      <c r="BN17" s="923">
        <f>SUMIF(SET!$G$1:$M$1,J9,SET!$G$47:$M$47)</f>
        <v>0</v>
      </c>
      <c r="BO17" s="923">
        <f>SUMIF(OTT!$G$1:$M$1,J9,OTT!$G$47:$M$47)</f>
        <v>0</v>
      </c>
      <c r="BP17" s="923">
        <f>SUMIF(NOV!$G$1:$M$1,J9,NOV!$G$47:$M$47)</f>
        <v>0</v>
      </c>
      <c r="BQ17" s="924">
        <f>SUMIF(DIC!$G$1:$M$1,J9,DIC!$G$47:$M$47)</f>
        <v>0</v>
      </c>
    </row>
    <row r="18" spans="1:69" ht="18" customHeight="1" x14ac:dyDescent="0.2">
      <c r="A18" s="366"/>
      <c r="B18" s="333" t="str">
        <f>$M$98</f>
        <v>Percent.</v>
      </c>
      <c r="C18" s="2437" t="s">
        <v>514</v>
      </c>
      <c r="D18" s="2438"/>
      <c r="E18" s="2404">
        <f>IF(OR($C$133&lt;0,ISERROR($O$133)),0,SUM(J18:AK18)+SUM(AM18:AX18))</f>
        <v>0</v>
      </c>
      <c r="F18" s="2405"/>
      <c r="G18" s="2405"/>
      <c r="H18" s="2411"/>
      <c r="I18" s="33"/>
      <c r="J18" s="2404">
        <f>IF(OR($G$7=$Q$98,$AB$133=FALSE),0,SUM(BF18:BQ18))</f>
        <v>0</v>
      </c>
      <c r="K18" s="2405"/>
      <c r="L18" s="2405"/>
      <c r="M18" s="2406"/>
      <c r="N18" s="2425">
        <f>IF(OR($G$7=$Q$98,$AB$133=FALSE),0,SUM(BF22:BQ22))</f>
        <v>0</v>
      </c>
      <c r="O18" s="2405"/>
      <c r="P18" s="2405"/>
      <c r="Q18" s="2406"/>
      <c r="R18" s="2425">
        <f>IF(OR($G$7=$Q$98,$AB$133=FALSE),0,SUM(BF26:BQ26))</f>
        <v>0</v>
      </c>
      <c r="S18" s="2405"/>
      <c r="T18" s="2405"/>
      <c r="U18" s="2406"/>
      <c r="V18" s="2425">
        <f>IF(OR($G$7=$Q$98,$AB$133=FALSE),0,SUM(BF30:BQ30))</f>
        <v>0</v>
      </c>
      <c r="W18" s="2405"/>
      <c r="X18" s="2405"/>
      <c r="Y18" s="2406"/>
      <c r="Z18" s="2425">
        <f>IF(OR($G$7=$Q$98,$AB$133=FALSE),0,SUM(BF34:BQ34))</f>
        <v>0</v>
      </c>
      <c r="AA18" s="2405"/>
      <c r="AB18" s="2405"/>
      <c r="AC18" s="2406"/>
      <c r="AD18" s="2425">
        <f>IF(OR($G$7=$Q$98,$AB$133=FALSE),0,SUM(BF38:BQ38))</f>
        <v>0</v>
      </c>
      <c r="AE18" s="2405"/>
      <c r="AF18" s="2405"/>
      <c r="AG18" s="2406"/>
      <c r="AH18" s="2425">
        <f>IF(OR($G$7=$Q$98,$AB$133=FALSE),0,SUM(BF42:BQ42))</f>
        <v>0</v>
      </c>
      <c r="AI18" s="2405"/>
      <c r="AJ18" s="2405"/>
      <c r="AK18" s="2411"/>
      <c r="AL18" s="1244"/>
      <c r="AM18" s="2404">
        <f>IF(OR($G$7=$Q$98,$AB$133=FALSE),0,SUM(BF46:BQ46))</f>
        <v>0</v>
      </c>
      <c r="AN18" s="2405"/>
      <c r="AO18" s="2405"/>
      <c r="AP18" s="2406"/>
      <c r="AQ18" s="2425">
        <f>IF(OR($G$7=$Q$98,$AB$133=FALSE),0,SUM(BF50:BQ50))</f>
        <v>0</v>
      </c>
      <c r="AR18" s="2405"/>
      <c r="AS18" s="2405"/>
      <c r="AT18" s="2406"/>
      <c r="AU18" s="2425">
        <f>IF(OR($G$7=$Q$98,$AB$133=FALSE),0,SUM(BF54:BQ54))</f>
        <v>0</v>
      </c>
      <c r="AV18" s="2405"/>
      <c r="AW18" s="2405"/>
      <c r="AX18" s="2411"/>
      <c r="AY18" s="344"/>
      <c r="AZ18" s="2385" t="str">
        <f>IF(E18=0,"",IF(E18&lt;&gt;BB18,"ERROR","OK"))</f>
        <v/>
      </c>
      <c r="BA18" s="2385"/>
      <c r="BB18" s="2386">
        <f>ROUND(RIEPILOGO!T17+RIEPILOGO!T128,2)</f>
        <v>0</v>
      </c>
      <c r="BC18" s="2386"/>
      <c r="BD18" s="2386"/>
      <c r="BE18" s="33"/>
      <c r="BF18" s="925">
        <f>SUMIF(GEN!$G$1:$M$1,J9,GEN!$G$48:$M$48)</f>
        <v>0</v>
      </c>
      <c r="BG18" s="926">
        <f>SUMIF(FEB!$G$1:$M$1,J9,FEB!$G$48:$M$48)</f>
        <v>0</v>
      </c>
      <c r="BH18" s="926">
        <f>SUMIF(MAR!$G$1:$M$1,J9,MAR!$G$48:$M$48)</f>
        <v>0</v>
      </c>
      <c r="BI18" s="926">
        <f>SUMIF(APR!$G$1:$M$1,J9,APR!$G$48:$M$48)</f>
        <v>0</v>
      </c>
      <c r="BJ18" s="926">
        <f>SUMIF(MAG!$G$1:$M$1,J9,MAG!$G$48:$M$48)</f>
        <v>0</v>
      </c>
      <c r="BK18" s="926">
        <f>SUMIF(GIU!$G$1:$M$1,J9,GIU!$G$48:$M$48)</f>
        <v>0</v>
      </c>
      <c r="BL18" s="926">
        <f>SUMIF(LUG!$G$1:$M$1,J9,LUG!$G$48:$M$48)</f>
        <v>0</v>
      </c>
      <c r="BM18" s="926">
        <f>SUMIF(AGO!$G$1:$M$1,J9,AGO!$G$48:$M$48)</f>
        <v>0</v>
      </c>
      <c r="BN18" s="926">
        <f>SUMIF(SET!$G$1:$M$1,J9,SET!$G$48:$M$48)</f>
        <v>0</v>
      </c>
      <c r="BO18" s="926">
        <f>SUMIF(OTT!$G$1:$M$1,J9,OTT!$G$48:$M$48)</f>
        <v>0</v>
      </c>
      <c r="BP18" s="926">
        <f>SUMIF(NOV!$G$1:$M$1,J9,NOV!$G$48:$M$48)</f>
        <v>0</v>
      </c>
      <c r="BQ18" s="927">
        <f>SUMIF(DIC!$G$1:$M$1,J9,DIC!$G$48:$M$48)</f>
        <v>0</v>
      </c>
    </row>
    <row r="19" spans="1:69" ht="18" customHeight="1" x14ac:dyDescent="0.2">
      <c r="A19" s="366"/>
      <c r="B19" s="333"/>
      <c r="C19" s="1250"/>
      <c r="D19" s="1250"/>
      <c r="E19" s="648"/>
      <c r="F19" s="648"/>
      <c r="G19" s="648"/>
      <c r="H19" s="648"/>
      <c r="I19" s="648"/>
      <c r="J19" s="2421" t="str">
        <f>IMPOSTAZIONI!H35</f>
        <v/>
      </c>
      <c r="K19" s="2421"/>
      <c r="L19" s="2421"/>
      <c r="M19" s="2421"/>
      <c r="N19" s="2421" t="str">
        <f>IMPOSTAZIONI!L35</f>
        <v/>
      </c>
      <c r="O19" s="2421"/>
      <c r="P19" s="2421"/>
      <c r="Q19" s="2421"/>
      <c r="R19" s="2421" t="str">
        <f>IMPOSTAZIONI!P35</f>
        <v/>
      </c>
      <c r="S19" s="2421"/>
      <c r="T19" s="2421"/>
      <c r="U19" s="2421"/>
      <c r="V19" s="2421" t="str">
        <f>IMPOSTAZIONI!T35</f>
        <v/>
      </c>
      <c r="W19" s="2421"/>
      <c r="X19" s="2421"/>
      <c r="Y19" s="2421"/>
      <c r="Z19" s="2421" t="str">
        <f>IMPOSTAZIONI!X35</f>
        <v/>
      </c>
      <c r="AA19" s="2421"/>
      <c r="AB19" s="2421"/>
      <c r="AC19" s="2421"/>
      <c r="AD19" s="2421" t="str">
        <f>IMPOSTAZIONI!AB35</f>
        <v/>
      </c>
      <c r="AE19" s="2421"/>
      <c r="AF19" s="2421"/>
      <c r="AG19" s="2421"/>
      <c r="AH19" s="2421" t="str">
        <f>IMPOSTAZIONI!AF35</f>
        <v/>
      </c>
      <c r="AI19" s="2421"/>
      <c r="AJ19" s="2421"/>
      <c r="AK19" s="2421"/>
      <c r="AL19" s="648"/>
      <c r="AM19" s="2421" t="e">
        <f>VLOOKUP(AN8,IMPOSTAZIONI!$X$14:$Y$16,2,FALSE)</f>
        <v>#N/A</v>
      </c>
      <c r="AN19" s="2421"/>
      <c r="AO19" s="2421"/>
      <c r="AP19" s="2421"/>
      <c r="AQ19" s="2421" t="e">
        <f>VLOOKUP(AR8,IMPOSTAZIONI!$X$14:$Y$16,2,FALSE)</f>
        <v>#N/A</v>
      </c>
      <c r="AR19" s="2421"/>
      <c r="AS19" s="2421"/>
      <c r="AT19" s="2421"/>
      <c r="AU19" s="2421" t="e">
        <f>VLOOKUP(AV8,IMPOSTAZIONI!$X$14:$Y$16,2,FALSE)</f>
        <v>#N/A</v>
      </c>
      <c r="AV19" s="2421"/>
      <c r="AW19" s="2421"/>
      <c r="AX19" s="2421"/>
      <c r="AY19" s="344"/>
      <c r="AZ19" s="1247"/>
      <c r="BA19" s="1247"/>
      <c r="BB19" s="1248"/>
      <c r="BC19" s="1248"/>
      <c r="BD19" s="1248"/>
      <c r="BE19" s="33"/>
      <c r="BF19" s="916">
        <f>SUMIF(GEN!$G$1:$M$1,N9,GEN!$G$46:$M$46)</f>
        <v>0</v>
      </c>
      <c r="BG19" s="917">
        <f>SUMIF(FEB!$G$1:$M$1,N9,FEB!$G$46:$M$46)</f>
        <v>0</v>
      </c>
      <c r="BH19" s="917">
        <f>SUMIF(MAR!$G$1:$M$1,N9,MAR!$G$46:$M$46)</f>
        <v>0</v>
      </c>
      <c r="BI19" s="917">
        <f>SUMIF(APR!$G$1:$M$1,N9,APR!$G$46:$M$46)</f>
        <v>0</v>
      </c>
      <c r="BJ19" s="917">
        <f>SUMIF(MAG!$G$1:$M$1,N9,MAG!$G$46:$M$46)</f>
        <v>0</v>
      </c>
      <c r="BK19" s="917">
        <f>SUMIF(GIU!$G$1:$M$1,N9,GIU!$G$46:$M$46)</f>
        <v>0</v>
      </c>
      <c r="BL19" s="917">
        <f>SUMIF(LUG!$G$1:$M$1,N9,LUG!$G$46:$M$46)</f>
        <v>0</v>
      </c>
      <c r="BM19" s="917">
        <f>SUMIF(AGO!$G$1:$M$1,N9,AGO!$G$46:$M$46)</f>
        <v>0</v>
      </c>
      <c r="BN19" s="917">
        <f>SUMIF(SET!$G$1:$M$1,N9,SET!$G$46:$M$46)</f>
        <v>0</v>
      </c>
      <c r="BO19" s="917">
        <f>SUMIF(OTT!$G$1:$M$1,N9,OTT!$G$46:$M$46)</f>
        <v>0</v>
      </c>
      <c r="BP19" s="917">
        <f>SUMIF(NOV!$G$1:$M$1,N9,NOV!$G$46:$M$46)</f>
        <v>0</v>
      </c>
      <c r="BQ19" s="918">
        <f>SUMIF(DIC!$G$1:$M$1,N9,DIC!$G$46:$M$46)</f>
        <v>0</v>
      </c>
    </row>
    <row r="20" spans="1:69" ht="14.25" customHeight="1" x14ac:dyDescent="0.2">
      <c r="A20" s="366"/>
      <c r="B20" s="147"/>
      <c r="C20" s="127"/>
      <c r="D20" s="127"/>
      <c r="E20" s="1244"/>
      <c r="F20" s="1244"/>
      <c r="G20" s="1244"/>
      <c r="H20" s="1244"/>
      <c r="I20" s="33"/>
      <c r="J20" s="2441" t="str">
        <f>IMPOSTAZIONI!H30</f>
        <v/>
      </c>
      <c r="K20" s="2441"/>
      <c r="L20" s="2441"/>
      <c r="M20" s="2441"/>
      <c r="N20" s="2441" t="str">
        <f>IMPOSTAZIONI!L30</f>
        <v/>
      </c>
      <c r="O20" s="2441"/>
      <c r="P20" s="2441"/>
      <c r="Q20" s="2441"/>
      <c r="R20" s="2441" t="str">
        <f>IMPOSTAZIONI!P30</f>
        <v/>
      </c>
      <c r="S20" s="2441"/>
      <c r="T20" s="2441"/>
      <c r="U20" s="2441"/>
      <c r="V20" s="2441" t="str">
        <f>IMPOSTAZIONI!T30</f>
        <v/>
      </c>
      <c r="W20" s="2441"/>
      <c r="X20" s="2441"/>
      <c r="Y20" s="2441"/>
      <c r="Z20" s="2441" t="str">
        <f>IMPOSTAZIONI!X30</f>
        <v/>
      </c>
      <c r="AA20" s="2441"/>
      <c r="AB20" s="2441"/>
      <c r="AC20" s="2441"/>
      <c r="AD20" s="2441" t="str">
        <f>IMPOSTAZIONI!AB30</f>
        <v/>
      </c>
      <c r="AE20" s="2441"/>
      <c r="AF20" s="2441"/>
      <c r="AG20" s="2441"/>
      <c r="AH20" s="2441" t="str">
        <f>IMPOSTAZIONI!AF30</f>
        <v/>
      </c>
      <c r="AI20" s="2441"/>
      <c r="AJ20" s="2441"/>
      <c r="AK20" s="2441"/>
      <c r="AL20" s="1244"/>
      <c r="AM20" s="2468" t="str">
        <f>IMPOSTAZIONI!T100</f>
        <v>Modificato nei MESI</v>
      </c>
      <c r="AN20" s="2468"/>
      <c r="AO20" s="2468"/>
      <c r="AP20" s="2468"/>
      <c r="AQ20" s="2468"/>
      <c r="AR20" s="2468"/>
      <c r="AS20" s="2468"/>
      <c r="AT20" s="2468"/>
      <c r="AU20" s="2468"/>
      <c r="AV20" s="2468"/>
      <c r="AW20" s="2468"/>
      <c r="AX20" s="2468"/>
      <c r="AY20" s="1251"/>
      <c r="AZ20" s="1244"/>
      <c r="BA20" s="33"/>
      <c r="BB20" s="33"/>
      <c r="BC20" s="33"/>
      <c r="BD20" s="33"/>
      <c r="BE20" s="33"/>
      <c r="BF20" s="919"/>
      <c r="BG20" s="920"/>
      <c r="BH20" s="920"/>
      <c r="BI20" s="920"/>
      <c r="BJ20" s="920"/>
      <c r="BK20" s="920"/>
      <c r="BL20" s="920"/>
      <c r="BM20" s="920"/>
      <c r="BN20" s="920"/>
      <c r="BO20" s="920"/>
      <c r="BP20" s="920"/>
      <c r="BQ20" s="921"/>
    </row>
    <row r="21" spans="1:69" ht="15" customHeight="1" x14ac:dyDescent="0.2">
      <c r="A21" s="366"/>
      <c r="B21" s="147"/>
      <c r="C21" s="648"/>
      <c r="D21" s="648"/>
      <c r="E21" s="648"/>
      <c r="F21" s="648"/>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1244"/>
      <c r="AM21" s="119" t="s">
        <v>227</v>
      </c>
      <c r="AN21" s="119"/>
      <c r="AO21" s="119"/>
      <c r="AP21" s="119"/>
      <c r="AQ21" s="119"/>
      <c r="AR21" s="119"/>
      <c r="AS21" s="119"/>
      <c r="AT21" s="119"/>
      <c r="AU21" s="119"/>
      <c r="AV21" s="119"/>
      <c r="AW21" s="119"/>
      <c r="AX21" s="119"/>
      <c r="AY21" s="1251"/>
      <c r="AZ21" s="1244"/>
      <c r="BA21" s="33"/>
      <c r="BB21" s="33"/>
      <c r="BC21" s="33"/>
      <c r="BD21" s="33"/>
      <c r="BE21" s="33"/>
      <c r="BF21" s="922">
        <f>SUMIF(GEN!$G$1:$M$1,N9,GEN!$G$47:$M$47)</f>
        <v>0</v>
      </c>
      <c r="BG21" s="923">
        <f>SUMIF(FEB!$G$1:$M$1,N9,FEB!$G$47:$M$47)</f>
        <v>0</v>
      </c>
      <c r="BH21" s="923">
        <f>SUMIF(MAR!$G$1:$M$1,N9,MAR!$G$47:$M$47)</f>
        <v>0</v>
      </c>
      <c r="BI21" s="923">
        <f>SUMIF(APR!$G$1:$M$1,N9,APR!$G$47:$M$47)</f>
        <v>0</v>
      </c>
      <c r="BJ21" s="923">
        <f>SUMIF(MAG!$G$1:$M$1,N9,MAG!$G$47:$M$47)</f>
        <v>0</v>
      </c>
      <c r="BK21" s="923">
        <f>SUMIF(GIU!$G$1:$M$1,N9,GIU!$G$47:$M$47)</f>
        <v>0</v>
      </c>
      <c r="BL21" s="923">
        <f>SUMIF(LUG!$G$1:$M$1,N9,LUG!$G$47:$M$47)</f>
        <v>0</v>
      </c>
      <c r="BM21" s="923">
        <f>SUMIF(AGO!$G$1:$M$1,N9,AGO!$G$47:$M$47)</f>
        <v>0</v>
      </c>
      <c r="BN21" s="923">
        <f>SUMIF(SET!$G$1:$M$1,N9,SET!$G$47:$M$47)</f>
        <v>0</v>
      </c>
      <c r="BO21" s="923">
        <f>SUMIF(OTT!$G$1:$M$1,N9,OTT!$G$47:$M$47)</f>
        <v>0</v>
      </c>
      <c r="BP21" s="923">
        <f>SUMIF(NOV!$G$1:$M$1,N9,NOV!$G$47:$M$47)</f>
        <v>0</v>
      </c>
      <c r="BQ21" s="924">
        <f>SUMIF(DIC!$G$1:$M$1,N9,DIC!$G$47:$M$47)</f>
        <v>0</v>
      </c>
    </row>
    <row r="22" spans="1:69" ht="15" customHeight="1" x14ac:dyDescent="0.2">
      <c r="A22" s="366"/>
      <c r="B22" s="147"/>
      <c r="C22" s="648"/>
      <c r="D22" s="648"/>
      <c r="E22" s="648"/>
      <c r="F22" s="648"/>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1244"/>
      <c r="AM22" s="1242" t="s">
        <v>226</v>
      </c>
      <c r="AN22" s="1251"/>
      <c r="AO22" s="1251"/>
      <c r="AP22" s="1251"/>
      <c r="AQ22" s="1251"/>
      <c r="AR22" s="1241" t="s">
        <v>72</v>
      </c>
      <c r="AS22" s="1251"/>
      <c r="AT22" s="1251"/>
      <c r="AU22" s="1251"/>
      <c r="AV22" s="1251"/>
      <c r="AW22" s="1251"/>
      <c r="AX22" s="1251"/>
      <c r="AY22" s="1251"/>
      <c r="AZ22" s="1244"/>
      <c r="BA22" s="33"/>
      <c r="BB22" s="33"/>
      <c r="BC22" s="33"/>
      <c r="BD22" s="33"/>
      <c r="BE22" s="33"/>
      <c r="BF22" s="925">
        <f>SUMIF(GEN!$G$1:$M$1,N9,GEN!$G$48:$M$48)</f>
        <v>0</v>
      </c>
      <c r="BG22" s="926">
        <f>SUMIF(FEB!$G$1:$M$1,N9,FEB!$G$48:$M$48)</f>
        <v>0</v>
      </c>
      <c r="BH22" s="926">
        <f>SUMIF(MAR!$G$1:$M$1,N9,MAR!$G$48:$M$48)</f>
        <v>0</v>
      </c>
      <c r="BI22" s="926">
        <f>SUMIF(APR!$G$1:$M$1,N9,APR!$G$48:$M$48)</f>
        <v>0</v>
      </c>
      <c r="BJ22" s="926">
        <f>SUMIF(MAG!$G$1:$M$1,N9,MAG!$G$48:$M$48)</f>
        <v>0</v>
      </c>
      <c r="BK22" s="926">
        <f>SUMIF(GIU!$G$1:$M$1,N9,GIU!$G$48:$M$48)</f>
        <v>0</v>
      </c>
      <c r="BL22" s="926">
        <f>SUMIF(LUG!$G$1:$M$1,N9,LUG!$G$48:$M$48)</f>
        <v>0</v>
      </c>
      <c r="BM22" s="926">
        <f>SUMIF(AGO!$G$1:$M$1,N9,AGO!$G$48:$M$48)</f>
        <v>0</v>
      </c>
      <c r="BN22" s="926">
        <f>SUMIF(SET!$G$1:$M$1,N9,SET!$G$48:$M$48)</f>
        <v>0</v>
      </c>
      <c r="BO22" s="926">
        <f>SUMIF(OTT!$G$1:$M$1,N9,OTT!$G$48:$M$48)</f>
        <v>0</v>
      </c>
      <c r="BP22" s="926">
        <f>SUMIF(NOV!$G$1:$M$1,N9,NOV!$G$48:$M$48)</f>
        <v>0</v>
      </c>
      <c r="BQ22" s="927">
        <f>SUMIF(DIC!$G$1:$M$1,N9,DIC!$G$48:$M$48)</f>
        <v>0</v>
      </c>
    </row>
    <row r="23" spans="1:69" ht="16.5" customHeight="1" x14ac:dyDescent="0.2">
      <c r="A23" s="366"/>
      <c r="B23" s="147"/>
      <c r="C23" s="929" t="s">
        <v>695</v>
      </c>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1244"/>
      <c r="AM23" s="127"/>
      <c r="AN23" s="1244"/>
      <c r="AO23" s="1244"/>
      <c r="AP23" s="1244"/>
      <c r="AQ23" s="127"/>
      <c r="AR23" s="1244"/>
      <c r="AS23" s="1244"/>
      <c r="AT23" s="1244"/>
      <c r="AU23" s="1244"/>
      <c r="AV23" s="1244"/>
      <c r="AW23" s="1244"/>
      <c r="AX23" s="1244"/>
      <c r="AY23" s="1244"/>
      <c r="AZ23" s="1244"/>
      <c r="BA23" s="33"/>
      <c r="BB23" s="33"/>
      <c r="BC23" s="33"/>
      <c r="BD23" s="33"/>
      <c r="BE23" s="33"/>
      <c r="BF23" s="916">
        <f>SUMIF(GEN!$G$1:$M$1,R9,GEN!$G$46:$M$46)</f>
        <v>0</v>
      </c>
      <c r="BG23" s="917">
        <f>SUMIF(FEB!$G$1:$M$1,R9,FEB!$G$46:$M$46)</f>
        <v>0</v>
      </c>
      <c r="BH23" s="917">
        <f>SUMIF(MAR!$G$1:$M$1,R9,MAR!$G$46:$M$46)</f>
        <v>0</v>
      </c>
      <c r="BI23" s="917">
        <f>SUMIF(APR!$G$1:$M$1,R9,APR!$G$46:$M$46)</f>
        <v>0</v>
      </c>
      <c r="BJ23" s="917">
        <f>SUMIF(MAG!$G$1:$M$1,R9,MAG!$G$46:$M$46)</f>
        <v>0</v>
      </c>
      <c r="BK23" s="917">
        <f>SUMIF(GIU!$G$1:$M$1,R9,GIU!$G$46:$M$46)</f>
        <v>0</v>
      </c>
      <c r="BL23" s="917">
        <f>SUMIF(LUG!$G$1:$M$1,R9,LUG!$G$46:$M$46)</f>
        <v>0</v>
      </c>
      <c r="BM23" s="917">
        <f>SUMIF(AGO!$G$1:$M$1,R9,AGO!$G$46:$M$46)</f>
        <v>0</v>
      </c>
      <c r="BN23" s="917">
        <f>SUMIF(SET!$G$1:$M$1,R9,SET!$G$46:$M$46)</f>
        <v>0</v>
      </c>
      <c r="BO23" s="917">
        <f>SUMIF(OTT!$G$1:$M$1,R9,OTT!$G$46:$M$46)</f>
        <v>0</v>
      </c>
      <c r="BP23" s="917">
        <f>SUMIF(NOV!$G$1:$M$1,R9,NOV!$G$46:$M$46)</f>
        <v>0</v>
      </c>
      <c r="BQ23" s="918">
        <f>SUMIF(DIC!$G$1:$M$1,R9,DIC!$G$46:$M$46)</f>
        <v>0</v>
      </c>
    </row>
    <row r="24" spans="1:69" ht="9" customHeight="1" x14ac:dyDescent="0.2">
      <c r="A24" s="366"/>
      <c r="B24" s="147"/>
      <c r="C24" s="127"/>
      <c r="D24" s="127"/>
      <c r="E24" s="1244"/>
      <c r="F24" s="1244"/>
      <c r="G24" s="1244"/>
      <c r="H24" s="1244"/>
      <c r="I24" s="33"/>
      <c r="J24" s="2416"/>
      <c r="K24" s="2416"/>
      <c r="L24" s="2416"/>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144"/>
      <c r="AM24" s="2472"/>
      <c r="AN24" s="2472"/>
      <c r="AO24" s="2472"/>
      <c r="AP24" s="2472"/>
      <c r="AQ24" s="2472"/>
      <c r="AR24" s="2472"/>
      <c r="AS24" s="2472"/>
      <c r="AT24" s="2472"/>
      <c r="AU24" s="2472"/>
      <c r="AV24" s="2472"/>
      <c r="AW24" s="2472"/>
      <c r="AX24" s="2472"/>
      <c r="AY24" s="1251"/>
      <c r="AZ24" s="1244"/>
      <c r="BA24" s="33"/>
      <c r="BB24" s="33"/>
      <c r="BC24" s="33"/>
      <c r="BD24" s="33"/>
      <c r="BE24" s="33"/>
      <c r="BF24" s="919"/>
      <c r="BG24" s="920"/>
      <c r="BH24" s="920"/>
      <c r="BI24" s="920"/>
      <c r="BJ24" s="920"/>
      <c r="BK24" s="920"/>
      <c r="BL24" s="920"/>
      <c r="BM24" s="920"/>
      <c r="BN24" s="920"/>
      <c r="BO24" s="920"/>
      <c r="BP24" s="920"/>
      <c r="BQ24" s="921"/>
    </row>
    <row r="25" spans="1:69" ht="18" customHeight="1" x14ac:dyDescent="0.2">
      <c r="A25" s="366"/>
      <c r="B25" s="147"/>
      <c r="C25" s="127"/>
      <c r="D25" s="127"/>
      <c r="E25" s="1244"/>
      <c r="F25" s="1244"/>
      <c r="G25" s="1244"/>
      <c r="H25" s="1244"/>
      <c r="I25" s="33"/>
      <c r="J25" s="330" t="s">
        <v>85</v>
      </c>
      <c r="K25" s="127"/>
      <c r="L25" s="127"/>
      <c r="M25" s="127"/>
      <c r="N25" s="127"/>
      <c r="O25" s="127"/>
      <c r="P25" s="127"/>
      <c r="Q25" s="127"/>
      <c r="R25" s="127"/>
      <c r="S25" s="127"/>
      <c r="T25" s="127"/>
      <c r="U25" s="127"/>
      <c r="V25" s="127"/>
      <c r="W25" s="127"/>
      <c r="X25" s="127"/>
      <c r="Y25" s="127"/>
      <c r="Z25" s="127"/>
      <c r="AA25" s="127"/>
      <c r="AB25" s="127"/>
      <c r="AC25" s="127"/>
      <c r="AD25" s="127"/>
      <c r="AE25" s="1244"/>
      <c r="AF25" s="1244"/>
      <c r="AG25" s="1244"/>
      <c r="AH25" s="127"/>
      <c r="AI25" s="1244"/>
      <c r="AJ25" s="1244"/>
      <c r="AK25" s="319"/>
      <c r="AL25" s="1244"/>
      <c r="AM25" s="127"/>
      <c r="AN25" s="1244"/>
      <c r="AO25" s="1244"/>
      <c r="AP25" s="1244"/>
      <c r="AQ25" s="127"/>
      <c r="AR25" s="1244"/>
      <c r="AS25" s="1244"/>
      <c r="AT25" s="1244"/>
      <c r="AU25" s="1244"/>
      <c r="AV25" s="1244"/>
      <c r="AW25" s="1244"/>
      <c r="AX25" s="1244"/>
      <c r="AY25" s="1244"/>
      <c r="AZ25" s="1244"/>
      <c r="BA25" s="33"/>
      <c r="BB25" s="33"/>
      <c r="BC25" s="33"/>
      <c r="BD25" s="33"/>
      <c r="BE25" s="33"/>
      <c r="BF25" s="922">
        <f>SUMIF(GEN!$G$1:$M$1,R9,GEN!$G$47:$M$47)</f>
        <v>0</v>
      </c>
      <c r="BG25" s="923">
        <f>SUMIF(FEB!$G$1:$M$1,R9,FEB!$G$47:$M$47)</f>
        <v>0</v>
      </c>
      <c r="BH25" s="923">
        <f>SUMIF(MAR!$G$1:$M$1,R9,MAR!$G$47:$M$47)</f>
        <v>0</v>
      </c>
      <c r="BI25" s="923">
        <f>SUMIF(APR!$G$1:$M$1,R9,APR!$G$47:$M$47)</f>
        <v>0</v>
      </c>
      <c r="BJ25" s="923">
        <f>SUMIF(MAG!$G$1:$M$1,R9,MAG!$G$47:$M$47)</f>
        <v>0</v>
      </c>
      <c r="BK25" s="923">
        <f>SUMIF(GIU!$G$1:$M$1,R9,GIU!$G$47:$M$47)</f>
        <v>0</v>
      </c>
      <c r="BL25" s="923">
        <f>SUMIF(LUG!$G$1:$M$1,R9,LUG!$G$47:$M$47)</f>
        <v>0</v>
      </c>
      <c r="BM25" s="923">
        <f>SUMIF(AGO!$G$1:$M$1,R9,AGO!$G$47:$M$47)</f>
        <v>0</v>
      </c>
      <c r="BN25" s="923">
        <f>SUMIF(SET!$G$1:$M$1,R9,SET!$G$47:$M$47)</f>
        <v>0</v>
      </c>
      <c r="BO25" s="923">
        <f>SUMIF(OTT!$G$1:$M$1,R9,OTT!$G$47:$M$47)</f>
        <v>0</v>
      </c>
      <c r="BP25" s="923">
        <f>SUMIF(NOV!$G$1:$M$1,R9,NOV!$G$47:$M$47)</f>
        <v>0</v>
      </c>
      <c r="BQ25" s="924">
        <f>SUMIF(DIC!$G$1:$M$1,R9,DIC!$G$47:$M$47)</f>
        <v>0</v>
      </c>
    </row>
    <row r="26" spans="1:69" ht="19.5" customHeight="1" x14ac:dyDescent="0.2">
      <c r="A26" s="366"/>
      <c r="B26" s="333" t="str">
        <f>$K$98</f>
        <v>INSERITO</v>
      </c>
      <c r="C26" s="2417">
        <f>C15-1</f>
        <v>2023</v>
      </c>
      <c r="D26" s="2418"/>
      <c r="E26" s="2413">
        <f>IF(OR($C$133&lt;0,ISERROR($O$133)),0,SUM(J26:AK26)+SUM(AM26:AX26))</f>
        <v>0</v>
      </c>
      <c r="F26" s="2414"/>
      <c r="G26" s="2414"/>
      <c r="H26" s="2415"/>
      <c r="I26" s="33"/>
      <c r="J26" s="2419">
        <f>IF(OR($C$133&lt;0,ISERROR($O$133),$AB$133=FALSE),0,IF(AND(K$8=0,J29&lt;&gt;0),CONCATENATE($AF$133,"  "),IF(K$8=$U$98,J28-J29,J28+J29)))</f>
        <v>0</v>
      </c>
      <c r="K26" s="2420"/>
      <c r="L26" s="2420"/>
      <c r="M26" s="2420"/>
      <c r="N26" s="2420">
        <f t="shared" ref="N26" si="8">IF(OR($C$133&lt;0,ISERROR($O$133),$AB$133=FALSE),0,IF(AND(O$8=0,N29&lt;&gt;0),CONCATENATE($AF$133,"  "),IF(O$8=$U$98,N28-N29,N28+N29)))</f>
        <v>0</v>
      </c>
      <c r="O26" s="2420"/>
      <c r="P26" s="2420"/>
      <c r="Q26" s="2420"/>
      <c r="R26" s="2420">
        <f t="shared" ref="R26" si="9">IF(OR($C$133&lt;0,ISERROR($O$133),$AB$133=FALSE),0,IF(AND(S$8=0,R29&lt;&gt;0),CONCATENATE($AF$133,"  "),IF(S$8=$U$98,R28-R29,R28+R29)))</f>
        <v>0</v>
      </c>
      <c r="S26" s="2420"/>
      <c r="T26" s="2420"/>
      <c r="U26" s="2420"/>
      <c r="V26" s="2420">
        <f t="shared" ref="V26" si="10">IF(OR($C$133&lt;0,ISERROR($O$133),$AB$133=FALSE),0,IF(AND(W$8=0,V29&lt;&gt;0),CONCATENATE($AF$133,"  "),IF(W$8=$U$98,V28-V29,V28+V29)))</f>
        <v>0</v>
      </c>
      <c r="W26" s="2420"/>
      <c r="X26" s="2420"/>
      <c r="Y26" s="2420"/>
      <c r="Z26" s="2420">
        <f t="shared" ref="Z26" si="11">IF(OR($C$133&lt;0,ISERROR($O$133),$AB$133=FALSE),0,IF(AND(AA$8=0,Z29&lt;&gt;0),CONCATENATE($AF$133,"  "),IF(AA$8=$U$98,Z28-Z29,Z28+Z29)))</f>
        <v>0</v>
      </c>
      <c r="AA26" s="2420"/>
      <c r="AB26" s="2420"/>
      <c r="AC26" s="2420"/>
      <c r="AD26" s="2420">
        <f t="shared" ref="AD26" si="12">IF(OR($C$133&lt;0,ISERROR($O$133),$AB$133=FALSE),0,IF(AND(AE$8=0,AD29&lt;&gt;0),CONCATENATE($AF$133,"  "),IF(AE$8=$U$98,AD28-AD29,AD28+AD29)))</f>
        <v>0</v>
      </c>
      <c r="AE26" s="2420"/>
      <c r="AF26" s="2420"/>
      <c r="AG26" s="2420"/>
      <c r="AH26" s="2420">
        <f t="shared" ref="AH26" si="13">IF(OR($C$133&lt;0,ISERROR($O$133),$AB$133=FALSE),0,IF(AND(AI$8=0,AH29&lt;&gt;0),CONCATENATE($AF$133,"  "),IF(AI$8=$U$98,AH28-AH29,AH28+AH29)))</f>
        <v>0</v>
      </c>
      <c r="AI26" s="2420"/>
      <c r="AJ26" s="2420"/>
      <c r="AK26" s="2462"/>
      <c r="AL26" s="1244"/>
      <c r="AM26" s="2419">
        <f t="shared" ref="AM26" si="14">IF(OR($C$133&lt;0,ISERROR($O$133),$AB$133=FALSE),0,IF(AND(AN$8=0,AM29&lt;&gt;0),CONCATENATE($AF$133,"  "),IF(AN$8=$U$98,AM28-AM29,AM28+AM29)))</f>
        <v>0</v>
      </c>
      <c r="AN26" s="2420"/>
      <c r="AO26" s="2420"/>
      <c r="AP26" s="2420"/>
      <c r="AQ26" s="2420">
        <f t="shared" ref="AQ26" si="15">IF(OR($C$133&lt;0,ISERROR($O$133),$AB$133=FALSE),0,IF(AND(AR$8=0,AQ29&lt;&gt;0),CONCATENATE($AF$133,"  "),IF(AR$8=$U$98,AQ28-AQ29,AQ28+AQ29)))</f>
        <v>0</v>
      </c>
      <c r="AR26" s="2420"/>
      <c r="AS26" s="2420"/>
      <c r="AT26" s="2420"/>
      <c r="AU26" s="2420">
        <f t="shared" ref="AU26" si="16">IF(OR($C$133&lt;0,ISERROR($O$133),$AB$133=FALSE),0,IF(AND(AV$8=0,AU29&lt;&gt;0),CONCATENATE($AF$133,"  "),IF(AV$8=$U$98,AU28-AU29,AU28+AU29)))</f>
        <v>0</v>
      </c>
      <c r="AV26" s="2420"/>
      <c r="AW26" s="2420"/>
      <c r="AX26" s="2462"/>
      <c r="AY26" s="347"/>
      <c r="AZ26" s="1244"/>
      <c r="BA26" s="33"/>
      <c r="BB26" s="33"/>
      <c r="BC26" s="33"/>
      <c r="BD26" s="33"/>
      <c r="BE26" s="33"/>
      <c r="BF26" s="925">
        <f>SUMIF(GEN!$G$1:$M$1,R9,GEN!$G$48:$M$48)</f>
        <v>0</v>
      </c>
      <c r="BG26" s="926">
        <f>SUMIF(FEB!$G$1:$M$1,R9,FEB!$G$48:$M$48)</f>
        <v>0</v>
      </c>
      <c r="BH26" s="926">
        <f>SUMIF(MAR!$G$1:$M$1,R9,MAR!$G$48:$M$48)</f>
        <v>0</v>
      </c>
      <c r="BI26" s="926">
        <f>SUMIF(APR!$G$1:$M$1,R9,APR!$G$48:$M$48)</f>
        <v>0</v>
      </c>
      <c r="BJ26" s="926">
        <f>SUMIF(MAG!$G$1:$M$1,R9,MAG!$G$48:$M$48)</f>
        <v>0</v>
      </c>
      <c r="BK26" s="926">
        <f>SUMIF(GIU!$G$1:$M$1,R9,GIU!$G$48:$M$48)</f>
        <v>0</v>
      </c>
      <c r="BL26" s="926">
        <f>SUMIF(LUG!$G$1:$M$1,R9,LUG!$G$48:$M$48)</f>
        <v>0</v>
      </c>
      <c r="BM26" s="926">
        <f>SUMIF(AGO!$G$1:$M$1,R9,AGO!$G$48:$M$48)</f>
        <v>0</v>
      </c>
      <c r="BN26" s="926">
        <f>SUMIF(SET!$G$1:$M$1,R9,SET!$G$48:$M$48)</f>
        <v>0</v>
      </c>
      <c r="BO26" s="926">
        <f>SUMIF(OTT!$G$1:$M$1,R9,OTT!$G$48:$M$48)</f>
        <v>0</v>
      </c>
      <c r="BP26" s="926">
        <f>SUMIF(NOV!$G$1:$M$1,R9,NOV!$G$48:$M$48)</f>
        <v>0</v>
      </c>
      <c r="BQ26" s="927">
        <f>SUMIF(DIC!$G$1:$M$1,R9,DIC!$G$48:$M$48)</f>
        <v>0</v>
      </c>
    </row>
    <row r="27" spans="1:69" ht="4.5" customHeight="1" x14ac:dyDescent="0.2">
      <c r="A27" s="366"/>
      <c r="B27" s="333"/>
      <c r="C27" s="127"/>
      <c r="D27" s="127"/>
      <c r="E27" s="1244"/>
      <c r="F27" s="1244"/>
      <c r="G27" s="1244"/>
      <c r="H27" s="1244"/>
      <c r="I27" s="33"/>
      <c r="J27" s="127"/>
      <c r="K27" s="127"/>
      <c r="L27" s="127"/>
      <c r="M27" s="127"/>
      <c r="N27" s="127"/>
      <c r="O27" s="127"/>
      <c r="P27" s="127"/>
      <c r="Q27" s="127"/>
      <c r="R27" s="127"/>
      <c r="S27" s="127"/>
      <c r="T27" s="127"/>
      <c r="U27" s="127"/>
      <c r="V27" s="127"/>
      <c r="W27" s="127"/>
      <c r="X27" s="127"/>
      <c r="Y27" s="127"/>
      <c r="Z27" s="127"/>
      <c r="AA27" s="127"/>
      <c r="AB27" s="127"/>
      <c r="AC27" s="127"/>
      <c r="AD27" s="127"/>
      <c r="AE27" s="1244"/>
      <c r="AF27" s="1244"/>
      <c r="AG27" s="1244"/>
      <c r="AH27" s="127"/>
      <c r="AI27" s="1244"/>
      <c r="AJ27" s="1244"/>
      <c r="AK27" s="339"/>
      <c r="AL27" s="1244"/>
      <c r="AM27" s="127"/>
      <c r="AN27" s="1244"/>
      <c r="AO27" s="1244"/>
      <c r="AP27" s="1244"/>
      <c r="AQ27" s="127"/>
      <c r="AR27" s="1244"/>
      <c r="AS27" s="1244"/>
      <c r="AT27" s="1244"/>
      <c r="AU27" s="1244"/>
      <c r="AV27" s="1244"/>
      <c r="AW27" s="1244"/>
      <c r="AX27" s="1244"/>
      <c r="AY27" s="1244"/>
      <c r="AZ27" s="1244"/>
      <c r="BA27" s="33"/>
      <c r="BB27" s="33"/>
      <c r="BC27" s="33"/>
      <c r="BD27" s="33"/>
      <c r="BE27" s="33"/>
      <c r="BF27" s="916">
        <f>SUMIF(GEN!$G$1:$M$1,V9,GEN!$G$46:$M$46)</f>
        <v>0</v>
      </c>
      <c r="BG27" s="917">
        <f>SUMIF(FEB!$G$1:$M$1,V9,FEB!$G$46:$M$46)</f>
        <v>0</v>
      </c>
      <c r="BH27" s="917">
        <f>SUMIF(MAR!$G$1:$M$1,V9,MAR!$G$46:$M$46)</f>
        <v>0</v>
      </c>
      <c r="BI27" s="917">
        <f>SUMIF(APR!$G$1:$M$1,V9,APR!$G$46:$M$46)</f>
        <v>0</v>
      </c>
      <c r="BJ27" s="917">
        <f>SUMIF(MAG!$G$1:$M$1,V9,MAG!$G$46:$M$46)</f>
        <v>0</v>
      </c>
      <c r="BK27" s="917">
        <f>SUMIF(GIU!$G$1:$M$1,V9,GIU!$G$46:$M$46)</f>
        <v>0</v>
      </c>
      <c r="BL27" s="917">
        <f>SUMIF(LUG!$G$1:$M$1,V9,LUG!$G$46:$M$46)</f>
        <v>0</v>
      </c>
      <c r="BM27" s="917">
        <f>SUMIF(AGO!$G$1:$M$1,V9,AGO!$G$46:$M$46)</f>
        <v>0</v>
      </c>
      <c r="BN27" s="917">
        <f>SUMIF(SET!$G$1:$M$1,V9,SET!$G$46:$M$46)</f>
        <v>0</v>
      </c>
      <c r="BO27" s="917">
        <f>SUMIF(OTT!$G$1:$M$1,V9,OTT!$G$46:$M$46)</f>
        <v>0</v>
      </c>
      <c r="BP27" s="917">
        <f>SUMIF(NOV!$G$1:$M$1,V9,NOV!$G$46:$M$46)</f>
        <v>0</v>
      </c>
      <c r="BQ27" s="918">
        <f>SUMIF(DIC!$G$1:$M$1,V9,DIC!$G$46:$M$46)</f>
        <v>0</v>
      </c>
    </row>
    <row r="28" spans="1:69" ht="19.5" customHeight="1" x14ac:dyDescent="0.2">
      <c r="A28" s="366"/>
      <c r="B28" s="333" t="str">
        <f>$L$98</f>
        <v>a CONTO</v>
      </c>
      <c r="C28" s="2470" t="s">
        <v>515</v>
      </c>
      <c r="D28" s="2471"/>
      <c r="E28" s="2398">
        <f>IF(OR($C$133&lt;0,ISERROR($O$133)),0,SUM(J28:AK28)+SUM(AM28:AX28))</f>
        <v>0</v>
      </c>
      <c r="F28" s="1525"/>
      <c r="G28" s="1525"/>
      <c r="H28" s="1850"/>
      <c r="I28" s="33"/>
      <c r="J28" s="2469"/>
      <c r="K28" s="2400"/>
      <c r="L28" s="2400"/>
      <c r="M28" s="2401"/>
      <c r="N28" s="2399"/>
      <c r="O28" s="2400"/>
      <c r="P28" s="2400"/>
      <c r="Q28" s="2401"/>
      <c r="R28" s="2399"/>
      <c r="S28" s="2400"/>
      <c r="T28" s="2400"/>
      <c r="U28" s="2401"/>
      <c r="V28" s="2399"/>
      <c r="W28" s="2400"/>
      <c r="X28" s="2400"/>
      <c r="Y28" s="2401"/>
      <c r="Z28" s="2399"/>
      <c r="AA28" s="2400"/>
      <c r="AB28" s="2400"/>
      <c r="AC28" s="2401"/>
      <c r="AD28" s="2399"/>
      <c r="AE28" s="2400"/>
      <c r="AF28" s="2400"/>
      <c r="AG28" s="2401"/>
      <c r="AH28" s="2399"/>
      <c r="AI28" s="2400"/>
      <c r="AJ28" s="2400"/>
      <c r="AK28" s="2473"/>
      <c r="AL28" s="1244"/>
      <c r="AM28" s="2469"/>
      <c r="AN28" s="2400"/>
      <c r="AO28" s="2400"/>
      <c r="AP28" s="2401"/>
      <c r="AQ28" s="2399"/>
      <c r="AR28" s="2400"/>
      <c r="AS28" s="2400"/>
      <c r="AT28" s="2401"/>
      <c r="AU28" s="2399"/>
      <c r="AV28" s="2400"/>
      <c r="AW28" s="2400"/>
      <c r="AX28" s="2473"/>
      <c r="AY28" s="343"/>
      <c r="AZ28" s="1244"/>
      <c r="BA28" s="33"/>
      <c r="BB28" s="33"/>
      <c r="BC28" s="33"/>
      <c r="BD28" s="33"/>
      <c r="BE28" s="33"/>
      <c r="BF28" s="919"/>
      <c r="BG28" s="920"/>
      <c r="BH28" s="920"/>
      <c r="BI28" s="920"/>
      <c r="BJ28" s="920"/>
      <c r="BK28" s="920"/>
      <c r="BL28" s="920"/>
      <c r="BM28" s="920"/>
      <c r="BN28" s="920"/>
      <c r="BO28" s="920"/>
      <c r="BP28" s="920"/>
      <c r="BQ28" s="921"/>
    </row>
    <row r="29" spans="1:69" ht="19.5" customHeight="1" x14ac:dyDescent="0.2">
      <c r="A29" s="33"/>
      <c r="B29" s="333" t="str">
        <f>$M$98</f>
        <v>Percent.</v>
      </c>
      <c r="C29" s="2474" t="s">
        <v>514</v>
      </c>
      <c r="D29" s="2475"/>
      <c r="E29" s="1820">
        <f>IF(OR($C$133&lt;0,ISERROR($O$133)),0,SUM(J29:AK29)+SUM(AM29:AX29))</f>
        <v>0</v>
      </c>
      <c r="F29" s="1569"/>
      <c r="G29" s="1569"/>
      <c r="H29" s="1772"/>
      <c r="I29" s="33"/>
      <c r="J29" s="2439"/>
      <c r="K29" s="2433"/>
      <c r="L29" s="2433"/>
      <c r="M29" s="2440"/>
      <c r="N29" s="2432"/>
      <c r="O29" s="2433"/>
      <c r="P29" s="2433"/>
      <c r="Q29" s="2440"/>
      <c r="R29" s="2432"/>
      <c r="S29" s="2433"/>
      <c r="T29" s="2433"/>
      <c r="U29" s="2440"/>
      <c r="V29" s="2432"/>
      <c r="W29" s="2433"/>
      <c r="X29" s="2433"/>
      <c r="Y29" s="2440"/>
      <c r="Z29" s="2432"/>
      <c r="AA29" s="2433"/>
      <c r="AB29" s="2433"/>
      <c r="AC29" s="2440"/>
      <c r="AD29" s="2432"/>
      <c r="AE29" s="2433"/>
      <c r="AF29" s="2433"/>
      <c r="AG29" s="2440"/>
      <c r="AH29" s="2432"/>
      <c r="AI29" s="2433"/>
      <c r="AJ29" s="2433"/>
      <c r="AK29" s="2434"/>
      <c r="AL29" s="1244"/>
      <c r="AM29" s="2439"/>
      <c r="AN29" s="2433"/>
      <c r="AO29" s="2433"/>
      <c r="AP29" s="2440"/>
      <c r="AQ29" s="2432"/>
      <c r="AR29" s="2433"/>
      <c r="AS29" s="2433"/>
      <c r="AT29" s="2440"/>
      <c r="AU29" s="2432"/>
      <c r="AV29" s="2433"/>
      <c r="AW29" s="2433"/>
      <c r="AX29" s="2434"/>
      <c r="AY29" s="344"/>
      <c r="AZ29" s="1244"/>
      <c r="BA29" s="33"/>
      <c r="BB29" s="33"/>
      <c r="BC29" s="33"/>
      <c r="BD29" s="33"/>
      <c r="BE29" s="33"/>
      <c r="BF29" s="922">
        <f>SUMIF(GEN!$G$1:$M$1,V9,GEN!$G$47:$M$47)</f>
        <v>0</v>
      </c>
      <c r="BG29" s="923">
        <f>SUMIF(FEB!$G$1:$M$1,V9,FEB!$G$47:$M$47)</f>
        <v>0</v>
      </c>
      <c r="BH29" s="923">
        <f>SUMIF(MAR!$G$1:$M$1,V9,MAR!$G$47:$M$47)</f>
        <v>0</v>
      </c>
      <c r="BI29" s="923">
        <f>SUMIF(APR!$G$1:$M$1,V9,APR!$G$47:$M$47)</f>
        <v>0</v>
      </c>
      <c r="BJ29" s="923">
        <f>SUMIF(MAG!$G$1:$M$1,V9,MAG!$G$47:$M$47)</f>
        <v>0</v>
      </c>
      <c r="BK29" s="923">
        <f>SUMIF(GIU!$G$1:$M$1,V9,GIU!$G$47:$M$47)</f>
        <v>0</v>
      </c>
      <c r="BL29" s="923">
        <f>SUMIF(LUG!$G$1:$M$1,V9,LUG!$G$47:$M$47)</f>
        <v>0</v>
      </c>
      <c r="BM29" s="923">
        <f>SUMIF(AGO!$G$1:$M$1,V9,AGO!$G$47:$M$47)</f>
        <v>0</v>
      </c>
      <c r="BN29" s="923">
        <f>SUMIF(SET!$G$1:$M$1,V9,SET!$G$47:$M$47)</f>
        <v>0</v>
      </c>
      <c r="BO29" s="923">
        <f>SUMIF(OTT!$G$1:$M$1,V9,OTT!$G$47:$M$47)</f>
        <v>0</v>
      </c>
      <c r="BP29" s="923">
        <f>SUMIF(NOV!$G$1:$M$1,V9,NOV!$G$47:$M$47)</f>
        <v>0</v>
      </c>
      <c r="BQ29" s="924">
        <f>SUMIF(DIC!$G$1:$M$1,V9,DIC!$G$47:$M$47)</f>
        <v>0</v>
      </c>
    </row>
    <row r="30" spans="1:69" ht="7.5" customHeight="1" x14ac:dyDescent="0.2">
      <c r="A30" s="366"/>
      <c r="B30" s="147"/>
      <c r="C30" s="127"/>
      <c r="D30" s="127"/>
      <c r="E30" s="1244"/>
      <c r="F30" s="1244"/>
      <c r="G30" s="1244"/>
      <c r="H30" s="1244"/>
      <c r="I30" s="33"/>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1244"/>
      <c r="AM30" s="2402"/>
      <c r="AN30" s="2402"/>
      <c r="AO30" s="2402"/>
      <c r="AP30" s="2402"/>
      <c r="AQ30" s="2402"/>
      <c r="AR30" s="2402"/>
      <c r="AS30" s="2402"/>
      <c r="AT30" s="2402"/>
      <c r="AU30" s="2402"/>
      <c r="AV30" s="2402"/>
      <c r="AW30" s="2402"/>
      <c r="AX30" s="2402"/>
      <c r="AY30" s="1251"/>
      <c r="AZ30" s="1244"/>
      <c r="BA30" s="33"/>
      <c r="BB30" s="33"/>
      <c r="BC30" s="33"/>
      <c r="BD30" s="33"/>
      <c r="BE30" s="33"/>
      <c r="BF30" s="925">
        <f>SUMIF(GEN!$G$1:$M$1,V9,GEN!$G$48:$M$48)</f>
        <v>0</v>
      </c>
      <c r="BG30" s="926">
        <f>SUMIF(FEB!$G$1:$M$1,V9,FEB!$G$48:$M$48)</f>
        <v>0</v>
      </c>
      <c r="BH30" s="926">
        <f>SUMIF(MAR!$G$1:$M$1,V9,MAR!$G$48:$M$48)</f>
        <v>0</v>
      </c>
      <c r="BI30" s="926">
        <f>SUMIF(APR!$G$1:$M$1,V9,APR!$G$48:$M$48)</f>
        <v>0</v>
      </c>
      <c r="BJ30" s="926">
        <f>SUMIF(MAG!$G$1:$M$1,V9,MAG!$G$48:$M$48)</f>
        <v>0</v>
      </c>
      <c r="BK30" s="926">
        <f>SUMIF(GIU!$G$1:$M$1,V9,GIU!$G$48:$M$48)</f>
        <v>0</v>
      </c>
      <c r="BL30" s="926">
        <f>SUMIF(LUG!$G$1:$M$1,V9,LUG!$G$48:$M$48)</f>
        <v>0</v>
      </c>
      <c r="BM30" s="926">
        <f>SUMIF(AGO!$G$1:$M$1,V9,AGO!$G$48:$M$48)</f>
        <v>0</v>
      </c>
      <c r="BN30" s="926">
        <f>SUMIF(SET!$G$1:$M$1,V9,SET!$G$48:$M$48)</f>
        <v>0</v>
      </c>
      <c r="BO30" s="926">
        <f>SUMIF(OTT!$G$1:$M$1,V9,OTT!$G$48:$M$48)</f>
        <v>0</v>
      </c>
      <c r="BP30" s="926">
        <f>SUMIF(NOV!$G$1:$M$1,V9,NOV!$G$48:$M$48)</f>
        <v>0</v>
      </c>
      <c r="BQ30" s="927">
        <f>SUMIF(DIC!$G$1:$M$1,V9,DIC!$G$48:$M$48)</f>
        <v>0</v>
      </c>
    </row>
    <row r="31" spans="1:69" ht="18" customHeight="1" x14ac:dyDescent="0.2">
      <c r="A31" s="366"/>
      <c r="B31" s="147"/>
      <c r="C31" s="127"/>
      <c r="D31" s="127"/>
      <c r="E31" s="1244"/>
      <c r="F31" s="1244"/>
      <c r="G31" s="1244"/>
      <c r="H31" s="1244"/>
      <c r="I31" s="33"/>
      <c r="J31" s="330" t="s">
        <v>86</v>
      </c>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328"/>
      <c r="AI31" s="328"/>
      <c r="AJ31" s="328"/>
      <c r="AK31" s="328"/>
      <c r="AL31" s="1244"/>
      <c r="AM31" s="329"/>
      <c r="AN31" s="329"/>
      <c r="AO31" s="329"/>
      <c r="AP31" s="329"/>
      <c r="AQ31" s="329"/>
      <c r="AR31" s="329"/>
      <c r="AS31" s="329"/>
      <c r="AT31" s="329"/>
      <c r="AU31" s="329"/>
      <c r="AV31" s="329"/>
      <c r="AW31" s="329"/>
      <c r="AX31" s="329"/>
      <c r="AY31" s="1251"/>
      <c r="AZ31" s="1244"/>
      <c r="BA31" s="33"/>
      <c r="BB31" s="33"/>
      <c r="BC31" s="33"/>
      <c r="BD31" s="33"/>
      <c r="BE31" s="33"/>
      <c r="BF31" s="916">
        <f>SUMIF(GEN!$G$1:$M$1,Z9,GEN!$G$46:$M$46)</f>
        <v>0</v>
      </c>
      <c r="BG31" s="917">
        <f>SUMIF(FEB!$G$1:$M$1,Z9,FEB!$G$46:$M$46)</f>
        <v>0</v>
      </c>
      <c r="BH31" s="917">
        <f>SUMIF(MAR!$G$1:$M$1,Z9,MAR!$G$46:$M$46)</f>
        <v>0</v>
      </c>
      <c r="BI31" s="917">
        <f>SUMIF(APR!$G$1:$M$1,Z9,APR!$G$46:$M$46)</f>
        <v>0</v>
      </c>
      <c r="BJ31" s="917">
        <f>SUMIF(MAG!$G$1:$M$1,Z9,MAG!$G$46:$M$46)</f>
        <v>0</v>
      </c>
      <c r="BK31" s="917">
        <f>SUMIF(GIU!$G$1:$M$1,Z9,GIU!$G$46:$M$46)</f>
        <v>0</v>
      </c>
      <c r="BL31" s="917">
        <f>SUMIF(LUG!$G$1:$M$1,Z9,LUG!$G$46:$M$46)</f>
        <v>0</v>
      </c>
      <c r="BM31" s="917">
        <f>SUMIF(AGO!$G$1:$M$1,Z9,AGO!$G$46:$M$46)</f>
        <v>0</v>
      </c>
      <c r="BN31" s="917">
        <f>SUMIF(SET!$G$1:$M$1,Z9,SET!$G$46:$M$46)</f>
        <v>0</v>
      </c>
      <c r="BO31" s="917">
        <f>SUMIF(OTT!$G$1:$M$1,Z9,OTT!$G$46:$M$46)</f>
        <v>0</v>
      </c>
      <c r="BP31" s="917">
        <f>SUMIF(NOV!$G$1:$M$1,Z9,NOV!$G$46:$M$46)</f>
        <v>0</v>
      </c>
      <c r="BQ31" s="918">
        <f>SUMIF(DIC!$G$1:$M$1,Z9,DIC!$G$46:$M$46)</f>
        <v>0</v>
      </c>
    </row>
    <row r="32" spans="1:69" ht="19.5" customHeight="1" x14ac:dyDescent="0.2">
      <c r="A32" s="366"/>
      <c r="B32" s="333" t="str">
        <f>$K$98</f>
        <v>INSERITO</v>
      </c>
      <c r="C32" s="2417">
        <f>C26-1</f>
        <v>2022</v>
      </c>
      <c r="D32" s="2418"/>
      <c r="E32" s="2413">
        <f>IF(OR($C$133&lt;0,ISERROR($O$133)),0,SUM(J32:AK32)+SUM(AM32:AX32))</f>
        <v>0</v>
      </c>
      <c r="F32" s="2414"/>
      <c r="G32" s="2414"/>
      <c r="H32" s="2415"/>
      <c r="I32" s="33"/>
      <c r="J32" s="2419">
        <f>IF(OR($C$133&lt;0,ISERROR($O$133),$AB$133=FALSE),0,IF(AND(K$8=0,J35&lt;&gt;0),CONCATENATE($AF$133,"  "),IF(K$8=$U$98,J34-J35,J34+J35)))</f>
        <v>0</v>
      </c>
      <c r="K32" s="2420"/>
      <c r="L32" s="2420"/>
      <c r="M32" s="2420"/>
      <c r="N32" s="2420">
        <f t="shared" ref="N32" si="17">IF(OR($C$133&lt;0,ISERROR($O$133),$AB$133=FALSE),0,IF(AND(O$8=0,N35&lt;&gt;0),CONCATENATE($AF$133,"  "),IF(O$8=$U$98,N34-N35,N34+N35)))</f>
        <v>0</v>
      </c>
      <c r="O32" s="2420"/>
      <c r="P32" s="2420"/>
      <c r="Q32" s="2420"/>
      <c r="R32" s="2420">
        <f t="shared" ref="R32" si="18">IF(OR($C$133&lt;0,ISERROR($O$133),$AB$133=FALSE),0,IF(AND(S$8=0,R35&lt;&gt;0),CONCATENATE($AF$133,"  "),IF(S$8=$U$98,R34-R35,R34+R35)))</f>
        <v>0</v>
      </c>
      <c r="S32" s="2420"/>
      <c r="T32" s="2420"/>
      <c r="U32" s="2420"/>
      <c r="V32" s="2420">
        <f t="shared" ref="V32" si="19">IF(OR($C$133&lt;0,ISERROR($O$133),$AB$133=FALSE),0,IF(AND(W$8=0,V35&lt;&gt;0),CONCATENATE($AF$133,"  "),IF(W$8=$U$98,V34-V35,V34+V35)))</f>
        <v>0</v>
      </c>
      <c r="W32" s="2420"/>
      <c r="X32" s="2420"/>
      <c r="Y32" s="2420"/>
      <c r="Z32" s="2420">
        <f t="shared" ref="Z32" si="20">IF(OR($C$133&lt;0,ISERROR($O$133),$AB$133=FALSE),0,IF(AND(AA$8=0,Z35&lt;&gt;0),CONCATENATE($AF$133,"  "),IF(AA$8=$U$98,Z34-Z35,Z34+Z35)))</f>
        <v>0</v>
      </c>
      <c r="AA32" s="2420"/>
      <c r="AB32" s="2420"/>
      <c r="AC32" s="2420"/>
      <c r="AD32" s="2420">
        <f t="shared" ref="AD32" si="21">IF(OR($C$133&lt;0,ISERROR($O$133),$AB$133=FALSE),0,IF(AND(AE$8=0,AD35&lt;&gt;0),CONCATENATE($AF$133,"  "),IF(AE$8=$U$98,AD34-AD35,AD34+AD35)))</f>
        <v>0</v>
      </c>
      <c r="AE32" s="2420"/>
      <c r="AF32" s="2420"/>
      <c r="AG32" s="2420"/>
      <c r="AH32" s="2420">
        <f t="shared" ref="AH32" si="22">IF(OR($C$133&lt;0,ISERROR($O$133),$AB$133=FALSE),0,IF(AND(AI$8=0,AH35&lt;&gt;0),CONCATENATE($AF$133,"  "),IF(AI$8=$U$98,AH34-AH35,AH34+AH35)))</f>
        <v>0</v>
      </c>
      <c r="AI32" s="2420"/>
      <c r="AJ32" s="2420"/>
      <c r="AK32" s="2462"/>
      <c r="AL32" s="1244"/>
      <c r="AM32" s="2419">
        <f t="shared" ref="AM32" si="23">IF(OR($C$133&lt;0,ISERROR($O$133),$AB$133=FALSE),0,IF(AND(AN$8=0,AM35&lt;&gt;0),CONCATENATE($AF$133,"  "),IF(AN$8=$U$98,AM34-AM35,AM34+AM35)))</f>
        <v>0</v>
      </c>
      <c r="AN32" s="2420"/>
      <c r="AO32" s="2420"/>
      <c r="AP32" s="2420"/>
      <c r="AQ32" s="2420">
        <f t="shared" ref="AQ32" si="24">IF(OR($C$133&lt;0,ISERROR($O$133),$AB$133=FALSE),0,IF(AND(AR$8=0,AQ35&lt;&gt;0),CONCATENATE($AF$133,"  "),IF(AR$8=$U$98,AQ34-AQ35,AQ34+AQ35)))</f>
        <v>0</v>
      </c>
      <c r="AR32" s="2420"/>
      <c r="AS32" s="2420"/>
      <c r="AT32" s="2420"/>
      <c r="AU32" s="2420">
        <f t="shared" ref="AU32" si="25">IF(OR($C$133&lt;0,ISERROR($O$133),$AB$133=FALSE),0,IF(AND(AV$8=0,AU35&lt;&gt;0),CONCATENATE($AF$133,"  "),IF(AV$8=$U$98,AU34-AU35,AU34+AU35)))</f>
        <v>0</v>
      </c>
      <c r="AV32" s="2420"/>
      <c r="AW32" s="2420"/>
      <c r="AX32" s="2462"/>
      <c r="AY32" s="347"/>
      <c r="AZ32" s="1244"/>
      <c r="BA32" s="33"/>
      <c r="BB32" s="33"/>
      <c r="BC32" s="33"/>
      <c r="BD32" s="33"/>
      <c r="BE32" s="33"/>
      <c r="BF32" s="919"/>
      <c r="BG32" s="920"/>
      <c r="BH32" s="920"/>
      <c r="BI32" s="920"/>
      <c r="BJ32" s="920"/>
      <c r="BK32" s="920"/>
      <c r="BL32" s="920"/>
      <c r="BM32" s="920"/>
      <c r="BN32" s="920"/>
      <c r="BO32" s="920"/>
      <c r="BP32" s="920"/>
      <c r="BQ32" s="921"/>
    </row>
    <row r="33" spans="1:69" ht="4.5" customHeight="1" x14ac:dyDescent="0.2">
      <c r="A33" s="366"/>
      <c r="B33" s="333"/>
      <c r="C33" s="127"/>
      <c r="D33" s="127"/>
      <c r="E33" s="1244"/>
      <c r="F33" s="1244"/>
      <c r="G33" s="1244"/>
      <c r="H33" s="1244"/>
      <c r="I33" s="33"/>
      <c r="J33" s="127"/>
      <c r="K33" s="127"/>
      <c r="L33" s="127"/>
      <c r="M33" s="127"/>
      <c r="N33" s="127"/>
      <c r="O33" s="127"/>
      <c r="P33" s="127"/>
      <c r="Q33" s="127"/>
      <c r="R33" s="127"/>
      <c r="S33" s="127"/>
      <c r="T33" s="127"/>
      <c r="U33" s="127"/>
      <c r="V33" s="127"/>
      <c r="W33" s="127"/>
      <c r="X33" s="127"/>
      <c r="Y33" s="127"/>
      <c r="Z33" s="127"/>
      <c r="AA33" s="127"/>
      <c r="AB33" s="127"/>
      <c r="AC33" s="127"/>
      <c r="AD33" s="127"/>
      <c r="AE33" s="1244"/>
      <c r="AF33" s="1244"/>
      <c r="AG33" s="1244"/>
      <c r="AH33" s="127"/>
      <c r="AI33" s="1244"/>
      <c r="AJ33" s="1244"/>
      <c r="AK33" s="339"/>
      <c r="AL33" s="1244"/>
      <c r="AM33" s="127"/>
      <c r="AN33" s="1244"/>
      <c r="AO33" s="1244"/>
      <c r="AP33" s="1244"/>
      <c r="AQ33" s="127"/>
      <c r="AR33" s="1244"/>
      <c r="AS33" s="1244"/>
      <c r="AT33" s="1244"/>
      <c r="AU33" s="1244"/>
      <c r="AV33" s="1244"/>
      <c r="AW33" s="1244"/>
      <c r="AX33" s="1244"/>
      <c r="AY33" s="1244"/>
      <c r="AZ33" s="1244"/>
      <c r="BA33" s="33"/>
      <c r="BB33" s="33"/>
      <c r="BC33" s="33"/>
      <c r="BD33" s="33"/>
      <c r="BE33" s="33"/>
      <c r="BF33" s="922">
        <f>SUMIF(GEN!$G$1:$M$1,Z9,GEN!$G$47:$M$47)</f>
        <v>0</v>
      </c>
      <c r="BG33" s="923">
        <f>SUMIF(FEB!$G$1:$M$1,Z9,FEB!$G$47:$M$47)</f>
        <v>0</v>
      </c>
      <c r="BH33" s="923">
        <f>SUMIF(MAR!$G$1:$M$1,Z9,MAR!$G$47:$M$47)</f>
        <v>0</v>
      </c>
      <c r="BI33" s="923">
        <f>SUMIF(APR!$G$1:$M$1,Z9,APR!$G$47:$M$47)</f>
        <v>0</v>
      </c>
      <c r="BJ33" s="923">
        <f>SUMIF(MAG!$G$1:$M$1,Z9,MAG!$G$47:$M$47)</f>
        <v>0</v>
      </c>
      <c r="BK33" s="923">
        <f>SUMIF(GIU!$G$1:$M$1,Z9,GIU!$G$47:$M$47)</f>
        <v>0</v>
      </c>
      <c r="BL33" s="923">
        <f>SUMIF(LUG!$G$1:$M$1,Z9,LUG!$G$47:$M$47)</f>
        <v>0</v>
      </c>
      <c r="BM33" s="923">
        <f>SUMIF(AGO!$G$1:$M$1,Z9,AGO!$G$47:$M$47)</f>
        <v>0</v>
      </c>
      <c r="BN33" s="923">
        <f>SUMIF(SET!$G$1:$M$1,Z9,SET!$G$47:$M$47)</f>
        <v>0</v>
      </c>
      <c r="BO33" s="923">
        <f>SUMIF(OTT!$G$1:$M$1,Z9,OTT!$G$47:$M$47)</f>
        <v>0</v>
      </c>
      <c r="BP33" s="923">
        <f>SUMIF(NOV!$G$1:$M$1,Z9,NOV!$G$47:$M$47)</f>
        <v>0</v>
      </c>
      <c r="BQ33" s="924">
        <f>SUMIF(DIC!$G$1:$M$1,Z9,DIC!$G$47:$M$47)</f>
        <v>0</v>
      </c>
    </row>
    <row r="34" spans="1:69" ht="19.5" customHeight="1" x14ac:dyDescent="0.2">
      <c r="A34" s="366"/>
      <c r="B34" s="333" t="str">
        <f>$L$98</f>
        <v>a CONTO</v>
      </c>
      <c r="C34" s="2470" t="s">
        <v>515</v>
      </c>
      <c r="D34" s="2471"/>
      <c r="E34" s="2398">
        <f>IF(OR($C$133&lt;0,ISERROR($O$133)),0,SUM(J34:AK34)+SUM(AM34:AX34))</f>
        <v>0</v>
      </c>
      <c r="F34" s="1525"/>
      <c r="G34" s="1525"/>
      <c r="H34" s="1850"/>
      <c r="I34" s="33"/>
      <c r="J34" s="2469"/>
      <c r="K34" s="2400"/>
      <c r="L34" s="2400"/>
      <c r="M34" s="2401"/>
      <c r="N34" s="2399"/>
      <c r="O34" s="2400"/>
      <c r="P34" s="2400"/>
      <c r="Q34" s="2401"/>
      <c r="R34" s="2399"/>
      <c r="S34" s="2400"/>
      <c r="T34" s="2400"/>
      <c r="U34" s="2401"/>
      <c r="V34" s="2399"/>
      <c r="W34" s="2400"/>
      <c r="X34" s="2400"/>
      <c r="Y34" s="2401"/>
      <c r="Z34" s="2399"/>
      <c r="AA34" s="2400"/>
      <c r="AB34" s="2400"/>
      <c r="AC34" s="2401"/>
      <c r="AD34" s="2399"/>
      <c r="AE34" s="2400"/>
      <c r="AF34" s="2400"/>
      <c r="AG34" s="2401"/>
      <c r="AH34" s="2399"/>
      <c r="AI34" s="2400"/>
      <c r="AJ34" s="2400"/>
      <c r="AK34" s="2473"/>
      <c r="AL34" s="1244"/>
      <c r="AM34" s="2469"/>
      <c r="AN34" s="2400"/>
      <c r="AO34" s="2400"/>
      <c r="AP34" s="2401"/>
      <c r="AQ34" s="2399"/>
      <c r="AR34" s="2400"/>
      <c r="AS34" s="2400"/>
      <c r="AT34" s="2401"/>
      <c r="AU34" s="2399"/>
      <c r="AV34" s="2400"/>
      <c r="AW34" s="2400"/>
      <c r="AX34" s="2473"/>
      <c r="AY34" s="343"/>
      <c r="AZ34" s="1244"/>
      <c r="BA34" s="33"/>
      <c r="BB34" s="33"/>
      <c r="BC34" s="33"/>
      <c r="BD34" s="33"/>
      <c r="BE34" s="33"/>
      <c r="BF34" s="925">
        <f>SUMIF(GEN!$G$1:$M$1,Z9,GEN!$G$48:$M$48)</f>
        <v>0</v>
      </c>
      <c r="BG34" s="926">
        <f>SUMIF(FEB!$G$1:$M$1,Z9,FEB!$G$48:$M$48)</f>
        <v>0</v>
      </c>
      <c r="BH34" s="926">
        <f>SUMIF(MAR!$G$1:$M$1,Z9,MAR!$G$48:$M$48)</f>
        <v>0</v>
      </c>
      <c r="BI34" s="926">
        <f>SUMIF(APR!$G$1:$M$1,Z9,APR!$G$48:$M$48)</f>
        <v>0</v>
      </c>
      <c r="BJ34" s="926">
        <f>SUMIF(MAG!$G$1:$M$1,Z9,MAG!$G$48:$M$48)</f>
        <v>0</v>
      </c>
      <c r="BK34" s="926">
        <f>SUMIF(GIU!$G$1:$M$1,Z9,GIU!$G$48:$M$48)</f>
        <v>0</v>
      </c>
      <c r="BL34" s="926">
        <f>SUMIF(LUG!$G$1:$M$1,Z9,LUG!$G$48:$M$48)</f>
        <v>0</v>
      </c>
      <c r="BM34" s="926">
        <f>SUMIF(AGO!$G$1:$M$1,Z9,AGO!$G$48:$M$48)</f>
        <v>0</v>
      </c>
      <c r="BN34" s="926">
        <f>SUMIF(SET!$G$1:$M$1,Z9,SET!$G$48:$M$48)</f>
        <v>0</v>
      </c>
      <c r="BO34" s="926">
        <f>SUMIF(OTT!$G$1:$M$1,Z9,OTT!$G$48:$M$48)</f>
        <v>0</v>
      </c>
      <c r="BP34" s="926">
        <f>SUMIF(NOV!$G$1:$M$1,Z9,NOV!$G$48:$M$48)</f>
        <v>0</v>
      </c>
      <c r="BQ34" s="927">
        <f>SUMIF(DIC!$G$1:$M$1,Z9,DIC!$G$48:$M$48)</f>
        <v>0</v>
      </c>
    </row>
    <row r="35" spans="1:69" ht="19.5" customHeight="1" x14ac:dyDescent="0.2">
      <c r="A35" s="33"/>
      <c r="B35" s="333" t="str">
        <f>$M$98</f>
        <v>Percent.</v>
      </c>
      <c r="C35" s="2474" t="s">
        <v>514</v>
      </c>
      <c r="D35" s="2475"/>
      <c r="E35" s="1820">
        <f>IF(OR($C$133&lt;0,ISERROR($O$133)),0,SUM(J35:AK35)+SUM(AM35:AX35))</f>
        <v>0</v>
      </c>
      <c r="F35" s="1569"/>
      <c r="G35" s="1569"/>
      <c r="H35" s="1772"/>
      <c r="I35" s="33"/>
      <c r="J35" s="2439"/>
      <c r="K35" s="2433"/>
      <c r="L35" s="2433"/>
      <c r="M35" s="2440"/>
      <c r="N35" s="2432"/>
      <c r="O35" s="2433"/>
      <c r="P35" s="2433"/>
      <c r="Q35" s="2440"/>
      <c r="R35" s="2432"/>
      <c r="S35" s="2433"/>
      <c r="T35" s="2433"/>
      <c r="U35" s="2440"/>
      <c r="V35" s="2432"/>
      <c r="W35" s="2433"/>
      <c r="X35" s="2433"/>
      <c r="Y35" s="2440"/>
      <c r="Z35" s="2432"/>
      <c r="AA35" s="2433"/>
      <c r="AB35" s="2433"/>
      <c r="AC35" s="2440"/>
      <c r="AD35" s="2432"/>
      <c r="AE35" s="2433"/>
      <c r="AF35" s="2433"/>
      <c r="AG35" s="2440"/>
      <c r="AH35" s="2432"/>
      <c r="AI35" s="2433"/>
      <c r="AJ35" s="2433"/>
      <c r="AK35" s="2434"/>
      <c r="AL35" s="1244"/>
      <c r="AM35" s="2439"/>
      <c r="AN35" s="2433"/>
      <c r="AO35" s="2433"/>
      <c r="AP35" s="2440"/>
      <c r="AQ35" s="2432"/>
      <c r="AR35" s="2433"/>
      <c r="AS35" s="2433"/>
      <c r="AT35" s="2440"/>
      <c r="AU35" s="2432"/>
      <c r="AV35" s="2433"/>
      <c r="AW35" s="2433"/>
      <c r="AX35" s="2434"/>
      <c r="AY35" s="344"/>
      <c r="AZ35" s="1244"/>
      <c r="BA35" s="33"/>
      <c r="BB35" s="33"/>
      <c r="BC35" s="33"/>
      <c r="BD35" s="33"/>
      <c r="BE35" s="33"/>
      <c r="BF35" s="916">
        <f>SUMIF(GEN!$G$1:$M$1,AD9,GEN!$G$46:$M$46)</f>
        <v>0</v>
      </c>
      <c r="BG35" s="917">
        <f>SUMIF(FEB!$G$1:$M$1,AD9,FEB!$G$46:$M$46)</f>
        <v>0</v>
      </c>
      <c r="BH35" s="917">
        <f>SUMIF(MAR!$G$1:$M$1,AD9,MAR!$G$46:$M$46)</f>
        <v>0</v>
      </c>
      <c r="BI35" s="917">
        <f>SUMIF(APR!$G$1:$M$1,AD9,APR!$G$46:$M$46)</f>
        <v>0</v>
      </c>
      <c r="BJ35" s="917">
        <f>SUMIF(MAG!$G$1:$M$1,AD9,MAG!$G$46:$M$46)</f>
        <v>0</v>
      </c>
      <c r="BK35" s="917">
        <f>SUMIF(GIU!$G$1:$M$1,AD9,GIU!$G$46:$M$46)</f>
        <v>0</v>
      </c>
      <c r="BL35" s="917">
        <f>SUMIF(LUG!$G$1:$M$1,AD9,LUG!$G$46:$M$46)</f>
        <v>0</v>
      </c>
      <c r="BM35" s="917">
        <f>SUMIF(AGO!$G$1:$M$1,AD9,AGO!$G$46:$M$46)</f>
        <v>0</v>
      </c>
      <c r="BN35" s="917">
        <f>SUMIF(SET!$G$1:$M$1,AD9,SET!$G$46:$M$46)</f>
        <v>0</v>
      </c>
      <c r="BO35" s="917">
        <f>SUMIF(OTT!$G$1:$M$1,AD9,OTT!$G$46:$M$46)</f>
        <v>0</v>
      </c>
      <c r="BP35" s="917">
        <f>SUMIF(NOV!$G$1:$M$1,AD9,NOV!$G$46:$M$46)</f>
        <v>0</v>
      </c>
      <c r="BQ35" s="918">
        <f>SUMIF(DIC!$G$1:$M$1,AD9,DIC!$G$46:$M$46)</f>
        <v>0</v>
      </c>
    </row>
    <row r="36" spans="1:69" ht="7.5" customHeight="1" x14ac:dyDescent="0.2">
      <c r="A36" s="366"/>
      <c r="B36" s="147"/>
      <c r="C36" s="127"/>
      <c r="D36" s="127"/>
      <c r="E36" s="1244"/>
      <c r="F36" s="1244"/>
      <c r="G36" s="1244"/>
      <c r="H36" s="1244"/>
      <c r="I36" s="33"/>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1244"/>
      <c r="AM36" s="2402"/>
      <c r="AN36" s="2402"/>
      <c r="AO36" s="2402"/>
      <c r="AP36" s="2402"/>
      <c r="AQ36" s="2402"/>
      <c r="AR36" s="2402"/>
      <c r="AS36" s="2402"/>
      <c r="AT36" s="2402"/>
      <c r="AU36" s="2402"/>
      <c r="AV36" s="2402"/>
      <c r="AW36" s="2402"/>
      <c r="AX36" s="2402"/>
      <c r="AY36" s="1251"/>
      <c r="AZ36" s="1244"/>
      <c r="BA36" s="33"/>
      <c r="BB36" s="33"/>
      <c r="BC36" s="33"/>
      <c r="BD36" s="33"/>
      <c r="BE36" s="33"/>
      <c r="BF36" s="919"/>
      <c r="BG36" s="920"/>
      <c r="BH36" s="920"/>
      <c r="BI36" s="920"/>
      <c r="BJ36" s="920"/>
      <c r="BK36" s="920"/>
      <c r="BL36" s="920"/>
      <c r="BM36" s="920"/>
      <c r="BN36" s="920"/>
      <c r="BO36" s="920"/>
      <c r="BP36" s="920"/>
      <c r="BQ36" s="921"/>
    </row>
    <row r="37" spans="1:69" ht="18" customHeight="1" x14ac:dyDescent="0.2">
      <c r="A37" s="366"/>
      <c r="B37" s="147"/>
      <c r="C37" s="127"/>
      <c r="D37" s="127"/>
      <c r="E37" s="1244"/>
      <c r="F37" s="1244"/>
      <c r="G37" s="1244"/>
      <c r="H37" s="1244"/>
      <c r="I37" s="33"/>
      <c r="J37" s="330" t="s">
        <v>87</v>
      </c>
      <c r="K37" s="1249"/>
      <c r="L37" s="1249"/>
      <c r="M37" s="1249"/>
      <c r="N37" s="1249"/>
      <c r="O37" s="1249"/>
      <c r="P37" s="1249"/>
      <c r="Q37" s="1249"/>
      <c r="R37" s="1249"/>
      <c r="S37" s="1249"/>
      <c r="T37" s="1249"/>
      <c r="U37" s="1249"/>
      <c r="V37" s="1249"/>
      <c r="W37" s="1249"/>
      <c r="X37" s="1249"/>
      <c r="Y37" s="1249"/>
      <c r="Z37" s="1249"/>
      <c r="AA37" s="1249"/>
      <c r="AB37" s="1249"/>
      <c r="AC37" s="1249"/>
      <c r="AD37" s="1249"/>
      <c r="AE37" s="1249"/>
      <c r="AF37" s="1249"/>
      <c r="AG37" s="1249"/>
      <c r="AH37" s="328"/>
      <c r="AI37" s="328"/>
      <c r="AJ37" s="328"/>
      <c r="AK37" s="328"/>
      <c r="AL37" s="1244"/>
      <c r="AM37" s="329"/>
      <c r="AN37" s="329"/>
      <c r="AO37" s="329"/>
      <c r="AP37" s="329"/>
      <c r="AQ37" s="329"/>
      <c r="AR37" s="329"/>
      <c r="AS37" s="329"/>
      <c r="AT37" s="329"/>
      <c r="AU37" s="329"/>
      <c r="AV37" s="329"/>
      <c r="AW37" s="329"/>
      <c r="AX37" s="329"/>
      <c r="AY37" s="1251"/>
      <c r="AZ37" s="1244"/>
      <c r="BA37" s="33"/>
      <c r="BB37" s="33"/>
      <c r="BC37" s="33"/>
      <c r="BD37" s="33"/>
      <c r="BE37" s="33"/>
      <c r="BF37" s="922">
        <f>SUMIF(GEN!$G$1:$M$1,AD9,GEN!$G$47:$M$47)</f>
        <v>0</v>
      </c>
      <c r="BG37" s="923">
        <f>SUMIF(FEB!$G$1:$M$1,AD9,FEB!$G$47:$M$47)</f>
        <v>0</v>
      </c>
      <c r="BH37" s="923">
        <f>SUMIF(MAR!$G$1:$M$1,AD9,MAR!$G$47:$M$47)</f>
        <v>0</v>
      </c>
      <c r="BI37" s="923">
        <f>SUMIF(APR!$G$1:$M$1,AD9,APR!$G$47:$M$47)</f>
        <v>0</v>
      </c>
      <c r="BJ37" s="923">
        <f>SUMIF(MAG!$G$1:$M$1,AD9,MAG!$G$47:$M$47)</f>
        <v>0</v>
      </c>
      <c r="BK37" s="923">
        <f>SUMIF(GIU!$G$1:$M$1,AD9,GIU!$G$47:$M$47)</f>
        <v>0</v>
      </c>
      <c r="BL37" s="923">
        <f>SUMIF(LUG!$G$1:$M$1,AD9,LUG!$G$47:$M$47)</f>
        <v>0</v>
      </c>
      <c r="BM37" s="923">
        <f>SUMIF(AGO!$G$1:$M$1,AD9,AGO!$G$47:$M$47)</f>
        <v>0</v>
      </c>
      <c r="BN37" s="923">
        <f>SUMIF(SET!$G$1:$M$1,AD9,SET!$G$47:$M$47)</f>
        <v>0</v>
      </c>
      <c r="BO37" s="923">
        <f>SUMIF(OTT!$G$1:$M$1,AD9,OTT!$G$47:$M$47)</f>
        <v>0</v>
      </c>
      <c r="BP37" s="923">
        <f>SUMIF(NOV!$G$1:$M$1,AD9,NOV!$G$47:$M$47)</f>
        <v>0</v>
      </c>
      <c r="BQ37" s="924">
        <f>SUMIF(DIC!$G$1:$M$1,AD9,DIC!$G$47:$M$47)</f>
        <v>0</v>
      </c>
    </row>
    <row r="38" spans="1:69" ht="19.5" customHeight="1" x14ac:dyDescent="0.2">
      <c r="A38" s="366"/>
      <c r="B38" s="333" t="str">
        <f>$K$98</f>
        <v>INSERITO</v>
      </c>
      <c r="C38" s="2417">
        <f>C32-1</f>
        <v>2021</v>
      </c>
      <c r="D38" s="2418"/>
      <c r="E38" s="2413">
        <f>IF(OR($C$133&lt;0,ISERROR($O$133)),0,SUM(J38:AK38)+SUM(AM38:AX38))</f>
        <v>0</v>
      </c>
      <c r="F38" s="2414"/>
      <c r="G38" s="2414"/>
      <c r="H38" s="2415"/>
      <c r="I38" s="33"/>
      <c r="J38" s="2419">
        <f>IF(OR($C$133&lt;0,ISERROR($O$133),$AB$133=FALSE),0,IF(AND(K$8=0,J41&lt;&gt;0),CONCATENATE($AF$133,"  "),IF(K$8=$U$98,J40-J41,J40+J41)))</f>
        <v>0</v>
      </c>
      <c r="K38" s="2420"/>
      <c r="L38" s="2420"/>
      <c r="M38" s="2420"/>
      <c r="N38" s="2420">
        <f t="shared" ref="N38" si="26">IF(OR($C$133&lt;0,ISERROR($O$133),$AB$133=FALSE),0,IF(AND(O$8=0,N41&lt;&gt;0),CONCATENATE($AF$133,"  "),IF(O$8=$U$98,N40-N41,N40+N41)))</f>
        <v>0</v>
      </c>
      <c r="O38" s="2420"/>
      <c r="P38" s="2420"/>
      <c r="Q38" s="2420"/>
      <c r="R38" s="2420">
        <f t="shared" ref="R38" si="27">IF(OR($C$133&lt;0,ISERROR($O$133),$AB$133=FALSE),0,IF(AND(S$8=0,R41&lt;&gt;0),CONCATENATE($AF$133,"  "),IF(S$8=$U$98,R40-R41,R40+R41)))</f>
        <v>0</v>
      </c>
      <c r="S38" s="2420"/>
      <c r="T38" s="2420"/>
      <c r="U38" s="2420"/>
      <c r="V38" s="2420">
        <f t="shared" ref="V38" si="28">IF(OR($C$133&lt;0,ISERROR($O$133),$AB$133=FALSE),0,IF(AND(W$8=0,V41&lt;&gt;0),CONCATENATE($AF$133,"  "),IF(W$8=$U$98,V40-V41,V40+V41)))</f>
        <v>0</v>
      </c>
      <c r="W38" s="2420"/>
      <c r="X38" s="2420"/>
      <c r="Y38" s="2420"/>
      <c r="Z38" s="2420">
        <f t="shared" ref="Z38" si="29">IF(OR($C$133&lt;0,ISERROR($O$133),$AB$133=FALSE),0,IF(AND(AA$8=0,Z41&lt;&gt;0),CONCATENATE($AF$133,"  "),IF(AA$8=$U$98,Z40-Z41,Z40+Z41)))</f>
        <v>0</v>
      </c>
      <c r="AA38" s="2420"/>
      <c r="AB38" s="2420"/>
      <c r="AC38" s="2420"/>
      <c r="AD38" s="2420">
        <f t="shared" ref="AD38" si="30">IF(OR($C$133&lt;0,ISERROR($O$133),$AB$133=FALSE),0,IF(AND(AE$8=0,AD41&lt;&gt;0),CONCATENATE($AF$133,"  "),IF(AE$8=$U$98,AD40-AD41,AD40+AD41)))</f>
        <v>0</v>
      </c>
      <c r="AE38" s="2420"/>
      <c r="AF38" s="2420"/>
      <c r="AG38" s="2420"/>
      <c r="AH38" s="2420">
        <f t="shared" ref="AH38" si="31">IF(OR($C$133&lt;0,ISERROR($O$133),$AB$133=FALSE),0,IF(AND(AI$8=0,AH41&lt;&gt;0),CONCATENATE($AF$133,"  "),IF(AI$8=$U$98,AH40-AH41,AH40+AH41)))</f>
        <v>0</v>
      </c>
      <c r="AI38" s="2420"/>
      <c r="AJ38" s="2420"/>
      <c r="AK38" s="2462"/>
      <c r="AL38" s="1244"/>
      <c r="AM38" s="2419">
        <f t="shared" ref="AM38" si="32">IF(OR($C$133&lt;0,ISERROR($O$133),$AB$133=FALSE),0,IF(AND(AN$8=0,AM41&lt;&gt;0),CONCATENATE($AF$133,"  "),IF(AN$8=$U$98,AM40-AM41,AM40+AM41)))</f>
        <v>0</v>
      </c>
      <c r="AN38" s="2420"/>
      <c r="AO38" s="2420"/>
      <c r="AP38" s="2420"/>
      <c r="AQ38" s="2420">
        <f t="shared" ref="AQ38" si="33">IF(OR($C$133&lt;0,ISERROR($O$133),$AB$133=FALSE),0,IF(AND(AR$8=0,AQ41&lt;&gt;0),CONCATENATE($AF$133,"  "),IF(AR$8=$U$98,AQ40-AQ41,AQ40+AQ41)))</f>
        <v>0</v>
      </c>
      <c r="AR38" s="2420"/>
      <c r="AS38" s="2420"/>
      <c r="AT38" s="2420"/>
      <c r="AU38" s="2420">
        <f t="shared" ref="AU38" si="34">IF(OR($C$133&lt;0,ISERROR($O$133),$AB$133=FALSE),0,IF(AND(AV$8=0,AU41&lt;&gt;0),CONCATENATE($AF$133,"  "),IF(AV$8=$U$98,AU40-AU41,AU40+AU41)))</f>
        <v>0</v>
      </c>
      <c r="AV38" s="2420"/>
      <c r="AW38" s="2420"/>
      <c r="AX38" s="2462"/>
      <c r="AY38" s="347"/>
      <c r="AZ38" s="1244"/>
      <c r="BA38" s="33"/>
      <c r="BB38" s="33"/>
      <c r="BC38" s="33"/>
      <c r="BD38" s="33"/>
      <c r="BE38" s="33"/>
      <c r="BF38" s="925">
        <f>SUMIF(GEN!$G$1:$M$1,AD9,GEN!$G$48:$M$48)</f>
        <v>0</v>
      </c>
      <c r="BG38" s="926">
        <f>SUMIF(FEB!$G$1:$M$1,AD9,FEB!$G$48:$M$48)</f>
        <v>0</v>
      </c>
      <c r="BH38" s="926">
        <f>SUMIF(MAR!$G$1:$M$1,AD9,MAR!$G$48:$M$48)</f>
        <v>0</v>
      </c>
      <c r="BI38" s="926">
        <f>SUMIF(APR!$G$1:$M$1,AD9,APR!$G$48:$M$48)</f>
        <v>0</v>
      </c>
      <c r="BJ38" s="926">
        <f>SUMIF(MAG!$G$1:$M$1,AD9,MAG!$G$48:$M$48)</f>
        <v>0</v>
      </c>
      <c r="BK38" s="926">
        <f>SUMIF(GIU!$G$1:$M$1,AD9,GIU!$G$48:$M$48)</f>
        <v>0</v>
      </c>
      <c r="BL38" s="926">
        <f>SUMIF(LUG!$G$1:$M$1,AD9,LUG!$G$48:$M$48)</f>
        <v>0</v>
      </c>
      <c r="BM38" s="926">
        <f>SUMIF(AGO!$G$1:$M$1,AD9,AGO!$G$48:$M$48)</f>
        <v>0</v>
      </c>
      <c r="BN38" s="926">
        <f>SUMIF(SET!$G$1:$M$1,AD9,SET!$G$48:$M$48)</f>
        <v>0</v>
      </c>
      <c r="BO38" s="926">
        <f>SUMIF(OTT!$G$1:$M$1,AD9,OTT!$G$48:$M$48)</f>
        <v>0</v>
      </c>
      <c r="BP38" s="926">
        <f>SUMIF(NOV!$G$1:$M$1,AD9,NOV!$G$48:$M$48)</f>
        <v>0</v>
      </c>
      <c r="BQ38" s="927">
        <f>SUMIF(DIC!$G$1:$M$1,AD9,DIC!$G$48:$M$48)</f>
        <v>0</v>
      </c>
    </row>
    <row r="39" spans="1:69" ht="4.5" customHeight="1" x14ac:dyDescent="0.2">
      <c r="A39" s="366"/>
      <c r="B39" s="333"/>
      <c r="C39" s="127"/>
      <c r="D39" s="127"/>
      <c r="E39" s="1244"/>
      <c r="F39" s="1244"/>
      <c r="G39" s="1244"/>
      <c r="H39" s="1244"/>
      <c r="I39" s="33"/>
      <c r="J39" s="127"/>
      <c r="K39" s="127"/>
      <c r="L39" s="127"/>
      <c r="M39" s="127"/>
      <c r="N39" s="127"/>
      <c r="O39" s="127"/>
      <c r="P39" s="127"/>
      <c r="Q39" s="127"/>
      <c r="R39" s="127"/>
      <c r="S39" s="127"/>
      <c r="T39" s="127"/>
      <c r="U39" s="127"/>
      <c r="V39" s="127"/>
      <c r="W39" s="127"/>
      <c r="X39" s="127"/>
      <c r="Y39" s="127"/>
      <c r="Z39" s="127"/>
      <c r="AA39" s="127"/>
      <c r="AB39" s="127"/>
      <c r="AC39" s="127"/>
      <c r="AD39" s="127"/>
      <c r="AE39" s="1244"/>
      <c r="AF39" s="1244"/>
      <c r="AG39" s="1244"/>
      <c r="AH39" s="127"/>
      <c r="AI39" s="1244"/>
      <c r="AJ39" s="1244"/>
      <c r="AK39" s="339"/>
      <c r="AL39" s="1244"/>
      <c r="AM39" s="127"/>
      <c r="AN39" s="1244"/>
      <c r="AO39" s="1244"/>
      <c r="AP39" s="1244"/>
      <c r="AQ39" s="127"/>
      <c r="AR39" s="1244"/>
      <c r="AS39" s="1244"/>
      <c r="AT39" s="1244"/>
      <c r="AU39" s="1244"/>
      <c r="AV39" s="1244"/>
      <c r="AW39" s="1244"/>
      <c r="AX39" s="1244"/>
      <c r="AY39" s="1244"/>
      <c r="AZ39" s="1244"/>
      <c r="BA39" s="33"/>
      <c r="BB39" s="33"/>
      <c r="BC39" s="33"/>
      <c r="BD39" s="33"/>
      <c r="BE39" s="33"/>
      <c r="BF39" s="916">
        <f>SUMIF(GEN!$G$1:$M$1,AH9,GEN!$G$46:$M$46)</f>
        <v>0</v>
      </c>
      <c r="BG39" s="917">
        <f>SUMIF(FEB!$G$1:$M$1,AH9,FEB!$G$46:$M$46)</f>
        <v>0</v>
      </c>
      <c r="BH39" s="917">
        <f>SUMIF(MAR!$G$1:$M$1,AH9,MAR!$G$46:$M$46)</f>
        <v>0</v>
      </c>
      <c r="BI39" s="917">
        <f>SUMIF(APR!$G$1:$M$1,AH9,APR!$G$46:$M$46)</f>
        <v>0</v>
      </c>
      <c r="BJ39" s="917">
        <f>SUMIF(MAG!$G$1:$M$1,AH9,MAG!$G$46:$M$46)</f>
        <v>0</v>
      </c>
      <c r="BK39" s="917">
        <f>SUMIF(GIU!$G$1:$M$1,AH9,GIU!$G$46:$M$46)</f>
        <v>0</v>
      </c>
      <c r="BL39" s="917">
        <f>SUMIF(LUG!$G$1:$M$1,AH9,LUG!$G$46:$M$46)</f>
        <v>0</v>
      </c>
      <c r="BM39" s="917">
        <f>SUMIF(AGO!$G$1:$M$1,AH9,AGO!$G$46:$M$46)</f>
        <v>0</v>
      </c>
      <c r="BN39" s="917">
        <f>SUMIF(SET!$G$1:$M$1,AH9,SET!$G$46:$M$46)</f>
        <v>0</v>
      </c>
      <c r="BO39" s="917">
        <f>SUMIF(OTT!$G$1:$M$1,AH9,OTT!$G$46:$M$46)</f>
        <v>0</v>
      </c>
      <c r="BP39" s="917">
        <f>SUMIF(NOV!$G$1:$M$1,AH9,NOV!$G$46:$M$46)</f>
        <v>0</v>
      </c>
      <c r="BQ39" s="918">
        <f>SUMIF(DIC!$G$1:$M$1,AH9,DIC!$G$46:$M$46)</f>
        <v>0</v>
      </c>
    </row>
    <row r="40" spans="1:69" ht="19.5" customHeight="1" x14ac:dyDescent="0.2">
      <c r="A40" s="366"/>
      <c r="B40" s="333" t="str">
        <f>$L$98</f>
        <v>a CONTO</v>
      </c>
      <c r="C40" s="2470" t="s">
        <v>515</v>
      </c>
      <c r="D40" s="2471"/>
      <c r="E40" s="2398">
        <f>IF(OR($C$133&lt;0,ISERROR($O$133)),0,SUM(J40:AK40)+SUM(AM40:AX40))</f>
        <v>0</v>
      </c>
      <c r="F40" s="1525"/>
      <c r="G40" s="1525"/>
      <c r="H40" s="1850"/>
      <c r="I40" s="33"/>
      <c r="J40" s="2469"/>
      <c r="K40" s="2400"/>
      <c r="L40" s="2400"/>
      <c r="M40" s="2401"/>
      <c r="N40" s="2399"/>
      <c r="O40" s="2400"/>
      <c r="P40" s="2400"/>
      <c r="Q40" s="2401"/>
      <c r="R40" s="2399"/>
      <c r="S40" s="2400"/>
      <c r="T40" s="2400"/>
      <c r="U40" s="2401"/>
      <c r="V40" s="2399"/>
      <c r="W40" s="2400"/>
      <c r="X40" s="2400"/>
      <c r="Y40" s="2401"/>
      <c r="Z40" s="2399"/>
      <c r="AA40" s="2400"/>
      <c r="AB40" s="2400"/>
      <c r="AC40" s="2401"/>
      <c r="AD40" s="2399"/>
      <c r="AE40" s="2400"/>
      <c r="AF40" s="2400"/>
      <c r="AG40" s="2401"/>
      <c r="AH40" s="2399"/>
      <c r="AI40" s="2400"/>
      <c r="AJ40" s="2400"/>
      <c r="AK40" s="2473"/>
      <c r="AL40" s="1244"/>
      <c r="AM40" s="2469"/>
      <c r="AN40" s="2400"/>
      <c r="AO40" s="2400"/>
      <c r="AP40" s="2401"/>
      <c r="AQ40" s="2399"/>
      <c r="AR40" s="2400"/>
      <c r="AS40" s="2400"/>
      <c r="AT40" s="2401"/>
      <c r="AU40" s="2399"/>
      <c r="AV40" s="2400"/>
      <c r="AW40" s="2400"/>
      <c r="AX40" s="2473"/>
      <c r="AY40" s="343"/>
      <c r="AZ40" s="1244"/>
      <c r="BA40" s="33"/>
      <c r="BB40" s="33"/>
      <c r="BC40" s="33"/>
      <c r="BD40" s="33"/>
      <c r="BE40" s="33"/>
      <c r="BF40" s="919"/>
      <c r="BG40" s="920"/>
      <c r="BH40" s="920"/>
      <c r="BI40" s="920"/>
      <c r="BJ40" s="920"/>
      <c r="BK40" s="920"/>
      <c r="BL40" s="920"/>
      <c r="BM40" s="920"/>
      <c r="BN40" s="920"/>
      <c r="BO40" s="920"/>
      <c r="BP40" s="920"/>
      <c r="BQ40" s="921"/>
    </row>
    <row r="41" spans="1:69" ht="19.5" customHeight="1" x14ac:dyDescent="0.2">
      <c r="A41" s="33"/>
      <c r="B41" s="333" t="str">
        <f>$M$98</f>
        <v>Percent.</v>
      </c>
      <c r="C41" s="2474" t="s">
        <v>514</v>
      </c>
      <c r="D41" s="2475"/>
      <c r="E41" s="1820">
        <f>IF(OR($C$133&lt;0,ISERROR($O$133)),0,SUM(J41:AK41)+SUM(AM41:AX41))</f>
        <v>0</v>
      </c>
      <c r="F41" s="1569"/>
      <c r="G41" s="1569"/>
      <c r="H41" s="1772"/>
      <c r="I41" s="33"/>
      <c r="J41" s="2439"/>
      <c r="K41" s="2433"/>
      <c r="L41" s="2433"/>
      <c r="M41" s="2440"/>
      <c r="N41" s="2432"/>
      <c r="O41" s="2433"/>
      <c r="P41" s="2433"/>
      <c r="Q41" s="2440"/>
      <c r="R41" s="2432"/>
      <c r="S41" s="2433"/>
      <c r="T41" s="2433"/>
      <c r="U41" s="2440"/>
      <c r="V41" s="2432"/>
      <c r="W41" s="2433"/>
      <c r="X41" s="2433"/>
      <c r="Y41" s="2440"/>
      <c r="Z41" s="2432"/>
      <c r="AA41" s="2433"/>
      <c r="AB41" s="2433"/>
      <c r="AC41" s="2440"/>
      <c r="AD41" s="2432"/>
      <c r="AE41" s="2433"/>
      <c r="AF41" s="2433"/>
      <c r="AG41" s="2440"/>
      <c r="AH41" s="2432"/>
      <c r="AI41" s="2433"/>
      <c r="AJ41" s="2433"/>
      <c r="AK41" s="2434"/>
      <c r="AL41" s="1244"/>
      <c r="AM41" s="2439"/>
      <c r="AN41" s="2433"/>
      <c r="AO41" s="2433"/>
      <c r="AP41" s="2440"/>
      <c r="AQ41" s="2432"/>
      <c r="AR41" s="2433"/>
      <c r="AS41" s="2433"/>
      <c r="AT41" s="2440"/>
      <c r="AU41" s="2432"/>
      <c r="AV41" s="2433"/>
      <c r="AW41" s="2433"/>
      <c r="AX41" s="2434"/>
      <c r="AY41" s="344"/>
      <c r="AZ41" s="1244"/>
      <c r="BA41" s="33"/>
      <c r="BB41" s="33"/>
      <c r="BC41" s="33"/>
      <c r="BD41" s="33"/>
      <c r="BE41" s="33"/>
      <c r="BF41" s="922">
        <f>SUMIF(GEN!$G$1:$M$1,AH9,GEN!$G$47:$M$47)</f>
        <v>0</v>
      </c>
      <c r="BG41" s="923">
        <f>SUMIF(FEB!$G$1:$M$1,AH9,FEB!$G$47:$M$47)</f>
        <v>0</v>
      </c>
      <c r="BH41" s="923">
        <f>SUMIF(MAR!$G$1:$M$1,AH9,MAR!$G$47:$M$47)</f>
        <v>0</v>
      </c>
      <c r="BI41" s="923">
        <f>SUMIF(APR!$G$1:$M$1,AH9,APR!$G$47:$M$47)</f>
        <v>0</v>
      </c>
      <c r="BJ41" s="923">
        <f>SUMIF(MAG!$G$1:$M$1,AH9,MAG!$G$47:$M$47)</f>
        <v>0</v>
      </c>
      <c r="BK41" s="923">
        <f>SUMIF(GIU!$G$1:$M$1,AH9,GIU!$G$47:$M$47)</f>
        <v>0</v>
      </c>
      <c r="BL41" s="923">
        <f>SUMIF(LUG!$G$1:$M$1,AH9,LUG!$G$47:$M$47)</f>
        <v>0</v>
      </c>
      <c r="BM41" s="923">
        <f>SUMIF(AGO!$G$1:$M$1,AH9,AGO!$G$47:$M$47)</f>
        <v>0</v>
      </c>
      <c r="BN41" s="923">
        <f>SUMIF(SET!$G$1:$M$1,AH9,SET!$G$47:$M$47)</f>
        <v>0</v>
      </c>
      <c r="BO41" s="923">
        <f>SUMIF(OTT!$G$1:$M$1,AH9,OTT!$G$47:$M$47)</f>
        <v>0</v>
      </c>
      <c r="BP41" s="923">
        <f>SUMIF(NOV!$G$1:$M$1,AH9,NOV!$G$47:$M$47)</f>
        <v>0</v>
      </c>
      <c r="BQ41" s="924">
        <f>SUMIF(DIC!$G$1:$M$1,AH9,DIC!$G$47:$M$47)</f>
        <v>0</v>
      </c>
    </row>
    <row r="42" spans="1:69" ht="10.5" customHeight="1" x14ac:dyDescent="0.2">
      <c r="A42" s="366"/>
      <c r="B42" s="1244"/>
      <c r="C42" s="127"/>
      <c r="D42" s="127"/>
      <c r="E42" s="1244"/>
      <c r="F42" s="1244"/>
      <c r="G42" s="1244"/>
      <c r="H42" s="1244"/>
      <c r="I42" s="33"/>
      <c r="J42" s="2397"/>
      <c r="K42" s="2397"/>
      <c r="L42" s="2397"/>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1244"/>
      <c r="AM42" s="2402"/>
      <c r="AN42" s="2402"/>
      <c r="AO42" s="2402"/>
      <c r="AP42" s="2402"/>
      <c r="AQ42" s="2402"/>
      <c r="AR42" s="2402"/>
      <c r="AS42" s="2402"/>
      <c r="AT42" s="2402"/>
      <c r="AU42" s="2402"/>
      <c r="AV42" s="2402"/>
      <c r="AW42" s="2402"/>
      <c r="AX42" s="2402"/>
      <c r="AY42" s="1251"/>
      <c r="AZ42" s="1244"/>
      <c r="BA42" s="33"/>
      <c r="BB42" s="33"/>
      <c r="BC42" s="33"/>
      <c r="BD42" s="33"/>
      <c r="BE42" s="33"/>
      <c r="BF42" s="925">
        <f>SUMIF(GEN!$G$1:$M$1,AH9,GEN!$G$48:$M$48)</f>
        <v>0</v>
      </c>
      <c r="BG42" s="926">
        <f>SUMIF(FEB!$G$1:$M$1,AH9,FEB!$G$48:$M$48)</f>
        <v>0</v>
      </c>
      <c r="BH42" s="926">
        <f>SUMIF(MAR!$G$1:$M$1,AH9,MAR!$G$48:$M$48)</f>
        <v>0</v>
      </c>
      <c r="BI42" s="926">
        <f>SUMIF(APR!$G$1:$M$1,AH9,APR!$G$48:$M$48)</f>
        <v>0</v>
      </c>
      <c r="BJ42" s="926">
        <f>SUMIF(MAG!$G$1:$M$1,AH9,MAG!$G$48:$M$48)</f>
        <v>0</v>
      </c>
      <c r="BK42" s="926">
        <f>SUMIF(GIU!$G$1:$M$1,AH9,GIU!$G$48:$M$48)</f>
        <v>0</v>
      </c>
      <c r="BL42" s="926">
        <f>SUMIF(LUG!$G$1:$M$1,AH9,LUG!$G$48:$M$48)</f>
        <v>0</v>
      </c>
      <c r="BM42" s="926">
        <f>SUMIF(AGO!$G$1:$M$1,AH9,AGO!$G$48:$M$48)</f>
        <v>0</v>
      </c>
      <c r="BN42" s="926">
        <f>SUMIF(SET!$G$1:$M$1,AH9,SET!$G$48:$M$48)</f>
        <v>0</v>
      </c>
      <c r="BO42" s="926">
        <f>SUMIF(OTT!$G$1:$M$1,AH9,OTT!$G$48:$M$48)</f>
        <v>0</v>
      </c>
      <c r="BP42" s="926">
        <f>SUMIF(NOV!$G$1:$M$1,AH9,NOV!$G$48:$M$48)</f>
        <v>0</v>
      </c>
      <c r="BQ42" s="927">
        <f>SUMIF(DIC!$G$1:$M$1,AH9,DIC!$G$48:$M$48)</f>
        <v>0</v>
      </c>
    </row>
    <row r="43" spans="1:69" ht="11.25" customHeight="1" x14ac:dyDescent="0.2">
      <c r="A43" s="366"/>
      <c r="B43" s="1244"/>
      <c r="C43" s="143"/>
      <c r="D43" s="143"/>
      <c r="E43" s="33"/>
      <c r="F43" s="33"/>
      <c r="G43" s="33"/>
      <c r="H43" s="33"/>
      <c r="I43" s="33"/>
      <c r="J43" s="335">
        <v>9</v>
      </c>
      <c r="K43" s="336"/>
      <c r="L43" s="336"/>
      <c r="M43" s="336"/>
      <c r="N43" s="335">
        <f>J43+4</f>
        <v>13</v>
      </c>
      <c r="O43" s="336"/>
      <c r="P43" s="336"/>
      <c r="Q43" s="336"/>
      <c r="R43" s="335">
        <f>N43+4</f>
        <v>17</v>
      </c>
      <c r="S43" s="336"/>
      <c r="T43" s="336"/>
      <c r="U43" s="336"/>
      <c r="V43" s="335">
        <f>R43+4</f>
        <v>21</v>
      </c>
      <c r="W43" s="336"/>
      <c r="X43" s="336"/>
      <c r="Y43" s="336"/>
      <c r="Z43" s="335">
        <f>V43+4</f>
        <v>25</v>
      </c>
      <c r="AA43" s="336"/>
      <c r="AB43" s="336"/>
      <c r="AC43" s="336"/>
      <c r="AD43" s="335">
        <f>Z43+4</f>
        <v>29</v>
      </c>
      <c r="AE43" s="336"/>
      <c r="AF43" s="336"/>
      <c r="AG43" s="336"/>
      <c r="AH43" s="335">
        <f>AD43+4</f>
        <v>33</v>
      </c>
      <c r="AI43" s="336"/>
      <c r="AJ43" s="336"/>
      <c r="AK43" s="336"/>
      <c r="AL43" s="33"/>
      <c r="AM43" s="335">
        <v>38</v>
      </c>
      <c r="AN43" s="336"/>
      <c r="AO43" s="336"/>
      <c r="AP43" s="336"/>
      <c r="AQ43" s="335">
        <f>AM43+4</f>
        <v>42</v>
      </c>
      <c r="AR43" s="336"/>
      <c r="AS43" s="336"/>
      <c r="AT43" s="336"/>
      <c r="AU43" s="335">
        <f>AQ43+4</f>
        <v>46</v>
      </c>
      <c r="AV43" s="336"/>
      <c r="AW43" s="336"/>
      <c r="AX43" s="336"/>
      <c r="AY43" s="336"/>
      <c r="AZ43" s="33"/>
      <c r="BA43" s="33"/>
      <c r="BB43" s="33"/>
      <c r="BC43" s="33"/>
      <c r="BD43" s="33"/>
      <c r="BE43" s="33"/>
      <c r="BF43" s="916">
        <f>SUMIF(GEN!$G$1:$M$1,AM9,GEN!$G$46:$M$46)</f>
        <v>0</v>
      </c>
      <c r="BG43" s="917">
        <f>SUMIF(FEB!$G$1:$M$1,AM9,FEB!$G$46:$M$46)</f>
        <v>0</v>
      </c>
      <c r="BH43" s="917">
        <f>SUMIF(MAR!$G$1:$M$1,AM9,MAR!$G$46:$M$46)</f>
        <v>0</v>
      </c>
      <c r="BI43" s="917">
        <f>SUMIF(APR!$G$1:$M$1,AM9,APR!$G$46:$M$46)</f>
        <v>0</v>
      </c>
      <c r="BJ43" s="917">
        <f>SUMIF(MAG!$G$1:$M$1,AM9,MAG!$G$46:$M$46)</f>
        <v>0</v>
      </c>
      <c r="BK43" s="917">
        <f>SUMIF(GIU!$G$1:$M$1,AM9,GIU!$G$46:$M$46)</f>
        <v>0</v>
      </c>
      <c r="BL43" s="917">
        <f>SUMIF(LUG!$G$1:$M$1,AM9,LUG!$G$46:$M$46)</f>
        <v>0</v>
      </c>
      <c r="BM43" s="917">
        <f>SUMIF(AGO!$G$1:$M$1,AM9,AGO!$G$46:$M$46)</f>
        <v>0</v>
      </c>
      <c r="BN43" s="917">
        <f>SUMIF(SET!$G$1:$M$1,AM9,SET!$G$46:$M$46)</f>
        <v>0</v>
      </c>
      <c r="BO43" s="917">
        <f>SUMIF(OTT!$G$1:$M$1,AM9,OTT!$G$46:$M$46)</f>
        <v>0</v>
      </c>
      <c r="BP43" s="917">
        <f>SUMIF(NOV!$G$1:$M$1,AM9,NOV!$G$46:$M$46)</f>
        <v>0</v>
      </c>
      <c r="BQ43" s="918">
        <f>SUMIF(DIC!$G$1:$M$1,AM9,DIC!$G$46:$M$46)</f>
        <v>0</v>
      </c>
    </row>
    <row r="44" spans="1:69" ht="7.5" customHeight="1" x14ac:dyDescent="0.2">
      <c r="A44" s="366"/>
      <c r="B44" s="1244"/>
      <c r="C44" s="143"/>
      <c r="D44" s="143"/>
      <c r="E44" s="2391" t="e">
        <f>IF(AND(E$49&lt;&gt;0,E$49&gt;0),IF(($AZ$71*4)&gt;=E$49,0,1),IF(AND(E$49&lt;&gt;0,E$49&lt;0),IF(($AZ$71*4)&lt;=E$49,0,1),0))</f>
        <v>#N/A</v>
      </c>
      <c r="F44" s="2391"/>
      <c r="G44" s="2391"/>
      <c r="H44" s="2391"/>
      <c r="I44" s="348"/>
      <c r="J44" s="2391" t="e">
        <f>IF(AND(J$49&lt;&gt;0,J$49&gt;0),IF(($AZ$49*4)&gt;=J$49,0,1),IF(AND(J$49&lt;&gt;0,J$49&lt;0),IF(($AZ$49*4)&lt;=J$49,0,1),0))</f>
        <v>#N/A</v>
      </c>
      <c r="K44" s="2391"/>
      <c r="L44" s="2391"/>
      <c r="M44" s="2391"/>
      <c r="N44" s="2391" t="e">
        <f>IF(AND(N$49&lt;&gt;0,N$49&gt;0),IF(($AZ$49*4)&gt;=N$49,0,1),IF(AND(N$49&lt;&gt;0,N$49&lt;0),IF(($AZ$49*4)&lt;=N$49,0,1),0))</f>
        <v>#N/A</v>
      </c>
      <c r="O44" s="2391"/>
      <c r="P44" s="2391"/>
      <c r="Q44" s="2391"/>
      <c r="R44" s="2391" t="e">
        <f>IF(AND(R$49&lt;&gt;0,R$49&gt;0),IF(($AZ$49*4)&gt;=R$49,0,1),IF(AND(R$49&lt;&gt;0,R$49&lt;0),IF(($AZ$49*4)&lt;=R$49,0,1),0))</f>
        <v>#N/A</v>
      </c>
      <c r="S44" s="2391"/>
      <c r="T44" s="2391"/>
      <c r="U44" s="2391"/>
      <c r="V44" s="2391" t="e">
        <f>IF(AND(V$49&lt;&gt;0,V$49&gt;0),IF(($AZ$49*4)&gt;=V$49,0,1),IF(AND(V$49&lt;&gt;0,V$49&lt;0),IF(($AZ$49*4)&lt;=V$49,0,1),0))</f>
        <v>#N/A</v>
      </c>
      <c r="W44" s="2391"/>
      <c r="X44" s="2391"/>
      <c r="Y44" s="2391"/>
      <c r="Z44" s="2391" t="e">
        <f>IF(AND(Z$49&lt;&gt;0,Z$49&gt;0),IF(($AZ$49*4)&gt;=Z$49,0,1),IF(AND(Z$49&lt;&gt;0,Z$49&lt;0),IF(($AZ$49*4)&lt;=Z$49,0,1),0))</f>
        <v>#N/A</v>
      </c>
      <c r="AA44" s="2391"/>
      <c r="AB44" s="2391"/>
      <c r="AC44" s="2391"/>
      <c r="AD44" s="2391" t="e">
        <f>IF(AND(AD$49&lt;&gt;0,AD$49&gt;0),IF(($AZ$49*4)&gt;=AD$49,0,1),IF(AND(AD$49&lt;&gt;0,AD$49&lt;0),IF(($AZ$49*4)&lt;=AD$49,0,1),0))</f>
        <v>#N/A</v>
      </c>
      <c r="AE44" s="2391"/>
      <c r="AF44" s="2391"/>
      <c r="AG44" s="2391"/>
      <c r="AH44" s="2391" t="e">
        <f>IF(AND(AH$49&lt;&gt;0,AH$49&gt;0),IF(($AZ$49*4)&gt;=AH$49,0,1),IF(AND(AH$49&lt;&gt;0,AH$49&lt;0),IF(($AZ$49*4)&lt;=AH$49,0,1),0))</f>
        <v>#N/A</v>
      </c>
      <c r="AI44" s="2391"/>
      <c r="AJ44" s="2391"/>
      <c r="AK44" s="2391"/>
      <c r="AL44" s="33"/>
      <c r="AM44" s="2391" t="e">
        <f>IF(AND(AM$49&lt;&gt;0,AM$49&gt;0),IF(($AZ$49*4)&gt;=AM$49,0,1),IF(AND(AM$49&lt;&gt;0,AM$49&lt;0),IF(($AZ$49*4)&lt;=AM$49,0,1),0))</f>
        <v>#N/A</v>
      </c>
      <c r="AN44" s="2391"/>
      <c r="AO44" s="2391"/>
      <c r="AP44" s="2391"/>
      <c r="AQ44" s="2391" t="e">
        <f>IF(AND(AQ$49&lt;&gt;0,AQ$49&gt;0),IF(($AZ$49*4)&gt;=AQ$49,0,1),IF(AND(AQ$49&lt;&gt;0,AQ$49&lt;0),IF(($AZ$49*4)&lt;=AQ$49,0,1),0))</f>
        <v>#N/A</v>
      </c>
      <c r="AR44" s="2391"/>
      <c r="AS44" s="2391"/>
      <c r="AT44" s="2391"/>
      <c r="AU44" s="2391" t="e">
        <f>IF(AND(AU$49&lt;&gt;0,AU$49&gt;0),IF(($AZ$49*4)&gt;=AU$49,0,1),IF(AND(AU$49&lt;&gt;0,AU$49&lt;0),IF(($AZ$49*4)&lt;=AU$49,0,1),0))</f>
        <v>#N/A</v>
      </c>
      <c r="AV44" s="2391"/>
      <c r="AW44" s="2391"/>
      <c r="AX44" s="2391"/>
      <c r="AY44" s="345"/>
      <c r="AZ44" s="33"/>
      <c r="BA44" s="33"/>
      <c r="BB44" s="33"/>
      <c r="BC44" s="33"/>
      <c r="BD44" s="33"/>
      <c r="BE44" s="33"/>
      <c r="BF44" s="919"/>
      <c r="BG44" s="920"/>
      <c r="BH44" s="920"/>
      <c r="BI44" s="920"/>
      <c r="BJ44" s="920"/>
      <c r="BK44" s="920"/>
      <c r="BL44" s="920"/>
      <c r="BM44" s="920"/>
      <c r="BN44" s="920"/>
      <c r="BO44" s="920"/>
      <c r="BP44" s="920"/>
      <c r="BQ44" s="921"/>
    </row>
    <row r="45" spans="1:69" ht="7.5" customHeight="1" x14ac:dyDescent="0.2">
      <c r="A45" s="366"/>
      <c r="B45" s="1244"/>
      <c r="C45" s="143"/>
      <c r="D45" s="143"/>
      <c r="E45" s="2391" t="e">
        <f>IF(AND(E$49&lt;&gt;0,E$49&gt;0),IF(($AZ$71*3)&gt;=E$49,0,1),IF(AND(E$49&lt;&gt;0,E$49&lt;0),IF(($AZ$71*3)&lt;=E$49,0,1),0))</f>
        <v>#N/A</v>
      </c>
      <c r="F45" s="2391"/>
      <c r="G45" s="2391"/>
      <c r="H45" s="2391"/>
      <c r="I45" s="348"/>
      <c r="J45" s="2391" t="e">
        <f>IF(AND(J$49&lt;&gt;0,J$49&gt;0),IF(($AZ$49*3)&gt;=J$49,0,1),IF(AND(J$49&lt;&gt;0,J$49&lt;0),IF(($AZ$49*3)&lt;=J$49,0,1),0))</f>
        <v>#N/A</v>
      </c>
      <c r="K45" s="2391"/>
      <c r="L45" s="2391"/>
      <c r="M45" s="2391"/>
      <c r="N45" s="2391" t="e">
        <f>IF(AND(N$49&lt;&gt;0,N$49&gt;0),IF(($AZ$49*3)&gt;=N$49,0,1),IF(AND(N$49&lt;&gt;0,N$49&lt;0),IF(($AZ$49*3)&lt;=N$49,0,1),0))</f>
        <v>#N/A</v>
      </c>
      <c r="O45" s="2391"/>
      <c r="P45" s="2391"/>
      <c r="Q45" s="2391"/>
      <c r="R45" s="2391" t="e">
        <f>IF(AND(R$49&lt;&gt;0,R$49&gt;0),IF(($AZ$49*3)&gt;=R$49,0,1),IF(AND(R$49&lt;&gt;0,R$49&lt;0),IF(($AZ$49*3)&lt;=R$49,0,1),0))</f>
        <v>#N/A</v>
      </c>
      <c r="S45" s="2391"/>
      <c r="T45" s="2391"/>
      <c r="U45" s="2391"/>
      <c r="V45" s="2391" t="e">
        <f>IF(AND(V$49&lt;&gt;0,V$49&gt;0),IF(($AZ$49*3)&gt;=V$49,0,1),IF(AND(V$49&lt;&gt;0,V$49&lt;0),IF(($AZ$49*3)&lt;=V$49,0,1),0))</f>
        <v>#N/A</v>
      </c>
      <c r="W45" s="2391"/>
      <c r="X45" s="2391"/>
      <c r="Y45" s="2391"/>
      <c r="Z45" s="2391" t="e">
        <f>IF(AND(Z$49&lt;&gt;0,Z$49&gt;0),IF(($AZ$49*3)&gt;=Z$49,0,1),IF(AND(Z$49&lt;&gt;0,Z$49&lt;0),IF(($AZ$49*3)&lt;=Z$49,0,1),0))</f>
        <v>#N/A</v>
      </c>
      <c r="AA45" s="2391"/>
      <c r="AB45" s="2391"/>
      <c r="AC45" s="2391"/>
      <c r="AD45" s="2391" t="e">
        <f>IF(AND(AD$49&lt;&gt;0,AD$49&gt;0),IF(($AZ$49*3)&gt;=AD$49,0,1),IF(AND(AD$49&lt;&gt;0,AD$49&lt;0),IF(($AZ$49*3)&lt;=AD$49,0,1),0))</f>
        <v>#N/A</v>
      </c>
      <c r="AE45" s="2391"/>
      <c r="AF45" s="2391"/>
      <c r="AG45" s="2391"/>
      <c r="AH45" s="2391" t="e">
        <f>IF(AND(AH$49&lt;&gt;0,AH$49&gt;0),IF(($AZ$49*3)&gt;=AH$49,0,1),IF(AND(AH$49&lt;&gt;0,AH$49&lt;0),IF(($AZ$49*3)&lt;=AH$49,0,1),0))</f>
        <v>#N/A</v>
      </c>
      <c r="AI45" s="2391"/>
      <c r="AJ45" s="2391"/>
      <c r="AK45" s="2391"/>
      <c r="AL45" s="33"/>
      <c r="AM45" s="2391" t="e">
        <f>IF(AND(AM$49&lt;&gt;0,AM$49&gt;0),IF(($AZ$49*3)&gt;=AM$49,0,1),IF(AND(AM$49&lt;&gt;0,AM$49&lt;0),IF(($AZ$49*3)&lt;=AM$49,0,1),0))</f>
        <v>#N/A</v>
      </c>
      <c r="AN45" s="2391"/>
      <c r="AO45" s="2391"/>
      <c r="AP45" s="2391"/>
      <c r="AQ45" s="2391" t="e">
        <f>IF(AND(AQ$49&lt;&gt;0,AQ$49&gt;0),IF(($AZ$49*3)&gt;=AQ$49,0,1),IF(AND(AQ$49&lt;&gt;0,AQ$49&lt;0),IF(($AZ$49*3)&lt;=AQ$49,0,1),0))</f>
        <v>#N/A</v>
      </c>
      <c r="AR45" s="2391"/>
      <c r="AS45" s="2391"/>
      <c r="AT45" s="2391"/>
      <c r="AU45" s="2391" t="e">
        <f>IF(AND(AU$49&lt;&gt;0,AU$49&gt;0),IF(($AZ$49*3)&gt;=AU$49,0,1),IF(AND(AU$49&lt;&gt;0,AU$49&lt;0),IF(($AZ$49*3)&lt;=AU$49,0,1),0))</f>
        <v>#N/A</v>
      </c>
      <c r="AV45" s="2391"/>
      <c r="AW45" s="2391"/>
      <c r="AX45" s="2391"/>
      <c r="AY45" s="345"/>
      <c r="AZ45" s="33"/>
      <c r="BA45" s="33"/>
      <c r="BB45" s="33"/>
      <c r="BC45" s="33"/>
      <c r="BD45" s="33"/>
      <c r="BE45" s="33"/>
      <c r="BF45" s="922">
        <f>SUMIF(GEN!$G$1:$M$1,AM9,GEN!$G$47:$M$47)</f>
        <v>0</v>
      </c>
      <c r="BG45" s="923">
        <f>SUMIF(FEB!$G$1:$M$1,AM9,FEB!$G$47:$M$47)</f>
        <v>0</v>
      </c>
      <c r="BH45" s="923">
        <f>SUMIF(MAR!$G$1:$M$1,AM9,MAR!$G$47:$M$47)</f>
        <v>0</v>
      </c>
      <c r="BI45" s="923">
        <f>SUMIF(APR!$G$1:$M$1,AM9,APR!$G$47:$M$47)</f>
        <v>0</v>
      </c>
      <c r="BJ45" s="923">
        <f>SUMIF(MAG!$G$1:$M$1,AM9,MAG!$G$47:$M$47)</f>
        <v>0</v>
      </c>
      <c r="BK45" s="923">
        <f>SUMIF(GIU!$G$1:$M$1,AM9,GIU!$G$47:$M$47)</f>
        <v>0</v>
      </c>
      <c r="BL45" s="923">
        <f>SUMIF(LUG!$G$1:$M$1,AM9,LUG!$G$47:$M$47)</f>
        <v>0</v>
      </c>
      <c r="BM45" s="923">
        <f>SUMIF(AGO!$G$1:$M$1,AM9,AGO!$G$47:$M$47)</f>
        <v>0</v>
      </c>
      <c r="BN45" s="923">
        <f>SUMIF(SET!$G$1:$M$1,AM9,SET!$G$47:$M$47)</f>
        <v>0</v>
      </c>
      <c r="BO45" s="923">
        <f>SUMIF(OTT!$G$1:$M$1,AM9,OTT!$G$47:$M$47)</f>
        <v>0</v>
      </c>
      <c r="BP45" s="923">
        <f>SUMIF(NOV!$G$1:$M$1,AM9,NOV!$G$47:$M$47)</f>
        <v>0</v>
      </c>
      <c r="BQ45" s="924">
        <f>SUMIF(DIC!$G$1:$M$1,AM9,DIC!$G$47:$M$47)</f>
        <v>0</v>
      </c>
    </row>
    <row r="46" spans="1:69" ht="7.5" customHeight="1" x14ac:dyDescent="0.2">
      <c r="A46" s="366"/>
      <c r="B46" s="1244"/>
      <c r="C46" s="143"/>
      <c r="D46" s="143"/>
      <c r="E46" s="2391" t="e">
        <f>IF(AND(E$49&lt;&gt;0,E$49&gt;0),IF(($AZ$71*2)&gt;=E$49,0,1),IF(AND(E$49&lt;&gt;0,E$49&lt;0),IF(($AZ$71*2)&lt;=E$49,0,1),0))</f>
        <v>#N/A</v>
      </c>
      <c r="F46" s="2391"/>
      <c r="G46" s="2391"/>
      <c r="H46" s="2391"/>
      <c r="I46" s="348"/>
      <c r="J46" s="2391" t="e">
        <f>IF(AND(J$49&lt;&gt;0,J$49&gt;0),IF(($AZ$49*2)&gt;=J$49,0,1),IF(AND(J$49&lt;&gt;0,J$49&lt;0),IF(($AZ$49*2)&lt;=J$49,0,1),0))</f>
        <v>#N/A</v>
      </c>
      <c r="K46" s="2391"/>
      <c r="L46" s="2391"/>
      <c r="M46" s="2391"/>
      <c r="N46" s="2391" t="e">
        <f>IF(AND(N$49&lt;&gt;0,N$49&gt;0),IF(($AZ$49*2)&gt;=N$49,0,1),IF(AND(N$49&lt;&gt;0,N$49&lt;0),IF(($AZ$49*2)&lt;=N$49,0,1),0))</f>
        <v>#N/A</v>
      </c>
      <c r="O46" s="2391"/>
      <c r="P46" s="2391"/>
      <c r="Q46" s="2391"/>
      <c r="R46" s="2391" t="e">
        <f>IF(AND(R$49&lt;&gt;0,R$49&gt;0),IF(($AZ$49*2)&gt;=R$49,0,1),IF(AND(R$49&lt;&gt;0,R$49&lt;0),IF(($AZ$49*2)&lt;=R$49,0,1),0))</f>
        <v>#N/A</v>
      </c>
      <c r="S46" s="2391"/>
      <c r="T46" s="2391"/>
      <c r="U46" s="2391"/>
      <c r="V46" s="2391" t="e">
        <f>IF(AND(V$49&lt;&gt;0,V$49&gt;0),IF(($AZ$49*2)&gt;=V$49,0,1),IF(AND(V$49&lt;&gt;0,V$49&lt;0),IF(($AZ$49*2)&lt;=V$49,0,1),0))</f>
        <v>#N/A</v>
      </c>
      <c r="W46" s="2391"/>
      <c r="X46" s="2391"/>
      <c r="Y46" s="2391"/>
      <c r="Z46" s="2391" t="e">
        <f>IF(AND(Z$49&lt;&gt;0,Z$49&gt;0),IF(($AZ$49*2)&gt;=Z$49,0,1),IF(AND(Z$49&lt;&gt;0,Z$49&lt;0),IF(($AZ$49*2)&lt;=Z$49,0,1),0))</f>
        <v>#N/A</v>
      </c>
      <c r="AA46" s="2391"/>
      <c r="AB46" s="2391"/>
      <c r="AC46" s="2391"/>
      <c r="AD46" s="2391" t="e">
        <f>IF(AND(AD$49&lt;&gt;0,AD$49&gt;0),IF(($AZ$49*2)&gt;=AD$49,0,1),IF(AND(AD$49&lt;&gt;0,AD$49&lt;0),IF(($AZ$49*2)&lt;=AD$49,0,1),0))</f>
        <v>#N/A</v>
      </c>
      <c r="AE46" s="2391"/>
      <c r="AF46" s="2391"/>
      <c r="AG46" s="2391"/>
      <c r="AH46" s="2391" t="e">
        <f>IF(AND(AH$49&lt;&gt;0,AH$49&gt;0),IF(($AZ$49*2)&gt;=AH$49,0,1),IF(AND(AH$49&lt;&gt;0,AH$49&lt;0),IF(($AZ$49*2)&lt;=AH$49,0,1),0))</f>
        <v>#N/A</v>
      </c>
      <c r="AI46" s="2391"/>
      <c r="AJ46" s="2391"/>
      <c r="AK46" s="2391"/>
      <c r="AL46" s="33"/>
      <c r="AM46" s="2391" t="e">
        <f>IF(AND(AM$49&lt;&gt;0,AM$49&gt;0),IF(($AZ$49*2)&gt;=AM$49,0,1),IF(AND(AM$49&lt;&gt;0,AM$49&lt;0),IF(($AZ$49*2)&lt;=AM$49,0,1),0))</f>
        <v>#N/A</v>
      </c>
      <c r="AN46" s="2391"/>
      <c r="AO46" s="2391"/>
      <c r="AP46" s="2391"/>
      <c r="AQ46" s="2391" t="e">
        <f>IF(AND(AQ$49&lt;&gt;0,AQ$49&gt;0),IF(($AZ$49*2)&gt;=AQ$49,0,1),IF(AND(AQ$49&lt;&gt;0,AQ$49&lt;0),IF(($AZ$49*2)&lt;=AQ$49,0,1),0))</f>
        <v>#N/A</v>
      </c>
      <c r="AR46" s="2391"/>
      <c r="AS46" s="2391"/>
      <c r="AT46" s="2391"/>
      <c r="AU46" s="2391" t="e">
        <f>IF(AND(AU$49&lt;&gt;0,AU$49&gt;0),IF(($AZ$49*2)&gt;=AU$49,0,1),IF(AND(AU$49&lt;&gt;0,AU$49&lt;0),IF(($AZ$49*2)&lt;=AU$49,0,1),0))</f>
        <v>#N/A</v>
      </c>
      <c r="AV46" s="2391"/>
      <c r="AW46" s="2391"/>
      <c r="AX46" s="2391"/>
      <c r="AY46" s="345"/>
      <c r="AZ46" s="33"/>
      <c r="BA46" s="33"/>
      <c r="BB46" s="33"/>
      <c r="BC46" s="33"/>
      <c r="BD46" s="33"/>
      <c r="BE46" s="33"/>
      <c r="BF46" s="925">
        <f>SUMIF(GEN!$G$1:$M$1,AM9,GEN!$G$48:$M$48)</f>
        <v>0</v>
      </c>
      <c r="BG46" s="926">
        <f>SUMIF(FEB!$G$1:$M$1,AM9,FEB!$G$48:$M$48)</f>
        <v>0</v>
      </c>
      <c r="BH46" s="926">
        <f>SUMIF(MAR!$G$1:$M$1,AM9,MAR!$G$48:$M$48)</f>
        <v>0</v>
      </c>
      <c r="BI46" s="926">
        <f>SUMIF(APR!$G$1:$M$1,AM9,APR!$G$48:$M$48)</f>
        <v>0</v>
      </c>
      <c r="BJ46" s="926">
        <f>SUMIF(MAG!$G$1:$M$1,AM9,MAG!$G$48:$M$48)</f>
        <v>0</v>
      </c>
      <c r="BK46" s="926">
        <f>SUMIF(GIU!$G$1:$M$1,AM9,GIU!$G$48:$M$48)</f>
        <v>0</v>
      </c>
      <c r="BL46" s="926">
        <f>SUMIF(LUG!$G$1:$M$1,AM9,LUG!$G$48:$M$48)</f>
        <v>0</v>
      </c>
      <c r="BM46" s="926">
        <f>SUMIF(AGO!$G$1:$M$1,AM9,AGO!$G$48:$M$48)</f>
        <v>0</v>
      </c>
      <c r="BN46" s="926">
        <f>SUMIF(SET!$G$1:$M$1,AM9,SET!$G$48:$M$48)</f>
        <v>0</v>
      </c>
      <c r="BO46" s="926">
        <f>SUMIF(OTT!$G$1:$M$1,AM9,OTT!$G$48:$M$48)</f>
        <v>0</v>
      </c>
      <c r="BP46" s="926">
        <f>SUMIF(NOV!$G$1:$M$1,AM9,NOV!$G$48:$M$48)</f>
        <v>0</v>
      </c>
      <c r="BQ46" s="927">
        <f>SUMIF(DIC!$G$1:$M$1,AM9,DIC!$G$48:$M$48)</f>
        <v>0</v>
      </c>
    </row>
    <row r="47" spans="1:69" ht="7.5" customHeight="1" x14ac:dyDescent="0.2">
      <c r="A47" s="366"/>
      <c r="B47" s="1244"/>
      <c r="C47" s="2496" t="s">
        <v>243</v>
      </c>
      <c r="D47" s="2496"/>
      <c r="E47" s="2391" t="e">
        <f>IF(AND(E$49&lt;&gt;0,E$49&gt;0),IF(($AZ$71*1)&gt;=E$49,0,1),IF(AND(E$49&lt;&gt;0,E$49&lt;0),IF(($AZ$71*1)&lt;=E$49,0,1),0))</f>
        <v>#N/A</v>
      </c>
      <c r="F47" s="2391"/>
      <c r="G47" s="2391"/>
      <c r="H47" s="2391"/>
      <c r="I47" s="348"/>
      <c r="J47" s="2391" t="e">
        <f>IF(AND(J$49&lt;&gt;0,J$49&gt;0),IF(($AZ$49*1)&gt;=J$49,0,1),IF(AND(J$49&lt;&gt;0,J$49&lt;0),IF(($AZ$49*1)&lt;=J$49,0,1),0))</f>
        <v>#N/A</v>
      </c>
      <c r="K47" s="2391"/>
      <c r="L47" s="2391"/>
      <c r="M47" s="2391"/>
      <c r="N47" s="2391" t="e">
        <f>IF(AND(N$49&lt;&gt;0,N$49&gt;0),IF(($AZ$49*1)&gt;=N$49,0,1),IF(AND(N$49&lt;&gt;0,N$49&lt;0),IF(($AZ$49*1)&lt;=N$49,0,1),0))</f>
        <v>#N/A</v>
      </c>
      <c r="O47" s="2391"/>
      <c r="P47" s="2391"/>
      <c r="Q47" s="2391"/>
      <c r="R47" s="2391" t="e">
        <f>IF(AND(R$49&lt;&gt;0,R$49&gt;0),IF(($AZ$49*1)&gt;=R$49,0,1),IF(AND(R$49&lt;&gt;0,R$49&lt;0),IF(($AZ$49*1)&lt;=R$49,0,1),0))</f>
        <v>#N/A</v>
      </c>
      <c r="S47" s="2391"/>
      <c r="T47" s="2391"/>
      <c r="U47" s="2391"/>
      <c r="V47" s="2391" t="e">
        <f>IF(AND(V$49&lt;&gt;0,V$49&gt;0),IF(($AZ$49*1)&gt;=V$49,0,1),IF(AND(V$49&lt;&gt;0,V$49&lt;0),IF(($AZ$49*1)&lt;=V$49,0,1),0))</f>
        <v>#N/A</v>
      </c>
      <c r="W47" s="2391"/>
      <c r="X47" s="2391"/>
      <c r="Y47" s="2391"/>
      <c r="Z47" s="2391" t="e">
        <f>IF(AND(Z$49&lt;&gt;0,Z$49&gt;0),IF(($AZ$49*1)&gt;=Z$49,0,1),IF(AND(Z$49&lt;&gt;0,Z$49&lt;0),IF(($AZ$49*1)&lt;=Z$49,0,1),0))</f>
        <v>#N/A</v>
      </c>
      <c r="AA47" s="2391"/>
      <c r="AB47" s="2391"/>
      <c r="AC47" s="2391"/>
      <c r="AD47" s="2391" t="e">
        <f>IF(AND(AD$49&lt;&gt;0,AD$49&gt;0),IF(($AZ$49*1)&gt;=AD$49,0,1),IF(AND(AD$49&lt;&gt;0,AD$49&lt;0),IF(($AZ$49*1)&lt;=AD$49,0,1),0))</f>
        <v>#N/A</v>
      </c>
      <c r="AE47" s="2391"/>
      <c r="AF47" s="2391"/>
      <c r="AG47" s="2391"/>
      <c r="AH47" s="2391" t="e">
        <f>IF(AND(AH$49&lt;&gt;0,AH$49&gt;0),IF(($AZ$49*1)&gt;=AH$49,0,1),IF(AND(AH$49&lt;&gt;0,AH$49&lt;0),IF(($AZ$49*1)&lt;=AH$49,0,1),0))</f>
        <v>#N/A</v>
      </c>
      <c r="AI47" s="2391"/>
      <c r="AJ47" s="2391"/>
      <c r="AK47" s="2391"/>
      <c r="AL47" s="33"/>
      <c r="AM47" s="2391" t="e">
        <f>IF(AND(AM$49&lt;&gt;0,AM$49&gt;0),IF(($AZ$49*1)&gt;=AM$49,0,1),IF(AND(AM$49&lt;&gt;0,AM$49&lt;0),IF(($AZ$49*1)&lt;=AM$49,0,1),0))</f>
        <v>#N/A</v>
      </c>
      <c r="AN47" s="2391"/>
      <c r="AO47" s="2391"/>
      <c r="AP47" s="2391"/>
      <c r="AQ47" s="2391" t="e">
        <f>IF(AND(AQ$49&lt;&gt;0,AQ$49&gt;0),IF(($AZ$49*1)&gt;=AQ$49,0,1),IF(AND(AQ$49&lt;&gt;0,AQ$49&lt;0),IF(($AZ$49*1)&lt;=AQ$49,0,1),0))</f>
        <v>#N/A</v>
      </c>
      <c r="AR47" s="2391"/>
      <c r="AS47" s="2391"/>
      <c r="AT47" s="2391"/>
      <c r="AU47" s="2391" t="e">
        <f>IF(AND(AU$49&lt;&gt;0,AU$49&gt;0),IF(($AZ$49*1)&gt;=AU$49,0,1),IF(AND(AU$49&lt;&gt;0,AU$49&lt;0),IF(($AZ$49*1)&lt;=AU$49,0,1),0))</f>
        <v>#N/A</v>
      </c>
      <c r="AV47" s="2391"/>
      <c r="AW47" s="2391"/>
      <c r="AX47" s="2391"/>
      <c r="AY47" s="345"/>
      <c r="AZ47" s="33"/>
      <c r="BA47" s="33"/>
      <c r="BB47" s="33"/>
      <c r="BC47" s="33"/>
      <c r="BD47" s="33"/>
      <c r="BE47" s="33"/>
      <c r="BF47" s="916">
        <f>SUMIF(GEN!$G$1:$M$1,AQ9,GEN!$G$46:$M$46)</f>
        <v>0</v>
      </c>
      <c r="BG47" s="917">
        <f>SUMIF(FEB!$G$1:$M$1,AQ9,FEB!$G$46:$M$46)</f>
        <v>0</v>
      </c>
      <c r="BH47" s="917">
        <f>SUMIF(MAR!$G$1:$M$1,AQ9,MAR!$G$46:$M$46)</f>
        <v>0</v>
      </c>
      <c r="BI47" s="917">
        <f>SUMIF(APR!$G$1:$M$1,AQ9,APR!$G$46:$M$46)</f>
        <v>0</v>
      </c>
      <c r="BJ47" s="917">
        <f>SUMIF(MAG!$G$1:$M$1,AQ9,MAG!$G$46:$M$46)</f>
        <v>0</v>
      </c>
      <c r="BK47" s="917">
        <f>SUMIF(GIU!$G$1:$M$1,AQ9,GIU!$G$46:$M$46)</f>
        <v>0</v>
      </c>
      <c r="BL47" s="917">
        <f>SUMIF(LUG!$G$1:$M$1,AQ9,LUG!$G$46:$M$46)</f>
        <v>0</v>
      </c>
      <c r="BM47" s="917">
        <f>SUMIF(AGO!$G$1:$M$1,AQ9,AGO!$G$46:$M$46)</f>
        <v>0</v>
      </c>
      <c r="BN47" s="917">
        <f>SUMIF(SET!$G$1:$M$1,AQ9,SET!$G$46:$M$46)</f>
        <v>0</v>
      </c>
      <c r="BO47" s="917">
        <f>SUMIF(OTT!$G$1:$M$1,AQ9,OTT!$G$46:$M$46)</f>
        <v>0</v>
      </c>
      <c r="BP47" s="917">
        <f>SUMIF(NOV!$G$1:$M$1,AQ9,NOV!$G$46:$M$46)</f>
        <v>0</v>
      </c>
      <c r="BQ47" s="918">
        <f>SUMIF(DIC!$G$1:$M$1,AQ9,DIC!$G$46:$M$46)</f>
        <v>0</v>
      </c>
    </row>
    <row r="48" spans="1:69" ht="7.5" customHeight="1" x14ac:dyDescent="0.2">
      <c r="A48" s="366"/>
      <c r="B48" s="1244"/>
      <c r="C48" s="2496"/>
      <c r="D48" s="2496"/>
      <c r="E48" s="2391" t="e">
        <f>IF(E49&lt;&gt;0,1,0)</f>
        <v>#N/A</v>
      </c>
      <c r="F48" s="2391"/>
      <c r="G48" s="2391"/>
      <c r="H48" s="2391"/>
      <c r="I48" s="348"/>
      <c r="J48" s="2391" t="e">
        <f>IF(J49&lt;&gt;0,1,0)</f>
        <v>#N/A</v>
      </c>
      <c r="K48" s="2391"/>
      <c r="L48" s="2391"/>
      <c r="M48" s="2391"/>
      <c r="N48" s="2391" t="e">
        <f>IF(N49&lt;&gt;0,1,0)</f>
        <v>#N/A</v>
      </c>
      <c r="O48" s="2391"/>
      <c r="P48" s="2391"/>
      <c r="Q48" s="2391"/>
      <c r="R48" s="2391" t="e">
        <f>IF(R49&lt;&gt;0,1,0)</f>
        <v>#N/A</v>
      </c>
      <c r="S48" s="2391"/>
      <c r="T48" s="2391"/>
      <c r="U48" s="2391"/>
      <c r="V48" s="2391" t="e">
        <f>IF(V49&lt;&gt;0,1,0)</f>
        <v>#N/A</v>
      </c>
      <c r="W48" s="2391"/>
      <c r="X48" s="2391"/>
      <c r="Y48" s="2391"/>
      <c r="Z48" s="2391" t="e">
        <f>IF(Z49&lt;&gt;0,1,0)</f>
        <v>#N/A</v>
      </c>
      <c r="AA48" s="2391"/>
      <c r="AB48" s="2391"/>
      <c r="AC48" s="2391"/>
      <c r="AD48" s="2391" t="e">
        <f>IF(AD49&lt;&gt;0,1,0)</f>
        <v>#N/A</v>
      </c>
      <c r="AE48" s="2391"/>
      <c r="AF48" s="2391"/>
      <c r="AG48" s="2391"/>
      <c r="AH48" s="2391" t="e">
        <f>IF(AH49&lt;&gt;0,1,0)</f>
        <v>#N/A</v>
      </c>
      <c r="AI48" s="2391"/>
      <c r="AJ48" s="2391"/>
      <c r="AK48" s="2391"/>
      <c r="AL48" s="33"/>
      <c r="AM48" s="2391" t="e">
        <f>IF(AM49&lt;&gt;0,1,0)</f>
        <v>#N/A</v>
      </c>
      <c r="AN48" s="2391"/>
      <c r="AO48" s="2391"/>
      <c r="AP48" s="2391"/>
      <c r="AQ48" s="2391" t="e">
        <f>IF(AQ49&lt;&gt;0,1,0)</f>
        <v>#N/A</v>
      </c>
      <c r="AR48" s="2391"/>
      <c r="AS48" s="2391"/>
      <c r="AT48" s="2391"/>
      <c r="AU48" s="2391" t="e">
        <f>IF(AU49&lt;&gt;0,1,0)</f>
        <v>#N/A</v>
      </c>
      <c r="AV48" s="2391"/>
      <c r="AW48" s="2391"/>
      <c r="AX48" s="2391"/>
      <c r="AY48" s="345"/>
      <c r="AZ48" s="33"/>
      <c r="BA48" s="33"/>
      <c r="BB48" s="33"/>
      <c r="BC48" s="33"/>
      <c r="BD48" s="33"/>
      <c r="BE48" s="33"/>
      <c r="BF48" s="919"/>
      <c r="BG48" s="920"/>
      <c r="BH48" s="920"/>
      <c r="BI48" s="920"/>
      <c r="BJ48" s="920"/>
      <c r="BK48" s="920"/>
      <c r="BL48" s="920"/>
      <c r="BM48" s="920"/>
      <c r="BN48" s="920"/>
      <c r="BO48" s="920"/>
      <c r="BP48" s="920"/>
      <c r="BQ48" s="921"/>
    </row>
    <row r="49" spans="1:69" ht="18" customHeight="1" x14ac:dyDescent="0.2">
      <c r="A49" s="366"/>
      <c r="B49" s="1244"/>
      <c r="C49" s="2497">
        <f>C15</f>
        <v>2024</v>
      </c>
      <c r="D49" s="2497"/>
      <c r="E49" s="2390" t="e">
        <f>SUM(J49:AK49)+SUM(AM49:AX49)</f>
        <v>#N/A</v>
      </c>
      <c r="F49" s="2390"/>
      <c r="G49" s="2390"/>
      <c r="H49" s="2390"/>
      <c r="I49" s="348"/>
      <c r="J49" s="2390" t="e">
        <f>VLOOKUP($C$72,$B15:M18,J$43,FALSE)</f>
        <v>#N/A</v>
      </c>
      <c r="K49" s="2390"/>
      <c r="L49" s="2390"/>
      <c r="M49" s="2390"/>
      <c r="N49" s="2390" t="e">
        <f>VLOOKUP($C$72,$B15:Q18,N$43,FALSE)</f>
        <v>#N/A</v>
      </c>
      <c r="O49" s="2390"/>
      <c r="P49" s="2390"/>
      <c r="Q49" s="2390"/>
      <c r="R49" s="2390" t="e">
        <f>VLOOKUP($C$72,$B15:U18,R$43,FALSE)</f>
        <v>#N/A</v>
      </c>
      <c r="S49" s="2390"/>
      <c r="T49" s="2390"/>
      <c r="U49" s="2390"/>
      <c r="V49" s="2390" t="e">
        <f>VLOOKUP($C$72,$B15:Y18,V$43,FALSE)</f>
        <v>#N/A</v>
      </c>
      <c r="W49" s="2390"/>
      <c r="X49" s="2390"/>
      <c r="Y49" s="2390"/>
      <c r="Z49" s="2390" t="e">
        <f>VLOOKUP($C$72,$B15:AC18,Z$43,FALSE)</f>
        <v>#N/A</v>
      </c>
      <c r="AA49" s="2390"/>
      <c r="AB49" s="2390"/>
      <c r="AC49" s="2390"/>
      <c r="AD49" s="2390" t="e">
        <f>VLOOKUP($C$72,$B15:AG18,AD$43,FALSE)</f>
        <v>#N/A</v>
      </c>
      <c r="AE49" s="2390"/>
      <c r="AF49" s="2390"/>
      <c r="AG49" s="2390"/>
      <c r="AH49" s="2390" t="e">
        <f>VLOOKUP($C$72,$B15:AK18,AH$43,FALSE)</f>
        <v>#N/A</v>
      </c>
      <c r="AI49" s="2390"/>
      <c r="AJ49" s="2390"/>
      <c r="AK49" s="2390"/>
      <c r="AL49" s="33"/>
      <c r="AM49" s="2390" t="e">
        <f>VLOOKUP($C$72,$B15:AP18,AM$43,FALSE)</f>
        <v>#N/A</v>
      </c>
      <c r="AN49" s="2390"/>
      <c r="AO49" s="2390"/>
      <c r="AP49" s="2390"/>
      <c r="AQ49" s="2390" t="e">
        <f>VLOOKUP($C$72,$B15:AT18,AQ$43,FALSE)</f>
        <v>#N/A</v>
      </c>
      <c r="AR49" s="2390"/>
      <c r="AS49" s="2390"/>
      <c r="AT49" s="2390"/>
      <c r="AU49" s="2390" t="e">
        <f>VLOOKUP($C$72,$B15:AX18,AU$43,FALSE)</f>
        <v>#N/A</v>
      </c>
      <c r="AV49" s="2390"/>
      <c r="AW49" s="2390"/>
      <c r="AX49" s="2390"/>
      <c r="AY49" s="188"/>
      <c r="AZ49" s="1252" t="e">
        <f>MAX(J49,N49,R49,V49,Z49,AD49,AH49,AM49,AQ49,AU49)/5</f>
        <v>#N/A</v>
      </c>
      <c r="BA49" s="33"/>
      <c r="BB49" s="33"/>
      <c r="BC49" s="33"/>
      <c r="BD49" s="33"/>
      <c r="BE49" s="33"/>
      <c r="BF49" s="922">
        <f>SUMIF(GEN!$G$1:$M$1,AQ9,GEN!$G$47:$M$47)</f>
        <v>0</v>
      </c>
      <c r="BG49" s="923">
        <f>SUMIF(FEB!$G$1:$M$1,AQ9,FEB!$G$47:$M$47)</f>
        <v>0</v>
      </c>
      <c r="BH49" s="923">
        <f>SUMIF(MAR!$G$1:$M$1,AQ9,MAR!$G$47:$M$47)</f>
        <v>0</v>
      </c>
      <c r="BI49" s="923">
        <f>SUMIF(APR!$G$1:$M$1,AQ9,APR!$G$47:$M$47)</f>
        <v>0</v>
      </c>
      <c r="BJ49" s="923">
        <f>SUMIF(MAG!$G$1:$M$1,AQ9,MAG!$G$47:$M$47)</f>
        <v>0</v>
      </c>
      <c r="BK49" s="923">
        <f>SUMIF(GIU!$G$1:$M$1,AQ9,GIU!$G$47:$M$47)</f>
        <v>0</v>
      </c>
      <c r="BL49" s="923">
        <f>SUMIF(LUG!$G$1:$M$1,AQ9,LUG!$G$47:$M$47)</f>
        <v>0</v>
      </c>
      <c r="BM49" s="923">
        <f>SUMIF(AGO!$G$1:$M$1,AQ9,AGO!$G$47:$M$47)</f>
        <v>0</v>
      </c>
      <c r="BN49" s="923">
        <f>SUMIF(SET!$G$1:$M$1,AQ9,SET!$G$47:$M$47)</f>
        <v>0</v>
      </c>
      <c r="BO49" s="923">
        <f>SUMIF(OTT!$G$1:$M$1,AQ9,OTT!$G$47:$M$47)</f>
        <v>0</v>
      </c>
      <c r="BP49" s="923">
        <f>SUMIF(NOV!$G$1:$M$1,AQ9,NOV!$G$47:$M$47)</f>
        <v>0</v>
      </c>
      <c r="BQ49" s="924">
        <f>SUMIF(DIC!$G$1:$M$1,AQ9,DIC!$G$47:$M$47)</f>
        <v>0</v>
      </c>
    </row>
    <row r="50" spans="1:69" ht="11.25" customHeight="1" x14ac:dyDescent="0.2">
      <c r="A50" s="366"/>
      <c r="B50" s="1244"/>
      <c r="C50" s="143"/>
      <c r="D50" s="143"/>
      <c r="E50" s="143"/>
      <c r="F50" s="143"/>
      <c r="G50" s="143"/>
      <c r="H50" s="143"/>
      <c r="I50" s="348"/>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33"/>
      <c r="AM50" s="143"/>
      <c r="AN50" s="143"/>
      <c r="AO50" s="143"/>
      <c r="AP50" s="143"/>
      <c r="AQ50" s="143"/>
      <c r="AR50" s="143"/>
      <c r="AS50" s="143"/>
      <c r="AT50" s="143"/>
      <c r="AU50" s="143"/>
      <c r="AV50" s="143"/>
      <c r="AW50" s="143"/>
      <c r="AX50" s="143"/>
      <c r="AY50" s="143"/>
      <c r="AZ50" s="928"/>
      <c r="BA50" s="33"/>
      <c r="BB50" s="33"/>
      <c r="BC50" s="33"/>
      <c r="BD50" s="33"/>
      <c r="BE50" s="33"/>
      <c r="BF50" s="925">
        <f>SUMIF(GEN!$G$1:$M$1,AQ9,GEN!$G$48:$M$48)</f>
        <v>0</v>
      </c>
      <c r="BG50" s="926">
        <f>SUMIF(FEB!$G$1:$M$1,AQ9,FEB!$G$48:$M$48)</f>
        <v>0</v>
      </c>
      <c r="BH50" s="926">
        <f>SUMIF(MAR!$G$1:$M$1,AQ9,MAR!$G$48:$M$48)</f>
        <v>0</v>
      </c>
      <c r="BI50" s="926">
        <f>SUMIF(APR!$G$1:$M$1,AQ9,APR!$G$48:$M$48)</f>
        <v>0</v>
      </c>
      <c r="BJ50" s="926">
        <f>SUMIF(MAG!$G$1:$M$1,AQ9,MAG!$G$48:$M$48)</f>
        <v>0</v>
      </c>
      <c r="BK50" s="926">
        <f>SUMIF(GIU!$G$1:$M$1,AQ9,GIU!$G$48:$M$48)</f>
        <v>0</v>
      </c>
      <c r="BL50" s="926">
        <f>SUMIF(LUG!$G$1:$M$1,AQ9,LUG!$G$48:$M$48)</f>
        <v>0</v>
      </c>
      <c r="BM50" s="926">
        <f>SUMIF(AGO!$G$1:$M$1,AQ9,AGO!$G$48:$M$48)</f>
        <v>0</v>
      </c>
      <c r="BN50" s="926">
        <f>SUMIF(SET!$G$1:$M$1,AQ9,SET!$G$48:$M$48)</f>
        <v>0</v>
      </c>
      <c r="BO50" s="926">
        <f>SUMIF(OTT!$G$1:$M$1,AQ9,OTT!$G$48:$M$48)</f>
        <v>0</v>
      </c>
      <c r="BP50" s="926">
        <f>SUMIF(NOV!$G$1:$M$1,AQ9,NOV!$G$48:$M$48)</f>
        <v>0</v>
      </c>
      <c r="BQ50" s="927">
        <f>SUMIF(DIC!$G$1:$M$1,AQ9,DIC!$G$48:$M$48)</f>
        <v>0</v>
      </c>
    </row>
    <row r="51" spans="1:69" ht="7.5" customHeight="1" x14ac:dyDescent="0.2">
      <c r="A51" s="366"/>
      <c r="B51" s="1244"/>
      <c r="C51" s="143"/>
      <c r="D51" s="143"/>
      <c r="E51" s="2391" t="e">
        <f>IF(AND(E$56&lt;&gt;0,E$56&gt;0),IF(($AZ$71*4)&gt;=E$56,0,1),IF(AND(E$56&lt;&gt;0,E$56&lt;0),IF(($AZ$71*4)&lt;=E$56,0,1),0))</f>
        <v>#N/A</v>
      </c>
      <c r="F51" s="2391"/>
      <c r="G51" s="2391"/>
      <c r="H51" s="2391"/>
      <c r="I51" s="348"/>
      <c r="J51" s="2391" t="e">
        <f>IF(AND(J$56&lt;&gt;0,J$56&gt;0),IF(($AZ$56*4)&gt;=J$56,0,1),IF(AND(J$56&lt;&gt;0,J$56&lt;0),IF(($AZ$56*4)&lt;=J$56,0,1),0))</f>
        <v>#N/A</v>
      </c>
      <c r="K51" s="2391"/>
      <c r="L51" s="2391"/>
      <c r="M51" s="2391"/>
      <c r="N51" s="2391" t="e">
        <f>IF(AND(N$56&lt;&gt;0,N$56&gt;0),IF(($AZ$56*4)&gt;=N$56,0,1),IF(AND(N$56&lt;&gt;0,N$56&lt;0),IF(($AZ$56*4)&lt;=N$56,0,1),0))</f>
        <v>#N/A</v>
      </c>
      <c r="O51" s="2391"/>
      <c r="P51" s="2391"/>
      <c r="Q51" s="2391"/>
      <c r="R51" s="2391" t="e">
        <f>IF(AND(R$56&lt;&gt;0,R$56&gt;0),IF(($AZ$56*4)&gt;=R$56,0,1),IF(AND(R$56&lt;&gt;0,R$56&lt;0),IF(($AZ$56*4)&lt;=R$56,0,1),0))</f>
        <v>#N/A</v>
      </c>
      <c r="S51" s="2391"/>
      <c r="T51" s="2391"/>
      <c r="U51" s="2391"/>
      <c r="V51" s="2391" t="e">
        <f>IF(AND(V$56&lt;&gt;0,V$56&gt;0),IF(($AZ$56*4)&gt;=V$56,0,1),IF(AND(V$56&lt;&gt;0,V$56&lt;0),IF(($AZ$56*4)&lt;=V$56,0,1),0))</f>
        <v>#N/A</v>
      </c>
      <c r="W51" s="2391"/>
      <c r="X51" s="2391"/>
      <c r="Y51" s="2391"/>
      <c r="Z51" s="2391" t="e">
        <f>IF(AND(Z$56&lt;&gt;0,Z$56&gt;0),IF(($AZ$56*4)&gt;=Z$56,0,1),IF(AND(Z$56&lt;&gt;0,Z$56&lt;0),IF(($AZ$56*4)&lt;=Z$56,0,1),0))</f>
        <v>#N/A</v>
      </c>
      <c r="AA51" s="2391"/>
      <c r="AB51" s="2391"/>
      <c r="AC51" s="2391"/>
      <c r="AD51" s="2391" t="e">
        <f>IF(AND(AD$56&lt;&gt;0,AD$56&gt;0),IF(($AZ$56*4)&gt;=AD$56,0,1),IF(AND(AD$56&lt;&gt;0,AD$56&lt;0),IF(($AZ$56*4)&lt;=AD$56,0,1),0))</f>
        <v>#N/A</v>
      </c>
      <c r="AE51" s="2391"/>
      <c r="AF51" s="2391"/>
      <c r="AG51" s="2391"/>
      <c r="AH51" s="2391" t="e">
        <f>IF(AND(AH$56&lt;&gt;0,AH$56&gt;0),IF(($AZ$56*4)&gt;=AH$56,0,1),IF(AND(AH$56&lt;&gt;0,AH$56&lt;0),IF(($AZ$56*4)&lt;=AH$56,0,1),0))</f>
        <v>#N/A</v>
      </c>
      <c r="AI51" s="2391"/>
      <c r="AJ51" s="2391"/>
      <c r="AK51" s="2391"/>
      <c r="AL51" s="33"/>
      <c r="AM51" s="2391" t="e">
        <f>IF(AND(AM$56&lt;&gt;0,AM$56&gt;0),IF(($AZ$56*4)&gt;=AM$56,0,1),IF(AND(AM$56&lt;&gt;0,AM$56&lt;0),IF(($AZ$56*4)&lt;=AM$56,0,1),0))</f>
        <v>#N/A</v>
      </c>
      <c r="AN51" s="2391"/>
      <c r="AO51" s="2391"/>
      <c r="AP51" s="2391"/>
      <c r="AQ51" s="2391" t="e">
        <f>IF(AND(AQ$56&lt;&gt;0,AQ$56&gt;0),IF(($AZ$56*4)&gt;=AQ$56,0,1),IF(AND(AQ$56&lt;&gt;0,AQ$56&lt;0),IF(($AZ$56*4)&lt;=AQ$56,0,1),0))</f>
        <v>#N/A</v>
      </c>
      <c r="AR51" s="2391"/>
      <c r="AS51" s="2391"/>
      <c r="AT51" s="2391"/>
      <c r="AU51" s="2391" t="e">
        <f>IF(AND(AU$56&lt;&gt;0,AU$56&gt;0),IF(($AZ$56*4)&gt;=AU$56,0,1),IF(AND(AU$56&lt;&gt;0,AU$56&lt;0),IF(($AZ$56*4)&lt;=AU$56,0,1),0))</f>
        <v>#N/A</v>
      </c>
      <c r="AV51" s="2391"/>
      <c r="AW51" s="2391"/>
      <c r="AX51" s="2391"/>
      <c r="AY51" s="346"/>
      <c r="AZ51" s="928"/>
      <c r="BA51" s="33"/>
      <c r="BB51" s="33"/>
      <c r="BC51" s="33"/>
      <c r="BD51" s="33"/>
      <c r="BE51" s="33"/>
      <c r="BF51" s="916">
        <f>SUMIF(GEN!$G$1:$M$1,AU9,GEN!$G$46:$M$46)</f>
        <v>0</v>
      </c>
      <c r="BG51" s="917">
        <f>SUMIF(FEB!$G$1:$M$1,AU9,FEB!$G$46:$M$46)</f>
        <v>0</v>
      </c>
      <c r="BH51" s="917">
        <f>SUMIF(MAR!$G$1:$M$1,AU9,MAR!$G$46:$M$46)</f>
        <v>0</v>
      </c>
      <c r="BI51" s="917">
        <f>SUMIF(APR!$G$1:$M$1,AU9,APR!$G$46:$M$46)</f>
        <v>0</v>
      </c>
      <c r="BJ51" s="917">
        <f>SUMIF(MAG!$G$1:$M$1,AU9,MAG!$G$46:$M$46)</f>
        <v>0</v>
      </c>
      <c r="BK51" s="917">
        <f>SUMIF(GIU!$G$1:$M$1,AU9,GIU!$G$46:$M$46)</f>
        <v>0</v>
      </c>
      <c r="BL51" s="917">
        <f>SUMIF(LUG!$G$1:$M$1,AU9,LUG!$G$46:$M$46)</f>
        <v>0</v>
      </c>
      <c r="BM51" s="917">
        <f>SUMIF(AGO!$G$1:$M$1,AU9,AGO!$G$46:$M$46)</f>
        <v>0</v>
      </c>
      <c r="BN51" s="917">
        <f>SUMIF(SET!$G$1:$M$1,AU9,SET!$G$46:$M$46)</f>
        <v>0</v>
      </c>
      <c r="BO51" s="917">
        <f>SUMIF(OTT!$G$1:$M$1,AU9,OTT!$G$46:$M$46)</f>
        <v>0</v>
      </c>
      <c r="BP51" s="917">
        <f>SUMIF(NOV!$G$1:$M$1,AU9,NOV!$G$46:$M$46)</f>
        <v>0</v>
      </c>
      <c r="BQ51" s="918">
        <f>SUMIF(DIC!$G$1:$M$1,AU9,DIC!$G$46:$M$46)</f>
        <v>0</v>
      </c>
    </row>
    <row r="52" spans="1:69" ht="7.5" customHeight="1" x14ac:dyDescent="0.2">
      <c r="A52" s="366"/>
      <c r="B52" s="1244"/>
      <c r="C52" s="143"/>
      <c r="D52" s="143"/>
      <c r="E52" s="2391" t="e">
        <f>IF(AND(E$56&lt;&gt;0,E$56&gt;0),IF(($AZ$71*3)&gt;=E$56,0,1),IF(AND(E$56&lt;&gt;0,E$56&lt;0),IF(($AZ$71*3)&lt;=E$56,0,1),0))</f>
        <v>#N/A</v>
      </c>
      <c r="F52" s="2391"/>
      <c r="G52" s="2391"/>
      <c r="H52" s="2391"/>
      <c r="I52" s="348"/>
      <c r="J52" s="2391" t="e">
        <f>IF(AND(J$56&lt;&gt;0,J$56&gt;0),IF(($AZ$56*3)&gt;=J$56,0,1),IF(AND(J$56&lt;&gt;0,J$56&lt;0),IF(($AZ$56*3)&lt;=J$56,0,1),0))</f>
        <v>#N/A</v>
      </c>
      <c r="K52" s="2391"/>
      <c r="L52" s="2391"/>
      <c r="M52" s="2391"/>
      <c r="N52" s="2391" t="e">
        <f>IF(AND(N$56&lt;&gt;0,N$56&gt;0),IF(($AZ$56*3)&gt;=N$56,0,1),IF(AND(N$56&lt;&gt;0,N$56&lt;0),IF(($AZ$56*3)&lt;=N$56,0,1),0))</f>
        <v>#N/A</v>
      </c>
      <c r="O52" s="2391"/>
      <c r="P52" s="2391"/>
      <c r="Q52" s="2391"/>
      <c r="R52" s="2391" t="e">
        <f>IF(AND(R$56&lt;&gt;0,R$56&gt;0),IF(($AZ$56*3)&gt;=R$56,0,1),IF(AND(R$56&lt;&gt;0,R$56&lt;0),IF(($AZ$56*3)&lt;=R$56,0,1),0))</f>
        <v>#N/A</v>
      </c>
      <c r="S52" s="2391"/>
      <c r="T52" s="2391"/>
      <c r="U52" s="2391"/>
      <c r="V52" s="2391" t="e">
        <f>IF(AND(V$56&lt;&gt;0,V$56&gt;0),IF(($AZ$56*3)&gt;=V$56,0,1),IF(AND(V$56&lt;&gt;0,V$56&lt;0),IF(($AZ$56*3)&lt;=V$56,0,1),0))</f>
        <v>#N/A</v>
      </c>
      <c r="W52" s="2391"/>
      <c r="X52" s="2391"/>
      <c r="Y52" s="2391"/>
      <c r="Z52" s="2391" t="e">
        <f>IF(AND(Z$56&lt;&gt;0,Z$56&gt;0),IF(($AZ$56*3)&gt;=Z$56,0,1),IF(AND(Z$56&lt;&gt;0,Z$56&lt;0),IF(($AZ$56*3)&lt;=Z$56,0,1),0))</f>
        <v>#N/A</v>
      </c>
      <c r="AA52" s="2391"/>
      <c r="AB52" s="2391"/>
      <c r="AC52" s="2391"/>
      <c r="AD52" s="2391" t="e">
        <f>IF(AND(AD$56&lt;&gt;0,AD$56&gt;0),IF(($AZ$56*3)&gt;=AD$56,0,1),IF(AND(AD$56&lt;&gt;0,AD$56&lt;0),IF(($AZ$56*3)&lt;=AD$56,0,1),0))</f>
        <v>#N/A</v>
      </c>
      <c r="AE52" s="2391"/>
      <c r="AF52" s="2391"/>
      <c r="AG52" s="2391"/>
      <c r="AH52" s="2391" t="e">
        <f>IF(AND(AH$56&lt;&gt;0,AH$56&gt;0),IF(($AZ$56*3)&gt;=AH$56,0,1),IF(AND(AH$56&lt;&gt;0,AH$56&lt;0),IF(($AZ$56*3)&lt;=AH$56,0,1),0))</f>
        <v>#N/A</v>
      </c>
      <c r="AI52" s="2391"/>
      <c r="AJ52" s="2391"/>
      <c r="AK52" s="2391"/>
      <c r="AL52" s="33"/>
      <c r="AM52" s="2391" t="e">
        <f>IF(AND(AM$56&lt;&gt;0,AM$56&gt;0),IF(($AZ$56*3)&gt;=AM$56,0,1),IF(AND(AM$56&lt;&gt;0,AM$56&lt;0),IF(($AZ$56*3)&lt;=AM$56,0,1),0))</f>
        <v>#N/A</v>
      </c>
      <c r="AN52" s="2391"/>
      <c r="AO52" s="2391"/>
      <c r="AP52" s="2391"/>
      <c r="AQ52" s="2391" t="e">
        <f>IF(AND(AQ$56&lt;&gt;0,AQ$56&gt;0),IF(($AZ$56*3)&gt;=AQ$56,0,1),IF(AND(AQ$56&lt;&gt;0,AQ$56&lt;0),IF(($AZ$56*3)&lt;=AQ$56,0,1),0))</f>
        <v>#N/A</v>
      </c>
      <c r="AR52" s="2391"/>
      <c r="AS52" s="2391"/>
      <c r="AT52" s="2391"/>
      <c r="AU52" s="2391" t="e">
        <f>IF(AND(AU$56&lt;&gt;0,AU$56&gt;0),IF(($AZ$56*3)&gt;=AU$56,0,1),IF(AND(AU$56&lt;&gt;0,AU$56&lt;0),IF(($AZ$56*3)&lt;=AU$56,0,1),0))</f>
        <v>#N/A</v>
      </c>
      <c r="AV52" s="2391"/>
      <c r="AW52" s="2391"/>
      <c r="AX52" s="2391"/>
      <c r="AY52" s="346"/>
      <c r="AZ52" s="928"/>
      <c r="BA52" s="33"/>
      <c r="BB52" s="33"/>
      <c r="BC52" s="33"/>
      <c r="BD52" s="33"/>
      <c r="BE52" s="33"/>
      <c r="BF52" s="919"/>
      <c r="BG52" s="920"/>
      <c r="BH52" s="920"/>
      <c r="BI52" s="920"/>
      <c r="BJ52" s="920"/>
      <c r="BK52" s="920"/>
      <c r="BL52" s="920"/>
      <c r="BM52" s="920"/>
      <c r="BN52" s="920"/>
      <c r="BO52" s="920"/>
      <c r="BP52" s="920"/>
      <c r="BQ52" s="921"/>
    </row>
    <row r="53" spans="1:69" ht="7.5" customHeight="1" x14ac:dyDescent="0.2">
      <c r="A53" s="366"/>
      <c r="B53" s="1244"/>
      <c r="C53" s="143"/>
      <c r="D53" s="143"/>
      <c r="E53" s="2391" t="e">
        <f>IF(AND(E$56&lt;&gt;0,E$56&gt;0),IF(($AZ$71*2)&gt;=E$56,0,1),IF(AND(E$56&lt;&gt;0,E$56&lt;0),IF(($AZ$71*2)&lt;=E$56,0,1),0))</f>
        <v>#N/A</v>
      </c>
      <c r="F53" s="2391"/>
      <c r="G53" s="2391"/>
      <c r="H53" s="2391"/>
      <c r="I53" s="348"/>
      <c r="J53" s="2391" t="e">
        <f>IF(AND(J$56&lt;&gt;0,J$56&gt;0),IF(($AZ$56*2)&gt;=J$56,0,1),IF(AND(J$56&lt;&gt;0,J$56&lt;0),IF(($AZ$56*2)&lt;=J$56,0,1),0))</f>
        <v>#N/A</v>
      </c>
      <c r="K53" s="2391"/>
      <c r="L53" s="2391"/>
      <c r="M53" s="2391"/>
      <c r="N53" s="2391" t="e">
        <f>IF(AND(N$56&lt;&gt;0,N$56&gt;0),IF(($AZ$56*2)&gt;=N$56,0,1),IF(AND(N$56&lt;&gt;0,N$56&lt;0),IF(($AZ$56*2)&lt;=N$56,0,1),0))</f>
        <v>#N/A</v>
      </c>
      <c r="O53" s="2391"/>
      <c r="P53" s="2391"/>
      <c r="Q53" s="2391"/>
      <c r="R53" s="2391" t="e">
        <f>IF(AND(R$56&lt;&gt;0,R$56&gt;0),IF(($AZ$56*2)&gt;=R$56,0,1),IF(AND(R$56&lt;&gt;0,R$56&lt;0),IF(($AZ$56*2)&lt;=R$56,0,1),0))</f>
        <v>#N/A</v>
      </c>
      <c r="S53" s="2391"/>
      <c r="T53" s="2391"/>
      <c r="U53" s="2391"/>
      <c r="V53" s="2391" t="e">
        <f>IF(AND(V$56&lt;&gt;0,V$56&gt;0),IF(($AZ$56*2)&gt;=V$56,0,1),IF(AND(V$56&lt;&gt;0,V$56&lt;0),IF(($AZ$56*2)&lt;=V$56,0,1),0))</f>
        <v>#N/A</v>
      </c>
      <c r="W53" s="2391"/>
      <c r="X53" s="2391"/>
      <c r="Y53" s="2391"/>
      <c r="Z53" s="2391" t="e">
        <f>IF(AND(Z$56&lt;&gt;0,Z$56&gt;0),IF(($AZ$56*2)&gt;=Z$56,0,1),IF(AND(Z$56&lt;&gt;0,Z$56&lt;0),IF(($AZ$56*2)&lt;=Z$56,0,1),0))</f>
        <v>#N/A</v>
      </c>
      <c r="AA53" s="2391"/>
      <c r="AB53" s="2391"/>
      <c r="AC53" s="2391"/>
      <c r="AD53" s="2391" t="e">
        <f>IF(AND(AD$56&lt;&gt;0,AD$56&gt;0),IF(($AZ$56*2)&gt;=AD$56,0,1),IF(AND(AD$56&lt;&gt;0,AD$56&lt;0),IF(($AZ$56*2)&lt;=AD$56,0,1),0))</f>
        <v>#N/A</v>
      </c>
      <c r="AE53" s="2391"/>
      <c r="AF53" s="2391"/>
      <c r="AG53" s="2391"/>
      <c r="AH53" s="2391" t="e">
        <f>IF(AND(AH$56&lt;&gt;0,AH$56&gt;0),IF(($AZ$56*2)&gt;=AH$56,0,1),IF(AND(AH$56&lt;&gt;0,AH$56&lt;0),IF(($AZ$56*2)&lt;=AH$56,0,1),0))</f>
        <v>#N/A</v>
      </c>
      <c r="AI53" s="2391"/>
      <c r="AJ53" s="2391"/>
      <c r="AK53" s="2391"/>
      <c r="AL53" s="33"/>
      <c r="AM53" s="2391" t="e">
        <f>IF(AND(AM$56&lt;&gt;0,AM$56&gt;0),IF(($AZ$56*2)&gt;=AM$56,0,1),IF(AND(AM$56&lt;&gt;0,AM$56&lt;0),IF(($AZ$56*2)&lt;=AM$56,0,1),0))</f>
        <v>#N/A</v>
      </c>
      <c r="AN53" s="2391"/>
      <c r="AO53" s="2391"/>
      <c r="AP53" s="2391"/>
      <c r="AQ53" s="2391" t="e">
        <f>IF(AND(AQ$56&lt;&gt;0,AQ$56&gt;0),IF(($AZ$56*2)&gt;=AQ$56,0,1),IF(AND(AQ$56&lt;&gt;0,AQ$56&lt;0),IF(($AZ$56*2)&lt;=AQ$56,0,1),0))</f>
        <v>#N/A</v>
      </c>
      <c r="AR53" s="2391"/>
      <c r="AS53" s="2391"/>
      <c r="AT53" s="2391"/>
      <c r="AU53" s="2391" t="e">
        <f>IF(AND(AU$56&lt;&gt;0,AU$56&gt;0),IF(($AZ$56*2)&gt;=AU$56,0,1),IF(AND(AU$56&lt;&gt;0,AU$56&lt;0),IF(($AZ$56*2)&lt;=AU$56,0,1),0))</f>
        <v>#N/A</v>
      </c>
      <c r="AV53" s="2391"/>
      <c r="AW53" s="2391"/>
      <c r="AX53" s="2391"/>
      <c r="AY53" s="346"/>
      <c r="AZ53" s="928"/>
      <c r="BA53" s="33"/>
      <c r="BB53" s="33"/>
      <c r="BC53" s="33"/>
      <c r="BD53" s="33"/>
      <c r="BE53" s="33"/>
      <c r="BF53" s="922">
        <f>SUMIF(GEN!$G$1:$M$1,AU9,GEN!$G$47:$M$47)</f>
        <v>0</v>
      </c>
      <c r="BG53" s="923">
        <f>SUMIF(FEB!$G$1:$M$1,AU9,FEB!$G$47:$M$47)</f>
        <v>0</v>
      </c>
      <c r="BH53" s="923">
        <f>SUMIF(MAR!$G$1:$M$1,AU9,MAR!$G$47:$M$47)</f>
        <v>0</v>
      </c>
      <c r="BI53" s="923">
        <f>SUMIF(APR!$G$1:$M$1,AU9,APR!$G$47:$M$47)</f>
        <v>0</v>
      </c>
      <c r="BJ53" s="923">
        <f>SUMIF(MAG!$G$1:$M$1,AU9,MAG!$G$47:$M$47)</f>
        <v>0</v>
      </c>
      <c r="BK53" s="923">
        <f>SUMIF(GIU!$G$1:$M$1,AU9,GIU!$G$47:$M$47)</f>
        <v>0</v>
      </c>
      <c r="BL53" s="923">
        <f>SUMIF(LUG!$G$1:$M$1,AU9,LUG!$G$47:$M$47)</f>
        <v>0</v>
      </c>
      <c r="BM53" s="923">
        <f>SUMIF(AGO!$G$1:$M$1,AU9,AGO!$G$47:$M$47)</f>
        <v>0</v>
      </c>
      <c r="BN53" s="923">
        <f>SUMIF(SET!$G$1:$M$1,AU9,SET!$G$47:$M$47)</f>
        <v>0</v>
      </c>
      <c r="BO53" s="923">
        <f>SUMIF(OTT!$G$1:$M$1,AU9,OTT!$G$47:$M$47)</f>
        <v>0</v>
      </c>
      <c r="BP53" s="923">
        <f>SUMIF(NOV!$G$1:$M$1,AU9,NOV!$G$47:$M$47)</f>
        <v>0</v>
      </c>
      <c r="BQ53" s="924">
        <f>SUMIF(DIC!$G$1:$M$1,AU9,DIC!$G$47:$M$47)</f>
        <v>0</v>
      </c>
    </row>
    <row r="54" spans="1:69" ht="7.5" customHeight="1" x14ac:dyDescent="0.2">
      <c r="A54" s="366"/>
      <c r="B54" s="1244"/>
      <c r="C54" s="2496" t="s">
        <v>243</v>
      </c>
      <c r="D54" s="2496"/>
      <c r="E54" s="2391" t="e">
        <f>IF(AND(E$56&lt;&gt;0,E$56&gt;0),IF(($AZ$71*1)&gt;=E$56,0,1),IF(AND(E$56&lt;&gt;0,E$56&lt;0),IF(($AZ$71*1)&lt;=E$56,0,1),0))</f>
        <v>#N/A</v>
      </c>
      <c r="F54" s="2391"/>
      <c r="G54" s="2391"/>
      <c r="H54" s="2391"/>
      <c r="I54" s="348"/>
      <c r="J54" s="2391" t="e">
        <f>IF(AND(J$56&lt;&gt;0,J$56&gt;0),IF(($AZ$56*1)&gt;=J$56,0,1),IF(AND(J$56&lt;&gt;0,J$56&lt;0),IF(($AZ$56*1)&lt;=J$56,0,1),0))</f>
        <v>#N/A</v>
      </c>
      <c r="K54" s="2391"/>
      <c r="L54" s="2391"/>
      <c r="M54" s="2391"/>
      <c r="N54" s="2391" t="e">
        <f>IF(AND(N$56&lt;&gt;0,N$56&gt;0),IF(($AZ$56*1)&gt;=N$56,0,1),IF(AND(N$56&lt;&gt;0,N$56&lt;0),IF(($AZ$56*1)&lt;=N$56,0,1),0))</f>
        <v>#N/A</v>
      </c>
      <c r="O54" s="2391"/>
      <c r="P54" s="2391"/>
      <c r="Q54" s="2391"/>
      <c r="R54" s="2391" t="e">
        <f>IF(AND(R$56&lt;&gt;0,R$56&gt;0),IF(($AZ$56*1)&gt;=R$56,0,1),IF(AND(R$56&lt;&gt;0,R$56&lt;0),IF(($AZ$56*1)&lt;=R$56,0,1),0))</f>
        <v>#N/A</v>
      </c>
      <c r="S54" s="2391"/>
      <c r="T54" s="2391"/>
      <c r="U54" s="2391"/>
      <c r="V54" s="2391" t="e">
        <f>IF(AND(V$56&lt;&gt;0,V$56&gt;0),IF(($AZ$56*1)&gt;=V$56,0,1),IF(AND(V$56&lt;&gt;0,V$56&lt;0),IF(($AZ$56*1)&lt;=V$56,0,1),0))</f>
        <v>#N/A</v>
      </c>
      <c r="W54" s="2391"/>
      <c r="X54" s="2391"/>
      <c r="Y54" s="2391"/>
      <c r="Z54" s="2391" t="e">
        <f>IF(AND(Z$56&lt;&gt;0,Z$56&gt;0),IF(($AZ$56*1)&gt;=Z$56,0,1),IF(AND(Z$56&lt;&gt;0,Z$56&lt;0),IF(($AZ$56*1)&lt;=Z$56,0,1),0))</f>
        <v>#N/A</v>
      </c>
      <c r="AA54" s="2391"/>
      <c r="AB54" s="2391"/>
      <c r="AC54" s="2391"/>
      <c r="AD54" s="2391" t="e">
        <f>IF(AND(AD$56&lt;&gt;0,AD$56&gt;0),IF(($AZ$56*1)&gt;=AD$56,0,1),IF(AND(AD$56&lt;&gt;0,AD$56&lt;0),IF(($AZ$56*1)&lt;=AD$56,0,1),0))</f>
        <v>#N/A</v>
      </c>
      <c r="AE54" s="2391"/>
      <c r="AF54" s="2391"/>
      <c r="AG54" s="2391"/>
      <c r="AH54" s="2391" t="e">
        <f>IF(AND(AH$56&lt;&gt;0,AH$56&gt;0),IF(($AZ$56*1)&gt;=AH$56,0,1),IF(AND(AH$56&lt;&gt;0,AH$56&lt;0),IF(($AZ$56*1)&lt;=AH$56,0,1),0))</f>
        <v>#N/A</v>
      </c>
      <c r="AI54" s="2391"/>
      <c r="AJ54" s="2391"/>
      <c r="AK54" s="2391"/>
      <c r="AL54" s="33"/>
      <c r="AM54" s="2391" t="e">
        <f>IF(AND(AM$56&lt;&gt;0,AM$56&gt;0),IF(($AZ$56*1)&gt;=AM$56,0,1),IF(AND(AM$56&lt;&gt;0,AM$56&lt;0),IF(($AZ$56*1)&lt;=AM$56,0,1),0))</f>
        <v>#N/A</v>
      </c>
      <c r="AN54" s="2391"/>
      <c r="AO54" s="2391"/>
      <c r="AP54" s="2391"/>
      <c r="AQ54" s="2391" t="e">
        <f>IF(AND(AQ$56&lt;&gt;0,AQ$56&gt;0),IF(($AZ$56*1)&gt;=AQ$56,0,1),IF(AND(AQ$56&lt;&gt;0,AQ$56&lt;0),IF(($AZ$56*1)&lt;=AQ$56,0,1),0))</f>
        <v>#N/A</v>
      </c>
      <c r="AR54" s="2391"/>
      <c r="AS54" s="2391"/>
      <c r="AT54" s="2391"/>
      <c r="AU54" s="2391" t="e">
        <f>IF(AND(AU$56&lt;&gt;0,AU$56&gt;0),IF(($AZ$56*1)&gt;=AU$56,0,1),IF(AND(AU$56&lt;&gt;0,AU$56&lt;0),IF(($AZ$56*1)&lt;=AU$56,0,1),0))</f>
        <v>#N/A</v>
      </c>
      <c r="AV54" s="2391"/>
      <c r="AW54" s="2391"/>
      <c r="AX54" s="2391"/>
      <c r="AY54" s="346"/>
      <c r="AZ54" s="928"/>
      <c r="BA54" s="33"/>
      <c r="BB54" s="33"/>
      <c r="BC54" s="33"/>
      <c r="BD54" s="33"/>
      <c r="BE54" s="33"/>
      <c r="BF54" s="925">
        <f>SUMIF(GEN!$G$1:$M$1,AU9,GEN!$G$48:$M$48)</f>
        <v>0</v>
      </c>
      <c r="BG54" s="926">
        <f>SUMIF(FEB!$G$1:$M$1,AU9,FEB!$G$48:$M$48)</f>
        <v>0</v>
      </c>
      <c r="BH54" s="926">
        <f>SUMIF(MAR!$G$1:$M$1,AU9,MAR!$G$48:$M$48)</f>
        <v>0</v>
      </c>
      <c r="BI54" s="926">
        <f>SUMIF(APR!$G$1:$M$1,AU9,APR!$G$48:$M$48)</f>
        <v>0</v>
      </c>
      <c r="BJ54" s="926">
        <f>SUMIF(MAG!$G$1:$M$1,AU9,MAG!$G$48:$M$48)</f>
        <v>0</v>
      </c>
      <c r="BK54" s="926">
        <f>SUMIF(GIU!$G$1:$M$1,AU9,GIU!$G$48:$M$48)</f>
        <v>0</v>
      </c>
      <c r="BL54" s="926">
        <f>SUMIF(LUG!$G$1:$M$1,AU9,LUG!$G$48:$M$48)</f>
        <v>0</v>
      </c>
      <c r="BM54" s="926">
        <f>SUMIF(AGO!$G$1:$M$1,AU9,AGO!$G$48:$M$48)</f>
        <v>0</v>
      </c>
      <c r="BN54" s="926">
        <f>SUMIF(SET!$G$1:$M$1,AU9,SET!$G$48:$M$48)</f>
        <v>0</v>
      </c>
      <c r="BO54" s="926">
        <f>SUMIF(OTT!$G$1:$M$1,AU9,OTT!$G$48:$M$48)</f>
        <v>0</v>
      </c>
      <c r="BP54" s="926">
        <f>SUMIF(NOV!$G$1:$M$1,AU9,NOV!$G$48:$M$48)</f>
        <v>0</v>
      </c>
      <c r="BQ54" s="927">
        <f>SUMIF(DIC!$G$1:$M$1,AU9,DIC!$G$48:$M$48)</f>
        <v>0</v>
      </c>
    </row>
    <row r="55" spans="1:69" ht="7.5" customHeight="1" x14ac:dyDescent="0.2">
      <c r="A55" s="366"/>
      <c r="B55" s="1244"/>
      <c r="C55" s="2496"/>
      <c r="D55" s="2496"/>
      <c r="E55" s="2391" t="e">
        <f>IF(E56&lt;&gt;0,1,0)</f>
        <v>#N/A</v>
      </c>
      <c r="F55" s="2391"/>
      <c r="G55" s="2391"/>
      <c r="H55" s="2391"/>
      <c r="I55" s="348"/>
      <c r="J55" s="2391" t="e">
        <f>IF(J56&lt;&gt;0,1,0)</f>
        <v>#N/A</v>
      </c>
      <c r="K55" s="2391"/>
      <c r="L55" s="2391"/>
      <c r="M55" s="2391"/>
      <c r="N55" s="2391" t="e">
        <f>IF(N56&lt;&gt;0,1,0)</f>
        <v>#N/A</v>
      </c>
      <c r="O55" s="2391"/>
      <c r="P55" s="2391"/>
      <c r="Q55" s="2391"/>
      <c r="R55" s="2391" t="e">
        <f>IF(R56&lt;&gt;0,1,0)</f>
        <v>#N/A</v>
      </c>
      <c r="S55" s="2391"/>
      <c r="T55" s="2391"/>
      <c r="U55" s="2391"/>
      <c r="V55" s="2391" t="e">
        <f>IF(V56&lt;&gt;0,1,0)</f>
        <v>#N/A</v>
      </c>
      <c r="W55" s="2391"/>
      <c r="X55" s="2391"/>
      <c r="Y55" s="2391"/>
      <c r="Z55" s="2391" t="e">
        <f>IF(Z56&lt;&gt;0,1,0)</f>
        <v>#N/A</v>
      </c>
      <c r="AA55" s="2391"/>
      <c r="AB55" s="2391"/>
      <c r="AC55" s="2391"/>
      <c r="AD55" s="2391" t="e">
        <f>IF(AD56&lt;&gt;0,1,0)</f>
        <v>#N/A</v>
      </c>
      <c r="AE55" s="2391"/>
      <c r="AF55" s="2391"/>
      <c r="AG55" s="2391"/>
      <c r="AH55" s="2391" t="e">
        <f>IF(AH56&lt;&gt;0,1,0)</f>
        <v>#N/A</v>
      </c>
      <c r="AI55" s="2391"/>
      <c r="AJ55" s="2391"/>
      <c r="AK55" s="2391"/>
      <c r="AL55" s="33"/>
      <c r="AM55" s="2391" t="e">
        <f>IF(AM56&lt;&gt;0,1,0)</f>
        <v>#N/A</v>
      </c>
      <c r="AN55" s="2391"/>
      <c r="AO55" s="2391"/>
      <c r="AP55" s="2391"/>
      <c r="AQ55" s="2391" t="e">
        <f>IF(AQ56&lt;&gt;0,1,0)</f>
        <v>#N/A</v>
      </c>
      <c r="AR55" s="2391"/>
      <c r="AS55" s="2391"/>
      <c r="AT55" s="2391"/>
      <c r="AU55" s="2391" t="e">
        <f>IF(AU56&lt;&gt;0,1,0)</f>
        <v>#N/A</v>
      </c>
      <c r="AV55" s="2391"/>
      <c r="AW55" s="2391"/>
      <c r="AX55" s="2391"/>
      <c r="AY55" s="346"/>
      <c r="AZ55" s="928"/>
      <c r="BA55" s="33"/>
      <c r="BB55" s="33"/>
      <c r="BC55" s="33"/>
      <c r="BD55" s="33"/>
      <c r="BE55" s="33"/>
      <c r="BF55" s="648"/>
      <c r="BG55" s="648"/>
      <c r="BH55" s="648"/>
      <c r="BI55" s="648"/>
      <c r="BJ55" s="648"/>
      <c r="BK55" s="648"/>
      <c r="BL55" s="648"/>
      <c r="BM55" s="648"/>
      <c r="BN55" s="648"/>
      <c r="BO55" s="648"/>
      <c r="BP55" s="648"/>
      <c r="BQ55" s="648"/>
    </row>
    <row r="56" spans="1:69" ht="18" customHeight="1" x14ac:dyDescent="0.2">
      <c r="A56" s="366"/>
      <c r="B56" s="1244"/>
      <c r="C56" s="2495">
        <f>C26</f>
        <v>2023</v>
      </c>
      <c r="D56" s="2495"/>
      <c r="E56" s="2390" t="e">
        <f>SUM(J56:AK56)+SUM(AM56:AX56)</f>
        <v>#N/A</v>
      </c>
      <c r="F56" s="2390"/>
      <c r="G56" s="2390"/>
      <c r="H56" s="2390"/>
      <c r="I56" s="348"/>
      <c r="J56" s="2390" t="e">
        <f>VLOOKUP($C$72,$B26:M29,J$43,FALSE)</f>
        <v>#N/A</v>
      </c>
      <c r="K56" s="2390"/>
      <c r="L56" s="2390"/>
      <c r="M56" s="2390"/>
      <c r="N56" s="2390" t="e">
        <f>VLOOKUP($C$72,$B26:Q29,N$43,FALSE)</f>
        <v>#N/A</v>
      </c>
      <c r="O56" s="2390"/>
      <c r="P56" s="2390"/>
      <c r="Q56" s="2390"/>
      <c r="R56" s="2390" t="e">
        <f>VLOOKUP($C$72,$B26:U29,R$43,FALSE)</f>
        <v>#N/A</v>
      </c>
      <c r="S56" s="2390"/>
      <c r="T56" s="2390"/>
      <c r="U56" s="2390"/>
      <c r="V56" s="2390" t="e">
        <f>VLOOKUP($C$72,$B26:Y29,V$43,FALSE)</f>
        <v>#N/A</v>
      </c>
      <c r="W56" s="2390"/>
      <c r="X56" s="2390"/>
      <c r="Y56" s="2390"/>
      <c r="Z56" s="2390" t="e">
        <f>VLOOKUP($C$72,$B26:AC29,Z$43,FALSE)</f>
        <v>#N/A</v>
      </c>
      <c r="AA56" s="2390"/>
      <c r="AB56" s="2390"/>
      <c r="AC56" s="2390"/>
      <c r="AD56" s="2390" t="e">
        <f>VLOOKUP($C$72,$B26:AG29,AD$43,FALSE)</f>
        <v>#N/A</v>
      </c>
      <c r="AE56" s="2390"/>
      <c r="AF56" s="2390"/>
      <c r="AG56" s="2390"/>
      <c r="AH56" s="2390" t="e">
        <f>VLOOKUP($C$72,$B26:AK29,AH$43,FALSE)</f>
        <v>#N/A</v>
      </c>
      <c r="AI56" s="2390"/>
      <c r="AJ56" s="2390"/>
      <c r="AK56" s="2390"/>
      <c r="AL56" s="33"/>
      <c r="AM56" s="2390" t="e">
        <f>VLOOKUP($C$72,$B26:AP29,AM$43,FALSE)</f>
        <v>#N/A</v>
      </c>
      <c r="AN56" s="2390"/>
      <c r="AO56" s="2390"/>
      <c r="AP56" s="2390"/>
      <c r="AQ56" s="2390" t="e">
        <f>VLOOKUP($C$72,$B26:AT29,AQ$43,FALSE)</f>
        <v>#N/A</v>
      </c>
      <c r="AR56" s="2390"/>
      <c r="AS56" s="2390"/>
      <c r="AT56" s="2390"/>
      <c r="AU56" s="2390" t="e">
        <f>VLOOKUP($C$72,$B26:AX29,AU$43,FALSE)</f>
        <v>#N/A</v>
      </c>
      <c r="AV56" s="2390"/>
      <c r="AW56" s="2390"/>
      <c r="AX56" s="2390"/>
      <c r="AY56" s="188"/>
      <c r="AZ56" s="1252" t="e">
        <f>MAX(J56,N56,R56,V56,Z56,AD56,AH56,AM56,AQ56,AU56)/5</f>
        <v>#N/A</v>
      </c>
      <c r="BA56" s="33"/>
      <c r="BB56" s="33"/>
      <c r="BC56" s="33"/>
      <c r="BD56" s="33"/>
      <c r="BE56" s="33"/>
      <c r="BF56" s="54"/>
      <c r="BG56" s="54"/>
      <c r="BH56" s="54"/>
      <c r="BI56" s="54"/>
      <c r="BJ56" s="54"/>
      <c r="BK56" s="54"/>
      <c r="BL56" s="54"/>
      <c r="BM56" s="54"/>
      <c r="BN56" s="54"/>
      <c r="BO56" s="54"/>
      <c r="BP56" s="54"/>
      <c r="BQ56" s="54"/>
    </row>
    <row r="57" spans="1:69" ht="11.25" customHeight="1" x14ac:dyDescent="0.2">
      <c r="A57" s="366"/>
      <c r="B57" s="1244"/>
      <c r="C57" s="143"/>
      <c r="D57" s="143"/>
      <c r="E57" s="338"/>
      <c r="F57" s="338"/>
      <c r="G57" s="338"/>
      <c r="H57" s="338"/>
      <c r="I57" s="348"/>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33"/>
      <c r="AM57" s="143"/>
      <c r="AN57" s="143"/>
      <c r="AO57" s="143"/>
      <c r="AP57" s="143"/>
      <c r="AQ57" s="143"/>
      <c r="AR57" s="143"/>
      <c r="AS57" s="143"/>
      <c r="AT57" s="143"/>
      <c r="AU57" s="143"/>
      <c r="AV57" s="143"/>
      <c r="AW57" s="143"/>
      <c r="AX57" s="143"/>
      <c r="AY57" s="143"/>
      <c r="AZ57" s="928"/>
      <c r="BA57" s="33"/>
      <c r="BB57" s="33"/>
      <c r="BC57" s="33"/>
      <c r="BD57" s="33"/>
      <c r="BE57" s="33"/>
      <c r="BF57" s="54"/>
      <c r="BG57" s="54"/>
      <c r="BH57" s="54"/>
      <c r="BI57" s="54"/>
      <c r="BJ57" s="54"/>
      <c r="BK57" s="54"/>
      <c r="BL57" s="54"/>
      <c r="BM57" s="54"/>
      <c r="BN57" s="54"/>
      <c r="BO57" s="54"/>
      <c r="BP57" s="54"/>
      <c r="BQ57" s="54"/>
    </row>
    <row r="58" spans="1:69" ht="7.5" customHeight="1" x14ac:dyDescent="0.2">
      <c r="A58" s="366"/>
      <c r="B58" s="1244"/>
      <c r="C58" s="143"/>
      <c r="D58" s="143"/>
      <c r="E58" s="2391" t="e">
        <f>IF(AND(E$63&lt;&gt;0,E$63&gt;0),IF(($AZ$71*4)&gt;=E$63,0,1),IF(AND(E$63&lt;&gt;0,E$63&lt;0),IF(($AZ$71*4)&lt;=E$63,0,1),0))</f>
        <v>#N/A</v>
      </c>
      <c r="F58" s="2391"/>
      <c r="G58" s="2391"/>
      <c r="H58" s="2391"/>
      <c r="I58" s="348"/>
      <c r="J58" s="2391" t="e">
        <f>IF(AND(J$63&lt;&gt;0,J$63&gt;0),IF(($AZ$63*4)&gt;=J$63,0,1),IF(AND(J$63&lt;&gt;0,J$63&lt;0),IF(($AZ$63*4)&lt;=J$63,0,1),0))</f>
        <v>#N/A</v>
      </c>
      <c r="K58" s="2391"/>
      <c r="L58" s="2391"/>
      <c r="M58" s="2391"/>
      <c r="N58" s="2391" t="e">
        <f>IF(AND(N$63&lt;&gt;0,N$63&gt;0),IF(($AZ$63*4)&gt;=N$63,0,1),IF(AND(N$63&lt;&gt;0,N$63&lt;0),IF(($AZ$63*4)&lt;=N$63,0,1),0))</f>
        <v>#N/A</v>
      </c>
      <c r="O58" s="2391"/>
      <c r="P58" s="2391"/>
      <c r="Q58" s="2391"/>
      <c r="R58" s="2391" t="e">
        <f>IF(AND(R$63&lt;&gt;0,R$63&gt;0),IF(($AZ$63*4)&gt;=R$63,0,1),IF(AND(R$63&lt;&gt;0,R$63&lt;0),IF(($AZ$63*4)&lt;=R$63,0,1),0))</f>
        <v>#N/A</v>
      </c>
      <c r="S58" s="2391"/>
      <c r="T58" s="2391"/>
      <c r="U58" s="2391"/>
      <c r="V58" s="2391" t="e">
        <f>IF(AND(V$63&lt;&gt;0,V$63&gt;0),IF(($AZ$63*4)&gt;=V$63,0,1),IF(AND(V$63&lt;&gt;0,V$63&lt;0),IF(($AZ$63*4)&lt;=V$63,0,1),0))</f>
        <v>#N/A</v>
      </c>
      <c r="W58" s="2391"/>
      <c r="X58" s="2391"/>
      <c r="Y58" s="2391"/>
      <c r="Z58" s="2391" t="e">
        <f>IF(AND(Z$63&lt;&gt;0,Z$63&gt;0),IF(($AZ$63*4)&gt;=Z$63,0,1),IF(AND(Z$63&lt;&gt;0,Z$63&lt;0),IF(($AZ$63*4)&lt;=Z$63,0,1),0))</f>
        <v>#N/A</v>
      </c>
      <c r="AA58" s="2391"/>
      <c r="AB58" s="2391"/>
      <c r="AC58" s="2391"/>
      <c r="AD58" s="2391" t="e">
        <f>IF(AND(AD$63&lt;&gt;0,AD$63&gt;0),IF(($AZ$63*4)&gt;=AD$63,0,1),IF(AND(AD$63&lt;&gt;0,AD$63&lt;0),IF(($AZ$63*4)&lt;=AD$63,0,1),0))</f>
        <v>#N/A</v>
      </c>
      <c r="AE58" s="2391"/>
      <c r="AF58" s="2391"/>
      <c r="AG58" s="2391"/>
      <c r="AH58" s="2391" t="e">
        <f>IF(AND(AH$63&lt;&gt;0,AH$63&gt;0),IF(($AZ$63*4)&gt;=AH$63,0,1),IF(AND(AH$63&lt;&gt;0,AH$63&lt;0),IF(($AZ$63*4)&lt;=AH$63,0,1),0))</f>
        <v>#N/A</v>
      </c>
      <c r="AI58" s="2391"/>
      <c r="AJ58" s="2391"/>
      <c r="AK58" s="2391"/>
      <c r="AL58" s="33"/>
      <c r="AM58" s="2391" t="e">
        <f>IF(AND(AM$63&lt;&gt;0,AM$63&gt;0),IF(($AZ$63*4)&gt;=AM$63,0,1),IF(AND(AM$63&lt;&gt;0,AM$63&lt;0),IF(($AZ$63*4)&lt;=AM$63,0,1),0))</f>
        <v>#N/A</v>
      </c>
      <c r="AN58" s="2391"/>
      <c r="AO58" s="2391"/>
      <c r="AP58" s="2391"/>
      <c r="AQ58" s="2391" t="e">
        <f>IF(AND(AQ$63&lt;&gt;0,AQ$63&gt;0),IF(($AZ$63*4)&gt;=AQ$63,0,1),IF(AND(AQ$63&lt;&gt;0,AQ$63&lt;0),IF(($AZ$63*4)&lt;=AQ$63,0,1),0))</f>
        <v>#N/A</v>
      </c>
      <c r="AR58" s="2391"/>
      <c r="AS58" s="2391"/>
      <c r="AT58" s="2391"/>
      <c r="AU58" s="2391" t="e">
        <f>IF(AND(AU$63&lt;&gt;0,AU$63&gt;0),IF(($AZ$63*4)&gt;=AU$63,0,1),IF(AND(AU$63&lt;&gt;0,AU$63&lt;0),IF(($AZ$63*4)&lt;=AU$63,0,1),0))</f>
        <v>#N/A</v>
      </c>
      <c r="AV58" s="2391"/>
      <c r="AW58" s="2391"/>
      <c r="AX58" s="2391"/>
      <c r="AY58" s="346"/>
      <c r="AZ58" s="928"/>
      <c r="BA58" s="33"/>
      <c r="BB58" s="33"/>
      <c r="BC58" s="33"/>
      <c r="BD58" s="33"/>
      <c r="BE58" s="33"/>
      <c r="BF58" s="54"/>
      <c r="BG58" s="54"/>
      <c r="BH58" s="54"/>
      <c r="BI58" s="54"/>
      <c r="BJ58" s="54"/>
      <c r="BK58" s="54"/>
      <c r="BL58" s="54"/>
      <c r="BM58" s="54"/>
      <c r="BN58" s="54"/>
      <c r="BO58" s="54"/>
      <c r="BP58" s="54"/>
      <c r="BQ58" s="54"/>
    </row>
    <row r="59" spans="1:69" ht="7.5" customHeight="1" x14ac:dyDescent="0.2">
      <c r="A59" s="366"/>
      <c r="B59" s="1244"/>
      <c r="C59" s="143"/>
      <c r="D59" s="143"/>
      <c r="E59" s="2391" t="e">
        <f>IF(AND(E$63&lt;&gt;0,E$63&gt;0),IF(($AZ$71*3)&gt;=E$63,0,1),IF(AND(E$63&lt;&gt;0,E$63&lt;0),IF(($AZ$71*3)&lt;=E$63,0,1),0))</f>
        <v>#N/A</v>
      </c>
      <c r="F59" s="2391"/>
      <c r="G59" s="2391"/>
      <c r="H59" s="2391"/>
      <c r="I59" s="348"/>
      <c r="J59" s="2391" t="e">
        <f>IF(AND(J$63&lt;&gt;0,J$63&gt;0),IF(($AZ$63*3)&gt;=J$63,0,1),IF(AND(J$63&lt;&gt;0,J$63&lt;0),IF(($AZ$63*3)&lt;=J$63,0,1),0))</f>
        <v>#N/A</v>
      </c>
      <c r="K59" s="2391"/>
      <c r="L59" s="2391"/>
      <c r="M59" s="2391"/>
      <c r="N59" s="2391" t="e">
        <f>IF(AND(N$63&lt;&gt;0,N$63&gt;0),IF(($AZ$63*3)&gt;=N$63,0,1),IF(AND(N$63&lt;&gt;0,N$63&lt;0),IF(($AZ$63*3)&lt;=N$63,0,1),0))</f>
        <v>#N/A</v>
      </c>
      <c r="O59" s="2391"/>
      <c r="P59" s="2391"/>
      <c r="Q59" s="2391"/>
      <c r="R59" s="2391" t="e">
        <f>IF(AND(R$63&lt;&gt;0,R$63&gt;0),IF(($AZ$63*3)&gt;=R$63,0,1),IF(AND(R$63&lt;&gt;0,R$63&lt;0),IF(($AZ$63*3)&lt;=R$63,0,1),0))</f>
        <v>#N/A</v>
      </c>
      <c r="S59" s="2391"/>
      <c r="T59" s="2391"/>
      <c r="U59" s="2391"/>
      <c r="V59" s="2391" t="e">
        <f>IF(AND(V$63&lt;&gt;0,V$63&gt;0),IF(($AZ$63*3)&gt;=V$63,0,1),IF(AND(V$63&lt;&gt;0,V$63&lt;0),IF(($AZ$63*3)&lt;=V$63,0,1),0))</f>
        <v>#N/A</v>
      </c>
      <c r="W59" s="2391"/>
      <c r="X59" s="2391"/>
      <c r="Y59" s="2391"/>
      <c r="Z59" s="2391" t="e">
        <f>IF(AND(Z$63&lt;&gt;0,Z$63&gt;0),IF(($AZ$63*3)&gt;=Z$63,0,1),IF(AND(Z$63&lt;&gt;0,Z$63&lt;0),IF(($AZ$63*3)&lt;=Z$63,0,1),0))</f>
        <v>#N/A</v>
      </c>
      <c r="AA59" s="2391"/>
      <c r="AB59" s="2391"/>
      <c r="AC59" s="2391"/>
      <c r="AD59" s="2391" t="e">
        <f>IF(AND(AD$63&lt;&gt;0,AD$63&gt;0),IF(($AZ$63*3)&gt;=AD$63,0,1),IF(AND(AD$63&lt;&gt;0,AD$63&lt;0),IF(($AZ$63*3)&lt;=AD$63,0,1),0))</f>
        <v>#N/A</v>
      </c>
      <c r="AE59" s="2391"/>
      <c r="AF59" s="2391"/>
      <c r="AG59" s="2391"/>
      <c r="AH59" s="2391" t="e">
        <f>IF(AND(AH$63&lt;&gt;0,AH$63&gt;0),IF(($AZ$63*3)&gt;=AH$63,0,1),IF(AND(AH$63&lt;&gt;0,AH$63&lt;0),IF(($AZ$63*3)&lt;=AH$63,0,1),0))</f>
        <v>#N/A</v>
      </c>
      <c r="AI59" s="2391"/>
      <c r="AJ59" s="2391"/>
      <c r="AK59" s="2391"/>
      <c r="AL59" s="33"/>
      <c r="AM59" s="2391" t="e">
        <f>IF(AND(AM$63&lt;&gt;0,AM$63&gt;0),IF(($AZ$63*3)&gt;=AM$63,0,1),IF(AND(AM$63&lt;&gt;0,AM$63&lt;0),IF(($AZ$63*3)&lt;=AM$63,0,1),0))</f>
        <v>#N/A</v>
      </c>
      <c r="AN59" s="2391"/>
      <c r="AO59" s="2391"/>
      <c r="AP59" s="2391"/>
      <c r="AQ59" s="2391" t="e">
        <f>IF(AND(AQ$63&lt;&gt;0,AQ$63&gt;0),IF(($AZ$63*3)&gt;=AQ$63,0,1),IF(AND(AQ$63&lt;&gt;0,AQ$63&lt;0),IF(($AZ$63*3)&lt;=AQ$63,0,1),0))</f>
        <v>#N/A</v>
      </c>
      <c r="AR59" s="2391"/>
      <c r="AS59" s="2391"/>
      <c r="AT59" s="2391"/>
      <c r="AU59" s="2391" t="e">
        <f>IF(AND(AU$63&lt;&gt;0,AU$63&gt;0),IF(($AZ$63*3)&gt;=AU$63,0,1),IF(AND(AU$63&lt;&gt;0,AU$63&lt;0),IF(($AZ$63*3)&lt;=AU$63,0,1),0))</f>
        <v>#N/A</v>
      </c>
      <c r="AV59" s="2391"/>
      <c r="AW59" s="2391"/>
      <c r="AX59" s="2391"/>
      <c r="AY59" s="346"/>
      <c r="AZ59" s="928"/>
      <c r="BA59" s="33"/>
      <c r="BB59" s="33"/>
      <c r="BC59" s="33"/>
      <c r="BD59" s="33"/>
      <c r="BE59" s="33"/>
      <c r="BF59" s="54"/>
      <c r="BG59" s="54"/>
      <c r="BH59" s="54"/>
      <c r="BI59" s="54"/>
      <c r="BJ59" s="54"/>
      <c r="BK59" s="54"/>
      <c r="BL59" s="54"/>
      <c r="BM59" s="54"/>
      <c r="BN59" s="54"/>
      <c r="BO59" s="54"/>
      <c r="BP59" s="54"/>
      <c r="BQ59" s="54"/>
    </row>
    <row r="60" spans="1:69" ht="7.5" customHeight="1" x14ac:dyDescent="0.2">
      <c r="A60" s="366"/>
      <c r="B60" s="1244"/>
      <c r="C60" s="143"/>
      <c r="D60" s="143"/>
      <c r="E60" s="2391" t="e">
        <f>IF(AND(E$63&lt;&gt;0,E$63&gt;0),IF(($AZ$71*2)&gt;=E$63,0,1),IF(AND(E$63&lt;&gt;0,E$63&lt;0),IF(($AZ$71*2)&lt;=E$63,0,1),0))</f>
        <v>#N/A</v>
      </c>
      <c r="F60" s="2391"/>
      <c r="G60" s="2391"/>
      <c r="H60" s="2391"/>
      <c r="I60" s="348"/>
      <c r="J60" s="2391" t="e">
        <f>IF(AND(J$63&lt;&gt;0,J$63&gt;0),IF(($AZ$63*2)&gt;=J$63,0,1),IF(AND(J$63&lt;&gt;0,J$63&lt;0),IF(($AZ$63*2)&lt;=J$63,0,1),0))</f>
        <v>#N/A</v>
      </c>
      <c r="K60" s="2391"/>
      <c r="L60" s="2391"/>
      <c r="M60" s="2391"/>
      <c r="N60" s="2391" t="e">
        <f>IF(AND(N$63&lt;&gt;0,N$63&gt;0),IF(($AZ$63*2)&gt;=N$63,0,1),IF(AND(N$63&lt;&gt;0,N$63&lt;0),IF(($AZ$63*2)&lt;=N$63,0,1),0))</f>
        <v>#N/A</v>
      </c>
      <c r="O60" s="2391"/>
      <c r="P60" s="2391"/>
      <c r="Q60" s="2391"/>
      <c r="R60" s="2391" t="e">
        <f>IF(AND(R$63&lt;&gt;0,R$63&gt;0),IF(($AZ$63*2)&gt;=R$63,0,1),IF(AND(R$63&lt;&gt;0,R$63&lt;0),IF(($AZ$63*2)&lt;=R$63,0,1),0))</f>
        <v>#N/A</v>
      </c>
      <c r="S60" s="2391"/>
      <c r="T60" s="2391"/>
      <c r="U60" s="2391"/>
      <c r="V60" s="2391" t="e">
        <f>IF(AND(V$63&lt;&gt;0,V$63&gt;0),IF(($AZ$63*2)&gt;=V$63,0,1),IF(AND(V$63&lt;&gt;0,V$63&lt;0),IF(($AZ$63*2)&lt;=V$63,0,1),0))</f>
        <v>#N/A</v>
      </c>
      <c r="W60" s="2391"/>
      <c r="X60" s="2391"/>
      <c r="Y60" s="2391"/>
      <c r="Z60" s="2391" t="e">
        <f>IF(AND(Z$63&lt;&gt;0,Z$63&gt;0),IF(($AZ$63*2)&gt;=Z$63,0,1),IF(AND(Z$63&lt;&gt;0,Z$63&lt;0),IF(($AZ$63*2)&lt;=Z$63,0,1),0))</f>
        <v>#N/A</v>
      </c>
      <c r="AA60" s="2391"/>
      <c r="AB60" s="2391"/>
      <c r="AC60" s="2391"/>
      <c r="AD60" s="2391" t="e">
        <f>IF(AND(AD$63&lt;&gt;0,AD$63&gt;0),IF(($AZ$63*2)&gt;=AD$63,0,1),IF(AND(AD$63&lt;&gt;0,AD$63&lt;0),IF(($AZ$63*2)&lt;=AD$63,0,1),0))</f>
        <v>#N/A</v>
      </c>
      <c r="AE60" s="2391"/>
      <c r="AF60" s="2391"/>
      <c r="AG60" s="2391"/>
      <c r="AH60" s="2391" t="e">
        <f>IF(AND(AH$63&lt;&gt;0,AH$63&gt;0),IF(($AZ$63*2)&gt;=AH$63,0,1),IF(AND(AH$63&lt;&gt;0,AH$63&lt;0),IF(($AZ$63*2)&lt;=AH$63,0,1),0))</f>
        <v>#N/A</v>
      </c>
      <c r="AI60" s="2391"/>
      <c r="AJ60" s="2391"/>
      <c r="AK60" s="2391"/>
      <c r="AL60" s="33"/>
      <c r="AM60" s="2391" t="e">
        <f>IF(AND(AM$63&lt;&gt;0,AM$63&gt;0),IF(($AZ$63*2)&gt;=AM$63,0,1),IF(AND(AM$63&lt;&gt;0,AM$63&lt;0),IF(($AZ$63*2)&lt;=AM$63,0,1),0))</f>
        <v>#N/A</v>
      </c>
      <c r="AN60" s="2391"/>
      <c r="AO60" s="2391"/>
      <c r="AP60" s="2391"/>
      <c r="AQ60" s="2391" t="e">
        <f>IF(AND(AQ$63&lt;&gt;0,AQ$63&gt;0),IF(($AZ$63*2)&gt;=AQ$63,0,1),IF(AND(AQ$63&lt;&gt;0,AQ$63&lt;0),IF(($AZ$63*2)&lt;=AQ$63,0,1),0))</f>
        <v>#N/A</v>
      </c>
      <c r="AR60" s="2391"/>
      <c r="AS60" s="2391"/>
      <c r="AT60" s="2391"/>
      <c r="AU60" s="2391" t="e">
        <f>IF(AND(AU$63&lt;&gt;0,AU$63&gt;0),IF(($AZ$63*2)&gt;=AU$63,0,1),IF(AND(AU$63&lt;&gt;0,AU$63&lt;0),IF(($AZ$63*2)&lt;=AU$63,0,1),0))</f>
        <v>#N/A</v>
      </c>
      <c r="AV60" s="2391"/>
      <c r="AW60" s="2391"/>
      <c r="AX60" s="2391"/>
      <c r="AY60" s="346"/>
      <c r="AZ60" s="928"/>
      <c r="BA60" s="33"/>
      <c r="BB60" s="33"/>
      <c r="BC60" s="33"/>
      <c r="BD60" s="33"/>
      <c r="BE60" s="33"/>
      <c r="BF60" s="54"/>
      <c r="BG60" s="54"/>
      <c r="BH60" s="54"/>
      <c r="BI60" s="54"/>
      <c r="BJ60" s="54"/>
      <c r="BK60" s="54"/>
      <c r="BL60" s="54"/>
      <c r="BM60" s="54"/>
      <c r="BN60" s="54"/>
      <c r="BO60" s="54"/>
      <c r="BP60" s="54"/>
      <c r="BQ60" s="54"/>
    </row>
    <row r="61" spans="1:69" ht="7.5" customHeight="1" x14ac:dyDescent="0.2">
      <c r="A61" s="366"/>
      <c r="B61" s="1244"/>
      <c r="C61" s="2496" t="s">
        <v>243</v>
      </c>
      <c r="D61" s="2496"/>
      <c r="E61" s="2391" t="e">
        <f>IF(AND(E$63&lt;&gt;0,E$63&gt;0),IF(($AZ$71*1)&gt;=E$63,0,1),IF(AND(E$63&lt;&gt;0,E$63&lt;0),IF(($AZ$71*1)&lt;=E$63,0,1),0))</f>
        <v>#N/A</v>
      </c>
      <c r="F61" s="2391"/>
      <c r="G61" s="2391"/>
      <c r="H61" s="2391"/>
      <c r="I61" s="348"/>
      <c r="J61" s="2391" t="e">
        <f>IF(AND(J$63&lt;&gt;0,J$63&gt;0),IF(($AZ$63*1)&gt;=J$63,0,1),IF(AND(J$63&lt;&gt;0,J$63&lt;0),IF(($AZ$63*1)&lt;=J$63,0,1),0))</f>
        <v>#N/A</v>
      </c>
      <c r="K61" s="2391"/>
      <c r="L61" s="2391"/>
      <c r="M61" s="2391"/>
      <c r="N61" s="2391" t="e">
        <f>IF(AND(N$63&lt;&gt;0,N$63&gt;0),IF(($AZ$63*1)&gt;=N$63,0,1),IF(AND(N$63&lt;&gt;0,N$63&lt;0),IF(($AZ$63*1)&lt;=N$63,0,1),0))</f>
        <v>#N/A</v>
      </c>
      <c r="O61" s="2391"/>
      <c r="P61" s="2391"/>
      <c r="Q61" s="2391"/>
      <c r="R61" s="2391" t="e">
        <f>IF(AND(R$63&lt;&gt;0,R$63&gt;0),IF(($AZ$63*1)&gt;=R$63,0,1),IF(AND(R$63&lt;&gt;0,R$63&lt;0),IF(($AZ$63*1)&lt;=R$63,0,1),0))</f>
        <v>#N/A</v>
      </c>
      <c r="S61" s="2391"/>
      <c r="T61" s="2391"/>
      <c r="U61" s="2391"/>
      <c r="V61" s="2391" t="e">
        <f>IF(AND(V$63&lt;&gt;0,V$63&gt;0),IF(($AZ$63*1)&gt;=V$63,0,1),IF(AND(V$63&lt;&gt;0,V$63&lt;0),IF(($AZ$63*1)&lt;=V$63,0,1),0))</f>
        <v>#N/A</v>
      </c>
      <c r="W61" s="2391"/>
      <c r="X61" s="2391"/>
      <c r="Y61" s="2391"/>
      <c r="Z61" s="2391" t="e">
        <f>IF(AND(Z$63&lt;&gt;0,Z$63&gt;0),IF(($AZ$63*1)&gt;=Z$63,0,1),IF(AND(Z$63&lt;&gt;0,Z$63&lt;0),IF(($AZ$63*1)&lt;=Z$63,0,1),0))</f>
        <v>#N/A</v>
      </c>
      <c r="AA61" s="2391"/>
      <c r="AB61" s="2391"/>
      <c r="AC61" s="2391"/>
      <c r="AD61" s="2391" t="e">
        <f>IF(AND(AD$63&lt;&gt;0,AD$63&gt;0),IF(($AZ$63*1)&gt;=AD$63,0,1),IF(AND(AD$63&lt;&gt;0,AD$63&lt;0),IF(($AZ$63*1)&lt;=AD$63,0,1),0))</f>
        <v>#N/A</v>
      </c>
      <c r="AE61" s="2391"/>
      <c r="AF61" s="2391"/>
      <c r="AG61" s="2391"/>
      <c r="AH61" s="2391" t="e">
        <f>IF(AND(AH$63&lt;&gt;0,AH$63&gt;0),IF(($AZ$63*1)&gt;=AH$63,0,1),IF(AND(AH$63&lt;&gt;0,AH$63&lt;0),IF(($AZ$63*1)&lt;=AH$63,0,1),0))</f>
        <v>#N/A</v>
      </c>
      <c r="AI61" s="2391"/>
      <c r="AJ61" s="2391"/>
      <c r="AK61" s="2391"/>
      <c r="AL61" s="33"/>
      <c r="AM61" s="2391" t="e">
        <f>IF(AND(AM$63&lt;&gt;0,AM$63&gt;0),IF(($AZ$63*1)&gt;=AM$63,0,1),IF(AND(AM$63&lt;&gt;0,AM$63&lt;0),IF(($AZ$63*1)&lt;=AM$63,0,1),0))</f>
        <v>#N/A</v>
      </c>
      <c r="AN61" s="2391"/>
      <c r="AO61" s="2391"/>
      <c r="AP61" s="2391"/>
      <c r="AQ61" s="2391" t="e">
        <f>IF(AND(AQ$63&lt;&gt;0,AQ$63&gt;0),IF(($AZ$63*1)&gt;=AQ$63,0,1),IF(AND(AQ$63&lt;&gt;0,AQ$63&lt;0),IF(($AZ$63*1)&lt;=AQ$63,0,1),0))</f>
        <v>#N/A</v>
      </c>
      <c r="AR61" s="2391"/>
      <c r="AS61" s="2391"/>
      <c r="AT61" s="2391"/>
      <c r="AU61" s="2391" t="e">
        <f>IF(AND(AU$63&lt;&gt;0,AU$63&gt;0),IF(($AZ$63*1)&gt;=AU$63,0,1),IF(AND(AU$63&lt;&gt;0,AU$63&lt;0),IF(($AZ$63*1)&lt;=AU$63,0,1),0))</f>
        <v>#N/A</v>
      </c>
      <c r="AV61" s="2391"/>
      <c r="AW61" s="2391"/>
      <c r="AX61" s="2391"/>
      <c r="AY61" s="346"/>
      <c r="AZ61" s="928"/>
      <c r="BA61" s="33"/>
      <c r="BB61" s="33"/>
      <c r="BC61" s="33"/>
      <c r="BD61" s="33"/>
      <c r="BE61" s="33"/>
      <c r="BF61" s="54"/>
      <c r="BG61" s="54"/>
      <c r="BH61" s="54"/>
      <c r="BI61" s="54"/>
      <c r="BJ61" s="54"/>
      <c r="BK61" s="54"/>
      <c r="BL61" s="54"/>
      <c r="BM61" s="54"/>
      <c r="BN61" s="54"/>
      <c r="BO61" s="54"/>
      <c r="BP61" s="54"/>
      <c r="BQ61" s="54"/>
    </row>
    <row r="62" spans="1:69" ht="7.5" customHeight="1" x14ac:dyDescent="0.2">
      <c r="A62" s="366"/>
      <c r="B62" s="1244"/>
      <c r="C62" s="2496"/>
      <c r="D62" s="2496"/>
      <c r="E62" s="2391" t="e">
        <f>IF(E63&lt;&gt;0,1,0)</f>
        <v>#N/A</v>
      </c>
      <c r="F62" s="2391"/>
      <c r="G62" s="2391"/>
      <c r="H62" s="2391"/>
      <c r="I62" s="348"/>
      <c r="J62" s="2391" t="e">
        <f>IF(J63&lt;&gt;0,1,0)</f>
        <v>#N/A</v>
      </c>
      <c r="K62" s="2391"/>
      <c r="L62" s="2391"/>
      <c r="M62" s="2391"/>
      <c r="N62" s="2391" t="e">
        <f>IF(N63&lt;&gt;0,1,0)</f>
        <v>#N/A</v>
      </c>
      <c r="O62" s="2391"/>
      <c r="P62" s="2391"/>
      <c r="Q62" s="2391"/>
      <c r="R62" s="2391" t="e">
        <f>IF(R63&lt;&gt;0,1,0)</f>
        <v>#N/A</v>
      </c>
      <c r="S62" s="2391"/>
      <c r="T62" s="2391"/>
      <c r="U62" s="2391"/>
      <c r="V62" s="2391" t="e">
        <f>IF(V63&lt;&gt;0,1,0)</f>
        <v>#N/A</v>
      </c>
      <c r="W62" s="2391"/>
      <c r="X62" s="2391"/>
      <c r="Y62" s="2391"/>
      <c r="Z62" s="2391" t="e">
        <f>IF(Z63&lt;&gt;0,1,0)</f>
        <v>#N/A</v>
      </c>
      <c r="AA62" s="2391"/>
      <c r="AB62" s="2391"/>
      <c r="AC62" s="2391"/>
      <c r="AD62" s="2391" t="e">
        <f>IF(AD63&lt;&gt;0,1,0)</f>
        <v>#N/A</v>
      </c>
      <c r="AE62" s="2391"/>
      <c r="AF62" s="2391"/>
      <c r="AG62" s="2391"/>
      <c r="AH62" s="2391" t="e">
        <f>IF(AH63&lt;&gt;0,1,0)</f>
        <v>#N/A</v>
      </c>
      <c r="AI62" s="2391"/>
      <c r="AJ62" s="2391"/>
      <c r="AK62" s="2391"/>
      <c r="AL62" s="33"/>
      <c r="AM62" s="2391" t="e">
        <f>IF(AM63&lt;&gt;0,1,0)</f>
        <v>#N/A</v>
      </c>
      <c r="AN62" s="2391"/>
      <c r="AO62" s="2391"/>
      <c r="AP62" s="2391"/>
      <c r="AQ62" s="2391" t="e">
        <f>IF(AQ63&lt;&gt;0,1,0)</f>
        <v>#N/A</v>
      </c>
      <c r="AR62" s="2391"/>
      <c r="AS62" s="2391"/>
      <c r="AT62" s="2391"/>
      <c r="AU62" s="2391" t="e">
        <f>IF(AU63&lt;&gt;0,1,0)</f>
        <v>#N/A</v>
      </c>
      <c r="AV62" s="2391"/>
      <c r="AW62" s="2391"/>
      <c r="AX62" s="2391"/>
      <c r="AY62" s="346"/>
      <c r="AZ62" s="928"/>
      <c r="BA62" s="33"/>
      <c r="BB62" s="33"/>
      <c r="BC62" s="33"/>
      <c r="BD62" s="33"/>
      <c r="BE62" s="33"/>
      <c r="BF62" s="54"/>
      <c r="BG62" s="54"/>
      <c r="BH62" s="54"/>
      <c r="BI62" s="54"/>
      <c r="BJ62" s="54"/>
      <c r="BK62" s="54"/>
      <c r="BL62" s="54"/>
      <c r="BM62" s="54"/>
      <c r="BN62" s="54"/>
      <c r="BO62" s="54"/>
      <c r="BP62" s="54"/>
      <c r="BQ62" s="54"/>
    </row>
    <row r="63" spans="1:69" ht="18" customHeight="1" x14ac:dyDescent="0.2">
      <c r="A63" s="366"/>
      <c r="B63" s="1244"/>
      <c r="C63" s="2495">
        <f>C32</f>
        <v>2022</v>
      </c>
      <c r="D63" s="2495"/>
      <c r="E63" s="2390" t="e">
        <f>SUM(J63:AK63)+SUM(AM63:AX63)</f>
        <v>#N/A</v>
      </c>
      <c r="F63" s="2390"/>
      <c r="G63" s="2390"/>
      <c r="H63" s="2390"/>
      <c r="I63" s="348"/>
      <c r="J63" s="2390" t="e">
        <f>VLOOKUP($C$72,$B32:M35,J$43,FALSE)</f>
        <v>#N/A</v>
      </c>
      <c r="K63" s="2390"/>
      <c r="L63" s="2390"/>
      <c r="M63" s="2390"/>
      <c r="N63" s="2390" t="e">
        <f>VLOOKUP($C$72,$B32:Q35,N$43,FALSE)</f>
        <v>#N/A</v>
      </c>
      <c r="O63" s="2390"/>
      <c r="P63" s="2390"/>
      <c r="Q63" s="2390"/>
      <c r="R63" s="2390" t="e">
        <f>VLOOKUP($C$72,$B32:U35,R$43,FALSE)</f>
        <v>#N/A</v>
      </c>
      <c r="S63" s="2390"/>
      <c r="T63" s="2390"/>
      <c r="U63" s="2390"/>
      <c r="V63" s="2390" t="e">
        <f>VLOOKUP($C$72,$B32:Y35,V$43,FALSE)</f>
        <v>#N/A</v>
      </c>
      <c r="W63" s="2390"/>
      <c r="X63" s="2390"/>
      <c r="Y63" s="2390"/>
      <c r="Z63" s="2390" t="e">
        <f>VLOOKUP($C$72,$B32:AC35,Z$43,FALSE)</f>
        <v>#N/A</v>
      </c>
      <c r="AA63" s="2390"/>
      <c r="AB63" s="2390"/>
      <c r="AC63" s="2390"/>
      <c r="AD63" s="2390" t="e">
        <f>VLOOKUP($C$72,$B32:AG35,AD$43,FALSE)</f>
        <v>#N/A</v>
      </c>
      <c r="AE63" s="2390"/>
      <c r="AF63" s="2390"/>
      <c r="AG63" s="2390"/>
      <c r="AH63" s="2390" t="e">
        <f>VLOOKUP($C$72,$B32:AK35,AH$43,FALSE)</f>
        <v>#N/A</v>
      </c>
      <c r="AI63" s="2390"/>
      <c r="AJ63" s="2390"/>
      <c r="AK63" s="2390"/>
      <c r="AL63" s="33"/>
      <c r="AM63" s="2390" t="e">
        <f>VLOOKUP($C$72,$B32:AP35,AM$43,FALSE)</f>
        <v>#N/A</v>
      </c>
      <c r="AN63" s="2390"/>
      <c r="AO63" s="2390"/>
      <c r="AP63" s="2390"/>
      <c r="AQ63" s="2390" t="e">
        <f>VLOOKUP($C$72,$B32:AT35,AQ$43,FALSE)</f>
        <v>#N/A</v>
      </c>
      <c r="AR63" s="2390"/>
      <c r="AS63" s="2390"/>
      <c r="AT63" s="2390"/>
      <c r="AU63" s="2390" t="e">
        <f>VLOOKUP($C$72,$B32:AX35,AU$43,FALSE)</f>
        <v>#N/A</v>
      </c>
      <c r="AV63" s="2390"/>
      <c r="AW63" s="2390"/>
      <c r="AX63" s="2390"/>
      <c r="AY63" s="188"/>
      <c r="AZ63" s="1252" t="e">
        <f>MAX(J63,N63,R63,V63,Z63,AD63,AH63,AM63,AQ63,AU63)/5</f>
        <v>#N/A</v>
      </c>
      <c r="BA63" s="33"/>
      <c r="BB63" s="33"/>
      <c r="BC63" s="33"/>
      <c r="BD63" s="33"/>
      <c r="BE63" s="33"/>
      <c r="BF63" s="54"/>
      <c r="BG63" s="54"/>
      <c r="BH63" s="54"/>
      <c r="BI63" s="54"/>
      <c r="BJ63" s="54"/>
      <c r="BK63" s="54"/>
      <c r="BL63" s="54"/>
      <c r="BM63" s="54"/>
      <c r="BN63" s="54"/>
      <c r="BO63" s="54"/>
      <c r="BP63" s="54"/>
      <c r="BQ63" s="54"/>
    </row>
    <row r="64" spans="1:69" ht="11.25" customHeight="1" x14ac:dyDescent="0.2">
      <c r="A64" s="366"/>
      <c r="B64" s="1244"/>
      <c r="C64" s="143"/>
      <c r="D64" s="143"/>
      <c r="E64" s="338"/>
      <c r="F64" s="338"/>
      <c r="G64" s="338"/>
      <c r="H64" s="338"/>
      <c r="I64" s="348"/>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33"/>
      <c r="AM64" s="143"/>
      <c r="AN64" s="143"/>
      <c r="AO64" s="143"/>
      <c r="AP64" s="143"/>
      <c r="AQ64" s="143"/>
      <c r="AR64" s="143"/>
      <c r="AS64" s="143"/>
      <c r="AT64" s="143"/>
      <c r="AU64" s="143"/>
      <c r="AV64" s="143"/>
      <c r="AW64" s="143"/>
      <c r="AX64" s="143"/>
      <c r="AY64" s="143"/>
      <c r="AZ64" s="928"/>
      <c r="BA64" s="33"/>
      <c r="BB64" s="33"/>
      <c r="BC64" s="33"/>
      <c r="BD64" s="33"/>
      <c r="BE64" s="33"/>
      <c r="BF64" s="54"/>
      <c r="BG64" s="54"/>
      <c r="BH64" s="54"/>
      <c r="BI64" s="54"/>
      <c r="BJ64" s="54"/>
      <c r="BK64" s="54"/>
      <c r="BL64" s="54"/>
      <c r="BM64" s="54"/>
      <c r="BN64" s="54"/>
      <c r="BO64" s="54"/>
      <c r="BP64" s="54"/>
      <c r="BQ64" s="54"/>
    </row>
    <row r="65" spans="1:69" ht="7.5" customHeight="1" x14ac:dyDescent="0.2">
      <c r="A65" s="366"/>
      <c r="B65" s="1244"/>
      <c r="C65" s="143"/>
      <c r="D65" s="143"/>
      <c r="E65" s="2391" t="e">
        <f>IF(AND(E$70&lt;&gt;0,E$70&gt;0),IF(($AZ$71*4)&gt;=E$70,0,1),IF(AND(E$70&lt;&gt;0,E$70&lt;0),IF(($AZ$71*4)&lt;=E$70,0,1),0))</f>
        <v>#N/A</v>
      </c>
      <c r="F65" s="2391"/>
      <c r="G65" s="2391"/>
      <c r="H65" s="2391"/>
      <c r="I65" s="348"/>
      <c r="J65" s="2391" t="e">
        <f>IF(AND(J$70&lt;&gt;0,J$70&gt;0),IF(($AZ$70*4)&gt;=J$70,0,1),IF(AND(J$70&lt;&gt;0,J$70&lt;0),IF(($AZ$70*4)&lt;=J$70,0,1),0))</f>
        <v>#N/A</v>
      </c>
      <c r="K65" s="2391"/>
      <c r="L65" s="2391"/>
      <c r="M65" s="2391"/>
      <c r="N65" s="2391" t="e">
        <f>IF(AND(N$70&lt;&gt;0,N$70&gt;0),IF(($AZ$70*4)&gt;=N$70,0,1),IF(AND(N$70&lt;&gt;0,N$70&lt;0),IF(($AZ$70*4)&lt;=N$70,0,1),0))</f>
        <v>#N/A</v>
      </c>
      <c r="O65" s="2391"/>
      <c r="P65" s="2391"/>
      <c r="Q65" s="2391"/>
      <c r="R65" s="2391" t="e">
        <f>IF(AND(R$70&lt;&gt;0,R$70&gt;0),IF(($AZ$70*4)&gt;=R$70,0,1),IF(AND(R$70&lt;&gt;0,R$70&lt;0),IF(($AZ$70*4)&lt;=R$70,0,1),0))</f>
        <v>#N/A</v>
      </c>
      <c r="S65" s="2391"/>
      <c r="T65" s="2391"/>
      <c r="U65" s="2391"/>
      <c r="V65" s="2391" t="e">
        <f>IF(AND(V$70&lt;&gt;0,V$70&gt;0),IF(($AZ$70*4)&gt;=V$70,0,1),IF(AND(V$70&lt;&gt;0,V$70&lt;0),IF(($AZ$70*4)&lt;=V$70,0,1),0))</f>
        <v>#N/A</v>
      </c>
      <c r="W65" s="2391"/>
      <c r="X65" s="2391"/>
      <c r="Y65" s="2391"/>
      <c r="Z65" s="2391" t="e">
        <f>IF(AND(Z$70&lt;&gt;0,Z$70&gt;0),IF(($AZ$70*4)&gt;=Z$70,0,1),IF(AND(Z$70&lt;&gt;0,Z$70&lt;0),IF(($AZ$70*4)&lt;=Z$70,0,1),0))</f>
        <v>#N/A</v>
      </c>
      <c r="AA65" s="2391"/>
      <c r="AB65" s="2391"/>
      <c r="AC65" s="2391"/>
      <c r="AD65" s="2391" t="e">
        <f>IF(AND(AD$70&lt;&gt;0,AD$70&gt;0),IF(($AZ$70*4)&gt;=AD$70,0,1),IF(AND(AD$70&lt;&gt;0,AD$70&lt;0),IF(($AZ$70*4)&lt;=AD$70,0,1),0))</f>
        <v>#N/A</v>
      </c>
      <c r="AE65" s="2391"/>
      <c r="AF65" s="2391"/>
      <c r="AG65" s="2391"/>
      <c r="AH65" s="2391" t="e">
        <f>IF(AND(AH$70&lt;&gt;0,AH$70&gt;0),IF(($AZ$70*4)&gt;=AH$70,0,1),IF(AND(AH$70&lt;&gt;0,AH$70&lt;0),IF(($AZ$70*4)&lt;=AH$70,0,1),0))</f>
        <v>#N/A</v>
      </c>
      <c r="AI65" s="2391"/>
      <c r="AJ65" s="2391"/>
      <c r="AK65" s="2391"/>
      <c r="AL65" s="33"/>
      <c r="AM65" s="2391" t="e">
        <f>IF(AND(AM$70&lt;&gt;0,AM$70&gt;0),IF(($AZ$70*4)&gt;=AM$70,0,1),IF(AND(AM$70&lt;&gt;0,AM$70&lt;0),IF(($AZ$70*4)&lt;=AM$70,0,1),0))</f>
        <v>#N/A</v>
      </c>
      <c r="AN65" s="2391"/>
      <c r="AO65" s="2391"/>
      <c r="AP65" s="2391"/>
      <c r="AQ65" s="2391" t="e">
        <f>IF(AND(AQ$70&lt;&gt;0,AQ$70&gt;0),IF(($AZ$70*4)&gt;=AQ$70,0,1),IF(AND(AQ$70&lt;&gt;0,AQ$70&lt;0),IF(($AZ$70*4)&lt;=AQ$70,0,1),0))</f>
        <v>#N/A</v>
      </c>
      <c r="AR65" s="2391"/>
      <c r="AS65" s="2391"/>
      <c r="AT65" s="2391"/>
      <c r="AU65" s="2391" t="e">
        <f>IF(AND(AU$70&lt;&gt;0,AU$70&gt;0),IF(($AZ$70*4)&gt;=AU$70,0,1),IF(AND(AU$70&lt;&gt;0,AU$70&lt;0),IF(($AZ$70*4)&lt;=AU$70,0,1),0))</f>
        <v>#N/A</v>
      </c>
      <c r="AV65" s="2391"/>
      <c r="AW65" s="2391"/>
      <c r="AX65" s="2391"/>
      <c r="AY65" s="346"/>
      <c r="AZ65" s="928"/>
      <c r="BA65" s="33"/>
      <c r="BB65" s="33"/>
      <c r="BC65" s="33"/>
      <c r="BD65" s="33"/>
      <c r="BE65" s="33"/>
      <c r="BF65" s="54"/>
      <c r="BG65" s="54"/>
      <c r="BH65" s="54"/>
      <c r="BI65" s="54"/>
      <c r="BJ65" s="54"/>
      <c r="BK65" s="54"/>
      <c r="BL65" s="54"/>
      <c r="BM65" s="54"/>
      <c r="BN65" s="54"/>
      <c r="BO65" s="54"/>
      <c r="BP65" s="54"/>
      <c r="BQ65" s="54"/>
    </row>
    <row r="66" spans="1:69" ht="7.5" customHeight="1" x14ac:dyDescent="0.2">
      <c r="A66" s="366"/>
      <c r="B66" s="1244"/>
      <c r="C66" s="143"/>
      <c r="D66" s="143"/>
      <c r="E66" s="2391" t="e">
        <f>IF(AND(E$70&lt;&gt;0,E$70&gt;0),IF(($AZ$71*3)&gt;=E$70,0,1),IF(AND(E$70&lt;&gt;0,E$70&lt;0),IF(($AZ$71*3)&lt;=E$70,0,1),0))</f>
        <v>#N/A</v>
      </c>
      <c r="F66" s="2391"/>
      <c r="G66" s="2391"/>
      <c r="H66" s="2391"/>
      <c r="I66" s="348"/>
      <c r="J66" s="2391" t="e">
        <f>IF(AND(J$70&lt;&gt;0,J$70&gt;0),IF(($AZ$70*3)&gt;=J$70,0,1),IF(AND(J$70&lt;&gt;0,J$70&lt;0),IF(($AZ$70*3)&lt;=J$70,0,1),0))</f>
        <v>#N/A</v>
      </c>
      <c r="K66" s="2391"/>
      <c r="L66" s="2391"/>
      <c r="M66" s="2391"/>
      <c r="N66" s="2391" t="e">
        <f>IF(AND(N$70&lt;&gt;0,N$70&gt;0),IF(($AZ$70*3)&gt;=N$70,0,1),IF(AND(N$70&lt;&gt;0,N$70&lt;0),IF(($AZ$70*3)&lt;=N$70,0,1),0))</f>
        <v>#N/A</v>
      </c>
      <c r="O66" s="2391"/>
      <c r="P66" s="2391"/>
      <c r="Q66" s="2391"/>
      <c r="R66" s="2391" t="e">
        <f>IF(AND(R$70&lt;&gt;0,R$70&gt;0),IF(($AZ$70*3)&gt;=R$70,0,1),IF(AND(R$70&lt;&gt;0,R$70&lt;0),IF(($AZ$70*3)&lt;=R$70,0,1),0))</f>
        <v>#N/A</v>
      </c>
      <c r="S66" s="2391"/>
      <c r="T66" s="2391"/>
      <c r="U66" s="2391"/>
      <c r="V66" s="2391" t="e">
        <f>IF(AND(V$70&lt;&gt;0,V$70&gt;0),IF(($AZ$70*3)&gt;=V$70,0,1),IF(AND(V$70&lt;&gt;0,V$70&lt;0),IF(($AZ$70*3)&lt;=V$70,0,1),0))</f>
        <v>#N/A</v>
      </c>
      <c r="W66" s="2391"/>
      <c r="X66" s="2391"/>
      <c r="Y66" s="2391"/>
      <c r="Z66" s="2391" t="e">
        <f>IF(AND(Z$70&lt;&gt;0,Z$70&gt;0),IF(($AZ$70*3)&gt;=Z$70,0,1),IF(AND(Z$70&lt;&gt;0,Z$70&lt;0),IF(($AZ$70*3)&lt;=Z$70,0,1),0))</f>
        <v>#N/A</v>
      </c>
      <c r="AA66" s="2391"/>
      <c r="AB66" s="2391"/>
      <c r="AC66" s="2391"/>
      <c r="AD66" s="2391" t="e">
        <f>IF(AND(AD$70&lt;&gt;0,AD$70&gt;0),IF(($AZ$70*3)&gt;=AD$70,0,1),IF(AND(AD$70&lt;&gt;0,AD$70&lt;0),IF(($AZ$70*3)&lt;=AD$70,0,1),0))</f>
        <v>#N/A</v>
      </c>
      <c r="AE66" s="2391"/>
      <c r="AF66" s="2391"/>
      <c r="AG66" s="2391"/>
      <c r="AH66" s="2391" t="e">
        <f>IF(AND(AH$70&lt;&gt;0,AH$70&gt;0),IF(($AZ$70*3)&gt;=AH$70,0,1),IF(AND(AH$70&lt;&gt;0,AH$70&lt;0),IF(($AZ$70*3)&lt;=AH$70,0,1),0))</f>
        <v>#N/A</v>
      </c>
      <c r="AI66" s="2391"/>
      <c r="AJ66" s="2391"/>
      <c r="AK66" s="2391"/>
      <c r="AL66" s="33"/>
      <c r="AM66" s="2391" t="e">
        <f>IF(AND(AM$70&lt;&gt;0,AM$70&gt;0),IF(($AZ$70*3)&gt;=AM$70,0,1),IF(AND(AM$70&lt;&gt;0,AM$70&lt;0),IF(($AZ$70*3)&lt;=AM$70,0,1),0))</f>
        <v>#N/A</v>
      </c>
      <c r="AN66" s="2391"/>
      <c r="AO66" s="2391"/>
      <c r="AP66" s="2391"/>
      <c r="AQ66" s="2391" t="e">
        <f>IF(AND(AQ$70&lt;&gt;0,AQ$70&gt;0),IF(($AZ$70*3)&gt;=AQ$70,0,1),IF(AND(AQ$70&lt;&gt;0,AQ$70&lt;0),IF(($AZ$70*3)&lt;=AQ$70,0,1),0))</f>
        <v>#N/A</v>
      </c>
      <c r="AR66" s="2391"/>
      <c r="AS66" s="2391"/>
      <c r="AT66" s="2391"/>
      <c r="AU66" s="2391" t="e">
        <f>IF(AND(AU$70&lt;&gt;0,AU$70&gt;0),IF(($AZ$70*3)&gt;=AU$70,0,1),IF(AND(AU$70&lt;&gt;0,AU$70&lt;0),IF(($AZ$70*3)&lt;=AU$70,0,1),0))</f>
        <v>#N/A</v>
      </c>
      <c r="AV66" s="2391"/>
      <c r="AW66" s="2391"/>
      <c r="AX66" s="2391"/>
      <c r="AY66" s="346"/>
      <c r="AZ66" s="928"/>
      <c r="BA66" s="33"/>
      <c r="BB66" s="33"/>
      <c r="BC66" s="33"/>
      <c r="BD66" s="33"/>
      <c r="BE66" s="33"/>
      <c r="BF66" s="54"/>
      <c r="BG66" s="54"/>
      <c r="BH66" s="54"/>
      <c r="BI66" s="54"/>
      <c r="BJ66" s="54"/>
      <c r="BK66" s="54"/>
      <c r="BL66" s="54"/>
      <c r="BM66" s="54"/>
      <c r="BN66" s="54"/>
      <c r="BO66" s="54"/>
      <c r="BP66" s="54"/>
      <c r="BQ66" s="54"/>
    </row>
    <row r="67" spans="1:69" ht="7.5" customHeight="1" x14ac:dyDescent="0.2">
      <c r="A67" s="366"/>
      <c r="B67" s="1244"/>
      <c r="C67" s="143"/>
      <c r="D67" s="143"/>
      <c r="E67" s="2391" t="e">
        <f>IF(AND(E$70&lt;&gt;0,E$70&gt;0),IF(($AZ$71*2)&gt;=E$70,0,1),IF(AND(E$70&lt;&gt;0,E$70&lt;0),IF(($AZ$71*2)&lt;=E$70,0,1),0))</f>
        <v>#N/A</v>
      </c>
      <c r="F67" s="2391"/>
      <c r="G67" s="2391"/>
      <c r="H67" s="2391"/>
      <c r="I67" s="348"/>
      <c r="J67" s="2391" t="e">
        <f>IF(AND(J$70&lt;&gt;0,J$70&gt;0),IF(($AZ$70*2)&gt;=J$70,0,1),IF(AND(J$70&lt;&gt;0,J$70&lt;0),IF(($AZ$70*2)&lt;=J$70,0,1),0))</f>
        <v>#N/A</v>
      </c>
      <c r="K67" s="2391"/>
      <c r="L67" s="2391"/>
      <c r="M67" s="2391"/>
      <c r="N67" s="2391" t="e">
        <f>IF(AND(N$70&lt;&gt;0,N$70&gt;0),IF(($AZ$70*2)&gt;=N$70,0,1),IF(AND(N$70&lt;&gt;0,N$70&lt;0),IF(($AZ$70*2)&lt;=N$70,0,1),0))</f>
        <v>#N/A</v>
      </c>
      <c r="O67" s="2391"/>
      <c r="P67" s="2391"/>
      <c r="Q67" s="2391"/>
      <c r="R67" s="2391" t="e">
        <f>IF(AND(R$70&lt;&gt;0,R$70&gt;0),IF(($AZ$70*2)&gt;=R$70,0,1),IF(AND(R$70&lt;&gt;0,R$70&lt;0),IF(($AZ$70*2)&lt;=R$70,0,1),0))</f>
        <v>#N/A</v>
      </c>
      <c r="S67" s="2391"/>
      <c r="T67" s="2391"/>
      <c r="U67" s="2391"/>
      <c r="V67" s="2391" t="e">
        <f>IF(AND(V$70&lt;&gt;0,V$70&gt;0),IF(($AZ$70*2)&gt;=V$70,0,1),IF(AND(V$70&lt;&gt;0,V$70&lt;0),IF(($AZ$70*2)&lt;=V$70,0,1),0))</f>
        <v>#N/A</v>
      </c>
      <c r="W67" s="2391"/>
      <c r="X67" s="2391"/>
      <c r="Y67" s="2391"/>
      <c r="Z67" s="2391" t="e">
        <f>IF(AND(Z$70&lt;&gt;0,Z$70&gt;0),IF(($AZ$70*2)&gt;=Z$70,0,1),IF(AND(Z$70&lt;&gt;0,Z$70&lt;0),IF(($AZ$70*2)&lt;=Z$70,0,1),0))</f>
        <v>#N/A</v>
      </c>
      <c r="AA67" s="2391"/>
      <c r="AB67" s="2391"/>
      <c r="AC67" s="2391"/>
      <c r="AD67" s="2391" t="e">
        <f>IF(AND(AD$70&lt;&gt;0,AD$70&gt;0),IF(($AZ$70*2)&gt;=AD$70,0,1),IF(AND(AD$70&lt;&gt;0,AD$70&lt;0),IF(($AZ$70*2)&lt;=AD$70,0,1),0))</f>
        <v>#N/A</v>
      </c>
      <c r="AE67" s="2391"/>
      <c r="AF67" s="2391"/>
      <c r="AG67" s="2391"/>
      <c r="AH67" s="2391" t="e">
        <f>IF(AND(AH$70&lt;&gt;0,AH$70&gt;0),IF(($AZ$70*2)&gt;=AH$70,0,1),IF(AND(AH$70&lt;&gt;0,AH$70&lt;0),IF(($AZ$70*2)&lt;=AH$70,0,1),0))</f>
        <v>#N/A</v>
      </c>
      <c r="AI67" s="2391"/>
      <c r="AJ67" s="2391"/>
      <c r="AK67" s="2391"/>
      <c r="AL67" s="33"/>
      <c r="AM67" s="2391" t="e">
        <f>IF(AND(AM$70&lt;&gt;0,AM$70&gt;0),IF(($AZ$70*2)&gt;=AM$70,0,1),IF(AND(AM$70&lt;&gt;0,AM$70&lt;0),IF(($AZ$70*2)&lt;=AM$70,0,1),0))</f>
        <v>#N/A</v>
      </c>
      <c r="AN67" s="2391"/>
      <c r="AO67" s="2391"/>
      <c r="AP67" s="2391"/>
      <c r="AQ67" s="2391" t="e">
        <f>IF(AND(AQ$70&lt;&gt;0,AQ$70&gt;0),IF(($AZ$70*2)&gt;=AQ$70,0,1),IF(AND(AQ$70&lt;&gt;0,AQ$70&lt;0),IF(($AZ$70*2)&lt;=AQ$70,0,1),0))</f>
        <v>#N/A</v>
      </c>
      <c r="AR67" s="2391"/>
      <c r="AS67" s="2391"/>
      <c r="AT67" s="2391"/>
      <c r="AU67" s="2391" t="e">
        <f>IF(AND(AU$70&lt;&gt;0,AU$70&gt;0),IF(($AZ$70*2)&gt;=AU$70,0,1),IF(AND(AU$70&lt;&gt;0,AU$70&lt;0),IF(($AZ$70*2)&lt;=AU$70,0,1),0))</f>
        <v>#N/A</v>
      </c>
      <c r="AV67" s="2391"/>
      <c r="AW67" s="2391"/>
      <c r="AX67" s="2391"/>
      <c r="AY67" s="346"/>
      <c r="AZ67" s="928"/>
      <c r="BA67" s="33"/>
      <c r="BB67" s="33"/>
      <c r="BC67" s="33"/>
      <c r="BD67" s="33"/>
      <c r="BE67" s="33"/>
      <c r="BF67" s="54"/>
      <c r="BG67" s="54"/>
      <c r="BH67" s="54"/>
      <c r="BI67" s="54"/>
      <c r="BJ67" s="54"/>
      <c r="BK67" s="54"/>
      <c r="BL67" s="54"/>
      <c r="BM67" s="54"/>
      <c r="BN67" s="54"/>
      <c r="BO67" s="54"/>
      <c r="BP67" s="54"/>
      <c r="BQ67" s="54"/>
    </row>
    <row r="68" spans="1:69" ht="7.5" customHeight="1" x14ac:dyDescent="0.2">
      <c r="A68" s="366"/>
      <c r="B68" s="1244"/>
      <c r="C68" s="2496" t="s">
        <v>243</v>
      </c>
      <c r="D68" s="2496"/>
      <c r="E68" s="2391" t="e">
        <f>IF(AND(E$70&lt;&gt;0,E$70&gt;0),IF(($AZ$71*1)&gt;=E$70,0,1),IF(AND(E$70&lt;&gt;0,E$70&lt;0),IF(($AZ$71*1)&lt;=E$70,0,1),0))</f>
        <v>#N/A</v>
      </c>
      <c r="F68" s="2391"/>
      <c r="G68" s="2391"/>
      <c r="H68" s="2391"/>
      <c r="I68" s="348"/>
      <c r="J68" s="2391" t="e">
        <f>IF(AND(J$70&lt;&gt;0,J$70&gt;0),IF(($AZ$70*1)&gt;=J$70,0,1),IF(AND(J$70&lt;&gt;0,J$70&lt;0),IF(($AZ$70*1)&lt;=J$70,0,1),0))</f>
        <v>#N/A</v>
      </c>
      <c r="K68" s="2391"/>
      <c r="L68" s="2391"/>
      <c r="M68" s="2391"/>
      <c r="N68" s="2391" t="e">
        <f>IF(AND(N$70&lt;&gt;0,N$70&gt;0),IF(($AZ$70*1)&gt;=N$70,0,1),IF(AND(N$70&lt;&gt;0,N$70&lt;0),IF(($AZ$70*1)&lt;=N$70,0,1),0))</f>
        <v>#N/A</v>
      </c>
      <c r="O68" s="2391"/>
      <c r="P68" s="2391"/>
      <c r="Q68" s="2391"/>
      <c r="R68" s="2391" t="e">
        <f>IF(AND(R$70&lt;&gt;0,R$70&gt;0),IF(($AZ$70*1)&gt;=R$70,0,1),IF(AND(R$70&lt;&gt;0,R$70&lt;0),IF(($AZ$70*1)&lt;=R$70,0,1),0))</f>
        <v>#N/A</v>
      </c>
      <c r="S68" s="2391"/>
      <c r="T68" s="2391"/>
      <c r="U68" s="2391"/>
      <c r="V68" s="2391" t="e">
        <f>IF(AND(V$70&lt;&gt;0,V$70&gt;0),IF(($AZ$70*1)&gt;=V$70,0,1),IF(AND(V$70&lt;&gt;0,V$70&lt;0),IF(($AZ$70*1)&lt;=V$70,0,1),0))</f>
        <v>#N/A</v>
      </c>
      <c r="W68" s="2391"/>
      <c r="X68" s="2391"/>
      <c r="Y68" s="2391"/>
      <c r="Z68" s="2391" t="e">
        <f>IF(AND(Z$70&lt;&gt;0,Z$70&gt;0),IF(($AZ$70*1)&gt;=Z$70,0,1),IF(AND(Z$70&lt;&gt;0,Z$70&lt;0),IF(($AZ$70*1)&lt;=Z$70,0,1),0))</f>
        <v>#N/A</v>
      </c>
      <c r="AA68" s="2391"/>
      <c r="AB68" s="2391"/>
      <c r="AC68" s="2391"/>
      <c r="AD68" s="2391" t="e">
        <f>IF(AND(AD$70&lt;&gt;0,AD$70&gt;0),IF(($AZ$70*1)&gt;=AD$70,0,1),IF(AND(AD$70&lt;&gt;0,AD$70&lt;0),IF(($AZ$70*1)&lt;=AD$70,0,1),0))</f>
        <v>#N/A</v>
      </c>
      <c r="AE68" s="2391"/>
      <c r="AF68" s="2391"/>
      <c r="AG68" s="2391"/>
      <c r="AH68" s="2391" t="e">
        <f>IF(AND(AH$70&lt;&gt;0,AH$70&gt;0),IF(($AZ$70*1)&gt;=AH$70,0,1),IF(AND(AH$70&lt;&gt;0,AH$70&lt;0),IF(($AZ$70*1)&lt;=AH$70,0,1),0))</f>
        <v>#N/A</v>
      </c>
      <c r="AI68" s="2391"/>
      <c r="AJ68" s="2391"/>
      <c r="AK68" s="2391"/>
      <c r="AL68" s="33"/>
      <c r="AM68" s="2391" t="e">
        <f>IF(AND(AM$70&lt;&gt;0,AM$70&gt;0),IF(($AZ$70*1)&gt;=AM$70,0,1),IF(AND(AM$70&lt;&gt;0,AM$70&lt;0),IF(($AZ$70*1)&lt;=AM$70,0,1),0))</f>
        <v>#N/A</v>
      </c>
      <c r="AN68" s="2391"/>
      <c r="AO68" s="2391"/>
      <c r="AP68" s="2391"/>
      <c r="AQ68" s="2391" t="e">
        <f>IF(AND(AQ$70&lt;&gt;0,AQ$70&gt;0),IF(($AZ$70*1)&gt;=AQ$70,0,1),IF(AND(AQ$70&lt;&gt;0,AQ$70&lt;0),IF(($AZ$70*1)&lt;=AQ$70,0,1),0))</f>
        <v>#N/A</v>
      </c>
      <c r="AR68" s="2391"/>
      <c r="AS68" s="2391"/>
      <c r="AT68" s="2391"/>
      <c r="AU68" s="2391" t="e">
        <f>IF(AND(AU$70&lt;&gt;0,AU$70&gt;0),IF(($AZ$70*1)&gt;=AU$70,0,1),IF(AND(AU$70&lt;&gt;0,AU$70&lt;0),IF(($AZ$70*1)&lt;=AU$70,0,1),0))</f>
        <v>#N/A</v>
      </c>
      <c r="AV68" s="2391"/>
      <c r="AW68" s="2391"/>
      <c r="AX68" s="2391"/>
      <c r="AY68" s="346"/>
      <c r="AZ68" s="928"/>
      <c r="BA68" s="33"/>
      <c r="BB68" s="33"/>
      <c r="BC68" s="33"/>
      <c r="BD68" s="33"/>
      <c r="BE68" s="33"/>
      <c r="BF68" s="54"/>
      <c r="BG68" s="54"/>
      <c r="BH68" s="54"/>
      <c r="BI68" s="54"/>
      <c r="BJ68" s="54"/>
      <c r="BK68" s="54"/>
      <c r="BL68" s="54"/>
      <c r="BM68" s="54"/>
      <c r="BN68" s="54"/>
      <c r="BO68" s="54"/>
      <c r="BP68" s="54"/>
      <c r="BQ68" s="54"/>
    </row>
    <row r="69" spans="1:69" ht="7.5" customHeight="1" x14ac:dyDescent="0.2">
      <c r="A69" s="366"/>
      <c r="B69" s="1244"/>
      <c r="C69" s="2496"/>
      <c r="D69" s="2496"/>
      <c r="E69" s="2391" t="e">
        <f>IF(E70&lt;&gt;0,1,0)</f>
        <v>#N/A</v>
      </c>
      <c r="F69" s="2391"/>
      <c r="G69" s="2391"/>
      <c r="H69" s="2391"/>
      <c r="I69" s="348"/>
      <c r="J69" s="2391" t="e">
        <f>IF(J70&lt;&gt;0,1,0)</f>
        <v>#N/A</v>
      </c>
      <c r="K69" s="2391"/>
      <c r="L69" s="2391"/>
      <c r="M69" s="2391"/>
      <c r="N69" s="2391" t="e">
        <f>IF(N70&lt;&gt;0,1,0)</f>
        <v>#N/A</v>
      </c>
      <c r="O69" s="2391"/>
      <c r="P69" s="2391"/>
      <c r="Q69" s="2391"/>
      <c r="R69" s="2391" t="e">
        <f>IF(R70&lt;&gt;0,1,0)</f>
        <v>#N/A</v>
      </c>
      <c r="S69" s="2391"/>
      <c r="T69" s="2391"/>
      <c r="U69" s="2391"/>
      <c r="V69" s="2391" t="e">
        <f>IF(V70&lt;&gt;0,1,0)</f>
        <v>#N/A</v>
      </c>
      <c r="W69" s="2391"/>
      <c r="X69" s="2391"/>
      <c r="Y69" s="2391"/>
      <c r="Z69" s="2391" t="e">
        <f>IF(Z70&lt;&gt;0,1,0)</f>
        <v>#N/A</v>
      </c>
      <c r="AA69" s="2391"/>
      <c r="AB69" s="2391"/>
      <c r="AC69" s="2391"/>
      <c r="AD69" s="2391" t="e">
        <f>IF(AD70&lt;&gt;0,1,0)</f>
        <v>#N/A</v>
      </c>
      <c r="AE69" s="2391"/>
      <c r="AF69" s="2391"/>
      <c r="AG69" s="2391"/>
      <c r="AH69" s="2391" t="e">
        <f>IF(AH70&lt;&gt;0,1,0)</f>
        <v>#N/A</v>
      </c>
      <c r="AI69" s="2391"/>
      <c r="AJ69" s="2391"/>
      <c r="AK69" s="2391"/>
      <c r="AL69" s="33"/>
      <c r="AM69" s="2391" t="e">
        <f>IF(AM70&lt;&gt;0,1,0)</f>
        <v>#N/A</v>
      </c>
      <c r="AN69" s="2391"/>
      <c r="AO69" s="2391"/>
      <c r="AP69" s="2391"/>
      <c r="AQ69" s="2391" t="e">
        <f>IF(AQ70&lt;&gt;0,1,0)</f>
        <v>#N/A</v>
      </c>
      <c r="AR69" s="2391"/>
      <c r="AS69" s="2391"/>
      <c r="AT69" s="2391"/>
      <c r="AU69" s="2391" t="e">
        <f>IF(AU70&lt;&gt;0,1,0)</f>
        <v>#N/A</v>
      </c>
      <c r="AV69" s="2391"/>
      <c r="AW69" s="2391"/>
      <c r="AX69" s="2391"/>
      <c r="AY69" s="346"/>
      <c r="AZ69" s="928"/>
      <c r="BA69" s="33"/>
      <c r="BB69" s="33"/>
      <c r="BC69" s="33"/>
      <c r="BD69" s="33"/>
      <c r="BE69" s="33"/>
      <c r="BF69" s="54"/>
      <c r="BG69" s="54"/>
      <c r="BH69" s="54"/>
      <c r="BI69" s="54"/>
      <c r="BJ69" s="54"/>
      <c r="BK69" s="54"/>
      <c r="BL69" s="54"/>
      <c r="BM69" s="54"/>
      <c r="BN69" s="54"/>
      <c r="BO69" s="54"/>
      <c r="BP69" s="54"/>
      <c r="BQ69" s="54"/>
    </row>
    <row r="70" spans="1:69" ht="18" customHeight="1" x14ac:dyDescent="0.2">
      <c r="A70" s="366"/>
      <c r="B70" s="1244"/>
      <c r="C70" s="2495">
        <f>C38</f>
        <v>2021</v>
      </c>
      <c r="D70" s="2495"/>
      <c r="E70" s="2390" t="e">
        <f>SUM(J70:AK70)+SUM(AM70:AX70)</f>
        <v>#N/A</v>
      </c>
      <c r="F70" s="2390"/>
      <c r="G70" s="2390"/>
      <c r="H70" s="2390"/>
      <c r="I70" s="348"/>
      <c r="J70" s="2390" t="e">
        <f>VLOOKUP($C$72,$B38:M41,J$43,FALSE)</f>
        <v>#N/A</v>
      </c>
      <c r="K70" s="2390"/>
      <c r="L70" s="2390"/>
      <c r="M70" s="2390"/>
      <c r="N70" s="2390" t="e">
        <f>VLOOKUP($C$72,$B38:Q41,N$43,FALSE)</f>
        <v>#N/A</v>
      </c>
      <c r="O70" s="2390"/>
      <c r="P70" s="2390"/>
      <c r="Q70" s="2390"/>
      <c r="R70" s="2390" t="e">
        <f>VLOOKUP($C$72,$B38:U41,R$43,FALSE)</f>
        <v>#N/A</v>
      </c>
      <c r="S70" s="2390"/>
      <c r="T70" s="2390"/>
      <c r="U70" s="2390"/>
      <c r="V70" s="2390" t="e">
        <f>VLOOKUP($C$72,$B38:Y41,V$43,FALSE)</f>
        <v>#N/A</v>
      </c>
      <c r="W70" s="2390"/>
      <c r="X70" s="2390"/>
      <c r="Y70" s="2390"/>
      <c r="Z70" s="2390" t="e">
        <f>VLOOKUP($C$72,$B38:AC41,Z$43,FALSE)</f>
        <v>#N/A</v>
      </c>
      <c r="AA70" s="2390"/>
      <c r="AB70" s="2390"/>
      <c r="AC70" s="2390"/>
      <c r="AD70" s="2390" t="e">
        <f>VLOOKUP($C$72,$B38:AG41,AD$43,FALSE)</f>
        <v>#N/A</v>
      </c>
      <c r="AE70" s="2390"/>
      <c r="AF70" s="2390"/>
      <c r="AG70" s="2390"/>
      <c r="AH70" s="2390" t="e">
        <f>VLOOKUP($C$72,$B38:AK41,AH$43,FALSE)</f>
        <v>#N/A</v>
      </c>
      <c r="AI70" s="2390"/>
      <c r="AJ70" s="2390"/>
      <c r="AK70" s="2390"/>
      <c r="AL70" s="33"/>
      <c r="AM70" s="2390" t="e">
        <f>VLOOKUP($C$72,$B38:AP41,AM$43,FALSE)</f>
        <v>#N/A</v>
      </c>
      <c r="AN70" s="2390"/>
      <c r="AO70" s="2390"/>
      <c r="AP70" s="2390"/>
      <c r="AQ70" s="2390" t="e">
        <f>VLOOKUP($C$72,$B38:AT41,AQ$43,FALSE)</f>
        <v>#N/A</v>
      </c>
      <c r="AR70" s="2390"/>
      <c r="AS70" s="2390"/>
      <c r="AT70" s="2390"/>
      <c r="AU70" s="2390" t="e">
        <f>VLOOKUP($C$72,$B38:AX41,AU$43,FALSE)</f>
        <v>#N/A</v>
      </c>
      <c r="AV70" s="2390"/>
      <c r="AW70" s="2390"/>
      <c r="AX70" s="2390"/>
      <c r="AY70" s="188"/>
      <c r="AZ70" s="1252" t="e">
        <f>MAX(J70,N70,R70,V70,Z70,AD70,AH70,AM70,AQ70,AU70)/5</f>
        <v>#N/A</v>
      </c>
      <c r="BA70" s="33"/>
      <c r="BB70" s="33"/>
      <c r="BC70" s="33"/>
      <c r="BD70" s="33"/>
      <c r="BE70" s="33"/>
      <c r="BF70" s="54"/>
      <c r="BG70" s="54"/>
      <c r="BH70" s="54"/>
      <c r="BI70" s="54"/>
      <c r="BJ70" s="54"/>
      <c r="BK70" s="54"/>
      <c r="BL70" s="54"/>
      <c r="BM70" s="54"/>
      <c r="BN70" s="54"/>
      <c r="BO70" s="54"/>
      <c r="BP70" s="54"/>
      <c r="BQ70" s="54"/>
    </row>
    <row r="71" spans="1:69" ht="6.75" customHeight="1" x14ac:dyDescent="0.2">
      <c r="A71" s="366"/>
      <c r="B71" s="1244"/>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4"/>
      <c r="AE71" s="144"/>
      <c r="AF71" s="144"/>
      <c r="AG71" s="144"/>
      <c r="AH71" s="144"/>
      <c r="AI71" s="144"/>
      <c r="AJ71" s="33"/>
      <c r="AK71" s="33"/>
      <c r="AL71" s="33"/>
      <c r="AM71" s="144"/>
      <c r="AN71" s="144"/>
      <c r="AO71" s="144"/>
      <c r="AP71" s="144"/>
      <c r="AQ71" s="144"/>
      <c r="AR71" s="138"/>
      <c r="AS71" s="33"/>
      <c r="AT71" s="33"/>
      <c r="AU71" s="33"/>
      <c r="AV71" s="33"/>
      <c r="AW71" s="33"/>
      <c r="AX71" s="33"/>
      <c r="AY71" s="33"/>
      <c r="AZ71" s="1252" t="e">
        <f>MAX(E49,E56,E63,E70)/5</f>
        <v>#N/A</v>
      </c>
      <c r="BA71" s="33"/>
      <c r="BB71" s="33"/>
      <c r="BC71" s="33"/>
      <c r="BD71" s="33"/>
      <c r="BE71" s="33"/>
      <c r="BF71" s="54"/>
      <c r="BG71" s="54"/>
      <c r="BH71" s="54"/>
      <c r="BI71" s="54"/>
      <c r="BJ71" s="54"/>
      <c r="BK71" s="54"/>
      <c r="BL71" s="54"/>
      <c r="BM71" s="54"/>
      <c r="BN71" s="54"/>
      <c r="BO71" s="54"/>
      <c r="BP71" s="54"/>
      <c r="BQ71" s="54"/>
    </row>
    <row r="72" spans="1:69" ht="18" customHeight="1" x14ac:dyDescent="0.25">
      <c r="A72" s="366"/>
      <c r="B72" s="1244"/>
      <c r="C72" s="2493"/>
      <c r="D72" s="2494"/>
      <c r="E72" s="2395" t="s">
        <v>214</v>
      </c>
      <c r="F72" s="2396"/>
      <c r="G72" s="2396"/>
      <c r="H72" s="2396"/>
      <c r="I72" s="2396"/>
      <c r="J72" s="2396"/>
      <c r="K72" s="2396"/>
      <c r="L72" s="2396"/>
      <c r="M72" s="2396"/>
      <c r="N72" s="2396"/>
      <c r="O72" s="2396"/>
      <c r="P72" s="2396"/>
      <c r="Q72" s="2396"/>
      <c r="R72" s="2396"/>
      <c r="S72" s="143"/>
      <c r="T72" s="143"/>
      <c r="U72" s="143"/>
      <c r="V72" s="143"/>
      <c r="W72" s="143"/>
      <c r="X72" s="143"/>
      <c r="Y72" s="143"/>
      <c r="Z72" s="143"/>
      <c r="AA72" s="143"/>
      <c r="AB72" s="143"/>
      <c r="AC72" s="143"/>
      <c r="AD72" s="144"/>
      <c r="AE72" s="144"/>
      <c r="AF72" s="144"/>
      <c r="AG72" s="144"/>
      <c r="AH72" s="144"/>
      <c r="AI72" s="144"/>
      <c r="AJ72" s="144"/>
      <c r="AK72" s="372" t="str">
        <f>Presentazione!$H$23</f>
        <v/>
      </c>
      <c r="AL72" s="144"/>
      <c r="AM72" s="144"/>
      <c r="AN72" s="144"/>
      <c r="AO72" s="138"/>
      <c r="AP72" s="33"/>
      <c r="AQ72" s="33"/>
      <c r="AR72" s="334"/>
      <c r="AS72" s="33"/>
      <c r="AT72" s="334"/>
      <c r="AU72" s="33"/>
      <c r="AV72" s="33"/>
      <c r="AW72" s="33"/>
      <c r="AX72" s="334"/>
      <c r="AY72" s="33"/>
      <c r="AZ72" s="33"/>
      <c r="BA72" s="33"/>
      <c r="BB72" s="33"/>
      <c r="BC72" s="33"/>
      <c r="BD72" s="33"/>
      <c r="BE72" s="33"/>
      <c r="BF72" s="54"/>
      <c r="BG72" s="54"/>
      <c r="BH72" s="54"/>
      <c r="BI72" s="54"/>
      <c r="BJ72" s="54"/>
      <c r="BK72" s="54"/>
      <c r="BL72" s="54"/>
      <c r="BM72" s="54"/>
      <c r="BN72" s="54"/>
      <c r="BO72" s="54"/>
      <c r="BP72" s="54"/>
      <c r="BQ72" s="54"/>
    </row>
    <row r="73" spans="1:69" ht="18" customHeight="1" x14ac:dyDescent="0.2">
      <c r="A73" s="366"/>
      <c r="B73" s="1244"/>
      <c r="C73" s="127"/>
      <c r="D73" s="127"/>
      <c r="E73" s="349" t="s">
        <v>90</v>
      </c>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44"/>
      <c r="AE73" s="1244"/>
      <c r="AF73" s="1244"/>
      <c r="AG73" s="1244"/>
      <c r="AH73" s="1244"/>
      <c r="AI73" s="1244"/>
      <c r="AJ73" s="1244"/>
      <c r="AK73" s="409" t="str">
        <f>IF(Presentazione!$J$173=Presentazione!$K$95,CONCATENATE(Presentazione!$F$89,"   -   ","P.I./C.F ",Presentazione!$K$91),Presentazione!$I$165)</f>
        <v>Sistema attivato dal 01/01 al 31/03. Modifica il trimestre dal foglio Presentazione.</v>
      </c>
      <c r="AL73" s="1244"/>
      <c r="AM73" s="1244"/>
      <c r="AN73" s="1244"/>
      <c r="AO73" s="33"/>
      <c r="AP73" s="33"/>
      <c r="AQ73" s="33"/>
      <c r="AR73" s="33"/>
      <c r="AS73" s="33"/>
      <c r="AT73" s="33"/>
      <c r="AU73" s="33"/>
      <c r="AV73" s="33"/>
      <c r="AW73" s="33"/>
      <c r="AX73" s="33"/>
      <c r="AY73" s="33"/>
      <c r="AZ73" s="33"/>
      <c r="BA73" s="33"/>
      <c r="BB73" s="33"/>
      <c r="BC73" s="33"/>
      <c r="BD73" s="33"/>
      <c r="BE73" s="33"/>
    </row>
    <row r="74" spans="1:69" ht="11.25" customHeight="1" x14ac:dyDescent="0.2">
      <c r="A74" s="366"/>
      <c r="B74" s="350" t="str">
        <f>CONCATENATE("www.marcopiccoli.it - ",Presentazione!$G$29)</f>
        <v>www.marcopiccoli.it - Registro Contabile Giornaliero 6.0.7 - per EXCEL .xlsm</v>
      </c>
      <c r="C74" s="350"/>
      <c r="D74" s="350"/>
      <c r="E74" s="350"/>
      <c r="F74" s="350"/>
      <c r="G74" s="350"/>
      <c r="H74" s="350"/>
      <c r="I74" s="350"/>
      <c r="J74" s="350"/>
      <c r="K74" s="119"/>
      <c r="L74" s="119"/>
      <c r="M74" s="143"/>
      <c r="N74" s="143"/>
      <c r="O74" s="143"/>
      <c r="P74" s="143"/>
      <c r="Q74" s="143"/>
      <c r="R74" s="143"/>
      <c r="S74" s="143"/>
      <c r="T74" s="143"/>
      <c r="U74" s="143"/>
      <c r="V74" s="143"/>
      <c r="W74" s="143"/>
      <c r="X74" s="143"/>
      <c r="Y74" s="143"/>
      <c r="Z74" s="143"/>
      <c r="AA74" s="143"/>
      <c r="AB74" s="143"/>
      <c r="AC74" s="143"/>
      <c r="AD74" s="144"/>
      <c r="AE74" s="144"/>
      <c r="AF74" s="144"/>
      <c r="AG74" s="144"/>
      <c r="AH74" s="119"/>
      <c r="AI74" s="119"/>
      <c r="AJ74" s="119"/>
      <c r="AK74" s="119"/>
      <c r="AL74" s="119"/>
      <c r="AM74" s="119"/>
      <c r="AN74" s="119"/>
      <c r="AO74" s="119"/>
      <c r="AP74" s="119"/>
      <c r="AQ74" s="119"/>
      <c r="AR74" s="119"/>
      <c r="AS74" s="119"/>
      <c r="AT74" s="119"/>
      <c r="AU74" s="119"/>
      <c r="AV74" s="119"/>
      <c r="AW74" s="119"/>
      <c r="AX74" s="119"/>
      <c r="AY74" s="119"/>
      <c r="AZ74" s="33"/>
      <c r="BA74" s="33"/>
      <c r="BB74" s="33"/>
      <c r="BC74" s="33"/>
      <c r="BD74" s="33"/>
      <c r="BE74" s="33"/>
    </row>
    <row r="75" spans="1:69" ht="18" customHeight="1" x14ac:dyDescent="0.2">
      <c r="A75" s="366"/>
      <c r="B75" s="1244"/>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44"/>
      <c r="AE75" s="1244"/>
      <c r="AF75" s="1244"/>
      <c r="AG75" s="1244"/>
      <c r="AH75" s="1244"/>
      <c r="AI75" s="1244"/>
      <c r="AJ75" s="1244"/>
      <c r="AK75" s="1244"/>
      <c r="AL75" s="1244"/>
      <c r="AM75" s="1244"/>
      <c r="AN75" s="1244"/>
      <c r="AO75" s="33"/>
      <c r="AP75" s="33"/>
      <c r="AQ75" s="33"/>
      <c r="AR75" s="33"/>
      <c r="AS75" s="33"/>
      <c r="AT75" s="33"/>
      <c r="AU75" s="33"/>
      <c r="AV75" s="33"/>
      <c r="AW75" s="33"/>
      <c r="AX75" s="33"/>
      <c r="AY75" s="33"/>
      <c r="AZ75" s="33"/>
      <c r="BA75" s="33"/>
      <c r="BB75" s="33"/>
      <c r="BC75" s="33"/>
      <c r="BD75" s="33"/>
      <c r="BE75" s="33"/>
      <c r="BF75" s="627"/>
      <c r="BG75" s="627"/>
      <c r="BH75" s="627"/>
      <c r="BI75" s="627"/>
      <c r="BJ75" s="627"/>
      <c r="BK75" s="627"/>
      <c r="BL75" s="627"/>
      <c r="BM75" s="627"/>
      <c r="BN75" s="627"/>
      <c r="BO75" s="627"/>
      <c r="BP75" s="627"/>
      <c r="BQ75" s="627"/>
    </row>
    <row r="76" spans="1:69" s="627" customFormat="1" ht="4.5" hidden="1" customHeight="1" x14ac:dyDescent="0.2"/>
    <row r="77" spans="1:69" s="627" customFormat="1" ht="4.5" hidden="1" customHeight="1" x14ac:dyDescent="0.2"/>
    <row r="78" spans="1:69" s="627" customFormat="1" ht="4.5" hidden="1" customHeight="1" x14ac:dyDescent="0.2"/>
    <row r="79" spans="1:69" s="627" customFormat="1" ht="4.5" hidden="1" customHeight="1" x14ac:dyDescent="0.2"/>
    <row r="80" spans="1:69" s="627" customFormat="1" ht="4.5" hidden="1" customHeight="1" x14ac:dyDescent="0.2"/>
    <row r="81" spans="58:69" s="627" customFormat="1" ht="4.5" hidden="1" customHeight="1" x14ac:dyDescent="0.2"/>
    <row r="82" spans="58:69" s="627" customFormat="1" ht="4.5" hidden="1" customHeight="1" x14ac:dyDescent="0.2"/>
    <row r="83" spans="58:69" s="627" customFormat="1" ht="4.5" hidden="1" customHeight="1" x14ac:dyDescent="0.2"/>
    <row r="84" spans="58:69" s="627" customFormat="1" ht="4.5" hidden="1" customHeight="1" x14ac:dyDescent="0.2"/>
    <row r="85" spans="58:69" s="627" customFormat="1" ht="4.5" hidden="1" customHeight="1" x14ac:dyDescent="0.2"/>
    <row r="86" spans="58:69" s="627" customFormat="1" ht="4.5" hidden="1" customHeight="1" x14ac:dyDescent="0.2"/>
    <row r="87" spans="58:69" s="627" customFormat="1" ht="4.5" hidden="1" customHeight="1" x14ac:dyDescent="0.2"/>
    <row r="88" spans="58:69" s="627" customFormat="1" ht="4.5" hidden="1" customHeight="1" x14ac:dyDescent="0.2"/>
    <row r="89" spans="58:69" s="627" customFormat="1" ht="4.5" hidden="1" customHeight="1" x14ac:dyDescent="0.2"/>
    <row r="90" spans="58:69" s="627" customFormat="1" ht="4.5" hidden="1" customHeight="1" x14ac:dyDescent="0.2"/>
    <row r="91" spans="58:69" s="627" customFormat="1" ht="4.5" hidden="1" customHeight="1" x14ac:dyDescent="0.2"/>
    <row r="92" spans="58:69" s="627" customFormat="1" ht="4.5" hidden="1" customHeight="1" x14ac:dyDescent="0.2"/>
    <row r="93" spans="58:69" s="627" customFormat="1" ht="4.5" hidden="1" customHeight="1" x14ac:dyDescent="0.2"/>
    <row r="94" spans="58:69" s="627" customFormat="1" ht="4.5" hidden="1" customHeight="1" x14ac:dyDescent="0.2"/>
    <row r="95" spans="58:69" s="627" customFormat="1" ht="4.5" hidden="1" customHeight="1" x14ac:dyDescent="0.2"/>
    <row r="96" spans="58:69" s="627" customFormat="1" ht="4.5" hidden="1" customHeight="1" x14ac:dyDescent="0.2">
      <c r="BF96" s="633"/>
      <c r="BG96" s="633"/>
      <c r="BH96" s="633"/>
      <c r="BI96" s="633"/>
      <c r="BJ96" s="633"/>
      <c r="BK96" s="633"/>
      <c r="BL96" s="633"/>
      <c r="BM96" s="633"/>
      <c r="BN96" s="633"/>
      <c r="BO96" s="633"/>
      <c r="BP96" s="633"/>
      <c r="BQ96" s="633"/>
    </row>
    <row r="97" spans="1:57" ht="18" hidden="1" customHeight="1" x14ac:dyDescent="0.2">
      <c r="A97" s="33"/>
      <c r="B97" s="1244"/>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44"/>
      <c r="AE97" s="1244"/>
      <c r="AF97" s="1244"/>
      <c r="AG97" s="1244"/>
      <c r="AH97" s="1244"/>
      <c r="AI97" s="1244"/>
      <c r="AJ97" s="1244"/>
      <c r="AK97" s="1244"/>
      <c r="AL97" s="1244"/>
      <c r="AM97" s="1244"/>
      <c r="AN97" s="1244"/>
      <c r="AO97" s="33"/>
      <c r="AP97" s="33"/>
      <c r="AQ97" s="33"/>
      <c r="AR97" s="33"/>
      <c r="AS97" s="33"/>
      <c r="AT97" s="33"/>
      <c r="AU97" s="33"/>
      <c r="AV97" s="33"/>
      <c r="AW97" s="33"/>
      <c r="AX97" s="33"/>
      <c r="AY97" s="33"/>
      <c r="AZ97" s="33"/>
      <c r="BA97" s="33"/>
      <c r="BB97" s="33"/>
      <c r="BC97" s="33"/>
      <c r="BD97" s="33"/>
      <c r="BE97" s="33"/>
    </row>
    <row r="98" spans="1:57" ht="15.75" hidden="1" customHeight="1" x14ac:dyDescent="0.2">
      <c r="A98" s="33"/>
      <c r="B98" s="1244"/>
      <c r="C98" s="1244"/>
      <c r="D98" s="33"/>
      <c r="E98" s="1244"/>
      <c r="F98" s="1244"/>
      <c r="G98" s="1244"/>
      <c r="H98" s="1244"/>
      <c r="I98" s="1244"/>
      <c r="J98" s="127"/>
      <c r="K98" s="332" t="s">
        <v>513</v>
      </c>
      <c r="L98" s="332" t="s">
        <v>515</v>
      </c>
      <c r="M98" s="332" t="s">
        <v>514</v>
      </c>
      <c r="N98" s="331"/>
      <c r="O98" s="143"/>
      <c r="P98" s="143"/>
      <c r="Q98" s="2392" t="str">
        <f>IMPOSTAZIONI!D137</f>
        <v>Non convalidato</v>
      </c>
      <c r="R98" s="2393"/>
      <c r="S98" s="2394"/>
      <c r="T98" s="103"/>
      <c r="U98" s="933" t="str">
        <f>IMPOSTAZIONI!$X$14</f>
        <v>+</v>
      </c>
      <c r="V98" s="131"/>
      <c r="W98" s="103"/>
      <c r="X98" s="103"/>
      <c r="Y98" s="103"/>
      <c r="Z98" s="1244"/>
      <c r="AA98" s="1244"/>
      <c r="AB98" s="1244"/>
      <c r="AC98" s="1244"/>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7" ht="18" hidden="1" customHeight="1" x14ac:dyDescent="0.2">
      <c r="A99" s="33"/>
      <c r="B99" s="1244"/>
      <c r="C99" s="33"/>
      <c r="D99" s="33"/>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44"/>
      <c r="AE99" s="1244"/>
      <c r="AF99" s="1244"/>
      <c r="AG99" s="1244"/>
      <c r="AH99" s="1244"/>
      <c r="AI99" s="1244"/>
      <c r="AJ99" s="1244"/>
      <c r="AK99" s="1244"/>
      <c r="AL99" s="1244"/>
      <c r="AM99" s="1244"/>
      <c r="AN99" s="1244"/>
      <c r="AO99" s="33"/>
      <c r="AP99" s="33"/>
      <c r="AQ99" s="33"/>
      <c r="AR99" s="33"/>
      <c r="AS99" s="33"/>
      <c r="AT99" s="33"/>
      <c r="AU99" s="33"/>
      <c r="AV99" s="33"/>
      <c r="AW99" s="33"/>
      <c r="AX99" s="33"/>
      <c r="AY99" s="33"/>
      <c r="AZ99" s="33"/>
    </row>
    <row r="100" spans="1:57" ht="18" hidden="1" customHeight="1" x14ac:dyDescent="0.2">
      <c r="A100" s="33"/>
      <c r="B100" s="1244"/>
      <c r="C100" s="127"/>
      <c r="D100" s="127"/>
      <c r="E100" s="2478" t="str">
        <f>J9</f>
        <v/>
      </c>
      <c r="F100" s="2478"/>
      <c r="G100" s="2478"/>
      <c r="H100" s="2478" t="str">
        <f>N9</f>
        <v/>
      </c>
      <c r="I100" s="2478"/>
      <c r="J100" s="2478"/>
      <c r="K100" s="2478" t="str">
        <f>R9</f>
        <v/>
      </c>
      <c r="L100" s="2478"/>
      <c r="M100" s="2478"/>
      <c r="N100" s="2478" t="str">
        <f>V9</f>
        <v/>
      </c>
      <c r="O100" s="2478"/>
      <c r="P100" s="2478"/>
      <c r="Q100" s="2478" t="str">
        <f>Z9</f>
        <v/>
      </c>
      <c r="R100" s="2478"/>
      <c r="S100" s="2478"/>
      <c r="T100" s="2478" t="str">
        <f>AD9</f>
        <v/>
      </c>
      <c r="U100" s="2478"/>
      <c r="V100" s="2478"/>
      <c r="W100" s="2478" t="str">
        <f>AH9</f>
        <v/>
      </c>
      <c r="X100" s="2478"/>
      <c r="Y100" s="2478"/>
      <c r="Z100" s="2478" t="str">
        <f>AM9</f>
        <v/>
      </c>
      <c r="AA100" s="2478"/>
      <c r="AB100" s="2478"/>
      <c r="AC100" s="2478" t="str">
        <f>AQ9</f>
        <v/>
      </c>
      <c r="AD100" s="2478"/>
      <c r="AE100" s="2478"/>
      <c r="AF100" s="2478" t="str">
        <f>AU9</f>
        <v/>
      </c>
      <c r="AG100" s="2478"/>
      <c r="AH100" s="2478"/>
      <c r="AI100" s="1244"/>
      <c r="AJ100" s="1244"/>
      <c r="AK100" s="1244"/>
      <c r="AL100" s="1244"/>
      <c r="AM100" s="1244"/>
      <c r="AN100" s="1244"/>
      <c r="AO100" s="33"/>
      <c r="AP100" s="33"/>
      <c r="AQ100" s="33"/>
      <c r="AR100" s="33"/>
      <c r="AS100" s="33"/>
      <c r="AT100" s="33"/>
      <c r="AU100" s="33"/>
      <c r="AV100" s="33"/>
      <c r="AW100" s="33"/>
      <c r="AX100" s="33"/>
      <c r="AY100" s="33"/>
      <c r="AZ100" s="33"/>
    </row>
    <row r="101" spans="1:57" ht="18" hidden="1" customHeight="1" x14ac:dyDescent="0.2">
      <c r="A101" s="33"/>
      <c r="B101" s="1244"/>
      <c r="C101" s="127"/>
      <c r="D101" s="127"/>
      <c r="E101" s="2387" t="str">
        <f>J10</f>
        <v>Colonna 1</v>
      </c>
      <c r="F101" s="2388"/>
      <c r="G101" s="2388"/>
      <c r="H101" s="2389" t="str">
        <f>N10</f>
        <v>Colonna 2</v>
      </c>
      <c r="I101" s="2388"/>
      <c r="J101" s="2388"/>
      <c r="K101" s="2389" t="str">
        <f>R10</f>
        <v>Colonna 3</v>
      </c>
      <c r="L101" s="2388"/>
      <c r="M101" s="2388"/>
      <c r="N101" s="2389" t="str">
        <f>V10</f>
        <v>Colonna 4</v>
      </c>
      <c r="O101" s="2388"/>
      <c r="P101" s="2388"/>
      <c r="Q101" s="2389" t="str">
        <f>Z10</f>
        <v>Colonna 5</v>
      </c>
      <c r="R101" s="2388"/>
      <c r="S101" s="2388"/>
      <c r="T101" s="2389" t="str">
        <f>AD10</f>
        <v>Colonna 6</v>
      </c>
      <c r="U101" s="2388"/>
      <c r="V101" s="2388"/>
      <c r="W101" s="2481" t="str">
        <f>AH10</f>
        <v>Colonna 7</v>
      </c>
      <c r="X101" s="2482"/>
      <c r="Y101" s="2482"/>
      <c r="Z101" s="2476" t="str">
        <f>AM10</f>
        <v>Colonna 8</v>
      </c>
      <c r="AA101" s="2388"/>
      <c r="AB101" s="2477"/>
      <c r="AC101" s="2389" t="str">
        <f>AQ10</f>
        <v>Colonna 9</v>
      </c>
      <c r="AD101" s="2388"/>
      <c r="AE101" s="2388"/>
      <c r="AF101" s="2389" t="str">
        <f>AU10</f>
        <v>Colonna 10</v>
      </c>
      <c r="AG101" s="2388"/>
      <c r="AH101" s="2483"/>
      <c r="AI101" s="1244"/>
      <c r="AJ101" s="1244"/>
      <c r="AK101" s="1244"/>
      <c r="AL101" s="1244"/>
      <c r="AM101" s="1244"/>
      <c r="AN101" s="1244"/>
      <c r="AO101" s="1244"/>
      <c r="AP101" s="1244"/>
      <c r="AQ101" s="1244"/>
      <c r="AR101" s="33"/>
      <c r="AS101" s="33"/>
      <c r="AT101" s="33"/>
      <c r="AU101" s="33"/>
      <c r="AV101" s="33"/>
      <c r="AW101" s="33"/>
      <c r="AX101" s="33"/>
      <c r="AY101" s="33"/>
      <c r="AZ101" s="33"/>
    </row>
    <row r="102" spans="1:57" ht="18" hidden="1" customHeight="1" x14ac:dyDescent="0.2">
      <c r="A102" s="33"/>
      <c r="B102" s="1244"/>
      <c r="C102" s="2491" t="s">
        <v>513</v>
      </c>
      <c r="D102" s="2492"/>
      <c r="E102" s="2487">
        <f>J15</f>
        <v>0</v>
      </c>
      <c r="F102" s="1629"/>
      <c r="G102" s="1630"/>
      <c r="H102" s="1628">
        <f>N15</f>
        <v>0</v>
      </c>
      <c r="I102" s="1629"/>
      <c r="J102" s="1630"/>
      <c r="K102" s="1628">
        <f>R15</f>
        <v>0</v>
      </c>
      <c r="L102" s="1629"/>
      <c r="M102" s="1630"/>
      <c r="N102" s="1628">
        <f>V15</f>
        <v>0</v>
      </c>
      <c r="O102" s="1629"/>
      <c r="P102" s="1630"/>
      <c r="Q102" s="1628">
        <f>Z15</f>
        <v>0</v>
      </c>
      <c r="R102" s="1629"/>
      <c r="S102" s="1630"/>
      <c r="T102" s="1628">
        <f>AD15</f>
        <v>0</v>
      </c>
      <c r="U102" s="1629"/>
      <c r="V102" s="1630"/>
      <c r="W102" s="1628">
        <f>AH15</f>
        <v>0</v>
      </c>
      <c r="X102" s="1629"/>
      <c r="Y102" s="1629"/>
      <c r="Z102" s="2479">
        <f>AM15</f>
        <v>0</v>
      </c>
      <c r="AA102" s="1629"/>
      <c r="AB102" s="1630"/>
      <c r="AC102" s="1628">
        <f>AQ15</f>
        <v>0</v>
      </c>
      <c r="AD102" s="1629"/>
      <c r="AE102" s="1630"/>
      <c r="AF102" s="1628">
        <f>AU15</f>
        <v>0</v>
      </c>
      <c r="AG102" s="1629"/>
      <c r="AH102" s="2480"/>
      <c r="AI102" s="1244"/>
      <c r="AJ102" s="104" t="str">
        <f>GEN!I187</f>
        <v>ANNO   2024</v>
      </c>
      <c r="AK102" s="1244"/>
      <c r="AL102" s="1244"/>
      <c r="AM102" s="1244"/>
      <c r="AN102" s="1244"/>
      <c r="AO102" s="1244"/>
      <c r="AP102" s="310" t="str">
        <f>CONCATENATE(C102,AJ102)</f>
        <v>INSERITOANNO   2024</v>
      </c>
      <c r="AQ102" s="1244">
        <v>3</v>
      </c>
      <c r="AR102" s="33"/>
      <c r="AS102" s="33"/>
      <c r="AT102" s="33"/>
      <c r="AU102" s="33"/>
      <c r="AV102" s="33"/>
      <c r="AW102" s="33"/>
      <c r="AX102" s="33"/>
      <c r="AY102" s="33"/>
      <c r="AZ102" s="33"/>
    </row>
    <row r="103" spans="1:57" ht="18" hidden="1" customHeight="1" x14ac:dyDescent="0.2">
      <c r="A103" s="33"/>
      <c r="B103" s="1244"/>
      <c r="C103" s="2485" t="s">
        <v>515</v>
      </c>
      <c r="D103" s="2486"/>
      <c r="E103" s="1639">
        <f>J17</f>
        <v>0</v>
      </c>
      <c r="F103" s="1573"/>
      <c r="G103" s="1574"/>
      <c r="H103" s="1572">
        <f>N17</f>
        <v>0</v>
      </c>
      <c r="I103" s="1573"/>
      <c r="J103" s="1574"/>
      <c r="K103" s="1572">
        <f>R17</f>
        <v>0</v>
      </c>
      <c r="L103" s="1573"/>
      <c r="M103" s="1574"/>
      <c r="N103" s="1572">
        <f>V17</f>
        <v>0</v>
      </c>
      <c r="O103" s="1573"/>
      <c r="P103" s="1574"/>
      <c r="Q103" s="1572">
        <f>Z17</f>
        <v>0</v>
      </c>
      <c r="R103" s="1573"/>
      <c r="S103" s="1574"/>
      <c r="T103" s="1572">
        <f>AD17</f>
        <v>0</v>
      </c>
      <c r="U103" s="1573"/>
      <c r="V103" s="1574"/>
      <c r="W103" s="1572">
        <f>AH17</f>
        <v>0</v>
      </c>
      <c r="X103" s="1573"/>
      <c r="Y103" s="1573"/>
      <c r="Z103" s="2484">
        <f>AM17</f>
        <v>0</v>
      </c>
      <c r="AA103" s="1573"/>
      <c r="AB103" s="1574"/>
      <c r="AC103" s="1572">
        <f>AQ17</f>
        <v>0</v>
      </c>
      <c r="AD103" s="1573"/>
      <c r="AE103" s="1574"/>
      <c r="AF103" s="1572">
        <f>AU17</f>
        <v>0</v>
      </c>
      <c r="AG103" s="1573"/>
      <c r="AH103" s="1609"/>
      <c r="AI103" s="1244"/>
      <c r="AJ103" s="1244"/>
      <c r="AK103" s="1244"/>
      <c r="AL103" s="1244"/>
      <c r="AM103" s="1244"/>
      <c r="AN103" s="1244"/>
      <c r="AO103" s="1244"/>
      <c r="AP103" s="310" t="str">
        <f>CONCATENATE(C103,AJ102)</f>
        <v>a CONTOANNO   2024</v>
      </c>
      <c r="AQ103" s="1244">
        <v>4</v>
      </c>
      <c r="AR103" s="33"/>
      <c r="AS103" s="33"/>
      <c r="AT103" s="33"/>
      <c r="AU103" s="33"/>
      <c r="AV103" s="33"/>
      <c r="AW103" s="33"/>
      <c r="AX103" s="33"/>
      <c r="AY103" s="33"/>
      <c r="AZ103" s="33"/>
    </row>
    <row r="104" spans="1:57" ht="18" hidden="1" customHeight="1" x14ac:dyDescent="0.2">
      <c r="A104" s="33"/>
      <c r="B104" s="1244"/>
      <c r="C104" s="2489" t="s">
        <v>514</v>
      </c>
      <c r="D104" s="2490"/>
      <c r="E104" s="1663">
        <f>J18</f>
        <v>0</v>
      </c>
      <c r="F104" s="1616"/>
      <c r="G104" s="1617"/>
      <c r="H104" s="1615">
        <f>N18</f>
        <v>0</v>
      </c>
      <c r="I104" s="1616"/>
      <c r="J104" s="1617"/>
      <c r="K104" s="1615">
        <f>R18</f>
        <v>0</v>
      </c>
      <c r="L104" s="1616"/>
      <c r="M104" s="1617"/>
      <c r="N104" s="1615">
        <f>V18</f>
        <v>0</v>
      </c>
      <c r="O104" s="1616"/>
      <c r="P104" s="1617"/>
      <c r="Q104" s="1615">
        <f>Z18</f>
        <v>0</v>
      </c>
      <c r="R104" s="1616"/>
      <c r="S104" s="1617"/>
      <c r="T104" s="1615">
        <f>AD18</f>
        <v>0</v>
      </c>
      <c r="U104" s="1616"/>
      <c r="V104" s="1617"/>
      <c r="W104" s="1615">
        <f>AH18</f>
        <v>0</v>
      </c>
      <c r="X104" s="1616"/>
      <c r="Y104" s="1616"/>
      <c r="Z104" s="2488">
        <f>AM18</f>
        <v>0</v>
      </c>
      <c r="AA104" s="1616"/>
      <c r="AB104" s="1617"/>
      <c r="AC104" s="1615">
        <f>AQ18</f>
        <v>0</v>
      </c>
      <c r="AD104" s="1616"/>
      <c r="AE104" s="1617"/>
      <c r="AF104" s="1615">
        <f>AU18</f>
        <v>0</v>
      </c>
      <c r="AG104" s="1616"/>
      <c r="AH104" s="1618"/>
      <c r="AI104" s="1244"/>
      <c r="AJ104" s="1244"/>
      <c r="AK104" s="1244"/>
      <c r="AL104" s="1244"/>
      <c r="AM104" s="1244"/>
      <c r="AN104" s="1244"/>
      <c r="AO104" s="1244"/>
      <c r="AP104" s="310" t="str">
        <f>CONCATENATE(C104,AJ102)</f>
        <v>Percent.ANNO   2024</v>
      </c>
      <c r="AQ104" s="1244">
        <v>5</v>
      </c>
      <c r="AR104" s="33"/>
      <c r="AS104" s="33"/>
      <c r="AT104" s="33"/>
      <c r="AU104" s="33"/>
      <c r="AV104" s="33"/>
      <c r="AW104" s="33"/>
      <c r="AX104" s="33"/>
      <c r="AY104" s="33"/>
      <c r="AZ104" s="33"/>
    </row>
    <row r="105" spans="1:57" ht="18" hidden="1" customHeight="1" x14ac:dyDescent="0.2">
      <c r="A105" s="33"/>
      <c r="B105" s="1244"/>
      <c r="C105" s="2485" t="str">
        <f>C102</f>
        <v>INSERITO</v>
      </c>
      <c r="D105" s="2486"/>
      <c r="E105" s="2487">
        <f>J26</f>
        <v>0</v>
      </c>
      <c r="F105" s="1629"/>
      <c r="G105" s="1630"/>
      <c r="H105" s="1628">
        <f>N26</f>
        <v>0</v>
      </c>
      <c r="I105" s="1629"/>
      <c r="J105" s="1630"/>
      <c r="K105" s="1628">
        <f>R26</f>
        <v>0</v>
      </c>
      <c r="L105" s="1629"/>
      <c r="M105" s="1630"/>
      <c r="N105" s="1628">
        <f>V26</f>
        <v>0</v>
      </c>
      <c r="O105" s="1629"/>
      <c r="P105" s="1630"/>
      <c r="Q105" s="1628">
        <f>Z26</f>
        <v>0</v>
      </c>
      <c r="R105" s="1629"/>
      <c r="S105" s="1630"/>
      <c r="T105" s="1628">
        <f>AD26</f>
        <v>0</v>
      </c>
      <c r="U105" s="1629"/>
      <c r="V105" s="1630"/>
      <c r="W105" s="1628">
        <f>AH26</f>
        <v>0</v>
      </c>
      <c r="X105" s="1629"/>
      <c r="Y105" s="1629"/>
      <c r="Z105" s="2479">
        <f>AM26</f>
        <v>0</v>
      </c>
      <c r="AA105" s="1629"/>
      <c r="AB105" s="1630"/>
      <c r="AC105" s="1628">
        <f>AQ26</f>
        <v>0</v>
      </c>
      <c r="AD105" s="1629"/>
      <c r="AE105" s="1630"/>
      <c r="AF105" s="1628">
        <f>AU26</f>
        <v>0</v>
      </c>
      <c r="AG105" s="1629"/>
      <c r="AH105" s="2480"/>
      <c r="AI105" s="1244"/>
      <c r="AJ105" s="104" t="str">
        <f>GEN!I188</f>
        <v>ANNO   2023</v>
      </c>
      <c r="AK105" s="1244"/>
      <c r="AL105" s="1244"/>
      <c r="AM105" s="1244"/>
      <c r="AN105" s="1244"/>
      <c r="AO105" s="1244"/>
      <c r="AP105" s="310" t="str">
        <f>CONCATENATE(C105,AJ105)</f>
        <v>INSERITOANNO   2023</v>
      </c>
      <c r="AQ105" s="1244">
        <v>6</v>
      </c>
      <c r="AR105" s="33"/>
      <c r="AS105" s="33"/>
      <c r="AT105" s="33"/>
      <c r="AU105" s="33"/>
      <c r="AV105" s="33"/>
      <c r="AW105" s="33"/>
      <c r="AX105" s="33"/>
      <c r="AY105" s="33"/>
      <c r="AZ105" s="33"/>
    </row>
    <row r="106" spans="1:57" ht="18" hidden="1" customHeight="1" x14ac:dyDescent="0.2">
      <c r="A106" s="33"/>
      <c r="B106" s="1244"/>
      <c r="C106" s="2485" t="s">
        <v>515</v>
      </c>
      <c r="D106" s="2486"/>
      <c r="E106" s="1639">
        <f>J28</f>
        <v>0</v>
      </c>
      <c r="F106" s="1573"/>
      <c r="G106" s="1574"/>
      <c r="H106" s="1572">
        <f>N28</f>
        <v>0</v>
      </c>
      <c r="I106" s="1573"/>
      <c r="J106" s="1574"/>
      <c r="K106" s="1572">
        <f>R28</f>
        <v>0</v>
      </c>
      <c r="L106" s="1573"/>
      <c r="M106" s="1574"/>
      <c r="N106" s="1572">
        <f>V28</f>
        <v>0</v>
      </c>
      <c r="O106" s="1573"/>
      <c r="P106" s="1574"/>
      <c r="Q106" s="1572">
        <f>Z28</f>
        <v>0</v>
      </c>
      <c r="R106" s="1573"/>
      <c r="S106" s="1574"/>
      <c r="T106" s="1572">
        <f>AD28</f>
        <v>0</v>
      </c>
      <c r="U106" s="1573"/>
      <c r="V106" s="1574"/>
      <c r="W106" s="1572">
        <f>AH28</f>
        <v>0</v>
      </c>
      <c r="X106" s="1573"/>
      <c r="Y106" s="1573"/>
      <c r="Z106" s="2484">
        <f>AM28</f>
        <v>0</v>
      </c>
      <c r="AA106" s="1573"/>
      <c r="AB106" s="1574"/>
      <c r="AC106" s="1572">
        <f>AQ28</f>
        <v>0</v>
      </c>
      <c r="AD106" s="1573"/>
      <c r="AE106" s="1574"/>
      <c r="AF106" s="1572">
        <f>AU28</f>
        <v>0</v>
      </c>
      <c r="AG106" s="1573"/>
      <c r="AH106" s="1609"/>
      <c r="AI106" s="1244"/>
      <c r="AJ106" s="1244"/>
      <c r="AK106" s="1244"/>
      <c r="AL106" s="1244"/>
      <c r="AM106" s="1244"/>
      <c r="AN106" s="1244"/>
      <c r="AO106" s="1244"/>
      <c r="AP106" s="310" t="str">
        <f>CONCATENATE(C106,AJ105)</f>
        <v>a CONTOANNO   2023</v>
      </c>
      <c r="AQ106" s="1244">
        <v>7</v>
      </c>
      <c r="AR106" s="33"/>
      <c r="AS106" s="33"/>
      <c r="AT106" s="33"/>
      <c r="AU106" s="33"/>
      <c r="AV106" s="33"/>
      <c r="AW106" s="33"/>
      <c r="AX106" s="33"/>
      <c r="AY106" s="33"/>
      <c r="AZ106" s="33"/>
    </row>
    <row r="107" spans="1:57" ht="18" hidden="1" customHeight="1" x14ac:dyDescent="0.2">
      <c r="A107" s="33"/>
      <c r="B107" s="1244"/>
      <c r="C107" s="2489" t="s">
        <v>514</v>
      </c>
      <c r="D107" s="2490"/>
      <c r="E107" s="1663">
        <f>J29</f>
        <v>0</v>
      </c>
      <c r="F107" s="1616"/>
      <c r="G107" s="1617"/>
      <c r="H107" s="1615">
        <f>N29</f>
        <v>0</v>
      </c>
      <c r="I107" s="1616"/>
      <c r="J107" s="1617"/>
      <c r="K107" s="1615">
        <f>R29</f>
        <v>0</v>
      </c>
      <c r="L107" s="1616"/>
      <c r="M107" s="1617"/>
      <c r="N107" s="1615">
        <f>V29</f>
        <v>0</v>
      </c>
      <c r="O107" s="1616"/>
      <c r="P107" s="1617"/>
      <c r="Q107" s="1615">
        <f>Z29</f>
        <v>0</v>
      </c>
      <c r="R107" s="1616"/>
      <c r="S107" s="1617"/>
      <c r="T107" s="1615">
        <f>AD29</f>
        <v>0</v>
      </c>
      <c r="U107" s="1616"/>
      <c r="V107" s="1617"/>
      <c r="W107" s="1615">
        <f>AH29</f>
        <v>0</v>
      </c>
      <c r="X107" s="1616"/>
      <c r="Y107" s="1616"/>
      <c r="Z107" s="2488">
        <f>AM29</f>
        <v>0</v>
      </c>
      <c r="AA107" s="1616"/>
      <c r="AB107" s="1617"/>
      <c r="AC107" s="1615">
        <f>AQ29</f>
        <v>0</v>
      </c>
      <c r="AD107" s="1616"/>
      <c r="AE107" s="1617"/>
      <c r="AF107" s="1615">
        <f>AU29</f>
        <v>0</v>
      </c>
      <c r="AG107" s="1616"/>
      <c r="AH107" s="1618"/>
      <c r="AI107" s="1244"/>
      <c r="AJ107" s="1244"/>
      <c r="AK107" s="1244"/>
      <c r="AL107" s="1244"/>
      <c r="AM107" s="1244"/>
      <c r="AN107" s="1244"/>
      <c r="AO107" s="1244"/>
      <c r="AP107" s="310" t="str">
        <f>CONCATENATE(C107,AJ105)</f>
        <v>Percent.ANNO   2023</v>
      </c>
      <c r="AQ107" s="1244">
        <v>8</v>
      </c>
      <c r="AR107" s="33"/>
      <c r="AS107" s="33"/>
      <c r="AT107" s="33"/>
      <c r="AU107" s="33"/>
      <c r="AV107" s="33"/>
      <c r="AW107" s="33"/>
      <c r="AX107" s="33"/>
      <c r="AY107" s="33"/>
      <c r="AZ107" s="33"/>
    </row>
    <row r="108" spans="1:57" ht="18" hidden="1" customHeight="1" x14ac:dyDescent="0.2">
      <c r="A108" s="33"/>
      <c r="B108" s="1244"/>
      <c r="C108" s="2485" t="str">
        <f>C105</f>
        <v>INSERITO</v>
      </c>
      <c r="D108" s="2486"/>
      <c r="E108" s="2487">
        <f>J32</f>
        <v>0</v>
      </c>
      <c r="F108" s="1629"/>
      <c r="G108" s="1630"/>
      <c r="H108" s="1628">
        <f>N32</f>
        <v>0</v>
      </c>
      <c r="I108" s="1629"/>
      <c r="J108" s="1630"/>
      <c r="K108" s="1628">
        <f>R32</f>
        <v>0</v>
      </c>
      <c r="L108" s="1629"/>
      <c r="M108" s="1630"/>
      <c r="N108" s="1628">
        <f>V32</f>
        <v>0</v>
      </c>
      <c r="O108" s="1629"/>
      <c r="P108" s="1630"/>
      <c r="Q108" s="1628">
        <f>Z32</f>
        <v>0</v>
      </c>
      <c r="R108" s="1629"/>
      <c r="S108" s="1630"/>
      <c r="T108" s="1628">
        <f>AD32</f>
        <v>0</v>
      </c>
      <c r="U108" s="1629"/>
      <c r="V108" s="1630"/>
      <c r="W108" s="1628">
        <f>AH32</f>
        <v>0</v>
      </c>
      <c r="X108" s="1629"/>
      <c r="Y108" s="1629"/>
      <c r="Z108" s="2479">
        <f>AM32</f>
        <v>0</v>
      </c>
      <c r="AA108" s="1629"/>
      <c r="AB108" s="1630"/>
      <c r="AC108" s="1628">
        <f>AQ32</f>
        <v>0</v>
      </c>
      <c r="AD108" s="1629"/>
      <c r="AE108" s="1630"/>
      <c r="AF108" s="1628">
        <f>AU32</f>
        <v>0</v>
      </c>
      <c r="AG108" s="1629"/>
      <c r="AH108" s="2480"/>
      <c r="AI108" s="1244"/>
      <c r="AJ108" s="104" t="str">
        <f>GEN!I189</f>
        <v>ANNO   2022</v>
      </c>
      <c r="AK108" s="1244"/>
      <c r="AL108" s="1244"/>
      <c r="AM108" s="1244"/>
      <c r="AN108" s="1244"/>
      <c r="AO108" s="1244"/>
      <c r="AP108" s="310" t="str">
        <f>CONCATENATE(C108,AJ108)</f>
        <v>INSERITOANNO   2022</v>
      </c>
      <c r="AQ108" s="1244">
        <v>9</v>
      </c>
      <c r="AR108" s="33"/>
      <c r="AS108" s="33"/>
      <c r="AT108" s="33"/>
      <c r="AU108" s="33"/>
      <c r="AV108" s="33"/>
      <c r="AW108" s="33"/>
      <c r="AX108" s="33"/>
      <c r="AY108" s="33"/>
      <c r="AZ108" s="33"/>
    </row>
    <row r="109" spans="1:57" ht="18" hidden="1" customHeight="1" x14ac:dyDescent="0.2">
      <c r="A109" s="33"/>
      <c r="B109" s="1244"/>
      <c r="C109" s="2485" t="s">
        <v>515</v>
      </c>
      <c r="D109" s="2486"/>
      <c r="E109" s="1639">
        <f>J34</f>
        <v>0</v>
      </c>
      <c r="F109" s="1573"/>
      <c r="G109" s="1574"/>
      <c r="H109" s="1572">
        <f>N34</f>
        <v>0</v>
      </c>
      <c r="I109" s="1573"/>
      <c r="J109" s="1574"/>
      <c r="K109" s="1572">
        <f>R34</f>
        <v>0</v>
      </c>
      <c r="L109" s="1573"/>
      <c r="M109" s="1574"/>
      <c r="N109" s="1572">
        <f>V34</f>
        <v>0</v>
      </c>
      <c r="O109" s="1573"/>
      <c r="P109" s="1574"/>
      <c r="Q109" s="1572">
        <f>Z34</f>
        <v>0</v>
      </c>
      <c r="R109" s="1573"/>
      <c r="S109" s="1574"/>
      <c r="T109" s="1572">
        <f>AD34</f>
        <v>0</v>
      </c>
      <c r="U109" s="1573"/>
      <c r="V109" s="1574"/>
      <c r="W109" s="1572">
        <f>AH34</f>
        <v>0</v>
      </c>
      <c r="X109" s="1573"/>
      <c r="Y109" s="1573"/>
      <c r="Z109" s="2484">
        <f>AM34</f>
        <v>0</v>
      </c>
      <c r="AA109" s="1573"/>
      <c r="AB109" s="1574"/>
      <c r="AC109" s="1572">
        <f>AQ34</f>
        <v>0</v>
      </c>
      <c r="AD109" s="1573"/>
      <c r="AE109" s="1574"/>
      <c r="AF109" s="1572">
        <f>AU34</f>
        <v>0</v>
      </c>
      <c r="AG109" s="1573"/>
      <c r="AH109" s="1609"/>
      <c r="AI109" s="1244"/>
      <c r="AJ109" s="1244"/>
      <c r="AK109" s="1244"/>
      <c r="AL109" s="1244"/>
      <c r="AM109" s="1244"/>
      <c r="AN109" s="1244"/>
      <c r="AO109" s="1244"/>
      <c r="AP109" s="310" t="str">
        <f>CONCATENATE(C109,AJ108)</f>
        <v>a CONTOANNO   2022</v>
      </c>
      <c r="AQ109" s="1244">
        <v>10</v>
      </c>
      <c r="AR109" s="33"/>
      <c r="AS109" s="33"/>
      <c r="AT109" s="33"/>
      <c r="AU109" s="33"/>
      <c r="AV109" s="33"/>
      <c r="AW109" s="33"/>
      <c r="AX109" s="33"/>
      <c r="AY109" s="33"/>
      <c r="AZ109" s="33"/>
    </row>
    <row r="110" spans="1:57" ht="18" hidden="1" customHeight="1" x14ac:dyDescent="0.2">
      <c r="A110" s="33"/>
      <c r="B110" s="1244"/>
      <c r="C110" s="2489" t="s">
        <v>514</v>
      </c>
      <c r="D110" s="2490"/>
      <c r="E110" s="1663">
        <f>J35</f>
        <v>0</v>
      </c>
      <c r="F110" s="1616"/>
      <c r="G110" s="1617"/>
      <c r="H110" s="1615">
        <f>N35</f>
        <v>0</v>
      </c>
      <c r="I110" s="1616"/>
      <c r="J110" s="1617"/>
      <c r="K110" s="1615">
        <f>R35</f>
        <v>0</v>
      </c>
      <c r="L110" s="1616"/>
      <c r="M110" s="1617"/>
      <c r="N110" s="1615">
        <f>V35</f>
        <v>0</v>
      </c>
      <c r="O110" s="1616"/>
      <c r="P110" s="1617"/>
      <c r="Q110" s="1615">
        <f>Z35</f>
        <v>0</v>
      </c>
      <c r="R110" s="1616"/>
      <c r="S110" s="1617"/>
      <c r="T110" s="1615">
        <f>AD35</f>
        <v>0</v>
      </c>
      <c r="U110" s="1616"/>
      <c r="V110" s="1617"/>
      <c r="W110" s="1615">
        <f>AH35</f>
        <v>0</v>
      </c>
      <c r="X110" s="1616"/>
      <c r="Y110" s="1616"/>
      <c r="Z110" s="2488">
        <f>AM35</f>
        <v>0</v>
      </c>
      <c r="AA110" s="1616"/>
      <c r="AB110" s="1617"/>
      <c r="AC110" s="1615">
        <f>AQ35</f>
        <v>0</v>
      </c>
      <c r="AD110" s="1616"/>
      <c r="AE110" s="1617"/>
      <c r="AF110" s="1615">
        <f>AU35</f>
        <v>0</v>
      </c>
      <c r="AG110" s="1616"/>
      <c r="AH110" s="1618"/>
      <c r="AI110" s="1244"/>
      <c r="AJ110" s="1244"/>
      <c r="AK110" s="1244"/>
      <c r="AL110" s="1244"/>
      <c r="AM110" s="1244"/>
      <c r="AN110" s="1244"/>
      <c r="AO110" s="1244"/>
      <c r="AP110" s="310" t="str">
        <f>CONCATENATE(C110,AJ108)</f>
        <v>Percent.ANNO   2022</v>
      </c>
      <c r="AQ110" s="1244">
        <v>11</v>
      </c>
      <c r="AR110" s="33"/>
      <c r="AS110" s="33"/>
      <c r="AT110" s="33"/>
      <c r="AU110" s="33"/>
      <c r="AV110" s="33"/>
      <c r="AW110" s="33"/>
      <c r="AX110" s="33"/>
      <c r="AY110" s="33"/>
      <c r="AZ110" s="33"/>
    </row>
    <row r="111" spans="1:57" ht="18" hidden="1" customHeight="1" x14ac:dyDescent="0.2">
      <c r="A111" s="33"/>
      <c r="B111" s="1244"/>
      <c r="C111" s="2485" t="str">
        <f>C108</f>
        <v>INSERITO</v>
      </c>
      <c r="D111" s="2486"/>
      <c r="E111" s="2487">
        <f>J38</f>
        <v>0</v>
      </c>
      <c r="F111" s="1629"/>
      <c r="G111" s="1630"/>
      <c r="H111" s="1628">
        <f>N38</f>
        <v>0</v>
      </c>
      <c r="I111" s="1629"/>
      <c r="J111" s="1630"/>
      <c r="K111" s="1628">
        <f>R38</f>
        <v>0</v>
      </c>
      <c r="L111" s="1629"/>
      <c r="M111" s="1630"/>
      <c r="N111" s="1628">
        <f>V38</f>
        <v>0</v>
      </c>
      <c r="O111" s="1629"/>
      <c r="P111" s="1630"/>
      <c r="Q111" s="1628">
        <f>Z38</f>
        <v>0</v>
      </c>
      <c r="R111" s="1629"/>
      <c r="S111" s="1630"/>
      <c r="T111" s="1628">
        <f>AD38</f>
        <v>0</v>
      </c>
      <c r="U111" s="1629"/>
      <c r="V111" s="1630"/>
      <c r="W111" s="1628">
        <f>AH38</f>
        <v>0</v>
      </c>
      <c r="X111" s="1629"/>
      <c r="Y111" s="1629"/>
      <c r="Z111" s="2479">
        <f>AM38</f>
        <v>0</v>
      </c>
      <c r="AA111" s="1629"/>
      <c r="AB111" s="1630"/>
      <c r="AC111" s="1628">
        <f>AQ38</f>
        <v>0</v>
      </c>
      <c r="AD111" s="1629"/>
      <c r="AE111" s="1630"/>
      <c r="AF111" s="1628">
        <f>AU38</f>
        <v>0</v>
      </c>
      <c r="AG111" s="1629"/>
      <c r="AH111" s="2480"/>
      <c r="AI111" s="1244"/>
      <c r="AJ111" s="104" t="str">
        <f>GEN!I190</f>
        <v>ANNO   2021</v>
      </c>
      <c r="AK111" s="1244"/>
      <c r="AL111" s="1244"/>
      <c r="AM111" s="1244"/>
      <c r="AN111" s="1244"/>
      <c r="AO111" s="1244"/>
      <c r="AP111" s="310" t="str">
        <f>CONCATENATE(C111,AJ111)</f>
        <v>INSERITOANNO   2021</v>
      </c>
      <c r="AQ111" s="1244">
        <v>12</v>
      </c>
      <c r="AR111" s="33"/>
      <c r="AS111" s="33"/>
      <c r="AT111" s="33"/>
      <c r="AU111" s="33"/>
      <c r="AV111" s="33"/>
      <c r="AW111" s="33"/>
      <c r="AX111" s="33"/>
      <c r="AY111" s="33"/>
      <c r="AZ111" s="33"/>
    </row>
    <row r="112" spans="1:57" ht="18" hidden="1" customHeight="1" x14ac:dyDescent="0.2">
      <c r="A112" s="33"/>
      <c r="B112" s="1244"/>
      <c r="C112" s="2485" t="s">
        <v>515</v>
      </c>
      <c r="D112" s="2486"/>
      <c r="E112" s="1639">
        <f>J40</f>
        <v>0</v>
      </c>
      <c r="F112" s="1573"/>
      <c r="G112" s="1574"/>
      <c r="H112" s="1572">
        <f>N40</f>
        <v>0</v>
      </c>
      <c r="I112" s="1573"/>
      <c r="J112" s="1574"/>
      <c r="K112" s="1572">
        <f>R40</f>
        <v>0</v>
      </c>
      <c r="L112" s="1573"/>
      <c r="M112" s="1574"/>
      <c r="N112" s="1572">
        <f>V40</f>
        <v>0</v>
      </c>
      <c r="O112" s="1573"/>
      <c r="P112" s="1574"/>
      <c r="Q112" s="1572">
        <f>Z40</f>
        <v>0</v>
      </c>
      <c r="R112" s="1573"/>
      <c r="S112" s="1574"/>
      <c r="T112" s="1572">
        <f>AD40</f>
        <v>0</v>
      </c>
      <c r="U112" s="1573"/>
      <c r="V112" s="1574"/>
      <c r="W112" s="1572">
        <f>AH40</f>
        <v>0</v>
      </c>
      <c r="X112" s="1573"/>
      <c r="Y112" s="1573"/>
      <c r="Z112" s="2484">
        <f>AM40</f>
        <v>0</v>
      </c>
      <c r="AA112" s="1573"/>
      <c r="AB112" s="1574"/>
      <c r="AC112" s="1572">
        <f>AQ40</f>
        <v>0</v>
      </c>
      <c r="AD112" s="1573"/>
      <c r="AE112" s="1574"/>
      <c r="AF112" s="1572">
        <f>AU40</f>
        <v>0</v>
      </c>
      <c r="AG112" s="1573"/>
      <c r="AH112" s="1609"/>
      <c r="AI112" s="1244"/>
      <c r="AJ112" s="1244"/>
      <c r="AK112" s="1244"/>
      <c r="AL112" s="1244"/>
      <c r="AM112" s="1244"/>
      <c r="AN112" s="1244"/>
      <c r="AO112" s="1244"/>
      <c r="AP112" s="310" t="str">
        <f>CONCATENATE(C112,AJ111)</f>
        <v>a CONTOANNO   2021</v>
      </c>
      <c r="AQ112" s="1244">
        <v>13</v>
      </c>
      <c r="AR112" s="33"/>
      <c r="AS112" s="33"/>
      <c r="AT112" s="33"/>
      <c r="AU112" s="33"/>
      <c r="AV112" s="33"/>
      <c r="AW112" s="33"/>
      <c r="AX112" s="33"/>
      <c r="AY112" s="33"/>
      <c r="AZ112" s="33"/>
    </row>
    <row r="113" spans="1:52" ht="18" hidden="1" customHeight="1" x14ac:dyDescent="0.2">
      <c r="A113" s="33"/>
      <c r="B113" s="1244"/>
      <c r="C113" s="2489" t="s">
        <v>514</v>
      </c>
      <c r="D113" s="2490"/>
      <c r="E113" s="1663">
        <f>J41</f>
        <v>0</v>
      </c>
      <c r="F113" s="1616"/>
      <c r="G113" s="1617"/>
      <c r="H113" s="1615">
        <f>N41</f>
        <v>0</v>
      </c>
      <c r="I113" s="1616"/>
      <c r="J113" s="1617"/>
      <c r="K113" s="1615">
        <f>R41</f>
        <v>0</v>
      </c>
      <c r="L113" s="1616"/>
      <c r="M113" s="1617"/>
      <c r="N113" s="1615">
        <f>V41</f>
        <v>0</v>
      </c>
      <c r="O113" s="1616"/>
      <c r="P113" s="1617"/>
      <c r="Q113" s="1615">
        <f>Z41</f>
        <v>0</v>
      </c>
      <c r="R113" s="1616"/>
      <c r="S113" s="1617"/>
      <c r="T113" s="1615">
        <f>AD41</f>
        <v>0</v>
      </c>
      <c r="U113" s="1616"/>
      <c r="V113" s="1617"/>
      <c r="W113" s="1615">
        <f>AH41</f>
        <v>0</v>
      </c>
      <c r="X113" s="1616"/>
      <c r="Y113" s="1616"/>
      <c r="Z113" s="2488">
        <f>AM41</f>
        <v>0</v>
      </c>
      <c r="AA113" s="1616"/>
      <c r="AB113" s="1617"/>
      <c r="AC113" s="1615">
        <f>AQ41</f>
        <v>0</v>
      </c>
      <c r="AD113" s="1616"/>
      <c r="AE113" s="1617"/>
      <c r="AF113" s="1615">
        <f>AU41</f>
        <v>0</v>
      </c>
      <c r="AG113" s="1616"/>
      <c r="AH113" s="1618"/>
      <c r="AI113" s="1244"/>
      <c r="AJ113" s="1244"/>
      <c r="AK113" s="1244"/>
      <c r="AL113" s="1244"/>
      <c r="AM113" s="1244"/>
      <c r="AN113" s="1244"/>
      <c r="AO113" s="1244"/>
      <c r="AP113" s="310" t="str">
        <f>CONCATENATE(C113,AJ111)</f>
        <v>Percent.ANNO   2021</v>
      </c>
      <c r="AQ113" s="1244">
        <v>14</v>
      </c>
      <c r="AR113" s="33"/>
      <c r="AS113" s="33"/>
      <c r="AT113" s="33"/>
      <c r="AU113" s="33"/>
      <c r="AV113" s="33"/>
      <c r="AW113" s="33"/>
      <c r="AX113" s="33"/>
      <c r="AY113" s="33"/>
      <c r="AZ113" s="33"/>
    </row>
    <row r="114" spans="1:52" ht="18" hidden="1" customHeight="1" x14ac:dyDescent="0.2">
      <c r="A114" s="33"/>
      <c r="B114" s="1244"/>
      <c r="C114" s="2485" t="str">
        <f>C111</f>
        <v>INSERITO</v>
      </c>
      <c r="D114" s="2486"/>
      <c r="E114" s="2487">
        <f>E102+E105</f>
        <v>0</v>
      </c>
      <c r="F114" s="1629"/>
      <c r="G114" s="1630"/>
      <c r="H114" s="1628">
        <f>H102+H105</f>
        <v>0</v>
      </c>
      <c r="I114" s="1629"/>
      <c r="J114" s="1630"/>
      <c r="K114" s="1628">
        <f>K102+K105</f>
        <v>0</v>
      </c>
      <c r="L114" s="1629"/>
      <c r="M114" s="1630"/>
      <c r="N114" s="1628">
        <f>N102+N105</f>
        <v>0</v>
      </c>
      <c r="O114" s="1629"/>
      <c r="P114" s="1630"/>
      <c r="Q114" s="1628">
        <f>Q102+Q105</f>
        <v>0</v>
      </c>
      <c r="R114" s="1629"/>
      <c r="S114" s="1630"/>
      <c r="T114" s="1628">
        <f>T102+T105</f>
        <v>0</v>
      </c>
      <c r="U114" s="1629"/>
      <c r="V114" s="1630"/>
      <c r="W114" s="1628">
        <f>W102+W105</f>
        <v>0</v>
      </c>
      <c r="X114" s="1629"/>
      <c r="Y114" s="1629"/>
      <c r="Z114" s="2479">
        <f>Z102+Z105</f>
        <v>0</v>
      </c>
      <c r="AA114" s="1629"/>
      <c r="AB114" s="1630"/>
      <c r="AC114" s="1628">
        <f>AC102+AC105</f>
        <v>0</v>
      </c>
      <c r="AD114" s="1629"/>
      <c r="AE114" s="1630"/>
      <c r="AF114" s="1628">
        <f>AF102+AF105</f>
        <v>0</v>
      </c>
      <c r="AG114" s="1629"/>
      <c r="AH114" s="2480"/>
      <c r="AI114" s="1244"/>
      <c r="AJ114" s="104" t="str">
        <f>GEN!I191</f>
        <v>ANNO   2024 + 2023</v>
      </c>
      <c r="AK114" s="1244"/>
      <c r="AL114" s="1244"/>
      <c r="AM114" s="1244"/>
      <c r="AN114" s="1244"/>
      <c r="AO114" s="1244"/>
      <c r="AP114" s="310" t="str">
        <f>CONCATENATE(C114,AJ114)</f>
        <v>INSERITOANNO   2024 + 2023</v>
      </c>
      <c r="AQ114" s="1244">
        <v>15</v>
      </c>
      <c r="AR114" s="33"/>
      <c r="AS114" s="33"/>
      <c r="AT114" s="33"/>
      <c r="AU114" s="33"/>
      <c r="AV114" s="33"/>
      <c r="AW114" s="33"/>
      <c r="AX114" s="33"/>
      <c r="AY114" s="33"/>
      <c r="AZ114" s="33"/>
    </row>
    <row r="115" spans="1:52" ht="18" hidden="1" customHeight="1" x14ac:dyDescent="0.2">
      <c r="A115" s="33"/>
      <c r="B115" s="1244"/>
      <c r="C115" s="2485" t="s">
        <v>515</v>
      </c>
      <c r="D115" s="2486"/>
      <c r="E115" s="1639">
        <f>E103+E106</f>
        <v>0</v>
      </c>
      <c r="F115" s="1573"/>
      <c r="G115" s="1574"/>
      <c r="H115" s="1572">
        <f>H103+H106</f>
        <v>0</v>
      </c>
      <c r="I115" s="1573"/>
      <c r="J115" s="1574"/>
      <c r="K115" s="1572">
        <f>K103+K106</f>
        <v>0</v>
      </c>
      <c r="L115" s="1573"/>
      <c r="M115" s="1574"/>
      <c r="N115" s="1572">
        <f>N103+N106</f>
        <v>0</v>
      </c>
      <c r="O115" s="1573"/>
      <c r="P115" s="1574"/>
      <c r="Q115" s="1572">
        <f>Q103+Q106</f>
        <v>0</v>
      </c>
      <c r="R115" s="1573"/>
      <c r="S115" s="1574"/>
      <c r="T115" s="1572">
        <f>T103+T106</f>
        <v>0</v>
      </c>
      <c r="U115" s="1573"/>
      <c r="V115" s="1574"/>
      <c r="W115" s="1572">
        <f>W103+W106</f>
        <v>0</v>
      </c>
      <c r="X115" s="1573"/>
      <c r="Y115" s="1573"/>
      <c r="Z115" s="2484">
        <f>Z103+Z106</f>
        <v>0</v>
      </c>
      <c r="AA115" s="1573"/>
      <c r="AB115" s="1574"/>
      <c r="AC115" s="1572">
        <f>AC103+AC106</f>
        <v>0</v>
      </c>
      <c r="AD115" s="1573"/>
      <c r="AE115" s="1574"/>
      <c r="AF115" s="1572">
        <f>AF103+AF106</f>
        <v>0</v>
      </c>
      <c r="AG115" s="1573"/>
      <c r="AH115" s="1609"/>
      <c r="AI115" s="1244"/>
      <c r="AJ115" s="1244"/>
      <c r="AK115" s="1244"/>
      <c r="AL115" s="1244"/>
      <c r="AM115" s="1244"/>
      <c r="AN115" s="1244"/>
      <c r="AO115" s="1244"/>
      <c r="AP115" s="310" t="str">
        <f>CONCATENATE(C115,AJ114)</f>
        <v>a CONTOANNO   2024 + 2023</v>
      </c>
      <c r="AQ115" s="1244">
        <v>16</v>
      </c>
      <c r="AR115" s="33"/>
      <c r="AS115" s="33"/>
      <c r="AT115" s="33"/>
      <c r="AU115" s="33"/>
      <c r="AV115" s="33"/>
      <c r="AW115" s="33"/>
      <c r="AX115" s="33"/>
      <c r="AY115" s="33"/>
      <c r="AZ115" s="33"/>
    </row>
    <row r="116" spans="1:52" ht="18" hidden="1" customHeight="1" x14ac:dyDescent="0.2">
      <c r="A116" s="33"/>
      <c r="B116" s="1244"/>
      <c r="C116" s="2489" t="s">
        <v>514</v>
      </c>
      <c r="D116" s="2490"/>
      <c r="E116" s="1663">
        <f>E104+E107</f>
        <v>0</v>
      </c>
      <c r="F116" s="1616"/>
      <c r="G116" s="1617"/>
      <c r="H116" s="1615">
        <f>H104+H107</f>
        <v>0</v>
      </c>
      <c r="I116" s="1616"/>
      <c r="J116" s="1617"/>
      <c r="K116" s="1615">
        <f>K104+K107</f>
        <v>0</v>
      </c>
      <c r="L116" s="1616"/>
      <c r="M116" s="1617"/>
      <c r="N116" s="1615">
        <f>N104+N107</f>
        <v>0</v>
      </c>
      <c r="O116" s="1616"/>
      <c r="P116" s="1617"/>
      <c r="Q116" s="1615">
        <f>Q104+Q107</f>
        <v>0</v>
      </c>
      <c r="R116" s="1616"/>
      <c r="S116" s="1617"/>
      <c r="T116" s="1615">
        <f>T104+T107</f>
        <v>0</v>
      </c>
      <c r="U116" s="1616"/>
      <c r="V116" s="1617"/>
      <c r="W116" s="1615">
        <f>W104+W107</f>
        <v>0</v>
      </c>
      <c r="X116" s="1616"/>
      <c r="Y116" s="1616"/>
      <c r="Z116" s="2488">
        <f>Z104+Z107</f>
        <v>0</v>
      </c>
      <c r="AA116" s="1616"/>
      <c r="AB116" s="1617"/>
      <c r="AC116" s="1615">
        <f>AC104+AC107</f>
        <v>0</v>
      </c>
      <c r="AD116" s="1616"/>
      <c r="AE116" s="1617"/>
      <c r="AF116" s="1615">
        <f>AF104+AF107</f>
        <v>0</v>
      </c>
      <c r="AG116" s="1616"/>
      <c r="AH116" s="1618"/>
      <c r="AI116" s="1244"/>
      <c r="AJ116" s="1244"/>
      <c r="AK116" s="1244"/>
      <c r="AL116" s="1244"/>
      <c r="AM116" s="1244"/>
      <c r="AN116" s="1244"/>
      <c r="AO116" s="1244"/>
      <c r="AP116" s="310" t="str">
        <f>CONCATENATE(C116,AJ114)</f>
        <v>Percent.ANNO   2024 + 2023</v>
      </c>
      <c r="AQ116" s="1244">
        <v>17</v>
      </c>
      <c r="AR116" s="33"/>
      <c r="AS116" s="33"/>
      <c r="AT116" s="33"/>
      <c r="AU116" s="33"/>
      <c r="AV116" s="33"/>
      <c r="AW116" s="33"/>
      <c r="AX116" s="33"/>
      <c r="AY116" s="33"/>
      <c r="AZ116" s="33"/>
    </row>
    <row r="117" spans="1:52" ht="18" hidden="1" customHeight="1" x14ac:dyDescent="0.2">
      <c r="A117" s="33"/>
      <c r="B117" s="1244"/>
      <c r="C117" s="2485" t="str">
        <f>C114</f>
        <v>INSERITO</v>
      </c>
      <c r="D117" s="2486"/>
      <c r="E117" s="2487">
        <f>E102+E105+E108</f>
        <v>0</v>
      </c>
      <c r="F117" s="1629"/>
      <c r="G117" s="1630"/>
      <c r="H117" s="1628">
        <f>H102+H105+H108</f>
        <v>0</v>
      </c>
      <c r="I117" s="1629"/>
      <c r="J117" s="1630"/>
      <c r="K117" s="1628">
        <f>K102+K105+K108</f>
        <v>0</v>
      </c>
      <c r="L117" s="1629"/>
      <c r="M117" s="1630"/>
      <c r="N117" s="1628">
        <f>N102+N105+N108</f>
        <v>0</v>
      </c>
      <c r="O117" s="1629"/>
      <c r="P117" s="1630"/>
      <c r="Q117" s="1628">
        <f>Q102+Q105+Q108</f>
        <v>0</v>
      </c>
      <c r="R117" s="1629"/>
      <c r="S117" s="1630"/>
      <c r="T117" s="1628">
        <f>T102+T105+T108</f>
        <v>0</v>
      </c>
      <c r="U117" s="1629"/>
      <c r="V117" s="1630"/>
      <c r="W117" s="1628">
        <f>W102+W105+W108</f>
        <v>0</v>
      </c>
      <c r="X117" s="1629"/>
      <c r="Y117" s="1629"/>
      <c r="Z117" s="2479">
        <f>Z102+Z105+Z108</f>
        <v>0</v>
      </c>
      <c r="AA117" s="1629"/>
      <c r="AB117" s="1630"/>
      <c r="AC117" s="1628">
        <f>AC102+AC105+AC108</f>
        <v>0</v>
      </c>
      <c r="AD117" s="1629"/>
      <c r="AE117" s="1630"/>
      <c r="AF117" s="1628">
        <f>AF102+AF105+AF108</f>
        <v>0</v>
      </c>
      <c r="AG117" s="1629"/>
      <c r="AH117" s="2480"/>
      <c r="AI117" s="1244"/>
      <c r="AJ117" s="104" t="str">
        <f>GEN!I192</f>
        <v>ANNO   2024 + 2023 + 2022</v>
      </c>
      <c r="AK117" s="1244"/>
      <c r="AL117" s="1244"/>
      <c r="AM117" s="1244"/>
      <c r="AN117" s="1244"/>
      <c r="AO117" s="1244"/>
      <c r="AP117" s="310" t="str">
        <f>CONCATENATE(C117,AJ117)</f>
        <v>INSERITOANNO   2024 + 2023 + 2022</v>
      </c>
      <c r="AQ117" s="1244">
        <v>18</v>
      </c>
      <c r="AR117" s="33"/>
      <c r="AS117" s="33"/>
      <c r="AT117" s="33"/>
      <c r="AU117" s="33"/>
      <c r="AV117" s="33"/>
      <c r="AW117" s="33"/>
      <c r="AX117" s="33"/>
      <c r="AY117" s="33"/>
      <c r="AZ117" s="33"/>
    </row>
    <row r="118" spans="1:52" ht="18" hidden="1" customHeight="1" x14ac:dyDescent="0.2">
      <c r="A118" s="33"/>
      <c r="B118" s="1244"/>
      <c r="C118" s="2485" t="s">
        <v>515</v>
      </c>
      <c r="D118" s="2486"/>
      <c r="E118" s="1639">
        <f>E103+E106+E109</f>
        <v>0</v>
      </c>
      <c r="F118" s="1573"/>
      <c r="G118" s="1574"/>
      <c r="H118" s="1572">
        <f>H103+H106+H109</f>
        <v>0</v>
      </c>
      <c r="I118" s="1573"/>
      <c r="J118" s="1574"/>
      <c r="K118" s="1572">
        <f>K103+K106+K109</f>
        <v>0</v>
      </c>
      <c r="L118" s="1573"/>
      <c r="M118" s="1574"/>
      <c r="N118" s="1572">
        <f>N103+N106+N109</f>
        <v>0</v>
      </c>
      <c r="O118" s="1573"/>
      <c r="P118" s="1574"/>
      <c r="Q118" s="1572">
        <f>Q103+Q106+Q109</f>
        <v>0</v>
      </c>
      <c r="R118" s="1573"/>
      <c r="S118" s="1574"/>
      <c r="T118" s="1572">
        <f>T103+T106+T109</f>
        <v>0</v>
      </c>
      <c r="U118" s="1573"/>
      <c r="V118" s="1574"/>
      <c r="W118" s="1572">
        <f>W103+W106+W109</f>
        <v>0</v>
      </c>
      <c r="X118" s="1573"/>
      <c r="Y118" s="1573"/>
      <c r="Z118" s="2484">
        <f>Z103+Z106+Z109</f>
        <v>0</v>
      </c>
      <c r="AA118" s="1573"/>
      <c r="AB118" s="1574"/>
      <c r="AC118" s="1572">
        <f>AC103+AC106+AC109</f>
        <v>0</v>
      </c>
      <c r="AD118" s="1573"/>
      <c r="AE118" s="1574"/>
      <c r="AF118" s="1572">
        <f>AF103+AF106+AF109</f>
        <v>0</v>
      </c>
      <c r="AG118" s="1573"/>
      <c r="AH118" s="1609"/>
      <c r="AI118" s="1244"/>
      <c r="AJ118" s="1244"/>
      <c r="AK118" s="1244"/>
      <c r="AL118" s="1244"/>
      <c r="AM118" s="1244"/>
      <c r="AN118" s="1244"/>
      <c r="AO118" s="1244"/>
      <c r="AP118" s="310" t="str">
        <f>CONCATENATE(C118,AJ117)</f>
        <v>a CONTOANNO   2024 + 2023 + 2022</v>
      </c>
      <c r="AQ118" s="1244">
        <v>19</v>
      </c>
      <c r="AR118" s="33"/>
      <c r="AS118" s="33"/>
      <c r="AT118" s="33"/>
      <c r="AU118" s="33"/>
      <c r="AV118" s="33"/>
      <c r="AW118" s="33"/>
      <c r="AX118" s="33"/>
      <c r="AY118" s="33"/>
      <c r="AZ118" s="33"/>
    </row>
    <row r="119" spans="1:52" ht="18" hidden="1" customHeight="1" x14ac:dyDescent="0.2">
      <c r="A119" s="33"/>
      <c r="B119" s="1244"/>
      <c r="C119" s="2489" t="s">
        <v>514</v>
      </c>
      <c r="D119" s="2490"/>
      <c r="E119" s="1663">
        <f>E104+E107+E110</f>
        <v>0</v>
      </c>
      <c r="F119" s="1616"/>
      <c r="G119" s="1617"/>
      <c r="H119" s="1615">
        <f>H104+H107+H110</f>
        <v>0</v>
      </c>
      <c r="I119" s="1616"/>
      <c r="J119" s="1617"/>
      <c r="K119" s="1615">
        <f>K104+K107+K110</f>
        <v>0</v>
      </c>
      <c r="L119" s="1616"/>
      <c r="M119" s="1617"/>
      <c r="N119" s="1615">
        <f>N104+N107+N110</f>
        <v>0</v>
      </c>
      <c r="O119" s="1616"/>
      <c r="P119" s="1617"/>
      <c r="Q119" s="1615">
        <f>Q104+Q107+Q110</f>
        <v>0</v>
      </c>
      <c r="R119" s="1616"/>
      <c r="S119" s="1617"/>
      <c r="T119" s="1615">
        <f>T104+T107+T110</f>
        <v>0</v>
      </c>
      <c r="U119" s="1616"/>
      <c r="V119" s="1617"/>
      <c r="W119" s="1615">
        <f>W104+W107+W110</f>
        <v>0</v>
      </c>
      <c r="X119" s="1616"/>
      <c r="Y119" s="1616"/>
      <c r="Z119" s="2488">
        <f>Z104+Z107+Z110</f>
        <v>0</v>
      </c>
      <c r="AA119" s="1616"/>
      <c r="AB119" s="1617"/>
      <c r="AC119" s="1615">
        <f>AC104+AC107+AC110</f>
        <v>0</v>
      </c>
      <c r="AD119" s="1616"/>
      <c r="AE119" s="1617"/>
      <c r="AF119" s="1615">
        <f>AF104+AF107+AF110</f>
        <v>0</v>
      </c>
      <c r="AG119" s="1616"/>
      <c r="AH119" s="1618"/>
      <c r="AI119" s="1244"/>
      <c r="AJ119" s="1244"/>
      <c r="AK119" s="1244"/>
      <c r="AL119" s="1244"/>
      <c r="AM119" s="1244"/>
      <c r="AN119" s="1244"/>
      <c r="AO119" s="1244"/>
      <c r="AP119" s="310" t="str">
        <f>CONCATENATE(C119,AJ117)</f>
        <v>Percent.ANNO   2024 + 2023 + 2022</v>
      </c>
      <c r="AQ119" s="1244">
        <v>20</v>
      </c>
      <c r="AR119" s="33"/>
      <c r="AS119" s="33"/>
      <c r="AT119" s="33"/>
      <c r="AU119" s="33"/>
      <c r="AV119" s="33"/>
      <c r="AW119" s="33"/>
      <c r="AX119" s="33"/>
      <c r="AY119" s="33"/>
      <c r="AZ119" s="33"/>
    </row>
    <row r="120" spans="1:52" ht="18" hidden="1" customHeight="1" x14ac:dyDescent="0.2">
      <c r="A120" s="33"/>
      <c r="B120" s="1244"/>
      <c r="C120" s="2485" t="str">
        <f>C117</f>
        <v>INSERITO</v>
      </c>
      <c r="D120" s="2486"/>
      <c r="E120" s="2487">
        <f>E102+E105+E108+E111</f>
        <v>0</v>
      </c>
      <c r="F120" s="1629"/>
      <c r="G120" s="1630"/>
      <c r="H120" s="1628">
        <f>H102+H105+H108+H111</f>
        <v>0</v>
      </c>
      <c r="I120" s="1629"/>
      <c r="J120" s="1630"/>
      <c r="K120" s="1628">
        <f>K102+K105+K108+K111</f>
        <v>0</v>
      </c>
      <c r="L120" s="1629"/>
      <c r="M120" s="1630"/>
      <c r="N120" s="1628">
        <f>N102+N105+N108+N111</f>
        <v>0</v>
      </c>
      <c r="O120" s="1629"/>
      <c r="P120" s="1630"/>
      <c r="Q120" s="1628">
        <f>Q102+Q105+Q108+Q111</f>
        <v>0</v>
      </c>
      <c r="R120" s="1629"/>
      <c r="S120" s="1630"/>
      <c r="T120" s="1628">
        <f>T102+T105+T108+T111</f>
        <v>0</v>
      </c>
      <c r="U120" s="1629"/>
      <c r="V120" s="1630"/>
      <c r="W120" s="1628">
        <f>W102+W105+W108+W111</f>
        <v>0</v>
      </c>
      <c r="X120" s="1629"/>
      <c r="Y120" s="1629"/>
      <c r="Z120" s="2479">
        <f>Z102+Z105+Z108+Z111</f>
        <v>0</v>
      </c>
      <c r="AA120" s="1629"/>
      <c r="AB120" s="1630"/>
      <c r="AC120" s="1628">
        <f>AC102+AC105+AC108+AC111</f>
        <v>0</v>
      </c>
      <c r="AD120" s="1629"/>
      <c r="AE120" s="1630"/>
      <c r="AF120" s="1628">
        <f>AF102+AF105+AF108+AF111</f>
        <v>0</v>
      </c>
      <c r="AG120" s="1629"/>
      <c r="AH120" s="2480"/>
      <c r="AI120" s="1244"/>
      <c r="AJ120" s="104" t="str">
        <f>GEN!I193</f>
        <v>ANNO   2024 + 2023 + 2022 + 2021</v>
      </c>
      <c r="AK120" s="1244"/>
      <c r="AL120" s="1244"/>
      <c r="AM120" s="1244"/>
      <c r="AN120" s="1244"/>
      <c r="AO120" s="1244"/>
      <c r="AP120" s="310" t="str">
        <f>CONCATENATE(C120,AJ120)</f>
        <v>INSERITOANNO   2024 + 2023 + 2022 + 2021</v>
      </c>
      <c r="AQ120" s="1244">
        <v>21</v>
      </c>
      <c r="AR120" s="33"/>
      <c r="AS120" s="33"/>
      <c r="AT120" s="33"/>
      <c r="AU120" s="33"/>
      <c r="AV120" s="33"/>
      <c r="AW120" s="33"/>
      <c r="AX120" s="33"/>
      <c r="AY120" s="33"/>
      <c r="AZ120" s="33"/>
    </row>
    <row r="121" spans="1:52" ht="18" hidden="1" customHeight="1" x14ac:dyDescent="0.2">
      <c r="A121" s="33"/>
      <c r="B121" s="1244"/>
      <c r="C121" s="2485" t="s">
        <v>515</v>
      </c>
      <c r="D121" s="2486"/>
      <c r="E121" s="1639">
        <f>E103+E106+E109+E112</f>
        <v>0</v>
      </c>
      <c r="F121" s="1573"/>
      <c r="G121" s="1574"/>
      <c r="H121" s="1572">
        <f>H103+H106+H109+H112</f>
        <v>0</v>
      </c>
      <c r="I121" s="1573"/>
      <c r="J121" s="1574"/>
      <c r="K121" s="1572">
        <f>K103+K106+K109+K112</f>
        <v>0</v>
      </c>
      <c r="L121" s="1573"/>
      <c r="M121" s="1574"/>
      <c r="N121" s="1572">
        <f>N103+N106+N109+N112</f>
        <v>0</v>
      </c>
      <c r="O121" s="1573"/>
      <c r="P121" s="1574"/>
      <c r="Q121" s="1572">
        <f>Q103+Q106+Q109+Q112</f>
        <v>0</v>
      </c>
      <c r="R121" s="1573"/>
      <c r="S121" s="1574"/>
      <c r="T121" s="1572">
        <f>T103+T106+T109+T112</f>
        <v>0</v>
      </c>
      <c r="U121" s="1573"/>
      <c r="V121" s="1574"/>
      <c r="W121" s="1572">
        <f>W103+W106+W109+W112</f>
        <v>0</v>
      </c>
      <c r="X121" s="1573"/>
      <c r="Y121" s="1573"/>
      <c r="Z121" s="2484">
        <f>Z103+Z106+Z109+Z112</f>
        <v>0</v>
      </c>
      <c r="AA121" s="1573"/>
      <c r="AB121" s="1574"/>
      <c r="AC121" s="1572">
        <f>AC103+AC106+AC109+AC112</f>
        <v>0</v>
      </c>
      <c r="AD121" s="1573"/>
      <c r="AE121" s="1574"/>
      <c r="AF121" s="1572">
        <f>AF103+AF106+AF109+AF112</f>
        <v>0</v>
      </c>
      <c r="AG121" s="1573"/>
      <c r="AH121" s="1609"/>
      <c r="AI121" s="1244"/>
      <c r="AJ121" s="1244"/>
      <c r="AK121" s="1244"/>
      <c r="AL121" s="1244"/>
      <c r="AM121" s="1244"/>
      <c r="AN121" s="1244"/>
      <c r="AO121" s="1244"/>
      <c r="AP121" s="310" t="str">
        <f>CONCATENATE(C121,AJ120)</f>
        <v>a CONTOANNO   2024 + 2023 + 2022 + 2021</v>
      </c>
      <c r="AQ121" s="1244">
        <v>22</v>
      </c>
      <c r="AR121" s="33"/>
      <c r="AS121" s="33"/>
      <c r="AT121" s="33"/>
      <c r="AU121" s="33"/>
      <c r="AV121" s="33"/>
      <c r="AW121" s="33"/>
      <c r="AX121" s="33"/>
      <c r="AY121" s="33"/>
      <c r="AZ121" s="33"/>
    </row>
    <row r="122" spans="1:52" ht="18" hidden="1" customHeight="1" x14ac:dyDescent="0.2">
      <c r="A122" s="33"/>
      <c r="B122" s="1244"/>
      <c r="C122" s="2489" t="s">
        <v>514</v>
      </c>
      <c r="D122" s="2490"/>
      <c r="E122" s="1663">
        <f>E104+E107+E110+E113</f>
        <v>0</v>
      </c>
      <c r="F122" s="1616"/>
      <c r="G122" s="1617"/>
      <c r="H122" s="1615">
        <f>H104+H107+H110+H113</f>
        <v>0</v>
      </c>
      <c r="I122" s="1616"/>
      <c r="J122" s="1617"/>
      <c r="K122" s="1615">
        <f>K104+K107+K110+K113</f>
        <v>0</v>
      </c>
      <c r="L122" s="1616"/>
      <c r="M122" s="1617"/>
      <c r="N122" s="1615">
        <f>N104+N107+N110+N113</f>
        <v>0</v>
      </c>
      <c r="O122" s="1616"/>
      <c r="P122" s="1617"/>
      <c r="Q122" s="1615">
        <f>Q104+Q107+Q110+Q113</f>
        <v>0</v>
      </c>
      <c r="R122" s="1616"/>
      <c r="S122" s="1617"/>
      <c r="T122" s="1615">
        <f>T104+T107+T110+T113</f>
        <v>0</v>
      </c>
      <c r="U122" s="1616"/>
      <c r="V122" s="1617"/>
      <c r="W122" s="1615">
        <f>W104+W107+W110+W113</f>
        <v>0</v>
      </c>
      <c r="X122" s="1616"/>
      <c r="Y122" s="1616"/>
      <c r="Z122" s="2488">
        <f>Z104+Z107+Z110+Z113</f>
        <v>0</v>
      </c>
      <c r="AA122" s="1616"/>
      <c r="AB122" s="1617"/>
      <c r="AC122" s="1615">
        <f>AC104+AC107+AC110+AC113</f>
        <v>0</v>
      </c>
      <c r="AD122" s="1616"/>
      <c r="AE122" s="1617"/>
      <c r="AF122" s="1615">
        <f>AF104+AF107+AF110+AF113</f>
        <v>0</v>
      </c>
      <c r="AG122" s="1616"/>
      <c r="AH122" s="1618"/>
      <c r="AI122" s="1244"/>
      <c r="AJ122" s="1244"/>
      <c r="AK122" s="1244"/>
      <c r="AL122" s="1244"/>
      <c r="AM122" s="1244"/>
      <c r="AN122" s="1244"/>
      <c r="AO122" s="1244"/>
      <c r="AP122" s="310" t="str">
        <f>CONCATENATE(C122,AJ120)</f>
        <v>Percent.ANNO   2024 + 2023 + 2022 + 2021</v>
      </c>
      <c r="AQ122" s="1244">
        <v>23</v>
      </c>
      <c r="AR122" s="33"/>
      <c r="AS122" s="33"/>
      <c r="AT122" s="33"/>
      <c r="AU122" s="33"/>
      <c r="AV122" s="33"/>
      <c r="AW122" s="33"/>
      <c r="AX122" s="33"/>
      <c r="AY122" s="33"/>
      <c r="AZ122" s="33"/>
    </row>
    <row r="123" spans="1:52" ht="18" hidden="1" customHeight="1" x14ac:dyDescent="0.2">
      <c r="A123" s="33"/>
      <c r="B123" s="1244"/>
      <c r="C123" s="2485" t="str">
        <f>C120</f>
        <v>INSERITO</v>
      </c>
      <c r="D123" s="2486"/>
      <c r="E123" s="2487">
        <f>E105+E108</f>
        <v>0</v>
      </c>
      <c r="F123" s="1629"/>
      <c r="G123" s="1630"/>
      <c r="H123" s="1628">
        <f>H105+H108</f>
        <v>0</v>
      </c>
      <c r="I123" s="1629"/>
      <c r="J123" s="1630"/>
      <c r="K123" s="1628">
        <f>K105+K108</f>
        <v>0</v>
      </c>
      <c r="L123" s="1629"/>
      <c r="M123" s="1630"/>
      <c r="N123" s="1628">
        <f>N105+N108</f>
        <v>0</v>
      </c>
      <c r="O123" s="1629"/>
      <c r="P123" s="1630"/>
      <c r="Q123" s="1628">
        <f>Q105+Q108</f>
        <v>0</v>
      </c>
      <c r="R123" s="1629"/>
      <c r="S123" s="1630"/>
      <c r="T123" s="1628">
        <f>T105+T108</f>
        <v>0</v>
      </c>
      <c r="U123" s="1629"/>
      <c r="V123" s="1630"/>
      <c r="W123" s="1628">
        <f>W105+W108</f>
        <v>0</v>
      </c>
      <c r="X123" s="1629"/>
      <c r="Y123" s="1629"/>
      <c r="Z123" s="2479">
        <f>Z105+Z108</f>
        <v>0</v>
      </c>
      <c r="AA123" s="1629"/>
      <c r="AB123" s="1630"/>
      <c r="AC123" s="1628">
        <f>AC105+AC108</f>
        <v>0</v>
      </c>
      <c r="AD123" s="1629"/>
      <c r="AE123" s="1630"/>
      <c r="AF123" s="1628">
        <f>AF105+AF108</f>
        <v>0</v>
      </c>
      <c r="AG123" s="1629"/>
      <c r="AH123" s="2480"/>
      <c r="AI123" s="1244"/>
      <c r="AJ123" s="104" t="str">
        <f>GEN!I194</f>
        <v>ANNO   2023 + 2022</v>
      </c>
      <c r="AK123" s="1244"/>
      <c r="AL123" s="1244"/>
      <c r="AM123" s="1244"/>
      <c r="AN123" s="1244"/>
      <c r="AO123" s="1244"/>
      <c r="AP123" s="310" t="str">
        <f>CONCATENATE(C123,AJ123)</f>
        <v>INSERITOANNO   2023 + 2022</v>
      </c>
      <c r="AQ123" s="1244">
        <v>24</v>
      </c>
      <c r="AR123" s="33"/>
      <c r="AS123" s="33"/>
      <c r="AT123" s="33"/>
      <c r="AU123" s="33"/>
      <c r="AV123" s="33"/>
      <c r="AW123" s="33"/>
      <c r="AX123" s="33"/>
      <c r="AY123" s="33"/>
      <c r="AZ123" s="33"/>
    </row>
    <row r="124" spans="1:52" ht="18" hidden="1" customHeight="1" x14ac:dyDescent="0.2">
      <c r="A124" s="33"/>
      <c r="B124" s="1244"/>
      <c r="C124" s="2485" t="s">
        <v>515</v>
      </c>
      <c r="D124" s="2486"/>
      <c r="E124" s="1639">
        <f>E106+E109</f>
        <v>0</v>
      </c>
      <c r="F124" s="1573"/>
      <c r="G124" s="1574"/>
      <c r="H124" s="1572">
        <f>H106+H109</f>
        <v>0</v>
      </c>
      <c r="I124" s="1573"/>
      <c r="J124" s="1574"/>
      <c r="K124" s="1572">
        <f>K106+K109</f>
        <v>0</v>
      </c>
      <c r="L124" s="1573"/>
      <c r="M124" s="1574"/>
      <c r="N124" s="1572">
        <f>N106+N109</f>
        <v>0</v>
      </c>
      <c r="O124" s="1573"/>
      <c r="P124" s="1574"/>
      <c r="Q124" s="1572">
        <f>Q106+Q109</f>
        <v>0</v>
      </c>
      <c r="R124" s="1573"/>
      <c r="S124" s="1574"/>
      <c r="T124" s="1572">
        <f>T106+T109</f>
        <v>0</v>
      </c>
      <c r="U124" s="1573"/>
      <c r="V124" s="1574"/>
      <c r="W124" s="1572">
        <f>W106+W109</f>
        <v>0</v>
      </c>
      <c r="X124" s="1573"/>
      <c r="Y124" s="1573"/>
      <c r="Z124" s="2484">
        <f>Z106+Z109</f>
        <v>0</v>
      </c>
      <c r="AA124" s="1573"/>
      <c r="AB124" s="1574"/>
      <c r="AC124" s="1572">
        <f>AC106+AC109</f>
        <v>0</v>
      </c>
      <c r="AD124" s="1573"/>
      <c r="AE124" s="1574"/>
      <c r="AF124" s="1572">
        <f>AF106+AF109</f>
        <v>0</v>
      </c>
      <c r="AG124" s="1573"/>
      <c r="AH124" s="1609"/>
      <c r="AI124" s="1244"/>
      <c r="AJ124" s="1244"/>
      <c r="AK124" s="1244"/>
      <c r="AL124" s="1244"/>
      <c r="AM124" s="1244"/>
      <c r="AN124" s="1244"/>
      <c r="AO124" s="1244"/>
      <c r="AP124" s="310" t="str">
        <f>CONCATENATE(C124,AJ123)</f>
        <v>a CONTOANNO   2023 + 2022</v>
      </c>
      <c r="AQ124" s="1244">
        <v>25</v>
      </c>
      <c r="AR124" s="33"/>
      <c r="AS124" s="33"/>
      <c r="AT124" s="33"/>
      <c r="AU124" s="33"/>
      <c r="AV124" s="33"/>
      <c r="AW124" s="33"/>
      <c r="AX124" s="33"/>
      <c r="AY124" s="33"/>
      <c r="AZ124" s="33"/>
    </row>
    <row r="125" spans="1:52" ht="18" hidden="1" customHeight="1" x14ac:dyDescent="0.2">
      <c r="A125" s="33"/>
      <c r="B125" s="1244"/>
      <c r="C125" s="2489" t="s">
        <v>514</v>
      </c>
      <c r="D125" s="2490"/>
      <c r="E125" s="1663">
        <f>E107+E110</f>
        <v>0</v>
      </c>
      <c r="F125" s="1616"/>
      <c r="G125" s="1617"/>
      <c r="H125" s="1615">
        <f>H107+H110</f>
        <v>0</v>
      </c>
      <c r="I125" s="1616"/>
      <c r="J125" s="1617"/>
      <c r="K125" s="1615">
        <f>K107+K110</f>
        <v>0</v>
      </c>
      <c r="L125" s="1616"/>
      <c r="M125" s="1617"/>
      <c r="N125" s="1615">
        <f>N107+N110</f>
        <v>0</v>
      </c>
      <c r="O125" s="1616"/>
      <c r="P125" s="1617"/>
      <c r="Q125" s="1615">
        <f>Q107+Q110</f>
        <v>0</v>
      </c>
      <c r="R125" s="1616"/>
      <c r="S125" s="1617"/>
      <c r="T125" s="1615">
        <f>T107+T110</f>
        <v>0</v>
      </c>
      <c r="U125" s="1616"/>
      <c r="V125" s="1617"/>
      <c r="W125" s="1615">
        <f>W107+W110</f>
        <v>0</v>
      </c>
      <c r="X125" s="1616"/>
      <c r="Y125" s="1616"/>
      <c r="Z125" s="2488">
        <f>Z107+Z110</f>
        <v>0</v>
      </c>
      <c r="AA125" s="1616"/>
      <c r="AB125" s="1617"/>
      <c r="AC125" s="1615">
        <f>AC107+AC110</f>
        <v>0</v>
      </c>
      <c r="AD125" s="1616"/>
      <c r="AE125" s="1617"/>
      <c r="AF125" s="1615">
        <f>AF107+AF110</f>
        <v>0</v>
      </c>
      <c r="AG125" s="1616"/>
      <c r="AH125" s="1618"/>
      <c r="AI125" s="1244"/>
      <c r="AJ125" s="1244"/>
      <c r="AK125" s="1244"/>
      <c r="AL125" s="1244"/>
      <c r="AM125" s="1244"/>
      <c r="AN125" s="1244"/>
      <c r="AO125" s="1244"/>
      <c r="AP125" s="310" t="str">
        <f>CONCATENATE(C125,AJ123)</f>
        <v>Percent.ANNO   2023 + 2022</v>
      </c>
      <c r="AQ125" s="1244">
        <v>26</v>
      </c>
      <c r="AR125" s="33"/>
      <c r="AS125" s="33"/>
      <c r="AT125" s="33"/>
      <c r="AU125" s="33"/>
      <c r="AV125" s="33"/>
      <c r="AW125" s="33"/>
      <c r="AX125" s="33"/>
      <c r="AY125" s="33"/>
      <c r="AZ125" s="33"/>
    </row>
    <row r="126" spans="1:52" ht="18" hidden="1" customHeight="1" x14ac:dyDescent="0.2">
      <c r="A126" s="33"/>
      <c r="B126" s="1244"/>
      <c r="C126" s="2485" t="str">
        <f>C123</f>
        <v>INSERITO</v>
      </c>
      <c r="D126" s="2486"/>
      <c r="E126" s="2487">
        <f>E105+E108+E111</f>
        <v>0</v>
      </c>
      <c r="F126" s="1629"/>
      <c r="G126" s="1630"/>
      <c r="H126" s="1628">
        <f>H105+H108+H111</f>
        <v>0</v>
      </c>
      <c r="I126" s="1629"/>
      <c r="J126" s="1630"/>
      <c r="K126" s="1628">
        <f>K105+K108+K111</f>
        <v>0</v>
      </c>
      <c r="L126" s="1629"/>
      <c r="M126" s="1630"/>
      <c r="N126" s="1628">
        <f>N105+N108+N111</f>
        <v>0</v>
      </c>
      <c r="O126" s="1629"/>
      <c r="P126" s="1630"/>
      <c r="Q126" s="1628">
        <f>Q105+Q108+Q111</f>
        <v>0</v>
      </c>
      <c r="R126" s="1629"/>
      <c r="S126" s="1630"/>
      <c r="T126" s="1628">
        <f>T105+T108+T111</f>
        <v>0</v>
      </c>
      <c r="U126" s="1629"/>
      <c r="V126" s="1630"/>
      <c r="W126" s="1628">
        <f>W105+W108+W111</f>
        <v>0</v>
      </c>
      <c r="X126" s="1629"/>
      <c r="Y126" s="1629"/>
      <c r="Z126" s="2479">
        <f>Z105+Z108+Z111</f>
        <v>0</v>
      </c>
      <c r="AA126" s="1629"/>
      <c r="AB126" s="1630"/>
      <c r="AC126" s="1628">
        <f>AC105+AC108+AC111</f>
        <v>0</v>
      </c>
      <c r="AD126" s="1629"/>
      <c r="AE126" s="1630"/>
      <c r="AF126" s="1628">
        <f>AF105+AF108+AF111</f>
        <v>0</v>
      </c>
      <c r="AG126" s="1629"/>
      <c r="AH126" s="2480"/>
      <c r="AI126" s="1244"/>
      <c r="AJ126" s="104" t="str">
        <f>GEN!I195</f>
        <v>ANNO   2023 + 2022 + 2021</v>
      </c>
      <c r="AK126" s="1244"/>
      <c r="AL126" s="1244"/>
      <c r="AM126" s="1244"/>
      <c r="AN126" s="1244"/>
      <c r="AO126" s="1244"/>
      <c r="AP126" s="310" t="str">
        <f>CONCATENATE(C126,AJ126)</f>
        <v>INSERITOANNO   2023 + 2022 + 2021</v>
      </c>
      <c r="AQ126" s="1244">
        <v>27</v>
      </c>
      <c r="AR126" s="33"/>
      <c r="AS126" s="33"/>
      <c r="AT126" s="33"/>
      <c r="AU126" s="33"/>
      <c r="AV126" s="33"/>
      <c r="AW126" s="33"/>
      <c r="AX126" s="33"/>
      <c r="AY126" s="33"/>
      <c r="AZ126" s="33"/>
    </row>
    <row r="127" spans="1:52" ht="18" hidden="1" customHeight="1" x14ac:dyDescent="0.2">
      <c r="A127" s="33"/>
      <c r="B127" s="1244"/>
      <c r="C127" s="2485" t="s">
        <v>515</v>
      </c>
      <c r="D127" s="2486"/>
      <c r="E127" s="1639">
        <f>E106+E109+E112</f>
        <v>0</v>
      </c>
      <c r="F127" s="1573"/>
      <c r="G127" s="1574"/>
      <c r="H127" s="1572">
        <f>H106+H109+H112</f>
        <v>0</v>
      </c>
      <c r="I127" s="1573"/>
      <c r="J127" s="1574"/>
      <c r="K127" s="1572">
        <f>K106+K109+K112</f>
        <v>0</v>
      </c>
      <c r="L127" s="1573"/>
      <c r="M127" s="1574"/>
      <c r="N127" s="1572">
        <f>N106+N109+N112</f>
        <v>0</v>
      </c>
      <c r="O127" s="1573"/>
      <c r="P127" s="1574"/>
      <c r="Q127" s="1572">
        <f>Q106+Q109+Q112</f>
        <v>0</v>
      </c>
      <c r="R127" s="1573"/>
      <c r="S127" s="1574"/>
      <c r="T127" s="1572">
        <f>T106+T109+T112</f>
        <v>0</v>
      </c>
      <c r="U127" s="1573"/>
      <c r="V127" s="1574"/>
      <c r="W127" s="1572">
        <f>W106+W109+W112</f>
        <v>0</v>
      </c>
      <c r="X127" s="1573"/>
      <c r="Y127" s="1573"/>
      <c r="Z127" s="2484">
        <f>Z106+Z109+Z112</f>
        <v>0</v>
      </c>
      <c r="AA127" s="1573"/>
      <c r="AB127" s="1574"/>
      <c r="AC127" s="1572">
        <f>AC106+AC109+AC112</f>
        <v>0</v>
      </c>
      <c r="AD127" s="1573"/>
      <c r="AE127" s="1574"/>
      <c r="AF127" s="1572">
        <f>AF106+AF109+AF112</f>
        <v>0</v>
      </c>
      <c r="AG127" s="1573"/>
      <c r="AH127" s="1609"/>
      <c r="AI127" s="1244"/>
      <c r="AJ127" s="1244"/>
      <c r="AK127" s="1244"/>
      <c r="AL127" s="1244"/>
      <c r="AM127" s="1244"/>
      <c r="AN127" s="1244"/>
      <c r="AO127" s="1244"/>
      <c r="AP127" s="310" t="str">
        <f>CONCATENATE(C127,AJ126)</f>
        <v>a CONTOANNO   2023 + 2022 + 2021</v>
      </c>
      <c r="AQ127" s="1244">
        <v>28</v>
      </c>
      <c r="AR127" s="33"/>
      <c r="AS127" s="33"/>
      <c r="AT127" s="33"/>
      <c r="AU127" s="33"/>
      <c r="AV127" s="33"/>
      <c r="AW127" s="33"/>
      <c r="AX127" s="33"/>
      <c r="AY127" s="33"/>
      <c r="AZ127" s="33"/>
    </row>
    <row r="128" spans="1:52" ht="18" hidden="1" customHeight="1" x14ac:dyDescent="0.2">
      <c r="A128" s="33"/>
      <c r="B128" s="1244"/>
      <c r="C128" s="2489" t="s">
        <v>514</v>
      </c>
      <c r="D128" s="2490"/>
      <c r="E128" s="1663">
        <f>E107+E110+E113</f>
        <v>0</v>
      </c>
      <c r="F128" s="1616"/>
      <c r="G128" s="1617"/>
      <c r="H128" s="1615">
        <f>H107+H110+H113</f>
        <v>0</v>
      </c>
      <c r="I128" s="1616"/>
      <c r="J128" s="1617"/>
      <c r="K128" s="1615">
        <f>K107+K110+K113</f>
        <v>0</v>
      </c>
      <c r="L128" s="1616"/>
      <c r="M128" s="1617"/>
      <c r="N128" s="1615">
        <f>N107+N110+N113</f>
        <v>0</v>
      </c>
      <c r="O128" s="1616"/>
      <c r="P128" s="1617"/>
      <c r="Q128" s="1615">
        <f>Q107+Q110+Q113</f>
        <v>0</v>
      </c>
      <c r="R128" s="1616"/>
      <c r="S128" s="1617"/>
      <c r="T128" s="1615">
        <f>T107+T110+T113</f>
        <v>0</v>
      </c>
      <c r="U128" s="1616"/>
      <c r="V128" s="1617"/>
      <c r="W128" s="1615">
        <f>W107+W110+W113</f>
        <v>0</v>
      </c>
      <c r="X128" s="1616"/>
      <c r="Y128" s="1616"/>
      <c r="Z128" s="2488">
        <f>Z107+Z110+Z113</f>
        <v>0</v>
      </c>
      <c r="AA128" s="1616"/>
      <c r="AB128" s="1617"/>
      <c r="AC128" s="1615">
        <f>AC107+AC110+AC113</f>
        <v>0</v>
      </c>
      <c r="AD128" s="1616"/>
      <c r="AE128" s="1617"/>
      <c r="AF128" s="1615">
        <f>AF107+AF110+AF113</f>
        <v>0</v>
      </c>
      <c r="AG128" s="1616"/>
      <c r="AH128" s="1618"/>
      <c r="AI128" s="1244"/>
      <c r="AJ128" s="1244"/>
      <c r="AK128" s="1244"/>
      <c r="AL128" s="1244"/>
      <c r="AM128" s="1244"/>
      <c r="AN128" s="1244"/>
      <c r="AO128" s="1244"/>
      <c r="AP128" s="310" t="str">
        <f>CONCATENATE(C128,AJ126)</f>
        <v>Percent.ANNO   2023 + 2022 + 2021</v>
      </c>
      <c r="AQ128" s="1244">
        <v>29</v>
      </c>
      <c r="AR128" s="33"/>
      <c r="AS128" s="33"/>
      <c r="AT128" s="33"/>
      <c r="AU128" s="33"/>
      <c r="AV128" s="33"/>
      <c r="AW128" s="33"/>
      <c r="AX128" s="33"/>
      <c r="AY128" s="33"/>
      <c r="AZ128" s="33"/>
    </row>
    <row r="129" spans="1:57" ht="18" hidden="1" customHeight="1" x14ac:dyDescent="0.2">
      <c r="A129" s="33"/>
      <c r="B129" s="1244"/>
      <c r="C129" s="2485" t="str">
        <f>C126</f>
        <v>INSERITO</v>
      </c>
      <c r="D129" s="2486"/>
      <c r="E129" s="2487">
        <f>E108+E111</f>
        <v>0</v>
      </c>
      <c r="F129" s="1629"/>
      <c r="G129" s="1630"/>
      <c r="H129" s="1628">
        <f>H108+H111</f>
        <v>0</v>
      </c>
      <c r="I129" s="1629"/>
      <c r="J129" s="1630"/>
      <c r="K129" s="1628">
        <f>K108+K111</f>
        <v>0</v>
      </c>
      <c r="L129" s="1629"/>
      <c r="M129" s="1630"/>
      <c r="N129" s="1628">
        <f>N108+N111</f>
        <v>0</v>
      </c>
      <c r="O129" s="1629"/>
      <c r="P129" s="1630"/>
      <c r="Q129" s="1628">
        <f>Q108+Q111</f>
        <v>0</v>
      </c>
      <c r="R129" s="1629"/>
      <c r="S129" s="1630"/>
      <c r="T129" s="1628">
        <f>T108+T111</f>
        <v>0</v>
      </c>
      <c r="U129" s="1629"/>
      <c r="V129" s="1630"/>
      <c r="W129" s="1628">
        <f>W108+W111</f>
        <v>0</v>
      </c>
      <c r="X129" s="1629"/>
      <c r="Y129" s="1629"/>
      <c r="Z129" s="2479">
        <f>Z108+Z111</f>
        <v>0</v>
      </c>
      <c r="AA129" s="1629"/>
      <c r="AB129" s="1630"/>
      <c r="AC129" s="1628">
        <f>AC108+AC111</f>
        <v>0</v>
      </c>
      <c r="AD129" s="1629"/>
      <c r="AE129" s="1630"/>
      <c r="AF129" s="1628">
        <f>AF108+AF111</f>
        <v>0</v>
      </c>
      <c r="AG129" s="1629"/>
      <c r="AH129" s="2480"/>
      <c r="AI129" s="1244"/>
      <c r="AJ129" s="104" t="str">
        <f>GEN!I196</f>
        <v>ANNO   2022 + 2021</v>
      </c>
      <c r="AK129" s="1244"/>
      <c r="AL129" s="1244"/>
      <c r="AM129" s="1244"/>
      <c r="AN129" s="1244"/>
      <c r="AO129" s="1244"/>
      <c r="AP129" s="310" t="str">
        <f>CONCATENATE(C129,AJ129)</f>
        <v>INSERITOANNO   2022 + 2021</v>
      </c>
      <c r="AQ129" s="1244">
        <v>30</v>
      </c>
      <c r="AR129" s="33"/>
      <c r="AS129" s="33"/>
      <c r="AT129" s="33"/>
      <c r="AU129" s="33"/>
      <c r="AV129" s="33"/>
      <c r="AW129" s="33"/>
      <c r="AX129" s="33"/>
      <c r="AY129" s="33"/>
      <c r="AZ129" s="33"/>
    </row>
    <row r="130" spans="1:57" ht="18" hidden="1" customHeight="1" x14ac:dyDescent="0.2">
      <c r="A130" s="33"/>
      <c r="B130" s="1244"/>
      <c r="C130" s="2485" t="s">
        <v>515</v>
      </c>
      <c r="D130" s="2486"/>
      <c r="E130" s="1639">
        <f>E109+E112</f>
        <v>0</v>
      </c>
      <c r="F130" s="1573"/>
      <c r="G130" s="1574"/>
      <c r="H130" s="1572">
        <f>H109+H112</f>
        <v>0</v>
      </c>
      <c r="I130" s="1573"/>
      <c r="J130" s="1574"/>
      <c r="K130" s="1572">
        <f>K109+K112</f>
        <v>0</v>
      </c>
      <c r="L130" s="1573"/>
      <c r="M130" s="1574"/>
      <c r="N130" s="1572">
        <f>N109+N112</f>
        <v>0</v>
      </c>
      <c r="O130" s="1573"/>
      <c r="P130" s="1574"/>
      <c r="Q130" s="1572">
        <f>Q109+Q112</f>
        <v>0</v>
      </c>
      <c r="R130" s="1573"/>
      <c r="S130" s="1574"/>
      <c r="T130" s="1572">
        <f>T109+T112</f>
        <v>0</v>
      </c>
      <c r="U130" s="1573"/>
      <c r="V130" s="1574"/>
      <c r="W130" s="1572">
        <f>W109+W112</f>
        <v>0</v>
      </c>
      <c r="X130" s="1573"/>
      <c r="Y130" s="1573"/>
      <c r="Z130" s="2484">
        <f>Z109+Z112</f>
        <v>0</v>
      </c>
      <c r="AA130" s="1573"/>
      <c r="AB130" s="1574"/>
      <c r="AC130" s="1572">
        <f>AC109+AC112</f>
        <v>0</v>
      </c>
      <c r="AD130" s="1573"/>
      <c r="AE130" s="1574"/>
      <c r="AF130" s="1572">
        <f>AF109+AF112</f>
        <v>0</v>
      </c>
      <c r="AG130" s="1573"/>
      <c r="AH130" s="1609"/>
      <c r="AI130" s="1244"/>
      <c r="AJ130" s="1244"/>
      <c r="AK130" s="1244"/>
      <c r="AL130" s="1244"/>
      <c r="AM130" s="1244"/>
      <c r="AN130" s="1244"/>
      <c r="AO130" s="1244"/>
      <c r="AP130" s="310" t="str">
        <f>CONCATENATE(C130,AJ129)</f>
        <v>a CONTOANNO   2022 + 2021</v>
      </c>
      <c r="AQ130" s="1244">
        <v>31</v>
      </c>
      <c r="AR130" s="33"/>
      <c r="AS130" s="33"/>
      <c r="AT130" s="33"/>
      <c r="AU130" s="33"/>
      <c r="AV130" s="33"/>
      <c r="AW130" s="33"/>
      <c r="AX130" s="33"/>
      <c r="AY130" s="33"/>
      <c r="AZ130" s="33"/>
    </row>
    <row r="131" spans="1:57" ht="18" hidden="1" customHeight="1" x14ac:dyDescent="0.2">
      <c r="A131" s="33"/>
      <c r="B131" s="1244"/>
      <c r="C131" s="2489" t="s">
        <v>514</v>
      </c>
      <c r="D131" s="2490"/>
      <c r="E131" s="1663">
        <f>E110+E113</f>
        <v>0</v>
      </c>
      <c r="F131" s="1616"/>
      <c r="G131" s="1617"/>
      <c r="H131" s="1615">
        <f>H110+H113</f>
        <v>0</v>
      </c>
      <c r="I131" s="1616"/>
      <c r="J131" s="1617"/>
      <c r="K131" s="1615">
        <f>K110+K113</f>
        <v>0</v>
      </c>
      <c r="L131" s="1616"/>
      <c r="M131" s="1617"/>
      <c r="N131" s="1615">
        <f>N110+N113</f>
        <v>0</v>
      </c>
      <c r="O131" s="1616"/>
      <c r="P131" s="1617"/>
      <c r="Q131" s="1615">
        <f>Q110+Q113</f>
        <v>0</v>
      </c>
      <c r="R131" s="1616"/>
      <c r="S131" s="1617"/>
      <c r="T131" s="1615">
        <f>T110+T113</f>
        <v>0</v>
      </c>
      <c r="U131" s="1616"/>
      <c r="V131" s="1617"/>
      <c r="W131" s="1615">
        <f>W110+W113</f>
        <v>0</v>
      </c>
      <c r="X131" s="1616"/>
      <c r="Y131" s="1616"/>
      <c r="Z131" s="2488">
        <f>Z110+Z113</f>
        <v>0</v>
      </c>
      <c r="AA131" s="1616"/>
      <c r="AB131" s="1617"/>
      <c r="AC131" s="1615">
        <f>AC110+AC113</f>
        <v>0</v>
      </c>
      <c r="AD131" s="1616"/>
      <c r="AE131" s="1617"/>
      <c r="AF131" s="1615">
        <f>AF110+AF113</f>
        <v>0</v>
      </c>
      <c r="AG131" s="1616"/>
      <c r="AH131" s="1618"/>
      <c r="AI131" s="1244"/>
      <c r="AJ131" s="1244"/>
      <c r="AK131" s="1244"/>
      <c r="AL131" s="1244"/>
      <c r="AM131" s="1244"/>
      <c r="AN131" s="1244"/>
      <c r="AO131" s="1244"/>
      <c r="AP131" s="310" t="str">
        <f>CONCATENATE(C131,AJ129)</f>
        <v>Percent.ANNO   2022 + 2021</v>
      </c>
      <c r="AQ131" s="1244">
        <v>32</v>
      </c>
      <c r="AR131" s="33"/>
      <c r="AS131" s="33"/>
      <c r="AT131" s="33"/>
      <c r="AU131" s="33"/>
      <c r="AV131" s="33"/>
      <c r="AW131" s="33"/>
      <c r="AX131" s="33"/>
      <c r="AY131" s="33"/>
      <c r="AZ131" s="33"/>
    </row>
    <row r="132" spans="1:57" ht="18" hidden="1" customHeight="1" x14ac:dyDescent="0.2">
      <c r="A132" s="33"/>
      <c r="B132" s="1244"/>
      <c r="C132" s="33"/>
      <c r="D132" s="33"/>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44"/>
      <c r="AE132" s="1244"/>
      <c r="AF132" s="1244"/>
      <c r="AG132" s="1244"/>
      <c r="AH132" s="1244"/>
      <c r="AI132" s="1244"/>
      <c r="AJ132" s="1244"/>
      <c r="AK132" s="1244"/>
      <c r="AL132" s="1244"/>
      <c r="AM132" s="1244"/>
      <c r="AN132" s="1244"/>
      <c r="AO132" s="33"/>
      <c r="AP132" s="33"/>
      <c r="AQ132" s="33"/>
      <c r="AR132" s="33"/>
      <c r="AS132" s="33"/>
      <c r="AT132" s="33"/>
      <c r="AU132" s="33"/>
      <c r="AV132" s="33"/>
      <c r="AW132" s="33"/>
      <c r="AX132" s="33"/>
      <c r="AY132" s="33"/>
      <c r="AZ132" s="33"/>
    </row>
    <row r="133" spans="1:57" hidden="1" x14ac:dyDescent="0.2">
      <c r="A133" s="33"/>
      <c r="B133" s="33"/>
      <c r="C133" s="113">
        <f>IF(OR(ISERROR(O133),AB133=FALSE),-1,0)</f>
        <v>0</v>
      </c>
      <c r="D133" s="113" t="s">
        <v>288</v>
      </c>
      <c r="E133" s="1244"/>
      <c r="F133" s="1244"/>
      <c r="G133" s="1244"/>
      <c r="H133" s="1244"/>
      <c r="I133" s="1244"/>
      <c r="J133" s="1244"/>
      <c r="K133" s="33"/>
      <c r="L133" s="1244"/>
      <c r="M133" s="1244"/>
      <c r="N133" s="1244"/>
      <c r="O133" s="296">
        <f>Presentazione!K167</f>
        <v>18</v>
      </c>
      <c r="P133" s="296" t="s">
        <v>241</v>
      </c>
      <c r="Q133" s="1244"/>
      <c r="R133" s="1244"/>
      <c r="S133" s="1244"/>
      <c r="T133" s="1244"/>
      <c r="U133" s="1244"/>
      <c r="V133" s="137">
        <v>1</v>
      </c>
      <c r="W133" s="117" t="s">
        <v>395</v>
      </c>
      <c r="X133" s="1244"/>
      <c r="Y133" s="1244"/>
      <c r="Z133" s="1244"/>
      <c r="AA133" s="1244"/>
      <c r="AB133" s="1763" t="b">
        <f>Presentazione!F164</f>
        <v>1</v>
      </c>
      <c r="AC133" s="1763"/>
      <c r="AD133" s="296" t="s">
        <v>88</v>
      </c>
      <c r="AE133" s="33"/>
      <c r="AF133" s="1763" t="s">
        <v>365</v>
      </c>
      <c r="AG133" s="1763"/>
      <c r="AH133" s="33"/>
      <c r="AI133" s="33"/>
      <c r="AJ133" s="33"/>
      <c r="AK133" s="33"/>
      <c r="AL133" s="33"/>
      <c r="AM133" s="33"/>
      <c r="AN133" s="33"/>
      <c r="AO133" s="33"/>
      <c r="AP133" s="33"/>
      <c r="AQ133" s="33"/>
      <c r="AR133" s="33"/>
      <c r="AS133" s="33"/>
      <c r="AT133" s="33"/>
      <c r="AU133" s="33"/>
      <c r="AV133" s="33"/>
      <c r="AW133" s="33"/>
      <c r="AX133" s="33"/>
      <c r="AY133" s="33"/>
      <c r="AZ133" s="33"/>
    </row>
    <row r="134" spans="1:57" s="633" customFormat="1" ht="30" hidden="1" customHeight="1" x14ac:dyDescent="0.2">
      <c r="A134" s="631"/>
      <c r="B134" s="631"/>
      <c r="C134" s="1041"/>
      <c r="D134" s="1041"/>
      <c r="E134" s="1041"/>
      <c r="F134" s="1041"/>
      <c r="G134" s="1041"/>
      <c r="H134" s="1041"/>
      <c r="I134" s="1041"/>
      <c r="J134" s="1041"/>
      <c r="K134" s="1041"/>
      <c r="L134" s="634"/>
      <c r="M134" s="634"/>
      <c r="N134" s="634"/>
      <c r="O134" s="631"/>
      <c r="P134" s="631"/>
      <c r="Q134" s="631"/>
      <c r="R134" s="631"/>
      <c r="S134" s="631"/>
      <c r="T134" s="631"/>
      <c r="U134" s="634"/>
      <c r="V134" s="634"/>
      <c r="W134" s="634"/>
      <c r="X134" s="634"/>
      <c r="Y134" s="634"/>
      <c r="Z134" s="634"/>
      <c r="AA134" s="634"/>
      <c r="AB134" s="634"/>
      <c r="AC134" s="634"/>
      <c r="AD134" s="631"/>
      <c r="AE134" s="631"/>
      <c r="AF134" s="631"/>
      <c r="AG134" s="631"/>
      <c r="AH134" s="631"/>
      <c r="AI134" s="631"/>
      <c r="AJ134" s="631"/>
      <c r="AK134" s="631"/>
      <c r="AL134" s="631"/>
      <c r="AM134" s="631"/>
      <c r="AN134" s="631"/>
      <c r="AO134" s="631"/>
      <c r="AP134" s="631"/>
      <c r="AQ134" s="631"/>
      <c r="AR134" s="631"/>
      <c r="AS134" s="631"/>
      <c r="AT134" s="33"/>
      <c r="AU134" s="33"/>
      <c r="AV134" s="33"/>
      <c r="AW134" s="33"/>
      <c r="AX134" s="33"/>
      <c r="AY134" s="33"/>
      <c r="AZ134" s="33"/>
      <c r="BA134" s="54"/>
      <c r="BB134" s="54"/>
      <c r="BC134" s="54"/>
      <c r="BD134" s="54"/>
      <c r="BE134" s="54"/>
    </row>
    <row r="135" spans="1:57" ht="15.75" customHeight="1" x14ac:dyDescent="0.2">
      <c r="A135" s="33"/>
      <c r="B135" s="33"/>
      <c r="C135" s="1243" t="s">
        <v>215</v>
      </c>
      <c r="D135" s="33"/>
      <c r="E135" s="33"/>
      <c r="F135" s="33"/>
      <c r="G135" s="33"/>
      <c r="H135" s="575" t="s">
        <v>72</v>
      </c>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630"/>
    </row>
    <row r="136" spans="1:57" x14ac:dyDescent="0.2">
      <c r="A136" s="366"/>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1362"/>
    </row>
  </sheetData>
  <sheetProtection algorithmName="SHA-512" hashValue="FHANysThGjs6E9JP19KXezEhxLzJzF+F7QRBimI+OomQHTCDWrVBPaPVUuRPCGLPxUJ4K+VzGtz6si9iP8ZJOw==" saltValue="EV4fDoG+j0jjnQ+Ph3heDQ==" spinCount="100000" sheet="1" objects="1" scenarios="1" selectLockedCells="1"/>
  <mergeCells count="885">
    <mergeCell ref="AF133:AG133"/>
    <mergeCell ref="AC117:AE117"/>
    <mergeCell ref="AF117:AH117"/>
    <mergeCell ref="W118:Y118"/>
    <mergeCell ref="W122:Y122"/>
    <mergeCell ref="Q122:S122"/>
    <mergeCell ref="T122:V122"/>
    <mergeCell ref="Z120:AB120"/>
    <mergeCell ref="AC120:AE120"/>
    <mergeCell ref="W123:Y123"/>
    <mergeCell ref="Z123:AB123"/>
    <mergeCell ref="AC123:AE123"/>
    <mergeCell ref="AF123:AH123"/>
    <mergeCell ref="Z122:AB122"/>
    <mergeCell ref="AC122:AE122"/>
    <mergeCell ref="AF122:AH122"/>
    <mergeCell ref="AC131:AE131"/>
    <mergeCell ref="AF131:AH131"/>
    <mergeCell ref="Z130:AB130"/>
    <mergeCell ref="AC130:AE130"/>
    <mergeCell ref="AF130:AH130"/>
    <mergeCell ref="W131:Y131"/>
    <mergeCell ref="Z131:AB131"/>
    <mergeCell ref="W130:Y130"/>
    <mergeCell ref="Z115:AB115"/>
    <mergeCell ref="AC115:AE115"/>
    <mergeCell ref="AF115:AH115"/>
    <mergeCell ref="Z114:AB114"/>
    <mergeCell ref="AC114:AE114"/>
    <mergeCell ref="AF114:AH114"/>
    <mergeCell ref="AC110:AE110"/>
    <mergeCell ref="AF110:AH110"/>
    <mergeCell ref="AC129:AE129"/>
    <mergeCell ref="AF129:AH129"/>
    <mergeCell ref="Z124:AB124"/>
    <mergeCell ref="AC124:AE124"/>
    <mergeCell ref="AF124:AH124"/>
    <mergeCell ref="Z116:AB116"/>
    <mergeCell ref="AC116:AE116"/>
    <mergeCell ref="AF116:AH116"/>
    <mergeCell ref="AF111:AH111"/>
    <mergeCell ref="AF112:AH112"/>
    <mergeCell ref="Z125:AB125"/>
    <mergeCell ref="AC125:AE125"/>
    <mergeCell ref="AF125:AH125"/>
    <mergeCell ref="Z121:AB121"/>
    <mergeCell ref="AC121:AE121"/>
    <mergeCell ref="AF121:AH121"/>
    <mergeCell ref="C63:D63"/>
    <mergeCell ref="V66:Y66"/>
    <mergeCell ref="J47:M47"/>
    <mergeCell ref="J48:M48"/>
    <mergeCell ref="J62:M62"/>
    <mergeCell ref="J49:M49"/>
    <mergeCell ref="J51:M51"/>
    <mergeCell ref="N65:Q65"/>
    <mergeCell ref="N66:Q66"/>
    <mergeCell ref="R66:U66"/>
    <mergeCell ref="C61:D62"/>
    <mergeCell ref="C49:D49"/>
    <mergeCell ref="C56:D56"/>
    <mergeCell ref="J52:M52"/>
    <mergeCell ref="J54:M54"/>
    <mergeCell ref="J55:M55"/>
    <mergeCell ref="N55:Q55"/>
    <mergeCell ref="J60:M60"/>
    <mergeCell ref="N61:Q61"/>
    <mergeCell ref="N60:Q60"/>
    <mergeCell ref="J65:M65"/>
    <mergeCell ref="E62:H62"/>
    <mergeCell ref="E58:H58"/>
    <mergeCell ref="J58:M58"/>
    <mergeCell ref="Z67:AC67"/>
    <mergeCell ref="N67:Q67"/>
    <mergeCell ref="R67:U67"/>
    <mergeCell ref="V67:Y67"/>
    <mergeCell ref="N130:P130"/>
    <mergeCell ref="Q130:S130"/>
    <mergeCell ref="C72:D72"/>
    <mergeCell ref="C70:D70"/>
    <mergeCell ref="BB15:BD15"/>
    <mergeCell ref="C68:D69"/>
    <mergeCell ref="AH70:AK70"/>
    <mergeCell ref="R69:U69"/>
    <mergeCell ref="AM70:AP70"/>
    <mergeCell ref="Z70:AC70"/>
    <mergeCell ref="AD70:AG70"/>
    <mergeCell ref="C47:D48"/>
    <mergeCell ref="C54:D55"/>
    <mergeCell ref="AD49:AG49"/>
    <mergeCell ref="AH49:AK49"/>
    <mergeCell ref="R49:U49"/>
    <mergeCell ref="J66:M66"/>
    <mergeCell ref="N48:Q48"/>
    <mergeCell ref="R48:U48"/>
    <mergeCell ref="N49:Q49"/>
    <mergeCell ref="AH65:AK65"/>
    <mergeCell ref="W129:Y129"/>
    <mergeCell ref="Z129:AB129"/>
    <mergeCell ref="N131:P131"/>
    <mergeCell ref="Q131:S131"/>
    <mergeCell ref="T131:V131"/>
    <mergeCell ref="AQ56:AT56"/>
    <mergeCell ref="AM56:AP56"/>
    <mergeCell ref="W128:Y128"/>
    <mergeCell ref="W127:Y127"/>
    <mergeCell ref="Z127:AB127"/>
    <mergeCell ref="W126:Y126"/>
    <mergeCell ref="AC127:AE127"/>
    <mergeCell ref="AF127:AH127"/>
    <mergeCell ref="Z126:AB126"/>
    <mergeCell ref="AC126:AE126"/>
    <mergeCell ref="AF120:AH120"/>
    <mergeCell ref="N117:P117"/>
    <mergeCell ref="Q117:S117"/>
    <mergeCell ref="T117:V117"/>
    <mergeCell ref="N116:P116"/>
    <mergeCell ref="Q116:S116"/>
    <mergeCell ref="T116:V116"/>
    <mergeCell ref="Z117:AB117"/>
    <mergeCell ref="J63:M63"/>
    <mergeCell ref="N63:Q63"/>
    <mergeCell ref="R63:U63"/>
    <mergeCell ref="AH63:AK63"/>
    <mergeCell ref="Z128:AB128"/>
    <mergeCell ref="AC128:AE128"/>
    <mergeCell ref="AF128:AH128"/>
    <mergeCell ref="N125:P125"/>
    <mergeCell ref="Q125:S125"/>
    <mergeCell ref="T125:V125"/>
    <mergeCell ref="N124:P124"/>
    <mergeCell ref="AF126:AH126"/>
    <mergeCell ref="N123:P123"/>
    <mergeCell ref="Q123:S123"/>
    <mergeCell ref="T123:V123"/>
    <mergeCell ref="N122:P122"/>
    <mergeCell ref="AF119:AH119"/>
    <mergeCell ref="Z118:AB118"/>
    <mergeCell ref="AC118:AE118"/>
    <mergeCell ref="AF118:AH118"/>
    <mergeCell ref="W120:Y120"/>
    <mergeCell ref="Q127:S127"/>
    <mergeCell ref="T127:V127"/>
    <mergeCell ref="N126:P126"/>
    <mergeCell ref="C131:D131"/>
    <mergeCell ref="E131:G131"/>
    <mergeCell ref="H131:J131"/>
    <mergeCell ref="K131:M131"/>
    <mergeCell ref="C130:D130"/>
    <mergeCell ref="E130:G130"/>
    <mergeCell ref="H130:J130"/>
    <mergeCell ref="K130:M130"/>
    <mergeCell ref="T130:V130"/>
    <mergeCell ref="Q129:S129"/>
    <mergeCell ref="T129:V129"/>
    <mergeCell ref="N128:P128"/>
    <mergeCell ref="Q128:S128"/>
    <mergeCell ref="T128:V128"/>
    <mergeCell ref="C128:D128"/>
    <mergeCell ref="E128:G128"/>
    <mergeCell ref="H128:J128"/>
    <mergeCell ref="K128:M128"/>
    <mergeCell ref="C129:D129"/>
    <mergeCell ref="E129:G129"/>
    <mergeCell ref="H129:J129"/>
    <mergeCell ref="K129:M129"/>
    <mergeCell ref="N129:P129"/>
    <mergeCell ref="C126:D126"/>
    <mergeCell ref="E126:G126"/>
    <mergeCell ref="H126:J126"/>
    <mergeCell ref="K126:M126"/>
    <mergeCell ref="C122:D122"/>
    <mergeCell ref="E122:G122"/>
    <mergeCell ref="H122:J122"/>
    <mergeCell ref="K122:M122"/>
    <mergeCell ref="C127:D127"/>
    <mergeCell ref="E127:G127"/>
    <mergeCell ref="H127:J127"/>
    <mergeCell ref="K127:M127"/>
    <mergeCell ref="C124:D124"/>
    <mergeCell ref="E124:G124"/>
    <mergeCell ref="H124:J124"/>
    <mergeCell ref="K124:M124"/>
    <mergeCell ref="C123:D123"/>
    <mergeCell ref="E123:G123"/>
    <mergeCell ref="H123:J123"/>
    <mergeCell ref="K123:M123"/>
    <mergeCell ref="C125:D125"/>
    <mergeCell ref="E125:G125"/>
    <mergeCell ref="H125:J125"/>
    <mergeCell ref="K125:M125"/>
    <mergeCell ref="Q126:S126"/>
    <mergeCell ref="T126:V126"/>
    <mergeCell ref="N127:P127"/>
    <mergeCell ref="W125:Y125"/>
    <mergeCell ref="N121:P121"/>
    <mergeCell ref="Q121:S121"/>
    <mergeCell ref="T121:V121"/>
    <mergeCell ref="N120:P120"/>
    <mergeCell ref="Q120:S120"/>
    <mergeCell ref="T120:V120"/>
    <mergeCell ref="Q124:S124"/>
    <mergeCell ref="T124:V124"/>
    <mergeCell ref="W119:Y119"/>
    <mergeCell ref="C119:D119"/>
    <mergeCell ref="E119:G119"/>
    <mergeCell ref="H119:J119"/>
    <mergeCell ref="K119:M119"/>
    <mergeCell ref="W124:Y124"/>
    <mergeCell ref="W121:Y121"/>
    <mergeCell ref="Z119:AB119"/>
    <mergeCell ref="AC119:AE119"/>
    <mergeCell ref="C121:D121"/>
    <mergeCell ref="E121:G121"/>
    <mergeCell ref="H121:J121"/>
    <mergeCell ref="K121:M121"/>
    <mergeCell ref="N119:P119"/>
    <mergeCell ref="Q119:S119"/>
    <mergeCell ref="T119:V119"/>
    <mergeCell ref="C120:D120"/>
    <mergeCell ref="E120:G120"/>
    <mergeCell ref="H120:J120"/>
    <mergeCell ref="K120:M120"/>
    <mergeCell ref="N115:P115"/>
    <mergeCell ref="Q115:S115"/>
    <mergeCell ref="T115:V115"/>
    <mergeCell ref="N114:P114"/>
    <mergeCell ref="Q114:S114"/>
    <mergeCell ref="T114:V114"/>
    <mergeCell ref="W116:Y116"/>
    <mergeCell ref="C116:D116"/>
    <mergeCell ref="E116:G116"/>
    <mergeCell ref="H116:J116"/>
    <mergeCell ref="K116:M116"/>
    <mergeCell ref="W115:Y115"/>
    <mergeCell ref="C115:D115"/>
    <mergeCell ref="E115:G115"/>
    <mergeCell ref="H115:J115"/>
    <mergeCell ref="K115:M115"/>
    <mergeCell ref="W114:Y114"/>
    <mergeCell ref="C114:D114"/>
    <mergeCell ref="E114:G114"/>
    <mergeCell ref="H114:J114"/>
    <mergeCell ref="K114:M114"/>
    <mergeCell ref="C118:D118"/>
    <mergeCell ref="E118:G118"/>
    <mergeCell ref="H118:J118"/>
    <mergeCell ref="K118:M118"/>
    <mergeCell ref="W117:Y117"/>
    <mergeCell ref="C117:D117"/>
    <mergeCell ref="E117:G117"/>
    <mergeCell ref="H117:J117"/>
    <mergeCell ref="K117:M117"/>
    <mergeCell ref="N118:P118"/>
    <mergeCell ref="Q118:S118"/>
    <mergeCell ref="T118:V118"/>
    <mergeCell ref="AC111:AE111"/>
    <mergeCell ref="N111:P111"/>
    <mergeCell ref="Q111:S111"/>
    <mergeCell ref="T111:V111"/>
    <mergeCell ref="W111:Y111"/>
    <mergeCell ref="H113:J113"/>
    <mergeCell ref="K113:M113"/>
    <mergeCell ref="N113:P113"/>
    <mergeCell ref="Q113:S113"/>
    <mergeCell ref="T113:V113"/>
    <mergeCell ref="Z100:AB100"/>
    <mergeCell ref="Z113:AB113"/>
    <mergeCell ref="Z104:AB104"/>
    <mergeCell ref="C111:D111"/>
    <mergeCell ref="E111:G111"/>
    <mergeCell ref="H111:J111"/>
    <mergeCell ref="K111:M111"/>
    <mergeCell ref="C110:D110"/>
    <mergeCell ref="Z110:AB110"/>
    <mergeCell ref="K112:M112"/>
    <mergeCell ref="N112:P112"/>
    <mergeCell ref="Z111:AB111"/>
    <mergeCell ref="C109:D109"/>
    <mergeCell ref="C108:D108"/>
    <mergeCell ref="E108:G108"/>
    <mergeCell ref="H108:J108"/>
    <mergeCell ref="K108:M108"/>
    <mergeCell ref="N108:P108"/>
    <mergeCell ref="Z108:AB108"/>
    <mergeCell ref="Q107:S107"/>
    <mergeCell ref="T107:V107"/>
    <mergeCell ref="W107:Y107"/>
    <mergeCell ref="C107:D107"/>
    <mergeCell ref="E102:G102"/>
    <mergeCell ref="AF113:AH113"/>
    <mergeCell ref="W113:Y113"/>
    <mergeCell ref="AC109:AE109"/>
    <mergeCell ref="AF100:AH100"/>
    <mergeCell ref="C103:D103"/>
    <mergeCell ref="C104:D104"/>
    <mergeCell ref="C102:D102"/>
    <mergeCell ref="E100:G100"/>
    <mergeCell ref="H100:J100"/>
    <mergeCell ref="K100:M100"/>
    <mergeCell ref="N100:P100"/>
    <mergeCell ref="Q100:S100"/>
    <mergeCell ref="T100:V100"/>
    <mergeCell ref="C113:D113"/>
    <mergeCell ref="Z112:AB112"/>
    <mergeCell ref="AC112:AE112"/>
    <mergeCell ref="AC113:AE113"/>
    <mergeCell ref="Q112:S112"/>
    <mergeCell ref="T112:V112"/>
    <mergeCell ref="W112:Y112"/>
    <mergeCell ref="C112:D112"/>
    <mergeCell ref="E112:G112"/>
    <mergeCell ref="H112:J112"/>
    <mergeCell ref="E113:G113"/>
    <mergeCell ref="AF109:AH109"/>
    <mergeCell ref="E110:G110"/>
    <mergeCell ref="H110:J110"/>
    <mergeCell ref="K110:M110"/>
    <mergeCell ref="N110:P110"/>
    <mergeCell ref="Q110:S110"/>
    <mergeCell ref="T110:V110"/>
    <mergeCell ref="W110:Y110"/>
    <mergeCell ref="Q109:S109"/>
    <mergeCell ref="W109:Y109"/>
    <mergeCell ref="Z109:AB109"/>
    <mergeCell ref="T109:V109"/>
    <mergeCell ref="E109:G109"/>
    <mergeCell ref="H109:J109"/>
    <mergeCell ref="K109:M109"/>
    <mergeCell ref="N109:P109"/>
    <mergeCell ref="AC104:AE104"/>
    <mergeCell ref="Q106:S106"/>
    <mergeCell ref="T106:V106"/>
    <mergeCell ref="W106:Y106"/>
    <mergeCell ref="Q105:S105"/>
    <mergeCell ref="T105:V105"/>
    <mergeCell ref="W105:Y105"/>
    <mergeCell ref="C106:D106"/>
    <mergeCell ref="Z106:AB106"/>
    <mergeCell ref="AC106:AE106"/>
    <mergeCell ref="AF104:AH104"/>
    <mergeCell ref="E104:G104"/>
    <mergeCell ref="H104:J104"/>
    <mergeCell ref="K104:M104"/>
    <mergeCell ref="N104:P104"/>
    <mergeCell ref="Q104:S104"/>
    <mergeCell ref="T104:V104"/>
    <mergeCell ref="W104:Y104"/>
    <mergeCell ref="AC108:AE108"/>
    <mergeCell ref="AF108:AH108"/>
    <mergeCell ref="Z107:AB107"/>
    <mergeCell ref="AC107:AE107"/>
    <mergeCell ref="AF107:AH107"/>
    <mergeCell ref="E107:G107"/>
    <mergeCell ref="H107:J107"/>
    <mergeCell ref="K107:M107"/>
    <mergeCell ref="N107:P107"/>
    <mergeCell ref="E106:G106"/>
    <mergeCell ref="H106:J106"/>
    <mergeCell ref="K106:M106"/>
    <mergeCell ref="N106:P106"/>
    <mergeCell ref="Q108:S108"/>
    <mergeCell ref="T108:V108"/>
    <mergeCell ref="W108:Y108"/>
    <mergeCell ref="H102:J102"/>
    <mergeCell ref="K102:M102"/>
    <mergeCell ref="N102:P102"/>
    <mergeCell ref="Q102:S102"/>
    <mergeCell ref="T102:V102"/>
    <mergeCell ref="W102:Y102"/>
    <mergeCell ref="C105:D105"/>
    <mergeCell ref="E105:G105"/>
    <mergeCell ref="H105:J105"/>
    <mergeCell ref="K105:M105"/>
    <mergeCell ref="N105:P105"/>
    <mergeCell ref="AC103:AE103"/>
    <mergeCell ref="AF103:AH103"/>
    <mergeCell ref="E103:G103"/>
    <mergeCell ref="H103:J103"/>
    <mergeCell ref="K103:M103"/>
    <mergeCell ref="N103:P103"/>
    <mergeCell ref="Q103:S103"/>
    <mergeCell ref="T103:V103"/>
    <mergeCell ref="W103:Y103"/>
    <mergeCell ref="Z103:AB103"/>
    <mergeCell ref="Z102:AB102"/>
    <mergeCell ref="AF101:AH101"/>
    <mergeCell ref="N101:P101"/>
    <mergeCell ref="AM41:AP41"/>
    <mergeCell ref="AQ41:AT41"/>
    <mergeCell ref="N41:Q41"/>
    <mergeCell ref="R41:U41"/>
    <mergeCell ref="Q101:S101"/>
    <mergeCell ref="T101:V101"/>
    <mergeCell ref="N56:Q56"/>
    <mergeCell ref="R56:U56"/>
    <mergeCell ref="AQ58:AT58"/>
    <mergeCell ref="N47:Q47"/>
    <mergeCell ref="R47:U47"/>
    <mergeCell ref="AM46:AP46"/>
    <mergeCell ref="AQ46:AT46"/>
    <mergeCell ref="AQ48:AT48"/>
    <mergeCell ref="N52:Q52"/>
    <mergeCell ref="R52:U52"/>
    <mergeCell ref="AM52:AP52"/>
    <mergeCell ref="AQ52:AT52"/>
    <mergeCell ref="R51:U51"/>
    <mergeCell ref="N54:Q54"/>
    <mergeCell ref="R54:U54"/>
    <mergeCell ref="AF106:AH106"/>
    <mergeCell ref="Z105:AB105"/>
    <mergeCell ref="AC105:AE105"/>
    <mergeCell ref="AF105:AH105"/>
    <mergeCell ref="AC102:AE102"/>
    <mergeCell ref="AH41:AK41"/>
    <mergeCell ref="V41:Y41"/>
    <mergeCell ref="Z41:AC41"/>
    <mergeCell ref="AD41:AG41"/>
    <mergeCell ref="AF102:AH102"/>
    <mergeCell ref="V56:Y56"/>
    <mergeCell ref="W101:Y101"/>
    <mergeCell ref="AH46:AK46"/>
    <mergeCell ref="V52:Y52"/>
    <mergeCell ref="Z52:AC52"/>
    <mergeCell ref="AD52:AG52"/>
    <mergeCell ref="AH52:AK52"/>
    <mergeCell ref="V51:Y51"/>
    <mergeCell ref="V54:Y54"/>
    <mergeCell ref="Z54:AC54"/>
    <mergeCell ref="AD54:AG54"/>
    <mergeCell ref="AH54:AK54"/>
    <mergeCell ref="Z58:AC58"/>
    <mergeCell ref="AD58:AG58"/>
    <mergeCell ref="AU38:AX38"/>
    <mergeCell ref="V42:Y42"/>
    <mergeCell ref="Z101:AB101"/>
    <mergeCell ref="E47:H47"/>
    <mergeCell ref="E49:H49"/>
    <mergeCell ref="E51:H51"/>
    <mergeCell ref="E55:H55"/>
    <mergeCell ref="E56:H56"/>
    <mergeCell ref="AD40:AG40"/>
    <mergeCell ref="AH40:AK40"/>
    <mergeCell ref="AD38:AG38"/>
    <mergeCell ref="AH38:AK38"/>
    <mergeCell ref="AU41:AX41"/>
    <mergeCell ref="AM40:AP40"/>
    <mergeCell ref="AQ40:AT40"/>
    <mergeCell ref="AU40:AX40"/>
    <mergeCell ref="J40:M40"/>
    <mergeCell ref="N40:Q40"/>
    <mergeCell ref="R40:U40"/>
    <mergeCell ref="J41:M41"/>
    <mergeCell ref="N42:Q42"/>
    <mergeCell ref="AC101:AE101"/>
    <mergeCell ref="AC100:AE100"/>
    <mergeCell ref="W100:Y100"/>
    <mergeCell ref="AU35:AX35"/>
    <mergeCell ref="J36:M36"/>
    <mergeCell ref="N36:Q36"/>
    <mergeCell ref="R36:U36"/>
    <mergeCell ref="V36:Y36"/>
    <mergeCell ref="AD36:AG36"/>
    <mergeCell ref="AH36:AK36"/>
    <mergeCell ref="AM36:AX36"/>
    <mergeCell ref="AM35:AP35"/>
    <mergeCell ref="Z35:AC35"/>
    <mergeCell ref="AD35:AG35"/>
    <mergeCell ref="K101:M101"/>
    <mergeCell ref="J42:M42"/>
    <mergeCell ref="J56:M56"/>
    <mergeCell ref="E48:H48"/>
    <mergeCell ref="E61:H61"/>
    <mergeCell ref="N51:Q51"/>
    <mergeCell ref="AQ32:AT32"/>
    <mergeCell ref="J46:M46"/>
    <mergeCell ref="Z44:AC44"/>
    <mergeCell ref="Z65:AC65"/>
    <mergeCell ref="Z49:AC49"/>
    <mergeCell ref="AD68:AG68"/>
    <mergeCell ref="V49:Y49"/>
    <mergeCell ref="R65:U65"/>
    <mergeCell ref="AH69:AK69"/>
    <mergeCell ref="Z36:AC36"/>
    <mergeCell ref="Z69:AC69"/>
    <mergeCell ref="Z68:AC68"/>
    <mergeCell ref="Z48:AC48"/>
    <mergeCell ref="Z38:AC38"/>
    <mergeCell ref="AH42:AK42"/>
    <mergeCell ref="AH35:AK35"/>
    <mergeCell ref="J35:M35"/>
    <mergeCell ref="N35:Q35"/>
    <mergeCell ref="AQ29:AT29"/>
    <mergeCell ref="C40:D40"/>
    <mergeCell ref="C41:D41"/>
    <mergeCell ref="C35:D35"/>
    <mergeCell ref="R35:U35"/>
    <mergeCell ref="V35:Y35"/>
    <mergeCell ref="C38:D38"/>
    <mergeCell ref="J38:M38"/>
    <mergeCell ref="N38:Q38"/>
    <mergeCell ref="R38:U38"/>
    <mergeCell ref="E38:H38"/>
    <mergeCell ref="AQ35:AT35"/>
    <mergeCell ref="AM38:AP38"/>
    <mergeCell ref="AQ38:AT38"/>
    <mergeCell ref="Z40:AC40"/>
    <mergeCell ref="AD30:AG30"/>
    <mergeCell ref="AH30:AK30"/>
    <mergeCell ref="AM30:AX30"/>
    <mergeCell ref="AH29:AK29"/>
    <mergeCell ref="Z30:AC30"/>
    <mergeCell ref="AU32:AX32"/>
    <mergeCell ref="C34:D34"/>
    <mergeCell ref="J34:M34"/>
    <mergeCell ref="N34:Q34"/>
    <mergeCell ref="R34:U34"/>
    <mergeCell ref="V34:Y34"/>
    <mergeCell ref="Z34:AC34"/>
    <mergeCell ref="AD34:AG34"/>
    <mergeCell ref="AH34:AK34"/>
    <mergeCell ref="AM34:AP34"/>
    <mergeCell ref="AQ34:AT34"/>
    <mergeCell ref="AU34:AX34"/>
    <mergeCell ref="V32:Y32"/>
    <mergeCell ref="C29:D29"/>
    <mergeCell ref="C32:D32"/>
    <mergeCell ref="Z29:AC29"/>
    <mergeCell ref="AD29:AG29"/>
    <mergeCell ref="R32:U32"/>
    <mergeCell ref="AM29:AP29"/>
    <mergeCell ref="AD17:AG17"/>
    <mergeCell ref="V15:Y15"/>
    <mergeCell ref="AU26:AX26"/>
    <mergeCell ref="AH17:AK17"/>
    <mergeCell ref="Z17:AC17"/>
    <mergeCell ref="Z18:AC18"/>
    <mergeCell ref="V26:Y26"/>
    <mergeCell ref="V28:Y28"/>
    <mergeCell ref="AH26:AK26"/>
    <mergeCell ref="AH28:AK28"/>
    <mergeCell ref="Z26:AC26"/>
    <mergeCell ref="AD26:AG26"/>
    <mergeCell ref="Z19:AC19"/>
    <mergeCell ref="AD19:AG19"/>
    <mergeCell ref="AH19:AK19"/>
    <mergeCell ref="AM19:AP19"/>
    <mergeCell ref="AQ19:AT19"/>
    <mergeCell ref="AU19:AX19"/>
    <mergeCell ref="Z28:AC28"/>
    <mergeCell ref="AD28:AG28"/>
    <mergeCell ref="AM28:AP28"/>
    <mergeCell ref="AQ28:AT28"/>
    <mergeCell ref="C28:D28"/>
    <mergeCell ref="J28:M28"/>
    <mergeCell ref="AM26:AP26"/>
    <mergeCell ref="AQ26:AT26"/>
    <mergeCell ref="AD24:AG24"/>
    <mergeCell ref="AH24:AK24"/>
    <mergeCell ref="AM24:AX24"/>
    <mergeCell ref="AU28:AX28"/>
    <mergeCell ref="AM17:AP17"/>
    <mergeCell ref="AQ17:AT17"/>
    <mergeCell ref="AQ18:AT18"/>
    <mergeCell ref="AM18:AP18"/>
    <mergeCell ref="AM20:AX20"/>
    <mergeCell ref="AH18:AK18"/>
    <mergeCell ref="AU18:AX18"/>
    <mergeCell ref="AH20:AK20"/>
    <mergeCell ref="AU17:AX17"/>
    <mergeCell ref="AU10:AX10"/>
    <mergeCell ref="AD10:AG10"/>
    <mergeCell ref="AU15:AX15"/>
    <mergeCell ref="AQ15:AT15"/>
    <mergeCell ref="R15:U15"/>
    <mergeCell ref="AU13:AX13"/>
    <mergeCell ref="R12:U12"/>
    <mergeCell ref="AM11:AP11"/>
    <mergeCell ref="R11:U11"/>
    <mergeCell ref="AM13:AP13"/>
    <mergeCell ref="AH13:AK13"/>
    <mergeCell ref="AQ13:AT13"/>
    <mergeCell ref="AU12:AX12"/>
    <mergeCell ref="AQ12:AT12"/>
    <mergeCell ref="AQ11:AT11"/>
    <mergeCell ref="V10:Y10"/>
    <mergeCell ref="Z10:AC10"/>
    <mergeCell ref="AU11:AX11"/>
    <mergeCell ref="R10:U10"/>
    <mergeCell ref="AM12:AP12"/>
    <mergeCell ref="AM10:AP10"/>
    <mergeCell ref="AQ10:AT10"/>
    <mergeCell ref="AH12:AK12"/>
    <mergeCell ref="Z12:AC12"/>
    <mergeCell ref="AU9:AX9"/>
    <mergeCell ref="J9:M9"/>
    <mergeCell ref="N9:Q9"/>
    <mergeCell ref="R9:U9"/>
    <mergeCell ref="V9:Y9"/>
    <mergeCell ref="Z9:AC9"/>
    <mergeCell ref="AD9:AG9"/>
    <mergeCell ref="AH9:AK9"/>
    <mergeCell ref="AM9:AP9"/>
    <mergeCell ref="AQ9:AT9"/>
    <mergeCell ref="AD63:AG63"/>
    <mergeCell ref="Z60:AC60"/>
    <mergeCell ref="AD60:AG60"/>
    <mergeCell ref="V65:Y65"/>
    <mergeCell ref="V63:Y63"/>
    <mergeCell ref="C2:W2"/>
    <mergeCell ref="X2:AN2"/>
    <mergeCell ref="N20:Q20"/>
    <mergeCell ref="AD18:AG18"/>
    <mergeCell ref="AD20:AG20"/>
    <mergeCell ref="J13:M13"/>
    <mergeCell ref="AH10:AK10"/>
    <mergeCell ref="AH11:AK11"/>
    <mergeCell ref="J11:M11"/>
    <mergeCell ref="N12:Q12"/>
    <mergeCell ref="V20:Y20"/>
    <mergeCell ref="AD12:AG12"/>
    <mergeCell ref="Z20:AC20"/>
    <mergeCell ref="R18:U18"/>
    <mergeCell ref="C12:D12"/>
    <mergeCell ref="Z32:AC32"/>
    <mergeCell ref="AD32:AG32"/>
    <mergeCell ref="AH32:AK32"/>
    <mergeCell ref="AM32:AP32"/>
    <mergeCell ref="AD15:AG15"/>
    <mergeCell ref="AH15:AK15"/>
    <mergeCell ref="V13:Y13"/>
    <mergeCell ref="AD13:AG13"/>
    <mergeCell ref="AM15:AP15"/>
    <mergeCell ref="Z15:AC15"/>
    <mergeCell ref="C5:I5"/>
    <mergeCell ref="G7:J7"/>
    <mergeCell ref="Z11:AC11"/>
    <mergeCell ref="V11:Y11"/>
    <mergeCell ref="AD11:AG11"/>
    <mergeCell ref="F8:G8"/>
    <mergeCell ref="C15:D15"/>
    <mergeCell ref="N15:Q15"/>
    <mergeCell ref="V12:Y12"/>
    <mergeCell ref="R20:U20"/>
    <mergeCell ref="V18:Y18"/>
    <mergeCell ref="Z24:AC24"/>
    <mergeCell ref="J12:M12"/>
    <mergeCell ref="Z13:AC13"/>
    <mergeCell ref="J10:M10"/>
    <mergeCell ref="N10:Q10"/>
    <mergeCell ref="N11:Q11"/>
    <mergeCell ref="V17:Y17"/>
    <mergeCell ref="J20:M20"/>
    <mergeCell ref="C17:D17"/>
    <mergeCell ref="C18:D18"/>
    <mergeCell ref="N24:Q24"/>
    <mergeCell ref="E32:H32"/>
    <mergeCell ref="E34:H34"/>
    <mergeCell ref="E35:H35"/>
    <mergeCell ref="N19:Q19"/>
    <mergeCell ref="R19:U19"/>
    <mergeCell ref="V19:Y19"/>
    <mergeCell ref="N28:Q28"/>
    <mergeCell ref="R28:U28"/>
    <mergeCell ref="J29:M29"/>
    <mergeCell ref="N29:Q29"/>
    <mergeCell ref="R29:U29"/>
    <mergeCell ref="V29:Y29"/>
    <mergeCell ref="J32:M32"/>
    <mergeCell ref="N32:Q32"/>
    <mergeCell ref="N26:Q26"/>
    <mergeCell ref="J30:M30"/>
    <mergeCell ref="N30:Q30"/>
    <mergeCell ref="R30:U30"/>
    <mergeCell ref="V30:Y30"/>
    <mergeCell ref="R26:U26"/>
    <mergeCell ref="R17:U17"/>
    <mergeCell ref="AM42:AX42"/>
    <mergeCell ref="C13:D13"/>
    <mergeCell ref="J18:M18"/>
    <mergeCell ref="J17:M17"/>
    <mergeCell ref="E17:H17"/>
    <mergeCell ref="E18:H18"/>
    <mergeCell ref="E13:H13"/>
    <mergeCell ref="E26:H26"/>
    <mergeCell ref="J24:M24"/>
    <mergeCell ref="E28:H28"/>
    <mergeCell ref="C26:D26"/>
    <mergeCell ref="J26:M26"/>
    <mergeCell ref="J19:M19"/>
    <mergeCell ref="R24:U24"/>
    <mergeCell ref="R13:U13"/>
    <mergeCell ref="V24:Y24"/>
    <mergeCell ref="N18:Q18"/>
    <mergeCell ref="N17:Q17"/>
    <mergeCell ref="E15:H15"/>
    <mergeCell ref="N13:Q13"/>
    <mergeCell ref="J15:M15"/>
    <mergeCell ref="V38:Y38"/>
    <mergeCell ref="E29:H29"/>
    <mergeCell ref="AU29:AX29"/>
    <mergeCell ref="AD42:AG42"/>
    <mergeCell ref="V40:Y40"/>
    <mergeCell ref="AM44:AP44"/>
    <mergeCell ref="N44:Q44"/>
    <mergeCell ref="R44:U44"/>
    <mergeCell ref="AU48:AX48"/>
    <mergeCell ref="AU49:AX49"/>
    <mergeCell ref="AQ49:AT49"/>
    <mergeCell ref="AM49:AP49"/>
    <mergeCell ref="AM47:AP47"/>
    <mergeCell ref="AQ47:AT47"/>
    <mergeCell ref="AU47:AX47"/>
    <mergeCell ref="AU46:AX46"/>
    <mergeCell ref="AQ44:AT44"/>
    <mergeCell ref="AU44:AX44"/>
    <mergeCell ref="N45:Q45"/>
    <mergeCell ref="R45:U45"/>
    <mergeCell ref="V45:Y45"/>
    <mergeCell ref="Z45:AC45"/>
    <mergeCell ref="AD45:AG45"/>
    <mergeCell ref="AH45:AK45"/>
    <mergeCell ref="AM45:AP45"/>
    <mergeCell ref="AQ45:AT45"/>
    <mergeCell ref="AU45:AX45"/>
    <mergeCell ref="AU51:AX51"/>
    <mergeCell ref="AU52:AX52"/>
    <mergeCell ref="J53:M53"/>
    <mergeCell ref="N53:Q53"/>
    <mergeCell ref="R53:U53"/>
    <mergeCell ref="V53:Y53"/>
    <mergeCell ref="Z53:AC53"/>
    <mergeCell ref="AD53:AG53"/>
    <mergeCell ref="AH53:AK53"/>
    <mergeCell ref="AM53:AP53"/>
    <mergeCell ref="AQ53:AT53"/>
    <mergeCell ref="AU53:AX53"/>
    <mergeCell ref="Z51:AC51"/>
    <mergeCell ref="AD51:AG51"/>
    <mergeCell ref="AH51:AK51"/>
    <mergeCell ref="AM51:AP51"/>
    <mergeCell ref="AQ51:AT51"/>
    <mergeCell ref="AQ61:AT61"/>
    <mergeCell ref="AU60:AX60"/>
    <mergeCell ref="R61:U61"/>
    <mergeCell ref="V61:Y61"/>
    <mergeCell ref="Z61:AC61"/>
    <mergeCell ref="AU54:AX54"/>
    <mergeCell ref="R55:U55"/>
    <mergeCell ref="V55:Y55"/>
    <mergeCell ref="Z55:AC55"/>
    <mergeCell ref="AD55:AG55"/>
    <mergeCell ref="AH55:AK55"/>
    <mergeCell ref="AM55:AP55"/>
    <mergeCell ref="AQ55:AT55"/>
    <mergeCell ref="Z56:AC56"/>
    <mergeCell ref="AD61:AG61"/>
    <mergeCell ref="AD56:AG56"/>
    <mergeCell ref="AU55:AX55"/>
    <mergeCell ref="AH56:AK56"/>
    <mergeCell ref="AU58:AX58"/>
    <mergeCell ref="AQ59:AT59"/>
    <mergeCell ref="AH58:AK58"/>
    <mergeCell ref="AM58:AP58"/>
    <mergeCell ref="AU56:AX56"/>
    <mergeCell ref="E68:H68"/>
    <mergeCell ref="E69:H69"/>
    <mergeCell ref="AU59:AX59"/>
    <mergeCell ref="E59:H59"/>
    <mergeCell ref="E60:H60"/>
    <mergeCell ref="AH67:AK67"/>
    <mergeCell ref="AQ67:AT67"/>
    <mergeCell ref="AM63:AP63"/>
    <mergeCell ref="AQ62:AT62"/>
    <mergeCell ref="AM65:AP65"/>
    <mergeCell ref="J59:M59"/>
    <mergeCell ref="N59:Q59"/>
    <mergeCell ref="R59:U59"/>
    <mergeCell ref="V59:Y59"/>
    <mergeCell ref="Z59:AC59"/>
    <mergeCell ref="AD59:AG59"/>
    <mergeCell ref="AH59:AK59"/>
    <mergeCell ref="AM59:AP59"/>
    <mergeCell ref="AQ66:AT66"/>
    <mergeCell ref="AU63:AX63"/>
    <mergeCell ref="N62:Q62"/>
    <mergeCell ref="R62:U62"/>
    <mergeCell ref="V62:Y62"/>
    <mergeCell ref="J61:M61"/>
    <mergeCell ref="E52:H52"/>
    <mergeCell ref="E53:H53"/>
    <mergeCell ref="E54:H54"/>
    <mergeCell ref="E41:H41"/>
    <mergeCell ref="E40:H40"/>
    <mergeCell ref="E44:H44"/>
    <mergeCell ref="AU66:AX66"/>
    <mergeCell ref="AQ65:AT65"/>
    <mergeCell ref="AU65:AX65"/>
    <mergeCell ref="Z62:AC62"/>
    <mergeCell ref="AH61:AK61"/>
    <mergeCell ref="AM61:AP61"/>
    <mergeCell ref="R60:U60"/>
    <mergeCell ref="V60:Y60"/>
    <mergeCell ref="AU61:AX61"/>
    <mergeCell ref="AH60:AK60"/>
    <mergeCell ref="AM60:AP60"/>
    <mergeCell ref="AQ60:AT60"/>
    <mergeCell ref="AD66:AG66"/>
    <mergeCell ref="AH66:AK66"/>
    <mergeCell ref="AM66:AP66"/>
    <mergeCell ref="AM54:AP54"/>
    <mergeCell ref="AQ54:AT54"/>
    <mergeCell ref="AU62:AX62"/>
    <mergeCell ref="AH62:AK62"/>
    <mergeCell ref="AM62:AP62"/>
    <mergeCell ref="AM48:AP48"/>
    <mergeCell ref="V47:Y47"/>
    <mergeCell ref="V48:Y48"/>
    <mergeCell ref="R42:U42"/>
    <mergeCell ref="N46:Q46"/>
    <mergeCell ref="R46:U46"/>
    <mergeCell ref="V46:Y46"/>
    <mergeCell ref="Z46:AC46"/>
    <mergeCell ref="AD46:AG46"/>
    <mergeCell ref="N58:Q58"/>
    <mergeCell ref="R58:U58"/>
    <mergeCell ref="V58:Y58"/>
    <mergeCell ref="AD62:AG62"/>
    <mergeCell ref="V44:Y44"/>
    <mergeCell ref="AH44:AK44"/>
    <mergeCell ref="AD44:AG44"/>
    <mergeCell ref="AD48:AG48"/>
    <mergeCell ref="AH48:AK48"/>
    <mergeCell ref="AH47:AK47"/>
    <mergeCell ref="Z47:AC47"/>
    <mergeCell ref="AD47:AG47"/>
    <mergeCell ref="Z42:AC42"/>
    <mergeCell ref="AB133:AC133"/>
    <mergeCell ref="V68:Y68"/>
    <mergeCell ref="Q98:S98"/>
    <mergeCell ref="V69:Y69"/>
    <mergeCell ref="AM69:AP69"/>
    <mergeCell ref="AD69:AG69"/>
    <mergeCell ref="E45:H45"/>
    <mergeCell ref="E46:H46"/>
    <mergeCell ref="AH68:AK68"/>
    <mergeCell ref="R68:U68"/>
    <mergeCell ref="E72:R72"/>
    <mergeCell ref="J67:M67"/>
    <mergeCell ref="AM68:AP68"/>
    <mergeCell ref="AM67:AP67"/>
    <mergeCell ref="E67:H67"/>
    <mergeCell ref="J68:M68"/>
    <mergeCell ref="N68:Q68"/>
    <mergeCell ref="E66:H66"/>
    <mergeCell ref="E70:H70"/>
    <mergeCell ref="E63:H63"/>
    <mergeCell ref="E65:H65"/>
    <mergeCell ref="J69:M69"/>
    <mergeCell ref="N69:Q69"/>
    <mergeCell ref="J70:M70"/>
    <mergeCell ref="AZ15:BA15"/>
    <mergeCell ref="AZ17:BA17"/>
    <mergeCell ref="BB17:BD17"/>
    <mergeCell ref="AZ18:BA18"/>
    <mergeCell ref="BB18:BD18"/>
    <mergeCell ref="E101:G101"/>
    <mergeCell ref="H101:J101"/>
    <mergeCell ref="AU70:AX70"/>
    <mergeCell ref="AU69:AX69"/>
    <mergeCell ref="AD67:AG67"/>
    <mergeCell ref="J44:M44"/>
    <mergeCell ref="J45:M45"/>
    <mergeCell ref="AQ68:AT68"/>
    <mergeCell ref="AU68:AX68"/>
    <mergeCell ref="AU67:AX67"/>
    <mergeCell ref="AQ70:AT70"/>
    <mergeCell ref="N70:Q70"/>
    <mergeCell ref="R70:U70"/>
    <mergeCell ref="V70:Y70"/>
    <mergeCell ref="AQ63:AT63"/>
    <mergeCell ref="AQ69:AT69"/>
    <mergeCell ref="AD65:AG65"/>
    <mergeCell ref="Z63:AC63"/>
    <mergeCell ref="Z66:AC66"/>
  </mergeCells>
  <phoneticPr fontId="4" type="noConversion"/>
  <conditionalFormatting sqref="C11:D11">
    <cfRule type="expression" dxfId="128" priority="274" stopIfTrue="1">
      <formula>ISERROR(C$11)</formula>
    </cfRule>
  </conditionalFormatting>
  <conditionalFormatting sqref="J30 J36 J42:AK42 K30:AK31 K36:AK37 J24:AK24 J20:AK20">
    <cfRule type="expression" dxfId="127" priority="275" stopIfTrue="1">
      <formula>J$20=#REF!</formula>
    </cfRule>
  </conditionalFormatting>
  <conditionalFormatting sqref="J35:AK35 J29:AK29 J18:AK18 AM18:AX18 AM29:AY29 AM35:AY35 AM41:AY41 J41:AK41 E29:H29 E35:H35 E41:H41 E18:H18">
    <cfRule type="expression" dxfId="126" priority="276" stopIfTrue="1">
      <formula>AND(E18=0,E17=0)</formula>
    </cfRule>
    <cfRule type="cellIs" dxfId="125" priority="277" stopIfTrue="1" operator="equal">
      <formula>0</formula>
    </cfRule>
  </conditionalFormatting>
  <conditionalFormatting sqref="AY45:AY48 AY52:AY55">
    <cfRule type="cellIs" dxfId="124" priority="296" stopIfTrue="1" operator="equal">
      <formula>0</formula>
    </cfRule>
    <cfRule type="expression" dxfId="123" priority="297" stopIfTrue="1">
      <formula>AND($AU45=1,$AU44=0)</formula>
    </cfRule>
  </conditionalFormatting>
  <conditionalFormatting sqref="J28:AK28 J17:AK17 J40:AK40 AM28:AY28 AM34:AY34 AM40:AY40 AM17:AX17 E17:H17 E26:H26 E28:H28 E32:H32 E34:H34 E38:H38 E40:H40 E15:H15 J34:AK34">
    <cfRule type="cellIs" dxfId="122" priority="308" stopIfTrue="1" operator="equal">
      <formula>0</formula>
    </cfRule>
  </conditionalFormatting>
  <conditionalFormatting sqref="AY49 AY56">
    <cfRule type="cellIs" dxfId="121" priority="309" stopIfTrue="1" operator="equal">
      <formula>0</formula>
    </cfRule>
    <cfRule type="expression" dxfId="120" priority="310" stopIfTrue="1">
      <formula>ISERROR(AY49)</formula>
    </cfRule>
  </conditionalFormatting>
  <conditionalFormatting sqref="AY51 AY44">
    <cfRule type="cellIs" dxfId="119" priority="311" stopIfTrue="1" operator="equal">
      <formula>0</formula>
    </cfRule>
  </conditionalFormatting>
  <conditionalFormatting sqref="AY38 AM15:AX15 AY32 AY26 J15:AK15">
    <cfRule type="cellIs" dxfId="118" priority="312" stopIfTrue="1" operator="equal">
      <formula>0</formula>
    </cfRule>
  </conditionalFormatting>
  <conditionalFormatting sqref="AM42 AM36:AM37 AM30:AM31 AM24 AM20">
    <cfRule type="cellIs" dxfId="117" priority="313" stopIfTrue="1" operator="equal">
      <formula>0</formula>
    </cfRule>
  </conditionalFormatting>
  <conditionalFormatting sqref="AM3:AN3">
    <cfRule type="expression" dxfId="116" priority="317" stopIfTrue="1">
      <formula>#REF!=TRUE</formula>
    </cfRule>
  </conditionalFormatting>
  <conditionalFormatting sqref="J49:M49">
    <cfRule type="expression" dxfId="115" priority="270" stopIfTrue="1">
      <formula>$E49=0</formula>
    </cfRule>
    <cfRule type="expression" dxfId="114" priority="271" stopIfTrue="1">
      <formula>ISERROR(J49)</formula>
    </cfRule>
    <cfRule type="expression" dxfId="113" priority="272" stopIfTrue="1">
      <formula>$E49&lt;&gt;0</formula>
    </cfRule>
  </conditionalFormatting>
  <conditionalFormatting sqref="J56:M56">
    <cfRule type="expression" dxfId="112" priority="257" stopIfTrue="1">
      <formula>$E56=0</formula>
    </cfRule>
    <cfRule type="expression" dxfId="111" priority="258" stopIfTrue="1">
      <formula>ISERROR(J56)</formula>
    </cfRule>
    <cfRule type="expression" dxfId="110" priority="259" stopIfTrue="1">
      <formula>$E56&lt;&gt;0</formula>
    </cfRule>
  </conditionalFormatting>
  <conditionalFormatting sqref="N49:AK49">
    <cfRule type="expression" dxfId="109" priority="244" stopIfTrue="1">
      <formula>$E49=0</formula>
    </cfRule>
    <cfRule type="expression" dxfId="108" priority="245" stopIfTrue="1">
      <formula>ISERROR(N49)</formula>
    </cfRule>
    <cfRule type="expression" dxfId="107" priority="246" stopIfTrue="1">
      <formula>$E49&lt;&gt;0</formula>
    </cfRule>
  </conditionalFormatting>
  <conditionalFormatting sqref="N56:AK56">
    <cfRule type="expression" dxfId="106" priority="231" stopIfTrue="1">
      <formula>$E56=0</formula>
    </cfRule>
    <cfRule type="expression" dxfId="105" priority="232" stopIfTrue="1">
      <formula>ISERROR(N56)</formula>
    </cfRule>
    <cfRule type="expression" dxfId="104" priority="233" stopIfTrue="1">
      <formula>$E56&lt;&gt;0</formula>
    </cfRule>
  </conditionalFormatting>
  <conditionalFormatting sqref="AM49:AX49">
    <cfRule type="expression" dxfId="103" priority="218" stopIfTrue="1">
      <formula>$E49=0</formula>
    </cfRule>
    <cfRule type="expression" dxfId="102" priority="219" stopIfTrue="1">
      <formula>ISERROR(AM49)</formula>
    </cfRule>
    <cfRule type="expression" dxfId="101" priority="220" stopIfTrue="1">
      <formula>$E49&lt;&gt;0</formula>
    </cfRule>
  </conditionalFormatting>
  <conditionalFormatting sqref="AM56:AX56">
    <cfRule type="expression" dxfId="100" priority="205" stopIfTrue="1">
      <formula>$E56=0</formula>
    </cfRule>
    <cfRule type="expression" dxfId="99" priority="206" stopIfTrue="1">
      <formula>ISERROR(AM56)</formula>
    </cfRule>
    <cfRule type="expression" dxfId="98" priority="207" stopIfTrue="1">
      <formula>$E56&lt;&gt;0</formula>
    </cfRule>
  </conditionalFormatting>
  <conditionalFormatting sqref="E56:H56">
    <cfRule type="expression" dxfId="97" priority="192" stopIfTrue="1">
      <formula>$E56=0</formula>
    </cfRule>
    <cfRule type="expression" dxfId="96" priority="193" stopIfTrue="1">
      <formula>ISERROR(E56)</formula>
    </cfRule>
    <cfRule type="expression" dxfId="95" priority="194" stopIfTrue="1">
      <formula>$E56&lt;&gt;0</formula>
    </cfRule>
  </conditionalFormatting>
  <conditionalFormatting sqref="AY59:AY62">
    <cfRule type="cellIs" dxfId="94" priority="177" stopIfTrue="1" operator="equal">
      <formula>0</formula>
    </cfRule>
    <cfRule type="expression" dxfId="93" priority="178" stopIfTrue="1">
      <formula>AND($AU59=1,$AU58=0)</formula>
    </cfRule>
  </conditionalFormatting>
  <conditionalFormatting sqref="AY63">
    <cfRule type="cellIs" dxfId="92" priority="179" stopIfTrue="1" operator="equal">
      <formula>0</formula>
    </cfRule>
    <cfRule type="expression" dxfId="91" priority="180" stopIfTrue="1">
      <formula>ISERROR(AY63)</formula>
    </cfRule>
  </conditionalFormatting>
  <conditionalFormatting sqref="AY58">
    <cfRule type="cellIs" dxfId="90" priority="181" stopIfTrue="1" operator="equal">
      <formula>0</formula>
    </cfRule>
  </conditionalFormatting>
  <conditionalFormatting sqref="J63:M63">
    <cfRule type="expression" dxfId="89" priority="174" stopIfTrue="1">
      <formula>$E63=0</formula>
    </cfRule>
    <cfRule type="expression" dxfId="88" priority="175" stopIfTrue="1">
      <formula>ISERROR(J63)</formula>
    </cfRule>
    <cfRule type="expression" dxfId="87" priority="176" stopIfTrue="1">
      <formula>$E63&lt;&gt;0</formula>
    </cfRule>
  </conditionalFormatting>
  <conditionalFormatting sqref="N63:AK63">
    <cfRule type="expression" dxfId="86" priority="161" stopIfTrue="1">
      <formula>$E63=0</formula>
    </cfRule>
    <cfRule type="expression" dxfId="85" priority="162" stopIfTrue="1">
      <formula>ISERROR(N63)</formula>
    </cfRule>
    <cfRule type="expression" dxfId="84" priority="163" stopIfTrue="1">
      <formula>$E63&lt;&gt;0</formula>
    </cfRule>
  </conditionalFormatting>
  <conditionalFormatting sqref="AM63:AX63">
    <cfRule type="expression" dxfId="83" priority="148" stopIfTrue="1">
      <formula>$E63=0</formula>
    </cfRule>
    <cfRule type="expression" dxfId="82" priority="149" stopIfTrue="1">
      <formula>ISERROR(AM63)</formula>
    </cfRule>
    <cfRule type="expression" dxfId="81" priority="150" stopIfTrue="1">
      <formula>$E63&lt;&gt;0</formula>
    </cfRule>
  </conditionalFormatting>
  <conditionalFormatting sqref="E63:H63">
    <cfRule type="expression" dxfId="80" priority="135" stopIfTrue="1">
      <formula>$E63=0</formula>
    </cfRule>
    <cfRule type="expression" dxfId="79" priority="136" stopIfTrue="1">
      <formula>ISERROR(E63)</formula>
    </cfRule>
    <cfRule type="expression" dxfId="78" priority="137" stopIfTrue="1">
      <formula>$E63&lt;&gt;0</formula>
    </cfRule>
  </conditionalFormatting>
  <conditionalFormatting sqref="AY66:AY69">
    <cfRule type="cellIs" dxfId="77" priority="120" stopIfTrue="1" operator="equal">
      <formula>0</formula>
    </cfRule>
    <cfRule type="expression" dxfId="76" priority="121" stopIfTrue="1">
      <formula>AND($AU66=1,$AU65=0)</formula>
    </cfRule>
  </conditionalFormatting>
  <conditionalFormatting sqref="AY70">
    <cfRule type="cellIs" dxfId="75" priority="122" stopIfTrue="1" operator="equal">
      <formula>0</formula>
    </cfRule>
    <cfRule type="expression" dxfId="74" priority="123" stopIfTrue="1">
      <formula>ISERROR(AY70)</formula>
    </cfRule>
  </conditionalFormatting>
  <conditionalFormatting sqref="AY65">
    <cfRule type="cellIs" dxfId="73" priority="124" stopIfTrue="1" operator="equal">
      <formula>0</formula>
    </cfRule>
  </conditionalFormatting>
  <conditionalFormatting sqref="J70:M70">
    <cfRule type="expression" dxfId="72" priority="117" stopIfTrue="1">
      <formula>$E70=0</formula>
    </cfRule>
    <cfRule type="expression" dxfId="71" priority="118" stopIfTrue="1">
      <formula>ISERROR(J70)</formula>
    </cfRule>
    <cfRule type="expression" dxfId="70" priority="119" stopIfTrue="1">
      <formula>$E70&lt;&gt;0</formula>
    </cfRule>
  </conditionalFormatting>
  <conditionalFormatting sqref="N70:AK70">
    <cfRule type="expression" dxfId="69" priority="104" stopIfTrue="1">
      <formula>$E70=0</formula>
    </cfRule>
    <cfRule type="expression" dxfId="68" priority="105" stopIfTrue="1">
      <formula>ISERROR(N70)</formula>
    </cfRule>
    <cfRule type="expression" dxfId="67" priority="106" stopIfTrue="1">
      <formula>$E70&lt;&gt;0</formula>
    </cfRule>
  </conditionalFormatting>
  <conditionalFormatting sqref="AM70:AX70">
    <cfRule type="expression" dxfId="66" priority="91" stopIfTrue="1">
      <formula>$E70=0</formula>
    </cfRule>
    <cfRule type="expression" dxfId="65" priority="92" stopIfTrue="1">
      <formula>ISERROR(AM70)</formula>
    </cfRule>
    <cfRule type="expression" dxfId="64" priority="93" stopIfTrue="1">
      <formula>$E70&lt;&gt;0</formula>
    </cfRule>
  </conditionalFormatting>
  <conditionalFormatting sqref="E70:H70">
    <cfRule type="expression" dxfId="63" priority="78" stopIfTrue="1">
      <formula>$E70=0</formula>
    </cfRule>
    <cfRule type="expression" dxfId="62" priority="79" stopIfTrue="1">
      <formula>ISERROR(E70)</formula>
    </cfRule>
    <cfRule type="expression" dxfId="61" priority="80" stopIfTrue="1">
      <formula>$E70&lt;&gt;0</formula>
    </cfRule>
  </conditionalFormatting>
  <conditionalFormatting sqref="E49:H49">
    <cfRule type="expression" dxfId="60" priority="65" stopIfTrue="1">
      <formula>$E49=0</formula>
    </cfRule>
    <cfRule type="expression" dxfId="59" priority="66" stopIfTrue="1">
      <formula>ISERROR(E49)</formula>
    </cfRule>
    <cfRule type="expression" dxfId="58" priority="67" stopIfTrue="1">
      <formula>$E49&lt;&gt;0</formula>
    </cfRule>
  </conditionalFormatting>
  <conditionalFormatting sqref="J47:M47">
    <cfRule type="expression" dxfId="57" priority="52" stopIfTrue="1">
      <formula>AND(J46=0,J47=1,J48=1)</formula>
    </cfRule>
    <cfRule type="expression" dxfId="56" priority="53" stopIfTrue="1">
      <formula>AND(J46=1,J48=1)</formula>
    </cfRule>
    <cfRule type="expression" dxfId="55" priority="54" stopIfTrue="1">
      <formula>AND(J47=1,J46=0)</formula>
    </cfRule>
  </conditionalFormatting>
  <conditionalFormatting sqref="J48:M48">
    <cfRule type="expression" dxfId="54" priority="50" stopIfTrue="1">
      <formula>AND(J48=1,J47=1)</formula>
    </cfRule>
    <cfRule type="expression" dxfId="53" priority="51" stopIfTrue="1">
      <formula>AND(J48=1,J47=0)</formula>
    </cfRule>
  </conditionalFormatting>
  <conditionalFormatting sqref="J54:M54">
    <cfRule type="expression" dxfId="52" priority="47" stopIfTrue="1">
      <formula>AND(J53=0,J54=1,J55=1)</formula>
    </cfRule>
    <cfRule type="expression" dxfId="51" priority="48" stopIfTrue="1">
      <formula>AND(J53=1,J55=1)</formula>
    </cfRule>
    <cfRule type="expression" dxfId="50" priority="49" stopIfTrue="1">
      <formula>AND(J54=1,J53=0)</formula>
    </cfRule>
  </conditionalFormatting>
  <conditionalFormatting sqref="J55:M55">
    <cfRule type="expression" dxfId="49" priority="45" stopIfTrue="1">
      <formula>AND(J55=1,J54=1)</formula>
    </cfRule>
    <cfRule type="expression" dxfId="48" priority="46" stopIfTrue="1">
      <formula>AND(J55=1,J54=0)</formula>
    </cfRule>
  </conditionalFormatting>
  <conditionalFormatting sqref="J45:M46">
    <cfRule type="expression" dxfId="47" priority="42" stopIfTrue="1">
      <formula>AND(J44=0,J45=1,J46=1)</formula>
    </cfRule>
    <cfRule type="expression" dxfId="46" priority="43" stopIfTrue="1">
      <formula>AND(J44=1,J46=1)</formula>
    </cfRule>
    <cfRule type="expression" dxfId="45" priority="44" stopIfTrue="1">
      <formula>AND(J45=1,J44=0)</formula>
    </cfRule>
  </conditionalFormatting>
  <conditionalFormatting sqref="J44:M44">
    <cfRule type="expression" dxfId="44" priority="40" stopIfTrue="1">
      <formula>AND(J44=1,J45=1)</formula>
    </cfRule>
    <cfRule type="expression" dxfId="43" priority="41" stopIfTrue="1">
      <formula>AND(J44=1,J43=0)</formula>
    </cfRule>
  </conditionalFormatting>
  <conditionalFormatting sqref="J52:M53">
    <cfRule type="expression" dxfId="42" priority="37" stopIfTrue="1">
      <formula>AND(J51=0,J52=1,J53=1)</formula>
    </cfRule>
    <cfRule type="expression" dxfId="41" priority="38" stopIfTrue="1">
      <formula>AND(J51=1,J53=1)</formula>
    </cfRule>
    <cfRule type="expression" dxfId="40" priority="39" stopIfTrue="1">
      <formula>AND(J52=1,J51=0)</formula>
    </cfRule>
  </conditionalFormatting>
  <conditionalFormatting sqref="J51:M51">
    <cfRule type="expression" dxfId="39" priority="35" stopIfTrue="1">
      <formula>AND(J51=1,J52=1)</formula>
    </cfRule>
    <cfRule type="expression" dxfId="38" priority="36" stopIfTrue="1">
      <formula>AND(J51=1,J50=0)</formula>
    </cfRule>
  </conditionalFormatting>
  <conditionalFormatting sqref="E47:H47 AM47:AX47 N47:AK47">
    <cfRule type="expression" dxfId="37" priority="32" stopIfTrue="1">
      <formula>AND(E46=0,E47=1,E48=1)</formula>
    </cfRule>
    <cfRule type="expression" dxfId="36" priority="33" stopIfTrue="1">
      <formula>AND(E46=1,E48=1)</formula>
    </cfRule>
    <cfRule type="expression" dxfId="35" priority="34" stopIfTrue="1">
      <formula>AND(E47=1,E46=0)</formula>
    </cfRule>
  </conditionalFormatting>
  <conditionalFormatting sqref="E48:H48 AM48:AX48 N48:AK48">
    <cfRule type="expression" dxfId="34" priority="30" stopIfTrue="1">
      <formula>AND(E48=1,E47=1)</formula>
    </cfRule>
    <cfRule type="expression" dxfId="33" priority="31" stopIfTrue="1">
      <formula>AND(E48=1,E47=0)</formula>
    </cfRule>
  </conditionalFormatting>
  <conditionalFormatting sqref="E45:H46 AM45:AX46 N45:AK46">
    <cfRule type="expression" dxfId="32" priority="27" stopIfTrue="1">
      <formula>AND(E44=0,E45=1,E46=1)</formula>
    </cfRule>
    <cfRule type="expression" dxfId="31" priority="28" stopIfTrue="1">
      <formula>AND(E44=1,E46=1)</formula>
    </cfRule>
    <cfRule type="expression" dxfId="30" priority="29" stopIfTrue="1">
      <formula>AND(E45=1,E44=0)</formula>
    </cfRule>
  </conditionalFormatting>
  <conditionalFormatting sqref="E44:H44 AM44:AX44 N44:AK44">
    <cfRule type="expression" dxfId="29" priority="25" stopIfTrue="1">
      <formula>AND(E44=1,E45=1)</formula>
    </cfRule>
    <cfRule type="expression" dxfId="28" priority="26" stopIfTrue="1">
      <formula>AND(E44=1,E43=0)</formula>
    </cfRule>
  </conditionalFormatting>
  <conditionalFormatting sqref="E68:H68 E61:H61 E54:H54 J68:AK68 J61:AK61 AM68:AX68 AM61:AX61 AM54:AX54 N54:AK54">
    <cfRule type="expression" dxfId="27" priority="22" stopIfTrue="1">
      <formula>AND(E53=0,E54=1,E55=1)</formula>
    </cfRule>
    <cfRule type="expression" dxfId="26" priority="23" stopIfTrue="1">
      <formula>AND(E53=1,E55=1)</formula>
    </cfRule>
    <cfRule type="expression" dxfId="25" priority="24" stopIfTrue="1">
      <formula>AND(E54=1,E53=0)</formula>
    </cfRule>
  </conditionalFormatting>
  <conditionalFormatting sqref="E69:H69 E62:H62 E55:H55 J69:AK69 J62:AK62 AM69:AX69 AM62:AX62 AM55:AX55 N55:AK55">
    <cfRule type="expression" dxfId="24" priority="20" stopIfTrue="1">
      <formula>AND(E55=1,E54=1)</formula>
    </cfRule>
    <cfRule type="expression" dxfId="23" priority="21" stopIfTrue="1">
      <formula>AND(E55=1,E54=0)</formula>
    </cfRule>
  </conditionalFormatting>
  <conditionalFormatting sqref="E66:H67 E59:H60 E52:H53 J66:AK67 J59:AK60 AM66:AX67 AM59:AX60 AM52:AX53 N52:AK53">
    <cfRule type="expression" dxfId="22" priority="17" stopIfTrue="1">
      <formula>AND(E51=0,E52=1,E53=1)</formula>
    </cfRule>
    <cfRule type="expression" dxfId="21" priority="18" stopIfTrue="1">
      <formula>AND(E51=1,E53=1)</formula>
    </cfRule>
    <cfRule type="expression" dxfId="20" priority="19" stopIfTrue="1">
      <formula>AND(E52=1,E51=0)</formula>
    </cfRule>
  </conditionalFormatting>
  <conditionalFormatting sqref="E65:H65 E58:H58 E51:H51 J65:AK65 J58:AK58 AM65:AX65 AM58:AX58 AM51:AX51 N51:AK51">
    <cfRule type="expression" dxfId="19" priority="15" stopIfTrue="1">
      <formula>AND(E51=1,E52=1)</formula>
    </cfRule>
    <cfRule type="expression" dxfId="18" priority="16" stopIfTrue="1">
      <formula>AND(E51=1,E50=0)</formula>
    </cfRule>
  </conditionalFormatting>
  <conditionalFormatting sqref="AM19:AX19">
    <cfRule type="containsErrors" dxfId="17" priority="14">
      <formula>ISERROR(AM19)</formula>
    </cfRule>
  </conditionalFormatting>
  <conditionalFormatting sqref="J26:M26">
    <cfRule type="cellIs" dxfId="16" priority="13" stopIfTrue="1" operator="equal">
      <formula>0</formula>
    </cfRule>
  </conditionalFormatting>
  <conditionalFormatting sqref="J26:M26">
    <cfRule type="cellIs" dxfId="15" priority="12" stopIfTrue="1" operator="equal">
      <formula>CONCATENATE($AF$133,"  ")</formula>
    </cfRule>
  </conditionalFormatting>
  <conditionalFormatting sqref="AM26:AX26 N26:AK26">
    <cfRule type="cellIs" dxfId="14" priority="11" stopIfTrue="1" operator="equal">
      <formula>0</formula>
    </cfRule>
  </conditionalFormatting>
  <conditionalFormatting sqref="AM26:AX26 N26:AK26">
    <cfRule type="cellIs" dxfId="13" priority="10" stopIfTrue="1" operator="equal">
      <formula>CONCATENATE($AF$133,"  ")</formula>
    </cfRule>
  </conditionalFormatting>
  <conditionalFormatting sqref="J32:M32">
    <cfRule type="cellIs" dxfId="12" priority="9" stopIfTrue="1" operator="equal">
      <formula>0</formula>
    </cfRule>
  </conditionalFormatting>
  <conditionalFormatting sqref="J32:M32">
    <cfRule type="cellIs" dxfId="11" priority="8" stopIfTrue="1" operator="equal">
      <formula>CONCATENATE($AF$133,"  ")</formula>
    </cfRule>
  </conditionalFormatting>
  <conditionalFormatting sqref="AM32:AX32 N32:AK32">
    <cfRule type="cellIs" dxfId="10" priority="7" stopIfTrue="1" operator="equal">
      <formula>0</formula>
    </cfRule>
  </conditionalFormatting>
  <conditionalFormatting sqref="AM32:AX32 N32:AK32">
    <cfRule type="cellIs" dxfId="9" priority="6" stopIfTrue="1" operator="equal">
      <formula>CONCATENATE($AF$133,"  ")</formula>
    </cfRule>
  </conditionalFormatting>
  <conditionalFormatting sqref="J38:M38">
    <cfRule type="cellIs" dxfId="8" priority="5" stopIfTrue="1" operator="equal">
      <formula>0</formula>
    </cfRule>
  </conditionalFormatting>
  <conditionalFormatting sqref="J38:M38">
    <cfRule type="cellIs" dxfId="7" priority="4" stopIfTrue="1" operator="equal">
      <formula>CONCATENATE($AF$133,"  ")</formula>
    </cfRule>
  </conditionalFormatting>
  <conditionalFormatting sqref="AM38:AX38 N38:AK38">
    <cfRule type="cellIs" dxfId="6" priority="3" stopIfTrue="1" operator="equal">
      <formula>0</formula>
    </cfRule>
  </conditionalFormatting>
  <conditionalFormatting sqref="AM38:AX38 N38:AK38">
    <cfRule type="cellIs" dxfId="5" priority="2" stopIfTrue="1" operator="equal">
      <formula>CONCATENATE($AF$133,"  ")</formula>
    </cfRule>
  </conditionalFormatting>
  <conditionalFormatting sqref="E102:AH131">
    <cfRule type="cellIs" dxfId="4" priority="1" operator="equal">
      <formula>0</formula>
    </cfRule>
  </conditionalFormatting>
  <conditionalFormatting sqref="AY11:AY13">
    <cfRule type="expression" dxfId="3" priority="9189" stopIfTrue="1">
      <formula>$G$7=$Q$98</formula>
    </cfRule>
  </conditionalFormatting>
  <conditionalFormatting sqref="J11:AK13 AM11:AX13">
    <cfRule type="expression" dxfId="2" priority="9190" stopIfTrue="1">
      <formula>J$8&gt;1</formula>
    </cfRule>
    <cfRule type="expression" dxfId="1" priority="9191" stopIfTrue="1">
      <formula>$G$7=$Q$98</formula>
    </cfRule>
    <cfRule type="expression" dxfId="0" priority="9192" stopIfTrue="1">
      <formula>OR($C$133&lt;0,ISERROR($O$133))</formula>
    </cfRule>
  </conditionalFormatting>
  <dataValidations count="1">
    <dataValidation type="list" allowBlank="1" showInputMessage="1" showErrorMessage="1" sqref="C72:D72">
      <formula1>$J$98:$M$98</formula1>
    </dataValidation>
  </dataValidations>
  <hyperlinks>
    <hyperlink ref="K7" location="IMPOSTAZIONI!A1" display="QUI"/>
    <hyperlink ref="AR22" location="IMPOSTAZIONI!A89" display="QUI"/>
    <hyperlink ref="H135" location="Presentazione!K95" display="QUI"/>
  </hyperlinks>
  <pageMargins left="1.5748031496062993" right="0" top="0.31496062992125984" bottom="0.19685039370078741" header="0" footer="0"/>
  <pageSetup paperSize="9" scale="70" orientation="landscape" r:id="rId1"/>
  <headerFooter alignWithMargins="0"/>
  <colBreaks count="1" manualBreakCount="1">
    <brk id="3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BL450"/>
  <sheetViews>
    <sheetView showGridLines="0" showRowColHeaders="0" zoomScaleNormal="100" workbookViewId="0">
      <selection activeCell="I23" sqref="I23:J23"/>
    </sheetView>
  </sheetViews>
  <sheetFormatPr defaultRowHeight="12.75" x14ac:dyDescent="0.2"/>
  <cols>
    <col min="1" max="40" width="4.28515625" style="54" customWidth="1"/>
    <col min="41" max="55" width="4.28515625" style="54" hidden="1" customWidth="1"/>
    <col min="56" max="58" width="9.140625" style="54" hidden="1" customWidth="1"/>
    <col min="59" max="64" width="0" style="54" hidden="1" customWidth="1"/>
    <col min="65" max="16384" width="9.140625" style="54"/>
  </cols>
  <sheetData>
    <row r="1" spans="1:55" ht="11.25" customHeight="1" x14ac:dyDescent="0.2">
      <c r="A1" s="141"/>
      <c r="B1" s="1324"/>
      <c r="C1" s="1324"/>
      <c r="D1" s="1324"/>
      <c r="E1" s="1324"/>
      <c r="F1" s="1324"/>
      <c r="G1" s="1324"/>
      <c r="H1" s="1324"/>
      <c r="I1" s="1324"/>
      <c r="J1" s="1324"/>
      <c r="K1" s="1324"/>
      <c r="L1" s="1324"/>
      <c r="M1" s="1324"/>
      <c r="N1" s="1324"/>
      <c r="O1" s="1324"/>
      <c r="P1" s="1324"/>
      <c r="Q1" s="1324"/>
      <c r="R1" s="1324"/>
      <c r="S1" s="1324"/>
      <c r="T1" s="1324"/>
      <c r="U1" s="1324"/>
      <c r="V1" s="1324"/>
      <c r="W1" s="1645" t="str">
        <f>IF(ISERROR(N417),Presentazione!D82,"")</f>
        <v/>
      </c>
      <c r="X1" s="1645"/>
      <c r="Y1" s="1645"/>
      <c r="Z1" s="1645"/>
      <c r="AA1" s="1645"/>
      <c r="AB1" s="1645"/>
      <c r="AC1" s="1645"/>
      <c r="AD1" s="1645"/>
      <c r="AE1" s="1645"/>
      <c r="AF1" s="1645"/>
      <c r="AG1" s="1645"/>
      <c r="AH1" s="1645"/>
      <c r="AI1" s="1645"/>
      <c r="AJ1" s="1645"/>
      <c r="AK1" s="1645"/>
      <c r="AL1" s="1645"/>
      <c r="AM1" s="1645"/>
      <c r="AN1" s="33"/>
      <c r="AO1" s="264"/>
      <c r="AP1" s="264"/>
      <c r="AQ1" s="264"/>
      <c r="AR1" s="264"/>
      <c r="AS1" s="264"/>
      <c r="AT1" s="264"/>
      <c r="AU1" s="264"/>
      <c r="AV1" s="264"/>
      <c r="AW1" s="264"/>
      <c r="AX1" s="264"/>
      <c r="AY1" s="264"/>
      <c r="AZ1" s="264"/>
      <c r="BA1" s="264"/>
      <c r="BB1" s="264"/>
      <c r="BC1" s="264"/>
    </row>
    <row r="2" spans="1:55" x14ac:dyDescent="0.2">
      <c r="A2" s="1324"/>
      <c r="B2" s="363" t="s">
        <v>64</v>
      </c>
      <c r="C2" s="363"/>
      <c r="D2" s="363"/>
      <c r="E2" s="363"/>
      <c r="F2" s="363"/>
      <c r="G2" s="363"/>
      <c r="H2" s="363"/>
      <c r="I2" s="363"/>
      <c r="J2" s="363"/>
      <c r="K2" s="363"/>
      <c r="L2" s="363"/>
      <c r="M2" s="363"/>
      <c r="N2" s="363"/>
      <c r="O2" s="363"/>
      <c r="P2" s="363"/>
      <c r="Q2" s="363"/>
      <c r="R2" s="363"/>
      <c r="S2" s="363"/>
      <c r="T2" s="363"/>
      <c r="U2" s="363"/>
      <c r="V2" s="363"/>
      <c r="W2" s="1645"/>
      <c r="X2" s="1645"/>
      <c r="Y2" s="1645"/>
      <c r="Z2" s="1645"/>
      <c r="AA2" s="1645"/>
      <c r="AB2" s="1645"/>
      <c r="AC2" s="1645"/>
      <c r="AD2" s="1645"/>
      <c r="AE2" s="1645"/>
      <c r="AF2" s="1645"/>
      <c r="AG2" s="1645"/>
      <c r="AH2" s="1645"/>
      <c r="AI2" s="1645"/>
      <c r="AJ2" s="1645"/>
      <c r="AK2" s="1645"/>
      <c r="AL2" s="1645"/>
      <c r="AM2" s="1645"/>
      <c r="AN2" s="33"/>
      <c r="AO2" s="264"/>
      <c r="AP2" s="264"/>
      <c r="AQ2" s="264"/>
      <c r="AR2" s="264"/>
      <c r="AS2" s="264"/>
      <c r="AT2" s="264"/>
      <c r="AU2" s="264"/>
      <c r="AV2" s="264"/>
      <c r="AW2" s="264"/>
      <c r="AX2" s="264"/>
      <c r="AY2" s="264"/>
      <c r="AZ2" s="264"/>
      <c r="BA2" s="264"/>
      <c r="BB2" s="264"/>
      <c r="BC2" s="264"/>
    </row>
    <row r="3" spans="1:55" ht="16.5" customHeight="1" x14ac:dyDescent="0.2">
      <c r="A3" s="1324"/>
      <c r="B3" s="1648" t="str">
        <f>CONCATENATE("CONFIGURAZIONE del ",Presentazione!G29)</f>
        <v>CONFIGURAZIONE del Registro Contabile Giornaliero 6.0.7 - per EXCEL .xlsm</v>
      </c>
      <c r="C3" s="1648"/>
      <c r="D3" s="1648"/>
      <c r="E3" s="1648"/>
      <c r="F3" s="1648"/>
      <c r="G3" s="1648"/>
      <c r="H3" s="1648"/>
      <c r="I3" s="1648"/>
      <c r="J3" s="1648"/>
      <c r="K3" s="1648"/>
      <c r="L3" s="1648"/>
      <c r="M3" s="1648"/>
      <c r="N3" s="1648"/>
      <c r="O3" s="1648"/>
      <c r="P3" s="1648"/>
      <c r="Q3" s="1648"/>
      <c r="R3" s="1648"/>
      <c r="S3" s="1648"/>
      <c r="T3" s="1648"/>
      <c r="U3" s="1648"/>
      <c r="V3" s="1648"/>
      <c r="W3" s="33"/>
      <c r="X3" s="33"/>
      <c r="Y3" s="33"/>
      <c r="Z3" s="33"/>
      <c r="AA3" s="33"/>
      <c r="AB3" s="33"/>
      <c r="AC3" s="33"/>
      <c r="AD3" s="33"/>
      <c r="AE3" s="33"/>
      <c r="AF3" s="33"/>
      <c r="AG3" s="33"/>
      <c r="AH3" s="33"/>
      <c r="AI3" s="33"/>
      <c r="AJ3" s="33"/>
      <c r="AK3" s="33"/>
      <c r="AL3" s="33"/>
      <c r="AM3" s="33"/>
      <c r="AN3" s="33"/>
      <c r="AO3" s="264"/>
      <c r="AP3" s="264"/>
      <c r="AQ3" s="264"/>
      <c r="AR3" s="264"/>
      <c r="AS3" s="264"/>
      <c r="AT3" s="264"/>
      <c r="AU3" s="264"/>
      <c r="AV3" s="264"/>
      <c r="AW3" s="264"/>
      <c r="AX3" s="264"/>
      <c r="AY3" s="264"/>
      <c r="AZ3" s="264"/>
      <c r="BA3" s="264"/>
      <c r="BB3" s="264"/>
      <c r="BC3" s="264"/>
    </row>
    <row r="4" spans="1:55" ht="16.5" customHeight="1" x14ac:dyDescent="0.25">
      <c r="A4" s="1324"/>
      <c r="B4" s="337" t="s">
        <v>613</v>
      </c>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264"/>
      <c r="AP4" s="264"/>
      <c r="AQ4" s="264"/>
      <c r="AR4" s="264"/>
      <c r="AS4" s="264"/>
      <c r="AT4" s="264"/>
      <c r="AU4" s="264"/>
      <c r="AV4" s="264"/>
      <c r="AW4" s="264"/>
      <c r="AX4" s="264"/>
      <c r="AY4" s="264"/>
      <c r="AZ4" s="264"/>
      <c r="BA4" s="264"/>
      <c r="BB4" s="264"/>
      <c r="BC4" s="264"/>
    </row>
    <row r="5" spans="1:55" ht="18" customHeight="1" x14ac:dyDescent="0.2">
      <c r="A5" s="1324"/>
      <c r="B5" s="315" t="s">
        <v>614</v>
      </c>
      <c r="C5" s="648"/>
      <c r="D5" s="648"/>
      <c r="E5" s="648"/>
      <c r="F5" s="648"/>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264"/>
      <c r="AP5" s="264"/>
      <c r="AQ5" s="264"/>
      <c r="AR5" s="264"/>
      <c r="AS5" s="264"/>
      <c r="AT5" s="264"/>
      <c r="AU5" s="264"/>
      <c r="AV5" s="264"/>
      <c r="AW5" s="264"/>
      <c r="AX5" s="264"/>
      <c r="AY5" s="264"/>
      <c r="AZ5" s="264"/>
      <c r="BA5" s="264"/>
      <c r="BB5" s="264"/>
      <c r="BC5" s="264"/>
    </row>
    <row r="6" spans="1:55" ht="21" customHeight="1" x14ac:dyDescent="0.2">
      <c r="A6" s="1324"/>
      <c r="B6" s="127"/>
      <c r="C6" s="1774" t="s">
        <v>489</v>
      </c>
      <c r="D6" s="1774"/>
      <c r="E6" s="1774"/>
      <c r="F6" s="1774"/>
      <c r="G6" s="1774"/>
      <c r="H6" s="1774"/>
      <c r="I6" s="1774"/>
      <c r="J6" s="1774"/>
      <c r="K6" s="1780"/>
      <c r="L6" s="1780"/>
      <c r="M6" s="1780"/>
      <c r="N6" s="1780"/>
      <c r="O6" s="631"/>
      <c r="P6" s="127"/>
      <c r="Q6" s="1774" t="s">
        <v>679</v>
      </c>
      <c r="R6" s="1774"/>
      <c r="S6" s="1774"/>
      <c r="T6" s="1774"/>
      <c r="U6" s="1774"/>
      <c r="V6" s="1774"/>
      <c r="W6" s="632"/>
      <c r="X6" s="648"/>
      <c r="Y6" s="648"/>
      <c r="Z6" s="648"/>
      <c r="AA6" s="648"/>
      <c r="AB6" s="648"/>
      <c r="AC6" s="648"/>
      <c r="AD6" s="648"/>
      <c r="AE6" s="632"/>
      <c r="AF6" s="634"/>
      <c r="AG6" s="451" t="s">
        <v>680</v>
      </c>
      <c r="AH6" s="451"/>
      <c r="AI6" s="451"/>
      <c r="AJ6" s="451"/>
      <c r="AK6" s="33"/>
      <c r="AL6" s="33"/>
      <c r="AM6" s="33"/>
      <c r="AN6" s="630"/>
      <c r="AO6" s="633"/>
      <c r="AP6" s="633"/>
      <c r="AQ6" s="633"/>
      <c r="AR6" s="633"/>
      <c r="AS6" s="633"/>
      <c r="AT6" s="633"/>
      <c r="AU6" s="633"/>
      <c r="AV6" s="633"/>
      <c r="AW6" s="264"/>
      <c r="AX6" s="264"/>
      <c r="AY6" s="264"/>
      <c r="AZ6" s="264"/>
      <c r="BA6" s="264"/>
      <c r="BB6" s="264"/>
    </row>
    <row r="7" spans="1:55" ht="22.5" customHeight="1" x14ac:dyDescent="0.2">
      <c r="A7" s="1324"/>
      <c r="B7" s="127"/>
      <c r="C7" s="1808" t="s">
        <v>490</v>
      </c>
      <c r="D7" s="1808"/>
      <c r="E7" s="1808"/>
      <c r="F7" s="1808"/>
      <c r="G7" s="1808"/>
      <c r="H7" s="1808"/>
      <c r="I7" s="1808"/>
      <c r="J7" s="1808"/>
      <c r="K7" s="1781" t="s">
        <v>678</v>
      </c>
      <c r="L7" s="1781"/>
      <c r="M7" s="1781"/>
      <c r="N7" s="1781"/>
      <c r="O7" s="631"/>
      <c r="P7" s="127"/>
      <c r="Q7" s="635" t="s">
        <v>491</v>
      </c>
      <c r="R7" s="145"/>
      <c r="S7" s="145"/>
      <c r="T7" s="145"/>
      <c r="U7" s="145"/>
      <c r="V7" s="145"/>
      <c r="W7" s="145"/>
      <c r="X7" s="648"/>
      <c r="Y7" s="648"/>
      <c r="Z7" s="648"/>
      <c r="AA7" s="648"/>
      <c r="AB7" s="648"/>
      <c r="AC7" s="648"/>
      <c r="AD7" s="648"/>
      <c r="AE7" s="145"/>
      <c r="AF7" s="634"/>
      <c r="AG7" s="1808" t="s">
        <v>492</v>
      </c>
      <c r="AH7" s="1808"/>
      <c r="AI7" s="1808"/>
      <c r="AJ7" s="1808"/>
      <c r="AK7" s="33"/>
      <c r="AL7" s="33"/>
      <c r="AM7" s="33"/>
      <c r="AN7" s="630"/>
      <c r="AO7" s="633"/>
      <c r="AP7" s="633"/>
      <c r="AQ7" s="633"/>
      <c r="AR7" s="633"/>
      <c r="AS7" s="633"/>
      <c r="AT7" s="633"/>
      <c r="AU7" s="633"/>
      <c r="AV7" s="633"/>
      <c r="AW7" s="264"/>
      <c r="AX7" s="264"/>
      <c r="AY7" s="264"/>
      <c r="AZ7" s="264"/>
      <c r="BA7" s="264"/>
      <c r="BB7" s="264"/>
    </row>
    <row r="8" spans="1:55" ht="18" customHeight="1" x14ac:dyDescent="0.2">
      <c r="A8" s="1324"/>
      <c r="B8" s="314" t="s">
        <v>10</v>
      </c>
      <c r="C8" s="1809" t="s">
        <v>493</v>
      </c>
      <c r="D8" s="1810"/>
      <c r="E8" s="1810"/>
      <c r="F8" s="1810"/>
      <c r="G8" s="1810"/>
      <c r="H8" s="1810"/>
      <c r="I8" s="1810"/>
      <c r="J8" s="1810"/>
      <c r="K8" s="1835" t="s">
        <v>723</v>
      </c>
      <c r="L8" s="1836"/>
      <c r="M8" s="1836"/>
      <c r="N8" s="1837"/>
      <c r="O8" s="297" t="str">
        <f>TEXT(B8,"00")</f>
        <v>01</v>
      </c>
      <c r="P8" s="636" t="s">
        <v>14</v>
      </c>
      <c r="Q8" s="1777" t="s">
        <v>498</v>
      </c>
      <c r="R8" s="1778"/>
      <c r="S8" s="1778"/>
      <c r="T8" s="1779"/>
      <c r="U8" s="1841">
        <v>0</v>
      </c>
      <c r="V8" s="1842"/>
      <c r="W8" s="297" t="str">
        <f t="shared" ref="W8:W17" si="0">TEXT(P8,"00")</f>
        <v>11</v>
      </c>
      <c r="X8" s="648"/>
      <c r="Y8" s="648"/>
      <c r="Z8" s="648"/>
      <c r="AA8" s="648"/>
      <c r="AB8" s="648"/>
      <c r="AC8" s="648"/>
      <c r="AD8" s="648"/>
      <c r="AE8" s="166"/>
      <c r="AF8" s="636" t="s">
        <v>31</v>
      </c>
      <c r="AG8" s="1828" t="s">
        <v>500</v>
      </c>
      <c r="AH8" s="1829"/>
      <c r="AI8" s="1829"/>
      <c r="AJ8" s="1830"/>
      <c r="AK8" s="297" t="str">
        <f>TEXT(AF8,"00")</f>
        <v>21</v>
      </c>
      <c r="AL8" s="33"/>
      <c r="AM8" s="33"/>
      <c r="AN8" s="630"/>
      <c r="AO8" s="264"/>
      <c r="AP8" s="264"/>
      <c r="AQ8" s="264"/>
      <c r="AR8" s="264"/>
    </row>
    <row r="9" spans="1:55" ht="18" customHeight="1" x14ac:dyDescent="0.2">
      <c r="A9" s="1324"/>
      <c r="B9" s="314" t="s">
        <v>11</v>
      </c>
      <c r="C9" s="1489" t="s">
        <v>494</v>
      </c>
      <c r="D9" s="1490"/>
      <c r="E9" s="1490"/>
      <c r="F9" s="1490"/>
      <c r="G9" s="1490"/>
      <c r="H9" s="1490"/>
      <c r="I9" s="1490"/>
      <c r="J9" s="1490"/>
      <c r="K9" s="1496" t="s">
        <v>724</v>
      </c>
      <c r="L9" s="1497"/>
      <c r="M9" s="1497"/>
      <c r="N9" s="1498"/>
      <c r="O9" s="297" t="str">
        <f t="shared" ref="O9:O17" si="1">TEXT(B9,"00")</f>
        <v>02</v>
      </c>
      <c r="P9" s="636" t="s">
        <v>16</v>
      </c>
      <c r="Q9" s="1499" t="s">
        <v>499</v>
      </c>
      <c r="R9" s="1500"/>
      <c r="S9" s="1500"/>
      <c r="T9" s="1501"/>
      <c r="U9" s="1775">
        <v>10</v>
      </c>
      <c r="V9" s="1776"/>
      <c r="W9" s="297" t="str">
        <f t="shared" si="0"/>
        <v>12</v>
      </c>
      <c r="X9" s="648"/>
      <c r="Y9" s="648"/>
      <c r="Z9" s="648"/>
      <c r="AA9" s="648"/>
      <c r="AB9" s="648"/>
      <c r="AC9" s="648"/>
      <c r="AD9" s="648"/>
      <c r="AE9" s="166"/>
      <c r="AF9" s="636" t="s">
        <v>32</v>
      </c>
      <c r="AG9" s="1831" t="s">
        <v>501</v>
      </c>
      <c r="AH9" s="1832"/>
      <c r="AI9" s="1832"/>
      <c r="AJ9" s="1833"/>
      <c r="AK9" s="297" t="str">
        <f t="shared" ref="AK9:AK14" si="2">TEXT(AF9,"00")</f>
        <v>22</v>
      </c>
      <c r="AL9" s="33"/>
      <c r="AM9" s="33"/>
      <c r="AN9" s="630"/>
      <c r="AO9" s="264"/>
      <c r="AP9" s="264"/>
      <c r="AQ9" s="264"/>
      <c r="AR9" s="264"/>
    </row>
    <row r="10" spans="1:55" ht="18" customHeight="1" x14ac:dyDescent="0.2">
      <c r="A10" s="1324"/>
      <c r="B10" s="314" t="s">
        <v>20</v>
      </c>
      <c r="C10" s="1489" t="s">
        <v>495</v>
      </c>
      <c r="D10" s="1490"/>
      <c r="E10" s="1490"/>
      <c r="F10" s="1490"/>
      <c r="G10" s="1490"/>
      <c r="H10" s="1490"/>
      <c r="I10" s="1490"/>
      <c r="J10" s="1490"/>
      <c r="K10" s="1496" t="s">
        <v>725</v>
      </c>
      <c r="L10" s="1497"/>
      <c r="M10" s="1497"/>
      <c r="N10" s="1498"/>
      <c r="O10" s="297" t="str">
        <f t="shared" si="1"/>
        <v>03</v>
      </c>
      <c r="P10" s="636" t="s">
        <v>21</v>
      </c>
      <c r="Q10" s="1499" t="s">
        <v>726</v>
      </c>
      <c r="R10" s="1500"/>
      <c r="S10" s="1500"/>
      <c r="T10" s="1501"/>
      <c r="U10" s="1775">
        <v>22</v>
      </c>
      <c r="V10" s="1776"/>
      <c r="W10" s="297" t="str">
        <f t="shared" si="0"/>
        <v>13</v>
      </c>
      <c r="X10" s="648"/>
      <c r="Y10" s="648"/>
      <c r="Z10" s="648"/>
      <c r="AA10" s="648"/>
      <c r="AB10" s="648"/>
      <c r="AC10" s="648"/>
      <c r="AD10" s="648"/>
      <c r="AE10" s="166"/>
      <c r="AF10" s="636" t="s">
        <v>33</v>
      </c>
      <c r="AG10" s="1831"/>
      <c r="AH10" s="1832"/>
      <c r="AI10" s="1832"/>
      <c r="AJ10" s="1833"/>
      <c r="AK10" s="297" t="str">
        <f t="shared" si="2"/>
        <v>23</v>
      </c>
      <c r="AL10" s="33"/>
      <c r="AM10" s="33"/>
      <c r="AN10" s="630"/>
      <c r="AO10" s="264"/>
      <c r="AP10" s="264"/>
      <c r="AQ10" s="264"/>
      <c r="AR10" s="264"/>
    </row>
    <row r="11" spans="1:55" ht="18" customHeight="1" x14ac:dyDescent="0.2">
      <c r="A11" s="1324"/>
      <c r="B11" s="314" t="s">
        <v>12</v>
      </c>
      <c r="C11" s="1489" t="s">
        <v>496</v>
      </c>
      <c r="D11" s="1490"/>
      <c r="E11" s="1490"/>
      <c r="F11" s="1490"/>
      <c r="G11" s="1490"/>
      <c r="H11" s="1490"/>
      <c r="I11" s="1490"/>
      <c r="J11" s="1490"/>
      <c r="K11" s="1496" t="s">
        <v>722</v>
      </c>
      <c r="L11" s="1497"/>
      <c r="M11" s="1497"/>
      <c r="N11" s="1498"/>
      <c r="O11" s="297" t="str">
        <f t="shared" si="1"/>
        <v>04</v>
      </c>
      <c r="P11" s="636" t="s">
        <v>26</v>
      </c>
      <c r="Q11" s="1499"/>
      <c r="R11" s="1500"/>
      <c r="S11" s="1500"/>
      <c r="T11" s="1501"/>
      <c r="U11" s="1785"/>
      <c r="V11" s="1786"/>
      <c r="W11" s="297" t="str">
        <f t="shared" si="0"/>
        <v>14</v>
      </c>
      <c r="X11" s="648"/>
      <c r="Y11" s="648"/>
      <c r="Z11" s="648"/>
      <c r="AA11" s="648"/>
      <c r="AB11" s="648"/>
      <c r="AC11" s="648"/>
      <c r="AD11" s="648"/>
      <c r="AE11" s="166"/>
      <c r="AF11" s="636" t="s">
        <v>34</v>
      </c>
      <c r="AG11" s="1831"/>
      <c r="AH11" s="1832"/>
      <c r="AI11" s="1832"/>
      <c r="AJ11" s="1833"/>
      <c r="AK11" s="297" t="str">
        <f t="shared" si="2"/>
        <v>24</v>
      </c>
      <c r="AL11" s="33"/>
      <c r="AM11" s="33"/>
      <c r="AN11" s="630"/>
      <c r="AO11" s="264"/>
      <c r="AP11" s="264"/>
      <c r="AQ11" s="264"/>
      <c r="AR11" s="264"/>
    </row>
    <row r="12" spans="1:55" ht="18" customHeight="1" x14ac:dyDescent="0.2">
      <c r="A12" s="1324"/>
      <c r="B12" s="314" t="s">
        <v>22</v>
      </c>
      <c r="C12" s="1489"/>
      <c r="D12" s="1490"/>
      <c r="E12" s="1490"/>
      <c r="F12" s="1490"/>
      <c r="G12" s="1490"/>
      <c r="H12" s="1490"/>
      <c r="I12" s="1490"/>
      <c r="J12" s="1490"/>
      <c r="K12" s="1496"/>
      <c r="L12" s="1497"/>
      <c r="M12" s="1497"/>
      <c r="N12" s="1498"/>
      <c r="O12" s="297" t="str">
        <f t="shared" si="1"/>
        <v>05</v>
      </c>
      <c r="P12" s="636" t="s">
        <v>15</v>
      </c>
      <c r="Q12" s="1499"/>
      <c r="R12" s="1500"/>
      <c r="S12" s="1500"/>
      <c r="T12" s="1501"/>
      <c r="U12" s="1775"/>
      <c r="V12" s="1776"/>
      <c r="W12" s="297" t="str">
        <f t="shared" si="0"/>
        <v>15</v>
      </c>
      <c r="X12" s="648"/>
      <c r="Y12" s="648"/>
      <c r="Z12" s="648"/>
      <c r="AA12" s="648"/>
      <c r="AB12" s="648"/>
      <c r="AC12" s="648"/>
      <c r="AD12" s="648"/>
      <c r="AE12" s="166"/>
      <c r="AF12" s="636" t="s">
        <v>18</v>
      </c>
      <c r="AG12" s="1831"/>
      <c r="AH12" s="1832"/>
      <c r="AI12" s="1832"/>
      <c r="AJ12" s="1833"/>
      <c r="AK12" s="297" t="str">
        <f t="shared" si="2"/>
        <v>25</v>
      </c>
      <c r="AL12" s="33"/>
      <c r="AM12" s="33"/>
      <c r="AN12" s="630"/>
      <c r="AO12" s="264"/>
      <c r="AP12" s="264"/>
      <c r="AQ12" s="264"/>
      <c r="AR12" s="264"/>
    </row>
    <row r="13" spans="1:55" ht="18" customHeight="1" x14ac:dyDescent="0.2">
      <c r="A13" s="1324"/>
      <c r="B13" s="314" t="s">
        <v>13</v>
      </c>
      <c r="C13" s="1489"/>
      <c r="D13" s="1490"/>
      <c r="E13" s="1490"/>
      <c r="F13" s="1490"/>
      <c r="G13" s="1490"/>
      <c r="H13" s="1490"/>
      <c r="I13" s="1490"/>
      <c r="J13" s="1490"/>
      <c r="K13" s="1496"/>
      <c r="L13" s="1497"/>
      <c r="M13" s="1497"/>
      <c r="N13" s="1498"/>
      <c r="O13" s="297" t="str">
        <f t="shared" si="1"/>
        <v>06</v>
      </c>
      <c r="P13" s="636" t="s">
        <v>27</v>
      </c>
      <c r="Q13" s="1499"/>
      <c r="R13" s="1500"/>
      <c r="S13" s="1500"/>
      <c r="T13" s="1501"/>
      <c r="U13" s="1775"/>
      <c r="V13" s="1776"/>
      <c r="W13" s="297" t="str">
        <f t="shared" si="0"/>
        <v>16</v>
      </c>
      <c r="X13" s="648"/>
      <c r="Y13" s="648"/>
      <c r="Z13" s="648"/>
      <c r="AA13" s="648"/>
      <c r="AB13" s="648"/>
      <c r="AC13" s="648"/>
      <c r="AD13" s="648"/>
      <c r="AE13" s="166"/>
      <c r="AF13" s="636" t="s">
        <v>19</v>
      </c>
      <c r="AG13" s="1831"/>
      <c r="AH13" s="1832"/>
      <c r="AI13" s="1832"/>
      <c r="AJ13" s="1833"/>
      <c r="AK13" s="297" t="str">
        <f t="shared" si="2"/>
        <v>26</v>
      </c>
      <c r="AL13" s="33"/>
      <c r="AM13" s="33"/>
      <c r="AN13" s="630"/>
      <c r="AO13" s="264"/>
      <c r="AP13" s="264"/>
      <c r="AQ13" s="264"/>
      <c r="AR13" s="264"/>
    </row>
    <row r="14" spans="1:55" ht="18" customHeight="1" x14ac:dyDescent="0.2">
      <c r="A14" s="1324"/>
      <c r="B14" s="314" t="s">
        <v>23</v>
      </c>
      <c r="C14" s="1489"/>
      <c r="D14" s="1490"/>
      <c r="E14" s="1490"/>
      <c r="F14" s="1490"/>
      <c r="G14" s="1490"/>
      <c r="H14" s="1490"/>
      <c r="I14" s="1490"/>
      <c r="J14" s="1490"/>
      <c r="K14" s="1496"/>
      <c r="L14" s="1497"/>
      <c r="M14" s="1497"/>
      <c r="N14" s="1498"/>
      <c r="O14" s="297" t="str">
        <f t="shared" si="1"/>
        <v>07</v>
      </c>
      <c r="P14" s="636" t="s">
        <v>28</v>
      </c>
      <c r="Q14" s="1499"/>
      <c r="R14" s="1500"/>
      <c r="S14" s="1500"/>
      <c r="T14" s="1501"/>
      <c r="U14" s="1785"/>
      <c r="V14" s="1786"/>
      <c r="W14" s="297" t="str">
        <f t="shared" si="0"/>
        <v>17</v>
      </c>
      <c r="X14" s="649" t="s">
        <v>259</v>
      </c>
      <c r="Y14" s="650" t="s">
        <v>502</v>
      </c>
      <c r="Z14" s="648"/>
      <c r="AA14" s="648"/>
      <c r="AB14" s="648"/>
      <c r="AC14" s="648"/>
      <c r="AD14" s="648"/>
      <c r="AE14" s="166"/>
      <c r="AF14" s="636" t="s">
        <v>35</v>
      </c>
      <c r="AG14" s="1838"/>
      <c r="AH14" s="1839"/>
      <c r="AI14" s="1839"/>
      <c r="AJ14" s="1840"/>
      <c r="AK14" s="297" t="str">
        <f t="shared" si="2"/>
        <v>27</v>
      </c>
      <c r="AL14" s="33"/>
      <c r="AM14" s="33"/>
      <c r="AN14" s="630"/>
      <c r="AO14" s="264"/>
      <c r="AP14" s="264"/>
      <c r="AQ14" s="264"/>
      <c r="AR14" s="264"/>
    </row>
    <row r="15" spans="1:55" ht="18" customHeight="1" x14ac:dyDescent="0.2">
      <c r="A15" s="1324"/>
      <c r="B15" s="314" t="s">
        <v>24</v>
      </c>
      <c r="C15" s="1489"/>
      <c r="D15" s="1490"/>
      <c r="E15" s="1490"/>
      <c r="F15" s="1490"/>
      <c r="G15" s="1490"/>
      <c r="H15" s="1490"/>
      <c r="I15" s="1490"/>
      <c r="J15" s="1490"/>
      <c r="K15" s="1496"/>
      <c r="L15" s="1497"/>
      <c r="M15" s="1497"/>
      <c r="N15" s="1498"/>
      <c r="O15" s="297" t="str">
        <f t="shared" si="1"/>
        <v>08</v>
      </c>
      <c r="P15" s="636" t="s">
        <v>17</v>
      </c>
      <c r="Q15" s="1499"/>
      <c r="R15" s="1500"/>
      <c r="S15" s="1500"/>
      <c r="T15" s="1501"/>
      <c r="U15" s="1785"/>
      <c r="V15" s="1786"/>
      <c r="W15" s="297" t="str">
        <f t="shared" si="0"/>
        <v>18</v>
      </c>
      <c r="X15" s="651" t="s">
        <v>503</v>
      </c>
      <c r="Y15" s="650" t="s">
        <v>504</v>
      </c>
      <c r="Z15" s="630"/>
      <c r="AA15" s="630"/>
      <c r="AB15" s="630"/>
      <c r="AC15" s="648"/>
      <c r="AD15" s="648"/>
      <c r="AE15" s="653"/>
      <c r="AF15" s="630"/>
      <c r="AG15" s="630"/>
      <c r="AH15" s="630"/>
      <c r="AI15" s="630"/>
      <c r="AJ15" s="630"/>
      <c r="AK15" s="630"/>
      <c r="AL15" s="33"/>
      <c r="AM15" s="33"/>
      <c r="AN15" s="630"/>
      <c r="AO15" s="264"/>
      <c r="AP15" s="264"/>
      <c r="AQ15" s="264"/>
      <c r="AR15" s="264"/>
    </row>
    <row r="16" spans="1:55" ht="18" customHeight="1" x14ac:dyDescent="0.2">
      <c r="A16" s="1324"/>
      <c r="B16" s="314" t="s">
        <v>25</v>
      </c>
      <c r="C16" s="1489"/>
      <c r="D16" s="1490"/>
      <c r="E16" s="1490"/>
      <c r="F16" s="1490"/>
      <c r="G16" s="1490"/>
      <c r="H16" s="1490"/>
      <c r="I16" s="1490"/>
      <c r="J16" s="1490"/>
      <c r="K16" s="1496"/>
      <c r="L16" s="1497"/>
      <c r="M16" s="1497"/>
      <c r="N16" s="1498"/>
      <c r="O16" s="297" t="str">
        <f t="shared" si="1"/>
        <v>09</v>
      </c>
      <c r="P16" s="636" t="s">
        <v>29</v>
      </c>
      <c r="Q16" s="1782"/>
      <c r="R16" s="1783"/>
      <c r="S16" s="1783"/>
      <c r="T16" s="1784"/>
      <c r="U16" s="1785"/>
      <c r="V16" s="1786"/>
      <c r="W16" s="297" t="str">
        <f t="shared" si="0"/>
        <v>19</v>
      </c>
      <c r="X16" s="652" t="s">
        <v>36</v>
      </c>
      <c r="Y16" s="650" t="s">
        <v>505</v>
      </c>
      <c r="Z16" s="630"/>
      <c r="AA16" s="630"/>
      <c r="AB16" s="630"/>
      <c r="AC16" s="648"/>
      <c r="AD16" s="648"/>
      <c r="AE16" s="653"/>
      <c r="AF16" s="630"/>
      <c r="AG16" s="630"/>
      <c r="AH16" s="630"/>
      <c r="AI16" s="630"/>
      <c r="AJ16" s="630"/>
      <c r="AK16" s="630"/>
      <c r="AL16" s="33"/>
      <c r="AM16" s="33"/>
      <c r="AN16" s="630"/>
      <c r="AO16" s="264"/>
      <c r="AP16" s="264"/>
      <c r="AQ16" s="264"/>
      <c r="AR16" s="264"/>
    </row>
    <row r="17" spans="1:55" ht="18" customHeight="1" x14ac:dyDescent="0.2">
      <c r="A17" s="1324"/>
      <c r="B17" s="314" t="s">
        <v>367</v>
      </c>
      <c r="C17" s="1816"/>
      <c r="D17" s="1817"/>
      <c r="E17" s="1817"/>
      <c r="F17" s="1817"/>
      <c r="G17" s="1817"/>
      <c r="H17" s="1817"/>
      <c r="I17" s="1817"/>
      <c r="J17" s="1818"/>
      <c r="K17" s="1805"/>
      <c r="L17" s="1806"/>
      <c r="M17" s="1806"/>
      <c r="N17" s="1807"/>
      <c r="O17" s="297" t="str">
        <f t="shared" si="1"/>
        <v>10</v>
      </c>
      <c r="P17" s="636" t="s">
        <v>30</v>
      </c>
      <c r="Q17" s="1802" t="s">
        <v>497</v>
      </c>
      <c r="R17" s="1803"/>
      <c r="S17" s="1803"/>
      <c r="T17" s="1803"/>
      <c r="U17" s="1803"/>
      <c r="V17" s="1804"/>
      <c r="W17" s="297" t="str">
        <f t="shared" si="0"/>
        <v>20</v>
      </c>
      <c r="X17" s="630"/>
      <c r="Y17" s="630"/>
      <c r="Z17" s="630"/>
      <c r="AA17" s="630"/>
      <c r="AB17" s="630"/>
      <c r="AC17" s="630"/>
      <c r="AD17" s="630"/>
      <c r="AE17" s="653"/>
      <c r="AF17" s="648"/>
      <c r="AG17" s="648"/>
      <c r="AH17" s="648"/>
      <c r="AI17" s="648"/>
      <c r="AJ17" s="648"/>
      <c r="AK17" s="630"/>
      <c r="AL17" s="33"/>
      <c r="AM17" s="33"/>
      <c r="AN17" s="630"/>
      <c r="AO17" s="264"/>
      <c r="AP17" s="264"/>
      <c r="AQ17" s="264"/>
      <c r="AR17" s="264"/>
    </row>
    <row r="18" spans="1:55" ht="13.5" customHeight="1" x14ac:dyDescent="0.25">
      <c r="A18" s="1324"/>
      <c r="B18" s="1324"/>
      <c r="C18" s="1491"/>
      <c r="D18" s="1491"/>
      <c r="E18" s="1491"/>
      <c r="F18" s="1491"/>
      <c r="G18" s="1491"/>
      <c r="H18" s="1491"/>
      <c r="I18" s="1491"/>
      <c r="J18" s="1491"/>
      <c r="K18" s="127"/>
      <c r="L18" s="127"/>
      <c r="M18" s="127"/>
      <c r="N18" s="127"/>
      <c r="O18" s="127"/>
      <c r="P18" s="127"/>
      <c r="Q18" s="127"/>
      <c r="R18" s="127"/>
      <c r="S18" s="127"/>
      <c r="T18" s="127"/>
      <c r="U18" s="127"/>
      <c r="V18" s="127"/>
      <c r="W18" s="127"/>
      <c r="X18" s="127"/>
      <c r="Y18" s="127"/>
      <c r="Z18" s="127"/>
      <c r="AA18" s="127"/>
      <c r="AB18" s="127"/>
      <c r="AC18" s="127"/>
      <c r="AD18" s="127"/>
      <c r="AE18" s="1324"/>
      <c r="AF18" s="1324"/>
      <c r="AG18" s="1324"/>
      <c r="AH18" s="1324"/>
      <c r="AI18" s="1324"/>
      <c r="AJ18" s="1324"/>
      <c r="AK18" s="1324"/>
      <c r="AL18" s="1324"/>
      <c r="AM18" s="1324"/>
      <c r="AN18" s="1324"/>
      <c r="AO18" s="265"/>
      <c r="AP18" s="264"/>
      <c r="AQ18" s="264"/>
      <c r="AR18" s="264"/>
      <c r="AS18" s="264"/>
      <c r="AT18" s="264"/>
      <c r="AU18" s="264"/>
      <c r="AV18" s="264"/>
      <c r="AW18" s="264"/>
      <c r="AX18" s="264"/>
      <c r="AY18" s="264"/>
      <c r="AZ18" s="264"/>
      <c r="BA18" s="264"/>
      <c r="BB18" s="264"/>
      <c r="BC18" s="264"/>
    </row>
    <row r="19" spans="1:55" ht="16.5" customHeight="1" x14ac:dyDescent="0.25">
      <c r="A19" s="1324"/>
      <c r="B19" s="642" t="s">
        <v>138</v>
      </c>
      <c r="C19" s="642"/>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264"/>
      <c r="AP19" s="264"/>
      <c r="AQ19" s="264"/>
      <c r="AR19" s="264"/>
      <c r="AS19" s="264"/>
      <c r="AT19" s="264"/>
      <c r="AU19" s="264"/>
      <c r="AV19" s="264"/>
      <c r="AW19" s="264"/>
      <c r="AX19" s="264"/>
      <c r="AY19" s="264"/>
      <c r="AZ19" s="264"/>
      <c r="BA19" s="264"/>
      <c r="BB19" s="264"/>
      <c r="BC19" s="264"/>
    </row>
    <row r="20" spans="1:55" ht="18" customHeight="1" x14ac:dyDescent="0.2">
      <c r="A20" s="1324"/>
      <c r="B20" s="640" t="s">
        <v>681</v>
      </c>
      <c r="C20" s="641"/>
      <c r="D20" s="630"/>
      <c r="E20" s="630"/>
      <c r="F20" s="630"/>
      <c r="G20" s="630"/>
      <c r="H20" s="630"/>
      <c r="I20" s="630"/>
      <c r="J20" s="630"/>
      <c r="K20" s="630"/>
      <c r="L20" s="630"/>
      <c r="M20" s="630"/>
      <c r="N20" s="630"/>
      <c r="O20" s="630"/>
      <c r="P20" s="630"/>
      <c r="Q20" s="630"/>
      <c r="R20" s="630"/>
      <c r="S20" s="630"/>
      <c r="T20" s="630"/>
      <c r="U20" s="630"/>
      <c r="V20" s="630"/>
      <c r="W20" s="630"/>
      <c r="X20" s="630"/>
      <c r="Y20" s="630"/>
      <c r="Z20" s="630"/>
      <c r="AA20" s="630"/>
      <c r="AB20" s="630"/>
      <c r="AC20" s="630"/>
      <c r="AD20" s="630"/>
      <c r="AE20" s="630"/>
      <c r="AF20" s="630"/>
      <c r="AG20" s="630"/>
      <c r="AH20" s="630"/>
      <c r="AI20" s="630"/>
      <c r="AJ20" s="630"/>
      <c r="AK20" s="630"/>
      <c r="AL20" s="630"/>
      <c r="AM20" s="630"/>
      <c r="AN20" s="630"/>
      <c r="AO20" s="264"/>
      <c r="AP20" s="264"/>
      <c r="AQ20" s="264"/>
      <c r="AR20" s="264"/>
      <c r="AS20" s="264"/>
      <c r="AT20" s="264"/>
      <c r="AU20" s="264"/>
      <c r="AV20" s="264"/>
      <c r="AW20" s="264"/>
      <c r="AX20" s="264"/>
      <c r="AY20" s="264"/>
      <c r="AZ20" s="264"/>
      <c r="BA20" s="264"/>
      <c r="BB20" s="264"/>
      <c r="BC20" s="264"/>
    </row>
    <row r="21" spans="1:55" ht="18" customHeight="1" x14ac:dyDescent="0.2">
      <c r="A21" s="1324"/>
      <c r="B21" s="1338"/>
      <c r="C21" s="1338"/>
      <c r="D21" s="1338"/>
      <c r="E21" s="1338"/>
      <c r="F21" s="1338"/>
      <c r="G21" s="1338"/>
      <c r="H21" s="1338"/>
      <c r="I21" s="1522" t="str">
        <f>H22</f>
        <v>Colonna 1</v>
      </c>
      <c r="J21" s="1522"/>
      <c r="K21" s="298"/>
      <c r="L21" s="298"/>
      <c r="M21" s="1522" t="str">
        <f>L22</f>
        <v>Colonna 2</v>
      </c>
      <c r="N21" s="1522"/>
      <c r="O21" s="298"/>
      <c r="P21" s="298"/>
      <c r="Q21" s="1522" t="str">
        <f>P22</f>
        <v>Colonna 3</v>
      </c>
      <c r="R21" s="1522"/>
      <c r="S21" s="298"/>
      <c r="T21" s="298"/>
      <c r="U21" s="1522" t="str">
        <f>T22</f>
        <v>Colonna 4</v>
      </c>
      <c r="V21" s="1522"/>
      <c r="W21" s="298"/>
      <c r="X21" s="298"/>
      <c r="Y21" s="1522" t="str">
        <f>X22</f>
        <v>Colonna 5</v>
      </c>
      <c r="Z21" s="1522"/>
      <c r="AA21" s="298"/>
      <c r="AB21" s="298"/>
      <c r="AC21" s="1522" t="str">
        <f>AB22</f>
        <v>Colonna 6</v>
      </c>
      <c r="AD21" s="1522"/>
      <c r="AE21" s="299"/>
      <c r="AF21" s="299"/>
      <c r="AG21" s="1522" t="str">
        <f>AF22</f>
        <v>Colonna 7</v>
      </c>
      <c r="AH21" s="1522"/>
      <c r="AI21" s="121"/>
      <c r="AJ21" s="121"/>
      <c r="AK21" s="121"/>
      <c r="AL21" s="121"/>
      <c r="AM21" s="1"/>
      <c r="AN21" s="33"/>
      <c r="AO21" s="264"/>
      <c r="AP21" s="264"/>
      <c r="AQ21" s="264"/>
      <c r="AR21" s="264"/>
      <c r="AS21" s="264"/>
      <c r="AT21" s="264"/>
      <c r="AU21" s="264"/>
      <c r="AV21" s="264"/>
      <c r="AW21" s="264"/>
      <c r="AX21" s="264"/>
      <c r="AY21" s="264"/>
      <c r="AZ21" s="264"/>
      <c r="BA21" s="264"/>
      <c r="BB21" s="264"/>
      <c r="BC21" s="264"/>
    </row>
    <row r="22" spans="1:55" ht="18" customHeight="1" x14ac:dyDescent="0.2">
      <c r="A22" s="1324"/>
      <c r="B22" s="127"/>
      <c r="C22" s="446" t="str">
        <f>IF(AD45=D137,"Configura qui --&gt;",C31)</f>
        <v>Configura qui --&gt;</v>
      </c>
      <c r="D22" s="445"/>
      <c r="E22" s="445"/>
      <c r="F22" s="445"/>
      <c r="G22" s="317"/>
      <c r="H22" s="1536" t="str">
        <f>C181</f>
        <v>Colonna 1</v>
      </c>
      <c r="I22" s="1536"/>
      <c r="J22" s="1536"/>
      <c r="K22" s="1536"/>
      <c r="L22" s="1536" t="str">
        <f>C182</f>
        <v>Colonna 2</v>
      </c>
      <c r="M22" s="1536"/>
      <c r="N22" s="1536"/>
      <c r="O22" s="1536"/>
      <c r="P22" s="1536" t="str">
        <f>C183</f>
        <v>Colonna 3</v>
      </c>
      <c r="Q22" s="1536"/>
      <c r="R22" s="1536"/>
      <c r="S22" s="1536"/>
      <c r="T22" s="1536" t="str">
        <f>C184</f>
        <v>Colonna 4</v>
      </c>
      <c r="U22" s="1536"/>
      <c r="V22" s="1536"/>
      <c r="W22" s="1536"/>
      <c r="X22" s="1536" t="str">
        <f>C185</f>
        <v>Colonna 5</v>
      </c>
      <c r="Y22" s="1536"/>
      <c r="Z22" s="1536"/>
      <c r="AA22" s="1536"/>
      <c r="AB22" s="1536" t="str">
        <f>C186</f>
        <v>Colonna 6</v>
      </c>
      <c r="AC22" s="1536"/>
      <c r="AD22" s="1536"/>
      <c r="AE22" s="1536"/>
      <c r="AF22" s="1536" t="str">
        <f>C187</f>
        <v>Colonna 7</v>
      </c>
      <c r="AG22" s="1536"/>
      <c r="AH22" s="1536"/>
      <c r="AI22" s="1536"/>
      <c r="AJ22" s="1324"/>
      <c r="AK22" s="1324"/>
      <c r="AL22" s="1324"/>
      <c r="AM22" s="33"/>
      <c r="AN22" s="33"/>
      <c r="AO22" s="264"/>
      <c r="AP22" s="264"/>
      <c r="AQ22" s="264"/>
      <c r="AR22" s="264"/>
      <c r="AS22" s="264"/>
      <c r="AT22" s="264"/>
      <c r="AU22" s="264"/>
      <c r="AV22" s="264"/>
      <c r="AW22" s="264"/>
      <c r="AX22" s="264"/>
      <c r="AY22" s="264"/>
      <c r="AZ22" s="264"/>
      <c r="BA22" s="264"/>
      <c r="BB22" s="264"/>
      <c r="BC22" s="264"/>
    </row>
    <row r="23" spans="1:55" ht="18" customHeight="1" x14ac:dyDescent="0.2">
      <c r="A23" s="1324"/>
      <c r="B23" s="127"/>
      <c r="C23" s="630"/>
      <c r="D23" s="33"/>
      <c r="E23" s="448"/>
      <c r="F23" s="628" t="s">
        <v>486</v>
      </c>
      <c r="G23" s="448"/>
      <c r="H23" s="1381">
        <f>IF(AND(I23="",I25=""),1,0)</f>
        <v>1</v>
      </c>
      <c r="I23" s="1794"/>
      <c r="J23" s="1795"/>
      <c r="K23" s="1334">
        <f>IF(I23="",0,1)</f>
        <v>0</v>
      </c>
      <c r="L23" s="1381">
        <f>IF(AND(M23="",M25=""),1,0)</f>
        <v>1</v>
      </c>
      <c r="M23" s="1794"/>
      <c r="N23" s="1795"/>
      <c r="O23" s="1334">
        <f>IF(M23="",0,1)</f>
        <v>0</v>
      </c>
      <c r="P23" s="1381">
        <f>IF(AND(Q23="",Q25=""),1,0)</f>
        <v>1</v>
      </c>
      <c r="Q23" s="1794"/>
      <c r="R23" s="1795"/>
      <c r="S23" s="1334">
        <f>IF(Q23="",0,1)</f>
        <v>0</v>
      </c>
      <c r="T23" s="1381">
        <f>IF(AND(U23="",U25=""),1,0)</f>
        <v>1</v>
      </c>
      <c r="U23" s="1794"/>
      <c r="V23" s="1795"/>
      <c r="W23" s="1334">
        <f>IF(U23="",0,1)</f>
        <v>0</v>
      </c>
      <c r="X23" s="1381">
        <f>IF(AND(Y23="",Y25=""),1,0)</f>
        <v>1</v>
      </c>
      <c r="Y23" s="1794"/>
      <c r="Z23" s="1795"/>
      <c r="AA23" s="1334">
        <f>IF(Y23="",0,1)</f>
        <v>0</v>
      </c>
      <c r="AB23" s="1381">
        <f>IF(AND(AC23="",AC25=""),1,0)</f>
        <v>1</v>
      </c>
      <c r="AC23" s="1794"/>
      <c r="AD23" s="1795"/>
      <c r="AE23" s="1334">
        <f>IF(AC23="",0,1)</f>
        <v>0</v>
      </c>
      <c r="AF23" s="1381">
        <f>IF(AND(AG23="",AG25=""),1,0)</f>
        <v>1</v>
      </c>
      <c r="AG23" s="1794"/>
      <c r="AH23" s="1795"/>
      <c r="AI23" s="1334">
        <f>IF(AG23="",0,1)</f>
        <v>0</v>
      </c>
      <c r="AJ23" s="33"/>
      <c r="AK23" s="1324"/>
      <c r="AL23" s="1324"/>
      <c r="AM23" s="1324"/>
      <c r="AN23" s="33"/>
      <c r="AO23" s="264"/>
      <c r="AP23" s="264"/>
      <c r="AQ23" s="264"/>
      <c r="AR23" s="264"/>
      <c r="AS23" s="264"/>
      <c r="AT23" s="264"/>
      <c r="AU23" s="264"/>
      <c r="AV23" s="264"/>
      <c r="AW23" s="264"/>
      <c r="AX23" s="264"/>
      <c r="AY23" s="264"/>
      <c r="AZ23" s="264"/>
      <c r="BA23" s="264"/>
      <c r="BB23" s="264"/>
      <c r="BC23" s="264"/>
    </row>
    <row r="24" spans="1:55" ht="18" customHeight="1" x14ac:dyDescent="0.2">
      <c r="A24" s="1324"/>
      <c r="B24" s="1324"/>
      <c r="C24" s="630"/>
      <c r="D24" s="33"/>
      <c r="E24" s="449"/>
      <c r="F24" s="629" t="s">
        <v>487</v>
      </c>
      <c r="G24" s="449"/>
      <c r="H24" s="1339"/>
      <c r="I24" s="1527"/>
      <c r="J24" s="1528"/>
      <c r="K24" s="1334">
        <f>IF(I24="",0,1)</f>
        <v>0</v>
      </c>
      <c r="L24" s="1339"/>
      <c r="M24" s="1527"/>
      <c r="N24" s="1528"/>
      <c r="O24" s="1334">
        <f>IF(M24="",0,1)</f>
        <v>0</v>
      </c>
      <c r="P24" s="1339"/>
      <c r="Q24" s="1527"/>
      <c r="R24" s="1528"/>
      <c r="S24" s="1334">
        <f>IF(Q24="",0,1)</f>
        <v>0</v>
      </c>
      <c r="T24" s="1339"/>
      <c r="U24" s="1527"/>
      <c r="V24" s="1528"/>
      <c r="W24" s="1334">
        <f>IF(U24="",0,1)</f>
        <v>0</v>
      </c>
      <c r="X24" s="1339"/>
      <c r="Y24" s="1527"/>
      <c r="Z24" s="1528"/>
      <c r="AA24" s="1334">
        <f>IF(Y24="",0,1)</f>
        <v>0</v>
      </c>
      <c r="AB24" s="1339"/>
      <c r="AC24" s="1527"/>
      <c r="AD24" s="1528"/>
      <c r="AE24" s="1334">
        <f>IF(AC24="",0,1)</f>
        <v>0</v>
      </c>
      <c r="AF24" s="1339"/>
      <c r="AG24" s="1527"/>
      <c r="AH24" s="1528"/>
      <c r="AI24" s="1334">
        <f>IF(AG24="",0,1)</f>
        <v>0</v>
      </c>
      <c r="AJ24" s="1834" t="str">
        <f>IF(D145=C152,B38,"")</f>
        <v/>
      </c>
      <c r="AK24" s="1834"/>
      <c r="AL24" s="1834"/>
      <c r="AM24" s="1834"/>
      <c r="AN24" s="33"/>
      <c r="AO24" s="264"/>
      <c r="AP24" s="264"/>
      <c r="AQ24" s="264"/>
      <c r="AR24" s="264"/>
      <c r="AS24" s="264"/>
      <c r="AT24" s="264"/>
      <c r="AU24" s="264"/>
      <c r="AV24" s="264"/>
      <c r="AW24" s="264"/>
      <c r="AX24" s="264"/>
      <c r="AY24" s="264"/>
      <c r="AZ24" s="264"/>
      <c r="BA24" s="264"/>
      <c r="BB24" s="264"/>
      <c r="BC24" s="264"/>
    </row>
    <row r="25" spans="1:55" ht="18" customHeight="1" x14ac:dyDescent="0.2">
      <c r="A25" s="1324"/>
      <c r="B25" s="127"/>
      <c r="C25" s="630"/>
      <c r="D25" s="33"/>
      <c r="E25" s="450"/>
      <c r="F25" s="637" t="s">
        <v>488</v>
      </c>
      <c r="G25" s="450"/>
      <c r="H25" s="1334">
        <v>1</v>
      </c>
      <c r="I25" s="1515"/>
      <c r="J25" s="1516"/>
      <c r="K25" s="1334">
        <f>IF(I25="",0,1)</f>
        <v>0</v>
      </c>
      <c r="L25" s="1334">
        <v>2</v>
      </c>
      <c r="M25" s="1515"/>
      <c r="N25" s="1516"/>
      <c r="O25" s="1334">
        <f>IF(M25="",0,1)</f>
        <v>0</v>
      </c>
      <c r="P25" s="1334">
        <v>3</v>
      </c>
      <c r="Q25" s="1515"/>
      <c r="R25" s="1516"/>
      <c r="S25" s="1334">
        <f>IF(Q25="",0,1)</f>
        <v>0</v>
      </c>
      <c r="T25" s="1334">
        <v>4</v>
      </c>
      <c r="U25" s="1515"/>
      <c r="V25" s="1516"/>
      <c r="W25" s="1334">
        <f>IF(U25="",0,1)</f>
        <v>0</v>
      </c>
      <c r="X25" s="1334">
        <v>5</v>
      </c>
      <c r="Y25" s="1515"/>
      <c r="Z25" s="1516"/>
      <c r="AA25" s="1334">
        <f>IF(Y25="",0,1)</f>
        <v>0</v>
      </c>
      <c r="AB25" s="1334">
        <v>6</v>
      </c>
      <c r="AC25" s="1515"/>
      <c r="AD25" s="1516"/>
      <c r="AE25" s="1334">
        <f>IF(AC25="",0,1)</f>
        <v>0</v>
      </c>
      <c r="AF25" s="1334">
        <v>7</v>
      </c>
      <c r="AG25" s="1515"/>
      <c r="AH25" s="1516"/>
      <c r="AI25" s="1334">
        <f>IF(AG25="",0,1)</f>
        <v>0</v>
      </c>
      <c r="AJ25" s="33"/>
      <c r="AK25" s="1324"/>
      <c r="AL25" s="1324"/>
      <c r="AM25" s="1324"/>
      <c r="AN25" s="33"/>
      <c r="AO25" s="264"/>
      <c r="AP25" s="264"/>
      <c r="AQ25" s="264"/>
      <c r="AR25" s="264"/>
      <c r="AS25" s="264"/>
      <c r="AT25" s="264"/>
      <c r="AU25" s="264"/>
      <c r="AV25" s="264"/>
      <c r="AW25" s="264"/>
      <c r="AX25" s="264"/>
      <c r="AY25" s="264"/>
      <c r="AZ25" s="264"/>
      <c r="BA25" s="264"/>
      <c r="BB25" s="264"/>
      <c r="BC25" s="264"/>
    </row>
    <row r="26" spans="1:55" ht="11.25" customHeight="1" x14ac:dyDescent="0.2">
      <c r="A26" s="1324"/>
      <c r="B26" s="127"/>
      <c r="C26" s="127"/>
      <c r="D26" s="1502"/>
      <c r="E26" s="1502"/>
      <c r="F26" s="1502"/>
      <c r="G26" s="1502"/>
      <c r="H26" s="1801"/>
      <c r="I26" s="1801"/>
      <c r="J26" s="1801"/>
      <c r="K26" s="1801"/>
      <c r="L26" s="1532"/>
      <c r="M26" s="1532"/>
      <c r="N26" s="1532"/>
      <c r="O26" s="1532"/>
      <c r="P26" s="1532"/>
      <c r="Q26" s="1532"/>
      <c r="R26" s="1532"/>
      <c r="S26" s="1532"/>
      <c r="T26" s="1325"/>
      <c r="U26" s="1325"/>
      <c r="V26" s="1325"/>
      <c r="W26" s="1325"/>
      <c r="X26" s="1532"/>
      <c r="Y26" s="1532"/>
      <c r="Z26" s="1532"/>
      <c r="AA26" s="1532"/>
      <c r="AB26" s="1532"/>
      <c r="AC26" s="1532"/>
      <c r="AD26" s="1532"/>
      <c r="AE26" s="1532"/>
      <c r="AF26" s="1532"/>
      <c r="AG26" s="1532"/>
      <c r="AH26" s="1532"/>
      <c r="AI26" s="1532"/>
      <c r="AJ26" s="1532"/>
      <c r="AK26" s="1532"/>
      <c r="AL26" s="1532"/>
      <c r="AM26" s="1532"/>
      <c r="AN26" s="33"/>
      <c r="AO26" s="264"/>
      <c r="AP26" s="264"/>
      <c r="AQ26" s="264"/>
      <c r="AR26" s="264"/>
      <c r="AS26" s="264"/>
      <c r="AT26" s="264"/>
      <c r="AU26" s="264"/>
      <c r="AV26" s="264"/>
      <c r="AW26" s="264"/>
      <c r="AX26" s="264"/>
      <c r="AY26" s="264"/>
      <c r="AZ26" s="264"/>
      <c r="BA26" s="264"/>
      <c r="BB26" s="264"/>
      <c r="BC26" s="264"/>
    </row>
    <row r="27" spans="1:55" ht="19.5" customHeight="1" x14ac:dyDescent="0.2">
      <c r="A27" s="1324"/>
      <c r="B27" s="1799" t="s">
        <v>507</v>
      </c>
      <c r="C27" s="1800"/>
      <c r="D27" s="1789" t="s">
        <v>425</v>
      </c>
      <c r="E27" s="1790"/>
      <c r="F27" s="1790"/>
      <c r="G27" s="1791"/>
      <c r="H27" s="1518" t="str">
        <f>IF(I23="","",IF(VLOOKUP(I23,$B$8:$K$17,10,FALSE)="",$I139,VLOOKUP(I23,$B$8:$K$17,10,FALSE)))</f>
        <v/>
      </c>
      <c r="I27" s="1518"/>
      <c r="J27" s="1518"/>
      <c r="K27" s="1519"/>
      <c r="L27" s="1517" t="str">
        <f>IF(M23="","",IF(VLOOKUP(M23,$B$8:$K$17,10,FALSE)="",$I139,VLOOKUP(M23,$B$8:$K$17,10,FALSE)))</f>
        <v/>
      </c>
      <c r="M27" s="1518"/>
      <c r="N27" s="1518"/>
      <c r="O27" s="1519"/>
      <c r="P27" s="1517" t="str">
        <f>IF(Q23="","",IF(VLOOKUP(Q23,$B$8:$K$17,10,FALSE)="",$I139,VLOOKUP(Q23,$B$8:$K$17,10,FALSE)))</f>
        <v/>
      </c>
      <c r="Q27" s="1518"/>
      <c r="R27" s="1518"/>
      <c r="S27" s="1519"/>
      <c r="T27" s="1517" t="str">
        <f>IF(U23="","",IF(VLOOKUP(U23,$B$8:$K$17,10,FALSE)="",$I139,VLOOKUP(U23,$B$8:$K$17,10,FALSE)))</f>
        <v/>
      </c>
      <c r="U27" s="1518"/>
      <c r="V27" s="1518"/>
      <c r="W27" s="1519"/>
      <c r="X27" s="1517" t="str">
        <f>IF(Y23="","",IF(VLOOKUP(Y23,$B$8:$K$17,10,FALSE)="",$I139,VLOOKUP(Y23,$B$8:$K$17,10,FALSE)))</f>
        <v/>
      </c>
      <c r="Y27" s="1518"/>
      <c r="Z27" s="1518"/>
      <c r="AA27" s="1519"/>
      <c r="AB27" s="1517" t="str">
        <f>IF(AC23="","",IF(VLOOKUP(AC23,$B$8:$K$17,10,FALSE)="",$I139,VLOOKUP(AC23,$B$8:$K$17,10,FALSE)))</f>
        <v/>
      </c>
      <c r="AC27" s="1518"/>
      <c r="AD27" s="1518"/>
      <c r="AE27" s="1519"/>
      <c r="AF27" s="1517" t="str">
        <f>IF(AG23="","",IF(VLOOKUP(AG23,$B$8:$K$17,10,FALSE)="",$I139,VLOOKUP(AG23,$B$8:$K$17,10,FALSE)))</f>
        <v/>
      </c>
      <c r="AG27" s="1518"/>
      <c r="AH27" s="1518"/>
      <c r="AI27" s="1711"/>
      <c r="AJ27" s="1924" t="s">
        <v>163</v>
      </c>
      <c r="AK27" s="1925"/>
      <c r="AL27" s="1925"/>
      <c r="AM27" s="1926"/>
      <c r="AN27" s="33"/>
      <c r="AO27" s="264"/>
      <c r="AP27" s="264"/>
      <c r="AQ27" s="264"/>
      <c r="AR27" s="264"/>
      <c r="AS27" s="264"/>
      <c r="AT27" s="264"/>
      <c r="AU27" s="264"/>
      <c r="AV27" s="264"/>
      <c r="AW27" s="264"/>
      <c r="AX27" s="264"/>
      <c r="AY27" s="264"/>
      <c r="AZ27" s="264"/>
      <c r="BA27" s="264"/>
      <c r="BB27" s="264"/>
      <c r="BC27" s="264"/>
    </row>
    <row r="28" spans="1:55" ht="15" customHeight="1" x14ac:dyDescent="0.2">
      <c r="A28" s="1324"/>
      <c r="B28" s="1814" t="s">
        <v>508</v>
      </c>
      <c r="C28" s="1815"/>
      <c r="D28" s="1796" t="s">
        <v>709</v>
      </c>
      <c r="E28" s="1797"/>
      <c r="F28" s="1797"/>
      <c r="G28" s="1798"/>
      <c r="H28" s="1520" t="str">
        <f>IF(SUM(K23:K25)=0,"- - - - - - -",IF(I24="","",VLOOKUP(I24,$R$132:$Y$141,8,FALSE)))</f>
        <v>- - - - - - -</v>
      </c>
      <c r="I28" s="1520"/>
      <c r="J28" s="1520"/>
      <c r="K28" s="1521"/>
      <c r="L28" s="1523" t="str">
        <f>IF(SUM(O23:O25)=0,"- - - - - - -",IF(M24="","",VLOOKUP(M24,$R$132:$Y$141,8,FALSE)))</f>
        <v>- - - - - - -</v>
      </c>
      <c r="M28" s="1520"/>
      <c r="N28" s="1520"/>
      <c r="O28" s="1521"/>
      <c r="P28" s="1523" t="str">
        <f>IF(SUM(S23:S25)=0,"- - - - - - -",IF(Q24="","",VLOOKUP(Q24,$R$132:$Y$141,8,FALSE)))</f>
        <v>- - - - - - -</v>
      </c>
      <c r="Q28" s="1520"/>
      <c r="R28" s="1520"/>
      <c r="S28" s="1521"/>
      <c r="T28" s="1523" t="str">
        <f>IF(SUM(W23:W25)=0,"- - - - - - -",IF(U24="","",VLOOKUP(U24,$R$132:$Y$141,8,FALSE)))</f>
        <v>- - - - - - -</v>
      </c>
      <c r="U28" s="1520"/>
      <c r="V28" s="1520"/>
      <c r="W28" s="1521"/>
      <c r="X28" s="1523" t="str">
        <f>IF(SUM(AA23:AA25)=0,"- - - - - - -",IF(Y24="","",VLOOKUP(Y24,$R$132:$Y$141,8,FALSE)))</f>
        <v>- - - - - - -</v>
      </c>
      <c r="Y28" s="1520"/>
      <c r="Z28" s="1520"/>
      <c r="AA28" s="1521"/>
      <c r="AB28" s="1523" t="str">
        <f>IF(SUM(AE23:AE25)=0,"- - - - - - -",IF(AC24="","",VLOOKUP(AC24,$R$132:$Y$141,8,FALSE)))</f>
        <v>- - - - - - -</v>
      </c>
      <c r="AC28" s="1520"/>
      <c r="AD28" s="1520"/>
      <c r="AE28" s="1521"/>
      <c r="AF28" s="1523" t="str">
        <f>IF(SUM(AI23:AI25)=0,"- - - - - - -",IF(AG24="","",VLOOKUP(AG24,$R$132:$Y$141,8,FALSE)))</f>
        <v>- - - - - - -</v>
      </c>
      <c r="AG28" s="1520"/>
      <c r="AH28" s="1520"/>
      <c r="AI28" s="1744"/>
      <c r="AJ28" s="1505" t="s">
        <v>498</v>
      </c>
      <c r="AK28" s="1506"/>
      <c r="AL28" s="1506"/>
      <c r="AM28" s="1507"/>
      <c r="AN28" s="33"/>
      <c r="AO28" s="264"/>
      <c r="AP28" s="264"/>
      <c r="AQ28" s="264"/>
      <c r="AR28" s="264"/>
      <c r="AS28" s="264"/>
      <c r="AT28" s="264"/>
      <c r="AU28" s="264"/>
      <c r="AV28" s="264"/>
      <c r="AW28" s="264"/>
      <c r="AX28" s="264"/>
      <c r="AY28" s="264"/>
      <c r="AZ28" s="264"/>
      <c r="BA28" s="264"/>
      <c r="BB28" s="264"/>
      <c r="BC28" s="264"/>
    </row>
    <row r="29" spans="1:55" ht="19.5" customHeight="1" x14ac:dyDescent="0.2">
      <c r="A29" s="1324"/>
      <c r="B29" s="1792" t="s">
        <v>509</v>
      </c>
      <c r="C29" s="1793"/>
      <c r="D29" s="1824" t="str">
        <f>IF(AD45=D136,CONCATENATE("ANN0: ",IF(AH53&lt;&gt;"",AH53,"")),"")</f>
        <v/>
      </c>
      <c r="E29" s="1825"/>
      <c r="F29" s="1825"/>
      <c r="G29" s="1826"/>
      <c r="H29" s="1821" t="str">
        <f>IF(I25="","",IF(VLOOKUP(I25,$AF$8:$AG$14,2,FALSE)="",$I139,VLOOKUP(I25,$AF$8:$AG$14,2,FALSE)))</f>
        <v/>
      </c>
      <c r="I29" s="1822"/>
      <c r="J29" s="1822"/>
      <c r="K29" s="1823"/>
      <c r="L29" s="1533" t="str">
        <f t="shared" ref="L29" si="3">IF(M25="","",IF(VLOOKUP(M25,$AF$8:$AG$14,2,FALSE)="",$I139,VLOOKUP(M25,$AF$8:$AG$14,2,FALSE)))</f>
        <v/>
      </c>
      <c r="M29" s="1534"/>
      <c r="N29" s="1534"/>
      <c r="O29" s="1535"/>
      <c r="P29" s="1533" t="str">
        <f t="shared" ref="P29" si="4">IF(Q25="","",IF(VLOOKUP(Q25,$AF$8:$AG$14,2,FALSE)="",$I139,VLOOKUP(Q25,$AF$8:$AG$14,2,FALSE)))</f>
        <v/>
      </c>
      <c r="Q29" s="1534"/>
      <c r="R29" s="1534"/>
      <c r="S29" s="1535"/>
      <c r="T29" s="1533" t="str">
        <f t="shared" ref="T29" si="5">IF(U25="","",IF(VLOOKUP(U25,$AF$8:$AG$14,2,FALSE)="",$I139,VLOOKUP(U25,$AF$8:$AG$14,2,FALSE)))</f>
        <v/>
      </c>
      <c r="U29" s="1534"/>
      <c r="V29" s="1534"/>
      <c r="W29" s="1535"/>
      <c r="X29" s="1533" t="str">
        <f t="shared" ref="X29" si="6">IF(Y25="","",IF(VLOOKUP(Y25,$AF$8:$AG$14,2,FALSE)="",$I139,VLOOKUP(Y25,$AF$8:$AG$14,2,FALSE)))</f>
        <v/>
      </c>
      <c r="Y29" s="1534"/>
      <c r="Z29" s="1534"/>
      <c r="AA29" s="1535"/>
      <c r="AB29" s="1533" t="str">
        <f t="shared" ref="AB29" si="7">IF(AC25="","",IF(VLOOKUP(AC25,$AF$8:$AG$14,2,FALSE)="",$I139,VLOOKUP(AC25,$AF$8:$AG$14,2,FALSE)))</f>
        <v/>
      </c>
      <c r="AC29" s="1534"/>
      <c r="AD29" s="1534"/>
      <c r="AE29" s="1535"/>
      <c r="AF29" s="1533" t="str">
        <f t="shared" ref="AF29" si="8">IF(AG25="","",IF(VLOOKUP(AG25,$AF$8:$AG$14,2,FALSE)="",$I139,VLOOKUP(AG25,$AF$8:$AG$14,2,FALSE)))</f>
        <v/>
      </c>
      <c r="AG29" s="1534"/>
      <c r="AH29" s="1534"/>
      <c r="AI29" s="1765"/>
      <c r="AJ29" s="1508"/>
      <c r="AK29" s="1509"/>
      <c r="AL29" s="1509"/>
      <c r="AM29" s="1510"/>
      <c r="AN29" s="33"/>
      <c r="AO29" s="264"/>
      <c r="AP29" s="264"/>
      <c r="AQ29" s="264"/>
      <c r="AR29" s="264"/>
      <c r="AS29" s="264"/>
      <c r="AT29" s="264"/>
      <c r="AU29" s="264"/>
      <c r="AV29" s="264"/>
      <c r="AW29" s="264"/>
      <c r="AX29" s="264"/>
      <c r="AY29" s="264"/>
      <c r="AZ29" s="264"/>
      <c r="BA29" s="264"/>
      <c r="BB29" s="264"/>
      <c r="BC29" s="264"/>
    </row>
    <row r="30" spans="1:55" ht="18" customHeight="1" x14ac:dyDescent="0.2">
      <c r="A30" s="1324"/>
      <c r="B30" s="127"/>
      <c r="C30" s="127"/>
      <c r="D30" s="127"/>
      <c r="E30" s="127"/>
      <c r="F30" s="127"/>
      <c r="G30" s="127"/>
      <c r="H30" s="1495" t="str">
        <f>IF($D$145=$C$152,$C$152,H151)</f>
        <v/>
      </c>
      <c r="I30" s="1495"/>
      <c r="J30" s="1495"/>
      <c r="K30" s="1495"/>
      <c r="L30" s="1495" t="str">
        <f>IF($D$145=$C$152,$C$152,L151)</f>
        <v/>
      </c>
      <c r="M30" s="1495"/>
      <c r="N30" s="1495"/>
      <c r="O30" s="1495"/>
      <c r="P30" s="1495" t="str">
        <f>IF($D$145=$C$152,$C$152,P151)</f>
        <v/>
      </c>
      <c r="Q30" s="1495"/>
      <c r="R30" s="1495"/>
      <c r="S30" s="1495"/>
      <c r="T30" s="1495" t="str">
        <f>IF($D$145=$C$152,$C$152,T151)</f>
        <v/>
      </c>
      <c r="U30" s="1495"/>
      <c r="V30" s="1495"/>
      <c r="W30" s="1495"/>
      <c r="X30" s="1495" t="str">
        <f>IF($D$145=$C$152,$C$152,X151)</f>
        <v/>
      </c>
      <c r="Y30" s="1495"/>
      <c r="Z30" s="1495"/>
      <c r="AA30" s="1495"/>
      <c r="AB30" s="1495" t="str">
        <f>IF($D$145=$C$152,$C$152,AB151)</f>
        <v/>
      </c>
      <c r="AC30" s="1495"/>
      <c r="AD30" s="1495"/>
      <c r="AE30" s="1495"/>
      <c r="AF30" s="1495" t="str">
        <f>IF($D$145=$C$152,$C$152,AF151)</f>
        <v/>
      </c>
      <c r="AG30" s="1495"/>
      <c r="AH30" s="1495"/>
      <c r="AI30" s="1495"/>
      <c r="AJ30" s="1324"/>
      <c r="AK30" s="1324"/>
      <c r="AL30" s="1324"/>
      <c r="AM30" s="1324"/>
      <c r="AN30" s="33"/>
      <c r="AO30" s="264"/>
      <c r="AP30" s="264"/>
      <c r="AQ30" s="264"/>
      <c r="AR30" s="264"/>
      <c r="AS30" s="264"/>
      <c r="AT30" s="264"/>
      <c r="AU30" s="264"/>
      <c r="AV30" s="264"/>
      <c r="AW30" s="264"/>
      <c r="AX30" s="264"/>
      <c r="AY30" s="264"/>
      <c r="AZ30" s="264"/>
      <c r="BA30" s="264"/>
      <c r="BB30" s="264"/>
      <c r="BC30" s="264"/>
    </row>
    <row r="31" spans="1:55" ht="19.5" customHeight="1" x14ac:dyDescent="0.2">
      <c r="A31" s="1324"/>
      <c r="B31" s="127"/>
      <c r="C31" s="1811" t="s">
        <v>58</v>
      </c>
      <c r="D31" s="1512" t="str">
        <f>IF(AD45=D136,SUMIF(H31:AI31,"&gt;0")-(SUMIF(H36:AI36,D141,H31:AI31))," INSERITO")</f>
        <v xml:space="preserve"> INSERITO</v>
      </c>
      <c r="E31" s="1513"/>
      <c r="F31" s="1513"/>
      <c r="G31" s="1514"/>
      <c r="H31" s="1819">
        <f>IF(OR(SUM(K23:K25)=0,$AD45=$D137),0,IF($AK$151&gt;0,0,IF(I24="",1000,IF(ISERROR(VLOOKUP(I24,$P$8:$P$16,1,FALSE)),1000*$B43,1000))))</f>
        <v>0</v>
      </c>
      <c r="I31" s="1493"/>
      <c r="J31" s="1493"/>
      <c r="K31" s="1494"/>
      <c r="L31" s="1492">
        <f>IF(OR(SUM(O23:O25)=0,$AD45=$D137),0,IF($AK$151&gt;0,0,IF(M24="",1000,IF(ISERROR(VLOOKUP(M24,$P$8:$P$16,1,FALSE)),1000*$B43,1000))))</f>
        <v>0</v>
      </c>
      <c r="M31" s="1493"/>
      <c r="N31" s="1493"/>
      <c r="O31" s="1494"/>
      <c r="P31" s="1492">
        <f>IF(OR(SUM(S23:S25)=0,$AD45=$D137),0,IF($AK$151&gt;0,0,IF(Q24="",1000,IF(ISERROR(VLOOKUP(Q24,$P$8:$P$16,1,FALSE)),1000*$B43,1000))))</f>
        <v>0</v>
      </c>
      <c r="Q31" s="1493"/>
      <c r="R31" s="1493"/>
      <c r="S31" s="1494"/>
      <c r="T31" s="1492">
        <f>IF(OR(SUM(W23:W25)=0,$AD45=$D137),0,IF($AK$151&gt;0,0,IF(U24="",1000,IF(ISERROR(VLOOKUP(U24,$P$8:$P$16,1,FALSE)),1000*$B43,1000))))</f>
        <v>0</v>
      </c>
      <c r="U31" s="1493"/>
      <c r="V31" s="1493"/>
      <c r="W31" s="1494"/>
      <c r="X31" s="1492">
        <f>IF(OR(SUM(AA23:AA25)=0,$AD45=$D137),0,IF($AK$151&gt;0,0,IF(Y24="",1000,IF(ISERROR(VLOOKUP(Y24,$P$8:$P$16,1,FALSE)),1000*$B43,1000))))</f>
        <v>0</v>
      </c>
      <c r="Y31" s="1493"/>
      <c r="Z31" s="1493"/>
      <c r="AA31" s="1494"/>
      <c r="AB31" s="1492">
        <f>IF(OR(SUM(AE23:AE25)=0,$AD45=$D137),0,IF($AK$151&gt;0,0,IF(AC24="",1000,IF(ISERROR(VLOOKUP(AC24,$P$8:$P$16,1,FALSE)),1000*$B43,1000))))</f>
        <v>0</v>
      </c>
      <c r="AC31" s="1493"/>
      <c r="AD31" s="1493"/>
      <c r="AE31" s="1494"/>
      <c r="AF31" s="1492">
        <f>IF(OR(SUM(AI23:AI25)=0,$AD45=$D137),0,IF($AK$151&gt;0,0,IF(AG24="",1000,IF(ISERROR(VLOOKUP(AG24,$P$8:$P$16,1,FALSE)),1000*$B43,1000))))</f>
        <v>0</v>
      </c>
      <c r="AG31" s="1493"/>
      <c r="AH31" s="1493"/>
      <c r="AI31" s="1771"/>
      <c r="AJ31" s="1503" t="s">
        <v>708</v>
      </c>
      <c r="AK31" s="1504"/>
      <c r="AL31" s="1504"/>
      <c r="AM31" s="1504"/>
      <c r="AN31" s="1504"/>
      <c r="AO31" s="1504"/>
      <c r="AP31" s="1504"/>
      <c r="AQ31" s="264"/>
      <c r="AR31" s="264"/>
      <c r="AS31" s="264"/>
      <c r="AT31" s="264"/>
      <c r="AU31" s="264"/>
      <c r="AV31" s="264"/>
      <c r="AW31" s="264"/>
      <c r="AX31" s="264"/>
      <c r="AY31" s="264"/>
      <c r="AZ31" s="264"/>
      <c r="BA31" s="264"/>
      <c r="BB31" s="264"/>
      <c r="BC31" s="264"/>
    </row>
    <row r="32" spans="1:55" ht="4.5" customHeight="1" x14ac:dyDescent="0.2">
      <c r="A32" s="1324"/>
      <c r="B32" s="127"/>
      <c r="C32" s="1811"/>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324"/>
      <c r="AD32" s="1324"/>
      <c r="AE32" s="1324"/>
      <c r="AF32" s="1324"/>
      <c r="AG32" s="1324"/>
      <c r="AH32" s="1324"/>
      <c r="AI32" s="1324"/>
      <c r="AJ32" s="634"/>
      <c r="AK32" s="634"/>
      <c r="AL32" s="634"/>
      <c r="AM32" s="634"/>
      <c r="AN32" s="631"/>
      <c r="AO32" s="631"/>
      <c r="AP32" s="631"/>
      <c r="AQ32" s="264"/>
      <c r="AR32" s="264"/>
      <c r="AS32" s="264"/>
      <c r="AT32" s="264"/>
      <c r="AU32" s="264"/>
      <c r="AV32" s="264"/>
      <c r="AW32" s="264"/>
      <c r="AX32" s="264"/>
      <c r="AY32" s="264"/>
      <c r="AZ32" s="264"/>
      <c r="BA32" s="264"/>
      <c r="BB32" s="264"/>
      <c r="BC32" s="264"/>
    </row>
    <row r="33" spans="1:55" ht="19.5" customHeight="1" x14ac:dyDescent="0.2">
      <c r="A33" s="1324"/>
      <c r="B33" s="127"/>
      <c r="C33" s="1811"/>
      <c r="D33" s="1787" t="str">
        <f>AR33</f>
        <v xml:space="preserve"> a CONTO</v>
      </c>
      <c r="E33" s="1788"/>
      <c r="F33" s="1788"/>
      <c r="G33" s="1788"/>
      <c r="H33" s="1827">
        <f>IF(H24=$X$14,H31+H34,H31-H34)</f>
        <v>0</v>
      </c>
      <c r="I33" s="1525"/>
      <c r="J33" s="1525"/>
      <c r="K33" s="1526"/>
      <c r="L33" s="1524">
        <f>IF(L24=$X$14,L31+L34,L31-L34)</f>
        <v>0</v>
      </c>
      <c r="M33" s="1525"/>
      <c r="N33" s="1525"/>
      <c r="O33" s="1526"/>
      <c r="P33" s="1524">
        <f>IF(P24=$X$14,P31+P34,P31-P34)</f>
        <v>0</v>
      </c>
      <c r="Q33" s="1525"/>
      <c r="R33" s="1525"/>
      <c r="S33" s="1526"/>
      <c r="T33" s="1524">
        <f>IF(T24=$X$14,T31+T34,T31-T34)</f>
        <v>0</v>
      </c>
      <c r="U33" s="1525"/>
      <c r="V33" s="1525"/>
      <c r="W33" s="1526"/>
      <c r="X33" s="1524">
        <f>IF(X24=$X$14,X31+X34,X31-X34)</f>
        <v>0</v>
      </c>
      <c r="Y33" s="1525"/>
      <c r="Z33" s="1525"/>
      <c r="AA33" s="1526"/>
      <c r="AB33" s="1524">
        <f>IF(AB24=$X$14,AB31+AB34,AB31-AB34)</f>
        <v>0</v>
      </c>
      <c r="AC33" s="1525"/>
      <c r="AD33" s="1525"/>
      <c r="AE33" s="1526"/>
      <c r="AF33" s="1524">
        <f>IF(AF24=$X$14,AF31+AF34,AF31-AF34)</f>
        <v>0</v>
      </c>
      <c r="AG33" s="1525"/>
      <c r="AH33" s="1525"/>
      <c r="AI33" s="1850"/>
      <c r="AJ33" s="1529" t="s">
        <v>707</v>
      </c>
      <c r="AK33" s="1530"/>
      <c r="AL33" s="1530"/>
      <c r="AM33" s="1530"/>
      <c r="AN33" s="1530"/>
      <c r="AO33" s="1530"/>
      <c r="AP33" s="1530"/>
      <c r="AQ33" s="264"/>
      <c r="AR33" s="654" t="str">
        <f>IF(AD45=D136,SUMIF(H33:AI33,"&gt;0")-(SUMIF(H36:AI36,D141,H33:AI33))," a CONTO")</f>
        <v xml:space="preserve"> a CONTO</v>
      </c>
      <c r="AS33" s="264"/>
      <c r="AT33" s="264"/>
      <c r="AV33" s="264"/>
      <c r="AW33" s="264"/>
      <c r="AX33" s="264"/>
      <c r="AY33" s="264"/>
      <c r="AZ33" s="264"/>
      <c r="BA33" s="264"/>
      <c r="BB33" s="264"/>
      <c r="BC33" s="264"/>
    </row>
    <row r="34" spans="1:55" ht="19.5" customHeight="1" x14ac:dyDescent="0.2">
      <c r="A34" s="1324"/>
      <c r="B34" s="127"/>
      <c r="C34" s="1811"/>
      <c r="D34" s="1812" t="str">
        <f>AR34</f>
        <v xml:space="preserve"> Percentuale</v>
      </c>
      <c r="E34" s="1813"/>
      <c r="F34" s="1813"/>
      <c r="G34" s="1813"/>
      <c r="H34" s="1820">
        <f>IF(OR(SUM(K23:K25)=0,$AD45=$D137),0,IF($AK$151&gt;0,0,IF(I24="",0,ROUND(H31*S145,2)+AU38)))</f>
        <v>0</v>
      </c>
      <c r="I34" s="1569"/>
      <c r="J34" s="1569"/>
      <c r="K34" s="1570"/>
      <c r="L34" s="1568">
        <f>IF(OR(SUM(O23:O25)=0,$AD45=$D137),0,IF($AK$151&gt;0,0,IF(M24="",0,ROUND(L31*T145,2)+AV38)))</f>
        <v>0</v>
      </c>
      <c r="M34" s="1569"/>
      <c r="N34" s="1569"/>
      <c r="O34" s="1570"/>
      <c r="P34" s="1568">
        <f>IF(OR(SUM(S23:S25)=0,$AD45=$D137),0,IF($AK$151&gt;0,0,IF(Q24="",0,ROUND(P31*U145,2)+AW38)))</f>
        <v>0</v>
      </c>
      <c r="Q34" s="1569"/>
      <c r="R34" s="1569"/>
      <c r="S34" s="1570"/>
      <c r="T34" s="1568">
        <f>IF(OR(SUM(W23:W25)=0,$AD45=$D137),0,IF($AK$151&gt;0,0,IF(U24="",0,ROUND(T31*V145,2)+AX38)))</f>
        <v>0</v>
      </c>
      <c r="U34" s="1569"/>
      <c r="V34" s="1569"/>
      <c r="W34" s="1570"/>
      <c r="X34" s="1568">
        <f>IF(OR(SUM(AA23:AA25)=0,$AD45=$D137),0,IF($AK$151&gt;0,0,IF(Y24="",0,ROUND(X31*W145,2)+AY38)))</f>
        <v>0</v>
      </c>
      <c r="Y34" s="1569"/>
      <c r="Z34" s="1569"/>
      <c r="AA34" s="1570"/>
      <c r="AB34" s="1568">
        <f>IF(OR(SUM(AE23:AE25)=0,$AD45=$D137),0,IF($AK$151&gt;0,0,IF(AC24="",0,ROUND(AB31*X145,2)+AZ38)))</f>
        <v>0</v>
      </c>
      <c r="AC34" s="1569"/>
      <c r="AD34" s="1569"/>
      <c r="AE34" s="1570"/>
      <c r="AF34" s="1568">
        <f>IF(OR(SUM(AI23:AI25)=0,$AD45=$D137),0,IF($AK$151&gt;0,0,IF(AG24="",0,ROUND(AF31*Y145,2)+BA38)))</f>
        <v>0</v>
      </c>
      <c r="AG34" s="1569"/>
      <c r="AH34" s="1569"/>
      <c r="AI34" s="1772"/>
      <c r="AJ34" s="1843" t="s">
        <v>706</v>
      </c>
      <c r="AK34" s="1844"/>
      <c r="AL34" s="1844"/>
      <c r="AM34" s="1844"/>
      <c r="AN34" s="1844"/>
      <c r="AO34" s="1844"/>
      <c r="AP34" s="1844"/>
      <c r="AQ34" s="264"/>
      <c r="AR34" s="655" t="str">
        <f>IF(AD45=D136,SUMIF(H34:AI34,"&gt;0")-(SUMIF(H36:AI36,D141,H34:AI34))," Percentuale")</f>
        <v xml:space="preserve"> Percentuale</v>
      </c>
      <c r="AS34" s="264"/>
      <c r="AT34" s="264"/>
      <c r="AV34" s="264"/>
      <c r="AW34" s="264"/>
      <c r="AX34" s="264"/>
      <c r="AY34" s="264"/>
      <c r="AZ34" s="264"/>
      <c r="BA34" s="264"/>
      <c r="BB34" s="264"/>
      <c r="BC34" s="264"/>
    </row>
    <row r="35" spans="1:55" ht="19.5" customHeight="1" x14ac:dyDescent="0.2">
      <c r="A35" s="630"/>
      <c r="B35" s="630"/>
      <c r="C35" s="630"/>
      <c r="D35" s="630"/>
      <c r="E35" s="630"/>
      <c r="F35" s="630"/>
      <c r="G35" s="630"/>
      <c r="H35" s="1511" t="str">
        <f>IF(OR(ISERROR(H33),ISERROR(H34)),$C152,IF(OR(H24="",ISERROR(VLOOKUP(I24,$P8:$P17,1,FALSE))),"",VLOOKUP(H24,$X14:$Y16,2,FALSE)))</f>
        <v/>
      </c>
      <c r="I35" s="1511"/>
      <c r="J35" s="1511"/>
      <c r="K35" s="1511"/>
      <c r="L35" s="1511" t="str">
        <f>IF(OR(ISERROR(L33),ISERROR(L34)),$C152,IF(OR(L24="",ISERROR(VLOOKUP(M24,$P8:$P17,1,FALSE))),"",VLOOKUP(L24,$X14:$Y16,2,FALSE)))</f>
        <v/>
      </c>
      <c r="M35" s="1511"/>
      <c r="N35" s="1511"/>
      <c r="O35" s="1511"/>
      <c r="P35" s="1511" t="str">
        <f>IF(OR(ISERROR(P33),ISERROR(P34)),$C152,IF(OR(P24="",ISERROR(VLOOKUP(Q24,$P8:$P17,1,FALSE))),"",VLOOKUP(P24,$X14:$Y16,2,FALSE)))</f>
        <v/>
      </c>
      <c r="Q35" s="1511"/>
      <c r="R35" s="1511"/>
      <c r="S35" s="1511"/>
      <c r="T35" s="1511" t="str">
        <f>IF(OR(ISERROR(T33),ISERROR(T34)),$C152,IF(OR(T24="",ISERROR(VLOOKUP(U24,$P8:$P17,1,FALSE))),"",VLOOKUP(T24,$X14:$Y16,2,FALSE)))</f>
        <v/>
      </c>
      <c r="U35" s="1511"/>
      <c r="V35" s="1511"/>
      <c r="W35" s="1511"/>
      <c r="X35" s="1511" t="str">
        <f>IF(OR(ISERROR(X33),ISERROR(X34)),$C152,IF(OR(X24="",ISERROR(VLOOKUP(Y24,$P8:$P17,1,FALSE))),"",VLOOKUP(X24,$X14:$Y16,2,FALSE)))</f>
        <v/>
      </c>
      <c r="Y35" s="1511"/>
      <c r="Z35" s="1511"/>
      <c r="AA35" s="1511"/>
      <c r="AB35" s="1511" t="str">
        <f>IF(OR(ISERROR(AB33),ISERROR(AB34)),$C152,IF(OR(AB24="",ISERROR(VLOOKUP(AC24,$P8:$P17,1,FALSE))),"",VLOOKUP(AB24,$X14:$Y16,2,FALSE)))</f>
        <v/>
      </c>
      <c r="AC35" s="1511"/>
      <c r="AD35" s="1511"/>
      <c r="AE35" s="1511"/>
      <c r="AF35" s="1511" t="str">
        <f>IF(OR(ISERROR(AF33),ISERROR(AF34)),$C152,IF(OR(AF24="",ISERROR(VLOOKUP(AG24,$P8:$P17,1,FALSE))),"",VLOOKUP(AF24,$X14:$Y16,2,FALSE)))</f>
        <v/>
      </c>
      <c r="AG35" s="1511"/>
      <c r="AH35" s="1511"/>
      <c r="AI35" s="1511"/>
      <c r="AJ35" s="1531" t="s">
        <v>528</v>
      </c>
      <c r="AK35" s="1531"/>
      <c r="AL35" s="1531"/>
      <c r="AM35" s="1531"/>
      <c r="AN35" s="1531"/>
      <c r="AO35" s="1531"/>
      <c r="AP35" s="1531"/>
      <c r="AQ35" s="264"/>
      <c r="AR35" s="264"/>
      <c r="AS35" s="264"/>
      <c r="AT35" s="264"/>
      <c r="AU35" s="264"/>
      <c r="AV35" s="264"/>
      <c r="AW35" s="264"/>
      <c r="AX35" s="264"/>
      <c r="AY35" s="264"/>
      <c r="AZ35" s="264"/>
      <c r="BA35" s="264"/>
      <c r="BB35" s="264"/>
      <c r="BC35" s="264"/>
    </row>
    <row r="36" spans="1:55" ht="19.5" customHeight="1" x14ac:dyDescent="0.2">
      <c r="A36" s="630"/>
      <c r="B36" s="630"/>
      <c r="C36" s="630"/>
      <c r="D36" s="630"/>
      <c r="E36" s="630"/>
      <c r="F36" s="630"/>
      <c r="G36" s="630"/>
      <c r="H36" s="1848"/>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927"/>
      <c r="AJ36" s="1324"/>
      <c r="AK36" s="1324"/>
      <c r="AL36" s="1324"/>
      <c r="AM36" s="1324"/>
      <c r="AN36" s="33"/>
      <c r="AO36" s="264"/>
      <c r="AP36" s="264"/>
      <c r="AQ36" s="264"/>
      <c r="AR36" s="264"/>
      <c r="AS36" s="264"/>
      <c r="AT36" s="264"/>
      <c r="AU36" s="264"/>
      <c r="AV36" s="264"/>
      <c r="AW36" s="264"/>
      <c r="AX36" s="264"/>
      <c r="AY36" s="264"/>
      <c r="AZ36" s="264"/>
      <c r="BA36" s="264"/>
      <c r="BB36" s="264"/>
      <c r="BC36" s="264"/>
    </row>
    <row r="37" spans="1:55" ht="9" customHeight="1" x14ac:dyDescent="0.2">
      <c r="A37" s="1324"/>
      <c r="B37" s="676"/>
      <c r="C37" s="630"/>
      <c r="D37" s="630"/>
      <c r="E37" s="630"/>
      <c r="F37" s="630"/>
      <c r="G37" s="676"/>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1324"/>
      <c r="AK37" s="1324"/>
      <c r="AL37" s="1324"/>
      <c r="AM37" s="1324"/>
      <c r="AN37" s="33"/>
      <c r="AO37" s="264"/>
      <c r="AP37" s="264"/>
      <c r="AQ37" s="264"/>
      <c r="AR37" s="264"/>
      <c r="AS37" s="264"/>
      <c r="AT37" s="264"/>
      <c r="AU37" s="264"/>
      <c r="AV37" s="264"/>
      <c r="AW37" s="264"/>
      <c r="AX37" s="264"/>
      <c r="AY37" s="264"/>
      <c r="AZ37" s="264"/>
      <c r="BA37" s="264"/>
      <c r="BB37" s="264"/>
      <c r="BC37" s="264"/>
    </row>
    <row r="38" spans="1:55" ht="22.5" customHeight="1" x14ac:dyDescent="0.2">
      <c r="A38" s="1324"/>
      <c r="B38" s="1849" t="str">
        <f>IF(AND(AI38=0,B43&gt;0),F133,IF(AD45=D137,"",F134))</f>
        <v/>
      </c>
      <c r="C38" s="1849"/>
      <c r="D38" s="1849"/>
      <c r="E38" s="1849"/>
      <c r="F38" s="1849"/>
      <c r="G38" s="1849"/>
      <c r="H38" s="1358">
        <f>IF(I24=$P17,1,0)</f>
        <v>0</v>
      </c>
      <c r="I38" s="1360"/>
      <c r="J38" s="1360"/>
      <c r="K38" s="1360"/>
      <c r="L38" s="1358">
        <f>IF(M24=$P17,1,0)</f>
        <v>0</v>
      </c>
      <c r="M38" s="1360"/>
      <c r="N38" s="1360"/>
      <c r="O38" s="1360"/>
      <c r="P38" s="1358">
        <f>IF(Q24=$P17,1,0)</f>
        <v>0</v>
      </c>
      <c r="Q38" s="1360"/>
      <c r="R38" s="1360"/>
      <c r="S38" s="1360"/>
      <c r="T38" s="1358">
        <f>IF(U24=$P17,1,0)</f>
        <v>0</v>
      </c>
      <c r="U38" s="1360"/>
      <c r="V38" s="1360"/>
      <c r="W38" s="1360"/>
      <c r="X38" s="1358">
        <f>IF(Y24=$P17,1,0)</f>
        <v>0</v>
      </c>
      <c r="Y38" s="1360"/>
      <c r="Z38" s="1360"/>
      <c r="AA38" s="1360"/>
      <c r="AB38" s="1358">
        <f>IF(AC24=$P17,1,0)</f>
        <v>0</v>
      </c>
      <c r="AC38" s="1360"/>
      <c r="AD38" s="1360"/>
      <c r="AE38" s="1360"/>
      <c r="AF38" s="1358">
        <f>IF(AG24=$P17,1,0)</f>
        <v>0</v>
      </c>
      <c r="AG38" s="1360"/>
      <c r="AH38" s="1360">
        <f>COUNTIF(H35:AI35,C152)</f>
        <v>0</v>
      </c>
      <c r="AI38" s="1360">
        <f>SUM(H38+L38+T38+AB38+AF38+X38+P38)</f>
        <v>0</v>
      </c>
      <c r="AJ38" s="630"/>
      <c r="AK38" s="630"/>
      <c r="AL38" s="630"/>
      <c r="AM38" s="630"/>
      <c r="AN38" s="33"/>
      <c r="AO38" s="264"/>
      <c r="AP38" s="264"/>
      <c r="AQ38" s="264"/>
      <c r="AR38" s="264"/>
      <c r="AS38" s="264"/>
      <c r="AT38" s="264"/>
      <c r="AU38" s="675">
        <f>SUM(ROUND(AU39,2),ROUND(AU40,2),ROUND(AU41,2),ROUND(AU42,2))</f>
        <v>0</v>
      </c>
      <c r="AV38" s="675">
        <f t="shared" ref="AV38:BA38" si="9">SUM(ROUND(AV39,2),ROUND(AV40,2),ROUND(AV41,2),ROUND(AV42,2))</f>
        <v>0</v>
      </c>
      <c r="AW38" s="675">
        <f t="shared" si="9"/>
        <v>0</v>
      </c>
      <c r="AX38" s="675">
        <f t="shared" si="9"/>
        <v>0</v>
      </c>
      <c r="AY38" s="675">
        <f t="shared" si="9"/>
        <v>0</v>
      </c>
      <c r="AZ38" s="675">
        <f t="shared" si="9"/>
        <v>0</v>
      </c>
      <c r="BA38" s="675">
        <f t="shared" si="9"/>
        <v>0</v>
      </c>
      <c r="BB38" s="264"/>
      <c r="BC38" s="264"/>
    </row>
    <row r="39" spans="1:55" ht="18" customHeight="1" x14ac:dyDescent="0.2">
      <c r="A39" s="1324"/>
      <c r="B39" s="1340"/>
      <c r="C39" s="670" t="str">
        <f>IF(B39="","",VLOOKUP(B39,$P$8:$Q$16,2,FALSE))</f>
        <v/>
      </c>
      <c r="D39" s="671"/>
      <c r="E39" s="671"/>
      <c r="F39" s="1847" t="str">
        <f>IF(OR(B39="",AND(AI$38=0,B39&lt;&gt;"")),"",VLOOKUP(B39,$P$8:$U$16,6,FALSE))</f>
        <v/>
      </c>
      <c r="G39" s="1847"/>
      <c r="H39" s="1846" t="str">
        <f>IF(AND(I$24=$P$17,$B39&lt;&gt;""),ROUND(1000*AK39,2),"")</f>
        <v/>
      </c>
      <c r="I39" s="1846"/>
      <c r="J39" s="1846"/>
      <c r="K39" s="1846"/>
      <c r="L39" s="1571" t="str">
        <f>IF(AND(M$24=$P$17,$B39&lt;&gt;""),ROUND(1000*AL39,2),"")</f>
        <v/>
      </c>
      <c r="M39" s="1571"/>
      <c r="N39" s="1571"/>
      <c r="O39" s="1571"/>
      <c r="P39" s="1571" t="str">
        <f>IF(AND(Q$24=$P$17,$B39&lt;&gt;""),ROUND(1000*AM39,2),"")</f>
        <v/>
      </c>
      <c r="Q39" s="1571"/>
      <c r="R39" s="1571"/>
      <c r="S39" s="1571"/>
      <c r="T39" s="1571" t="str">
        <f>IF(AND(U$24=$P$17,$B39&lt;&gt;""),ROUND(1000*AN39,2),"")</f>
        <v/>
      </c>
      <c r="U39" s="1571"/>
      <c r="V39" s="1571"/>
      <c r="W39" s="1571"/>
      <c r="X39" s="1571" t="str">
        <f>IF(AND(Y$24=$P$17,$B39&lt;&gt;""),ROUND(1000*AO39,2),"")</f>
        <v/>
      </c>
      <c r="Y39" s="1571"/>
      <c r="Z39" s="1571"/>
      <c r="AA39" s="1571"/>
      <c r="AB39" s="1571" t="str">
        <f>IF(AND(AC$24=$P$17,$B39&lt;&gt;""),ROUND(1000*AP39,2),"")</f>
        <v/>
      </c>
      <c r="AC39" s="1571"/>
      <c r="AD39" s="1571"/>
      <c r="AE39" s="1571"/>
      <c r="AF39" s="1571" t="str">
        <f>IF(AND(AG$24=$P$17,$B39&lt;&gt;""),ROUND(1000*AQ39,2),"")</f>
        <v/>
      </c>
      <c r="AG39" s="1571"/>
      <c r="AH39" s="1571"/>
      <c r="AI39" s="1571"/>
      <c r="AJ39" s="1324"/>
      <c r="AK39" s="1359">
        <f>IF(H$24="",0,IF(H$24=$X$16,$F39/(100+$F39),$F39/100))</f>
        <v>0</v>
      </c>
      <c r="AL39" s="1359">
        <f>IF(L$24="",0,IF(L$24=$X$16,$F39/(100+$F39),$F39/100))</f>
        <v>0</v>
      </c>
      <c r="AM39" s="1359">
        <f>IF(P$24="",0,IF(P$24=$X$16,$F39/(100+$F39),$F39/100))</f>
        <v>0</v>
      </c>
      <c r="AN39" s="1359">
        <f>IF(T$24="",0,IF(T$24=$X$16,$F39/(100+$F39),$F39/100))</f>
        <v>0</v>
      </c>
      <c r="AO39" s="669">
        <f>IF(X$24="",0,IF(X$24=$X$16,$F39/(100+$F39),$F39/100))</f>
        <v>0</v>
      </c>
      <c r="AP39" s="669">
        <f>IF(AB$24="",0,IF(AB$24=$X$16,$F39/(100+$F39),$F39/100))</f>
        <v>0</v>
      </c>
      <c r="AQ39" s="669">
        <f>IF(AF$24="",0,IF(AF$24=$X$16,$F39/(100+$F39),$F39/100))</f>
        <v>0</v>
      </c>
      <c r="AR39" s="264"/>
      <c r="AS39" s="672">
        <f>IF(AND(AI$38=0,B39&lt;&gt;""),1,0)</f>
        <v>0</v>
      </c>
      <c r="AT39" s="264"/>
      <c r="AU39" s="674">
        <f>IF(H39="",0,H39)</f>
        <v>0</v>
      </c>
      <c r="AV39" s="674">
        <f>IF(L39="",0,L39)</f>
        <v>0</v>
      </c>
      <c r="AW39" s="674">
        <f>IF(P39="",0,P39)</f>
        <v>0</v>
      </c>
      <c r="AX39" s="674">
        <f>IF(T39="",0,T39)</f>
        <v>0</v>
      </c>
      <c r="AY39" s="674">
        <f>IF(X39="",0,X39)</f>
        <v>0</v>
      </c>
      <c r="AZ39" s="674">
        <f>IF(AB39="",0,AB39)</f>
        <v>0</v>
      </c>
      <c r="BA39" s="674">
        <f>IF(AF39="",0,AF39)</f>
        <v>0</v>
      </c>
      <c r="BB39" s="264"/>
      <c r="BC39" s="264"/>
    </row>
    <row r="40" spans="1:55" ht="18" customHeight="1" x14ac:dyDescent="0.2">
      <c r="A40" s="1324"/>
      <c r="B40" s="1340"/>
      <c r="C40" s="670" t="str">
        <f t="shared" ref="C40:C42" si="10">IF(B40="","",VLOOKUP(B40,$P$8:$Q$16,2,FALSE))</f>
        <v/>
      </c>
      <c r="D40" s="671"/>
      <c r="E40" s="671"/>
      <c r="F40" s="1847" t="str">
        <f t="shared" ref="F40:F42" si="11">IF(OR(B40="",AND(AI$38=0,B40&lt;&gt;"")),"",VLOOKUP(B40,$P$8:$U$16,6,FALSE))</f>
        <v/>
      </c>
      <c r="G40" s="1847"/>
      <c r="H40" s="1571" t="str">
        <f>IF(AND(I$24=$P$17,$B40&lt;&gt;""),ROUND(1000*AK40,2),"")</f>
        <v/>
      </c>
      <c r="I40" s="1571"/>
      <c r="J40" s="1571"/>
      <c r="K40" s="1571"/>
      <c r="L40" s="1571" t="str">
        <f>IF(AND(M$24=$P$17,$B40&lt;&gt;""),ROUND(1000*AL40,2),"")</f>
        <v/>
      </c>
      <c r="M40" s="1571"/>
      <c r="N40" s="1571"/>
      <c r="O40" s="1571"/>
      <c r="P40" s="1571" t="str">
        <f>IF(AND(Q$24=$P$17,$B40&lt;&gt;""),ROUND(1000*AM40,2),"")</f>
        <v/>
      </c>
      <c r="Q40" s="1571"/>
      <c r="R40" s="1571"/>
      <c r="S40" s="1571"/>
      <c r="T40" s="1571" t="str">
        <f>IF(AND(U$24=$P$17,$B40&lt;&gt;""),ROUND(1000*AN40,2),"")</f>
        <v/>
      </c>
      <c r="U40" s="1571"/>
      <c r="V40" s="1571"/>
      <c r="W40" s="1571"/>
      <c r="X40" s="1571" t="str">
        <f>IF(AND(Y$24=$P$17,$B40&lt;&gt;""),ROUND(1000*AO40,2),"")</f>
        <v/>
      </c>
      <c r="Y40" s="1571"/>
      <c r="Z40" s="1571"/>
      <c r="AA40" s="1571"/>
      <c r="AB40" s="1571" t="str">
        <f>IF(AND(AC$24=$P$17,$B40&lt;&gt;""),ROUND(1000*AP40,2),"")</f>
        <v/>
      </c>
      <c r="AC40" s="1571"/>
      <c r="AD40" s="1571"/>
      <c r="AE40" s="1571"/>
      <c r="AF40" s="1571" t="str">
        <f>IF(AND(AG$24=$P$17,$B40&lt;&gt;""),ROUND(1000*AQ40,2),"")</f>
        <v/>
      </c>
      <c r="AG40" s="1571"/>
      <c r="AH40" s="1571"/>
      <c r="AI40" s="1571"/>
      <c r="AJ40" s="33"/>
      <c r="AK40" s="1359">
        <f>IF(H$24="",0,IF(H$24=$X$16,$F40/(100+$F40),$F40/100))</f>
        <v>0</v>
      </c>
      <c r="AL40" s="1359">
        <f>IF(L$24="",0,IF(L$24=$X$16,$F40/(100+$F40),$F40/100))</f>
        <v>0</v>
      </c>
      <c r="AM40" s="1359">
        <f>IF(P$24="",0,IF(P$24=$X$16,$F40/(100+$F40),$F40/100))</f>
        <v>0</v>
      </c>
      <c r="AN40" s="1359">
        <f>IF(T$24="",0,IF(T$24=$X$16,$F40/(100+$F40),$F40/100))</f>
        <v>0</v>
      </c>
      <c r="AO40" s="669">
        <f>IF(X$24="",0,IF(X$24=$X$16,$F40/(100+$F40),$F40/100))</f>
        <v>0</v>
      </c>
      <c r="AP40" s="669">
        <f>IF(AB$24="",0,IF(AB$24=$X$16,$F40/(100+$F40),$F40/100))</f>
        <v>0</v>
      </c>
      <c r="AQ40" s="669">
        <f>IF(AF$24="",0,IF(AF$24=$X$16,$F40/(100+$F40),$F40/100))</f>
        <v>0</v>
      </c>
      <c r="AR40" s="264"/>
      <c r="AS40" s="672">
        <f>IF(AND(AI$38=0,B40&lt;&gt;""),1,0)</f>
        <v>0</v>
      </c>
      <c r="AT40" s="264"/>
      <c r="AU40" s="674">
        <f>IF(H40="",0,H40)</f>
        <v>0</v>
      </c>
      <c r="AV40" s="674">
        <f>IF(L40="",0,L40)</f>
        <v>0</v>
      </c>
      <c r="AW40" s="674">
        <f>IF(P40="",0,P40)</f>
        <v>0</v>
      </c>
      <c r="AX40" s="674">
        <f>IF(T40="",0,T40)</f>
        <v>0</v>
      </c>
      <c r="AY40" s="674">
        <f>IF(X40="",0,X40)</f>
        <v>0</v>
      </c>
      <c r="AZ40" s="674">
        <f>IF(AB40="",0,AB40)</f>
        <v>0</v>
      </c>
      <c r="BA40" s="674">
        <f>IF(AF40="",0,AF40)</f>
        <v>0</v>
      </c>
      <c r="BB40" s="264"/>
      <c r="BC40" s="264"/>
    </row>
    <row r="41" spans="1:55" ht="18" customHeight="1" x14ac:dyDescent="0.2">
      <c r="A41" s="1324"/>
      <c r="B41" s="1340"/>
      <c r="C41" s="670" t="str">
        <f t="shared" si="10"/>
        <v/>
      </c>
      <c r="D41" s="671"/>
      <c r="E41" s="671"/>
      <c r="F41" s="1847" t="str">
        <f t="shared" si="11"/>
        <v/>
      </c>
      <c r="G41" s="1847"/>
      <c r="H41" s="1571" t="str">
        <f>IF(AND(I$24=$P$17,$B41&lt;&gt;""),ROUND(1000*AK41,2),"")</f>
        <v/>
      </c>
      <c r="I41" s="1571"/>
      <c r="J41" s="1571"/>
      <c r="K41" s="1571"/>
      <c r="L41" s="1571" t="str">
        <f>IF(AND(M$24=$P$17,$B41&lt;&gt;""),ROUND(1000*AL41,2),"")</f>
        <v/>
      </c>
      <c r="M41" s="1571"/>
      <c r="N41" s="1571"/>
      <c r="O41" s="1571"/>
      <c r="P41" s="1571" t="str">
        <f>IF(AND(Q$24=$P$17,$B41&lt;&gt;""),ROUND(1000*AM41,2),"")</f>
        <v/>
      </c>
      <c r="Q41" s="1571"/>
      <c r="R41" s="1571"/>
      <c r="S41" s="1571"/>
      <c r="T41" s="1571" t="str">
        <f>IF(AND(U$24=$P$17,$B41&lt;&gt;""),ROUND(1000*AN41,2),"")</f>
        <v/>
      </c>
      <c r="U41" s="1571"/>
      <c r="V41" s="1571"/>
      <c r="W41" s="1571"/>
      <c r="X41" s="1571" t="str">
        <f>IF(AND(Y$24=$P$17,$B41&lt;&gt;""),ROUND(1000*AO41,2),"")</f>
        <v/>
      </c>
      <c r="Y41" s="1571"/>
      <c r="Z41" s="1571"/>
      <c r="AA41" s="1571"/>
      <c r="AB41" s="1571" t="str">
        <f>IF(AND(AC$24=$P$17,$B41&lt;&gt;""),ROUND(1000*AP41,2),"")</f>
        <v/>
      </c>
      <c r="AC41" s="1571"/>
      <c r="AD41" s="1571"/>
      <c r="AE41" s="1571"/>
      <c r="AF41" s="1571" t="str">
        <f>IF(AND(AG$24=$P$17,$B41&lt;&gt;""),ROUND(1000*AQ41,2),"")</f>
        <v/>
      </c>
      <c r="AG41" s="1571"/>
      <c r="AH41" s="1571"/>
      <c r="AI41" s="1571"/>
      <c r="AJ41" s="477"/>
      <c r="AK41" s="1359">
        <f>IF(H$24="",0,IF(H$24=$X$16,$F41/(100+$F41),$F41/100))</f>
        <v>0</v>
      </c>
      <c r="AL41" s="1359">
        <f>IF(L$24="",0,IF(L$24=$X$16,$F41/(100+$F41),$F41/100))</f>
        <v>0</v>
      </c>
      <c r="AM41" s="1359">
        <f>IF(P$24="",0,IF(P$24=$X$16,$F41/(100+$F41),$F41/100))</f>
        <v>0</v>
      </c>
      <c r="AN41" s="1359">
        <f>IF(T$24="",0,IF(T$24=$X$16,$F41/(100+$F41),$F41/100))</f>
        <v>0</v>
      </c>
      <c r="AO41" s="669">
        <f>IF(X$24="",0,IF(X$24=$X$16,$F41/(100+$F41),$F41/100))</f>
        <v>0</v>
      </c>
      <c r="AP41" s="669">
        <f>IF(AB$24="",0,IF(AB$24=$X$16,$F41/(100+$F41),$F41/100))</f>
        <v>0</v>
      </c>
      <c r="AQ41" s="669">
        <f>IF(AF$24="",0,IF(AF$24=$X$16,$F41/(100+$F41),$F41/100))</f>
        <v>0</v>
      </c>
      <c r="AR41" s="264"/>
      <c r="AS41" s="672">
        <f>IF(AND(AI$38=0,B41&lt;&gt;""),1,0)</f>
        <v>0</v>
      </c>
      <c r="AT41" s="264"/>
      <c r="AU41" s="674">
        <f>IF(H41="",0,H41)</f>
        <v>0</v>
      </c>
      <c r="AV41" s="674">
        <f>IF(L41="",0,L41)</f>
        <v>0</v>
      </c>
      <c r="AW41" s="674">
        <f>IF(P41="",0,P41)</f>
        <v>0</v>
      </c>
      <c r="AX41" s="674">
        <f>IF(T41="",0,T41)</f>
        <v>0</v>
      </c>
      <c r="AY41" s="674">
        <f>IF(X41="",0,X41)</f>
        <v>0</v>
      </c>
      <c r="AZ41" s="674">
        <f>IF(AB41="",0,AB41)</f>
        <v>0</v>
      </c>
      <c r="BA41" s="674">
        <f>IF(AF41="",0,AF41)</f>
        <v>0</v>
      </c>
      <c r="BB41" s="264"/>
      <c r="BC41" s="264"/>
    </row>
    <row r="42" spans="1:55" ht="18" customHeight="1" x14ac:dyDescent="0.2">
      <c r="A42" s="1324"/>
      <c r="B42" s="1340"/>
      <c r="C42" s="670" t="str">
        <f t="shared" si="10"/>
        <v/>
      </c>
      <c r="D42" s="671"/>
      <c r="E42" s="671"/>
      <c r="F42" s="1847" t="str">
        <f t="shared" si="11"/>
        <v/>
      </c>
      <c r="G42" s="1847"/>
      <c r="H42" s="1571" t="str">
        <f>IF(AND(I$24=$P$17,$B42&lt;&gt;""),ROUND(1000*AK42,2),"")</f>
        <v/>
      </c>
      <c r="I42" s="1571"/>
      <c r="J42" s="1571"/>
      <c r="K42" s="1571"/>
      <c r="L42" s="1571" t="str">
        <f>IF(AND(M$24=$P$17,$B42&lt;&gt;""),ROUND(1000*AL42,2),"")</f>
        <v/>
      </c>
      <c r="M42" s="1571"/>
      <c r="N42" s="1571"/>
      <c r="O42" s="1571"/>
      <c r="P42" s="1571" t="str">
        <f>IF(AND(Q$24=$P$17,$B42&lt;&gt;""),ROUND(1000*AM42,2),"")</f>
        <v/>
      </c>
      <c r="Q42" s="1571"/>
      <c r="R42" s="1571"/>
      <c r="S42" s="1571"/>
      <c r="T42" s="1571" t="str">
        <f>IF(AND(U$24=$P$17,$B42&lt;&gt;""),ROUND(1000*AN42,2),"")</f>
        <v/>
      </c>
      <c r="U42" s="1571"/>
      <c r="V42" s="1571"/>
      <c r="W42" s="1571"/>
      <c r="X42" s="1571" t="str">
        <f>IF(AND(Y$24=$P$17,$B42&lt;&gt;""),ROUND(1000*AO42,2),"")</f>
        <v/>
      </c>
      <c r="Y42" s="1571"/>
      <c r="Z42" s="1571"/>
      <c r="AA42" s="1571"/>
      <c r="AB42" s="1571" t="str">
        <f>IF(AND(AC$24=$P$17,$B42&lt;&gt;""),ROUND(1000*AP42,2),"")</f>
        <v/>
      </c>
      <c r="AC42" s="1571"/>
      <c r="AD42" s="1571"/>
      <c r="AE42" s="1571"/>
      <c r="AF42" s="1571" t="str">
        <f>IF(AND(AG$24=$P$17,$B42&lt;&gt;""),ROUND(1000*AQ42,2),"")</f>
        <v/>
      </c>
      <c r="AG42" s="1571"/>
      <c r="AH42" s="1571"/>
      <c r="AI42" s="1571"/>
      <c r="AJ42" s="477"/>
      <c r="AK42" s="1359">
        <f>IF(H$24="",0,IF(H$24=$X$16,$F42/(100+$F42),$F42/100))</f>
        <v>0</v>
      </c>
      <c r="AL42" s="1359">
        <f>IF(L$24="",0,IF(L$24=$X$16,$F42/(100+$F42),$F42/100))</f>
        <v>0</v>
      </c>
      <c r="AM42" s="1359">
        <f>IF(P$24="",0,IF(P$24=$X$16,$F42/(100+$F42),$F42/100))</f>
        <v>0</v>
      </c>
      <c r="AN42" s="1359">
        <f>IF(T$24="",0,IF(T$24=$X$16,$F42/(100+$F42),$F42/100))</f>
        <v>0</v>
      </c>
      <c r="AO42" s="669">
        <f>IF(X$24="",0,IF(X$24=$X$16,$F42/(100+$F42),$F42/100))</f>
        <v>0</v>
      </c>
      <c r="AP42" s="669">
        <f>IF(AB$24="",0,IF(AB$24=$X$16,$F42/(100+$F42),$F42/100))</f>
        <v>0</v>
      </c>
      <c r="AQ42" s="669">
        <f>IF(AF$24="",0,IF(AF$24=$X$16,$F42/(100+$F42),$F42/100))</f>
        <v>0</v>
      </c>
      <c r="AR42" s="264"/>
      <c r="AS42" s="672">
        <f>IF(AND(AI$38=0,B42&lt;&gt;""),1,0)</f>
        <v>0</v>
      </c>
      <c r="AT42" s="264"/>
      <c r="AU42" s="674">
        <f>IF(H42="",0,H42)</f>
        <v>0</v>
      </c>
      <c r="AV42" s="674">
        <f>IF(L42="",0,L42)</f>
        <v>0</v>
      </c>
      <c r="AW42" s="674">
        <f>IF(P42="",0,P42)</f>
        <v>0</v>
      </c>
      <c r="AX42" s="674">
        <f>IF(T42="",0,T42)</f>
        <v>0</v>
      </c>
      <c r="AY42" s="674">
        <f>IF(X42="",0,X42)</f>
        <v>0</v>
      </c>
      <c r="AZ42" s="674">
        <f>IF(AB42="",0,AB42)</f>
        <v>0</v>
      </c>
      <c r="BA42" s="674">
        <f>IF(AF42="",0,AF42)</f>
        <v>0</v>
      </c>
      <c r="BB42" s="264"/>
      <c r="BC42" s="264"/>
    </row>
    <row r="43" spans="1:55" ht="15" customHeight="1" x14ac:dyDescent="0.2">
      <c r="A43" s="141"/>
      <c r="B43" s="1358">
        <f>COUNTA(B39:B42)</f>
        <v>0</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324"/>
      <c r="AD43" s="1324"/>
      <c r="AE43" s="1324"/>
      <c r="AF43" s="1324"/>
      <c r="AG43" s="1324"/>
      <c r="AH43" s="1324"/>
      <c r="AI43" s="1324"/>
      <c r="AJ43" s="1324"/>
      <c r="AK43" s="1324"/>
      <c r="AL43" s="1324"/>
      <c r="AM43" s="1324"/>
      <c r="AN43" s="33"/>
      <c r="AO43" s="264"/>
      <c r="AP43" s="264"/>
      <c r="AQ43" s="264"/>
      <c r="AR43" s="264"/>
      <c r="AS43" s="264"/>
      <c r="AT43" s="264"/>
      <c r="AU43" s="264"/>
      <c r="AV43" s="264"/>
      <c r="AW43" s="264"/>
      <c r="AX43" s="264"/>
      <c r="AY43" s="264"/>
      <c r="AZ43" s="264"/>
      <c r="BA43" s="264"/>
      <c r="BB43" s="264"/>
      <c r="BC43" s="264"/>
    </row>
    <row r="44" spans="1:55" ht="18" customHeight="1" x14ac:dyDescent="0.25">
      <c r="A44" s="141"/>
      <c r="B44" s="1872" t="s">
        <v>426</v>
      </c>
      <c r="C44" s="1872"/>
      <c r="D44" s="1872"/>
      <c r="E44" s="1872"/>
      <c r="F44" s="1872"/>
      <c r="G44" s="1872"/>
      <c r="H44" s="1872"/>
      <c r="I44" s="1872"/>
      <c r="J44" s="1872"/>
      <c r="K44" s="1871" t="s">
        <v>427</v>
      </c>
      <c r="L44" s="1871"/>
      <c r="M44" s="1871"/>
      <c r="N44" s="1871"/>
      <c r="O44" s="1870" t="s">
        <v>137</v>
      </c>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36"/>
      <c r="AK44" s="136"/>
      <c r="AL44" s="136"/>
      <c r="AM44" s="134"/>
      <c r="AN44" s="33"/>
      <c r="AO44" s="264"/>
      <c r="AP44" s="264"/>
      <c r="AQ44" s="264"/>
      <c r="AR44" s="264"/>
      <c r="AS44" s="264"/>
      <c r="AT44" s="264"/>
      <c r="AU44" s="264"/>
      <c r="AV44" s="264"/>
      <c r="AW44" s="264"/>
      <c r="AX44" s="264"/>
      <c r="AY44" s="264"/>
      <c r="AZ44" s="264"/>
      <c r="BA44" s="264"/>
      <c r="BB44" s="264"/>
      <c r="BC44" s="264"/>
    </row>
    <row r="45" spans="1:55" ht="27" customHeight="1" x14ac:dyDescent="0.2">
      <c r="A45" s="141"/>
      <c r="B45" s="643" t="s">
        <v>710</v>
      </c>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c r="AA45" s="643"/>
      <c r="AB45" s="643"/>
      <c r="AC45" s="643"/>
      <c r="AD45" s="1862" t="str">
        <f>IF(AK151&gt;0,D137,D136)</f>
        <v>Non convalidato</v>
      </c>
      <c r="AE45" s="1862"/>
      <c r="AF45" s="1862"/>
      <c r="AG45" s="1862"/>
      <c r="AH45" s="1862"/>
      <c r="AI45" s="1862"/>
      <c r="AJ45" s="1857" t="str">
        <f>IF(AK151&gt;0,D139,"")</f>
        <v>REGISTRO</v>
      </c>
      <c r="AK45" s="1857"/>
      <c r="AL45" s="1857"/>
      <c r="AM45" s="1857"/>
      <c r="AN45" s="33"/>
      <c r="AO45" s="264"/>
      <c r="AP45" s="264"/>
      <c r="AQ45" s="264"/>
      <c r="AR45" s="264"/>
      <c r="AS45" s="264"/>
      <c r="AT45" s="264"/>
      <c r="AU45" s="264"/>
      <c r="AV45" s="264"/>
      <c r="AW45" s="264"/>
      <c r="AX45" s="264"/>
      <c r="AY45" s="264"/>
      <c r="AZ45" s="264"/>
      <c r="BA45" s="264"/>
      <c r="BB45" s="264"/>
      <c r="BC45" s="264"/>
    </row>
    <row r="46" spans="1:55" ht="18.75" customHeight="1" x14ac:dyDescent="0.2">
      <c r="A46" s="141"/>
      <c r="B46" s="143"/>
      <c r="C46" s="143"/>
      <c r="D46" s="143"/>
      <c r="E46" s="143"/>
      <c r="F46" s="143"/>
      <c r="G46" s="143"/>
      <c r="H46" s="143"/>
      <c r="I46" s="143"/>
      <c r="J46" s="143"/>
      <c r="K46" s="143"/>
      <c r="L46" s="143"/>
      <c r="M46" s="358" t="str">
        <f>Presentazione!$H$23</f>
        <v/>
      </c>
      <c r="N46" s="143"/>
      <c r="O46" s="143"/>
      <c r="P46" s="143"/>
      <c r="Q46" s="143"/>
      <c r="R46" s="143"/>
      <c r="S46" s="143"/>
      <c r="T46" s="143"/>
      <c r="U46" s="143"/>
      <c r="V46" s="143"/>
      <c r="W46" s="143"/>
      <c r="X46" s="143"/>
      <c r="Y46" s="143"/>
      <c r="Z46" s="143"/>
      <c r="AA46" s="143"/>
      <c r="AB46" s="143"/>
      <c r="AC46" s="144"/>
      <c r="AD46" s="144"/>
      <c r="AE46" s="144"/>
      <c r="AF46" s="144"/>
      <c r="AG46" s="144"/>
      <c r="AH46" s="144"/>
      <c r="AI46" s="144"/>
      <c r="AJ46" s="144"/>
      <c r="AK46" s="144"/>
      <c r="AL46" s="144"/>
      <c r="AM46" s="144"/>
      <c r="AN46" s="138"/>
      <c r="AO46" s="264"/>
      <c r="AP46" s="264"/>
      <c r="AQ46" s="264"/>
      <c r="AR46" s="264"/>
      <c r="AS46" s="264"/>
      <c r="AT46" s="264"/>
      <c r="AU46" s="264"/>
      <c r="AV46" s="264"/>
      <c r="AW46" s="264"/>
      <c r="AX46" s="264"/>
      <c r="AY46" s="264"/>
      <c r="AZ46" s="264"/>
      <c r="BA46" s="264"/>
      <c r="BB46" s="264"/>
      <c r="BC46" s="264"/>
    </row>
    <row r="47" spans="1:55" ht="18.75" customHeight="1" x14ac:dyDescent="0.2">
      <c r="A47" s="141"/>
      <c r="B47" s="411" t="str">
        <f>Presentazione!$G$29</f>
        <v>Registro Contabile Giornaliero 6.0.7 - per EXCEL .xlsm</v>
      </c>
      <c r="C47" s="119"/>
      <c r="D47" s="119"/>
      <c r="E47" s="119"/>
      <c r="F47" s="119"/>
      <c r="G47" s="119"/>
      <c r="H47" s="119"/>
      <c r="I47" s="119"/>
      <c r="J47" s="119"/>
      <c r="K47" s="119"/>
      <c r="L47" s="143"/>
      <c r="M47" s="359" t="str">
        <f>IF(Presentazione!$J$173=Presentazione!$K$95,CONCATENATE(Presentazione!$F$89,"   -   ","P.I./C.F ",Presentazione!$K$91),Presentazione!$I$165)</f>
        <v>Sistema attivato dal 01/01 al 31/03. Modifica il trimestre dal foglio Presentazione.</v>
      </c>
      <c r="N47" s="143"/>
      <c r="O47" s="143"/>
      <c r="P47" s="143"/>
      <c r="Q47" s="143"/>
      <c r="R47" s="143"/>
      <c r="S47" s="143"/>
      <c r="T47" s="143"/>
      <c r="U47" s="143"/>
      <c r="V47" s="143"/>
      <c r="W47" s="143"/>
      <c r="X47" s="143"/>
      <c r="Y47" s="143"/>
      <c r="Z47" s="143"/>
      <c r="AA47" s="143"/>
      <c r="AB47" s="143"/>
      <c r="AC47" s="144"/>
      <c r="AD47" s="144"/>
      <c r="AE47" s="144"/>
      <c r="AF47" s="144"/>
      <c r="AG47" s="144"/>
      <c r="AH47" s="119"/>
      <c r="AI47" s="119"/>
      <c r="AJ47" s="119"/>
      <c r="AK47" s="119"/>
      <c r="AL47" s="119"/>
      <c r="AM47" s="577" t="s">
        <v>289</v>
      </c>
      <c r="AN47" s="138"/>
      <c r="AO47" s="264"/>
      <c r="AP47" s="264"/>
      <c r="AQ47" s="264"/>
      <c r="AR47" s="264"/>
      <c r="AS47" s="264"/>
      <c r="AT47" s="264"/>
      <c r="AU47" s="264"/>
      <c r="AV47" s="264"/>
      <c r="AW47" s="264"/>
      <c r="AX47" s="264"/>
      <c r="AY47" s="264"/>
      <c r="AZ47" s="264"/>
      <c r="BA47" s="264"/>
      <c r="BB47" s="264"/>
      <c r="BC47" s="264"/>
    </row>
    <row r="48" spans="1:55" x14ac:dyDescent="0.2">
      <c r="A48" s="141"/>
      <c r="B48" s="363" t="s">
        <v>63</v>
      </c>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135"/>
      <c r="AM48" s="132"/>
      <c r="AN48" s="33"/>
      <c r="AO48" s="264"/>
      <c r="AP48" s="264"/>
      <c r="AQ48" s="264"/>
      <c r="AR48" s="264"/>
      <c r="AS48" s="264"/>
      <c r="AT48" s="264"/>
      <c r="AU48" s="264"/>
      <c r="AV48" s="264"/>
      <c r="AW48" s="264"/>
      <c r="AX48" s="264"/>
      <c r="AY48" s="264"/>
      <c r="AZ48" s="264"/>
      <c r="BA48" s="264"/>
      <c r="BB48" s="264"/>
      <c r="BC48" s="264"/>
    </row>
    <row r="49" spans="1:64" ht="16.5" customHeight="1" x14ac:dyDescent="0.2">
      <c r="A49" s="141"/>
      <c r="B49" s="1336" t="s">
        <v>441</v>
      </c>
      <c r="C49" s="1336"/>
      <c r="D49" s="1336"/>
      <c r="E49" s="1336"/>
      <c r="F49" s="1336"/>
      <c r="G49" s="1336"/>
      <c r="H49" s="1336"/>
      <c r="I49" s="1336"/>
      <c r="J49" s="1336"/>
      <c r="K49" s="1336"/>
      <c r="L49" s="1336"/>
      <c r="M49" s="1336"/>
      <c r="N49" s="1336"/>
      <c r="O49" s="1336"/>
      <c r="P49" s="1336"/>
      <c r="Q49" s="1336"/>
      <c r="R49" s="1336"/>
      <c r="S49" s="1336"/>
      <c r="T49" s="1336"/>
      <c r="U49" s="1336"/>
      <c r="V49" s="1336"/>
      <c r="W49" s="1336"/>
      <c r="X49" s="1336"/>
      <c r="Y49" s="1336"/>
      <c r="Z49" s="1336"/>
      <c r="AA49" s="1336"/>
      <c r="AB49" s="1336"/>
      <c r="AC49" s="1336"/>
      <c r="AD49" s="38"/>
      <c r="AE49" s="38"/>
      <c r="AF49" s="38"/>
      <c r="AG49" s="38"/>
      <c r="AH49" s="38"/>
      <c r="AI49" s="38"/>
      <c r="AJ49" s="38"/>
      <c r="AK49" s="38"/>
      <c r="AL49" s="38"/>
      <c r="AM49" s="133"/>
      <c r="AN49" s="33"/>
      <c r="AO49" s="264"/>
      <c r="AP49" s="264"/>
      <c r="AQ49" s="264"/>
      <c r="AR49" s="264"/>
      <c r="AS49" s="264"/>
      <c r="AT49" s="264"/>
      <c r="AU49" s="264"/>
      <c r="AV49" s="264"/>
      <c r="AW49" s="264"/>
      <c r="AX49" s="264"/>
      <c r="AY49" s="264"/>
      <c r="AZ49" s="264"/>
      <c r="BA49" s="264"/>
      <c r="BB49" s="264"/>
      <c r="BC49" s="264"/>
    </row>
    <row r="50" spans="1:64" ht="16.5" customHeight="1" x14ac:dyDescent="0.25">
      <c r="A50" s="141"/>
      <c r="B50" s="447" t="s">
        <v>682</v>
      </c>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
      <c r="AE50" s="33"/>
      <c r="AF50" s="33"/>
      <c r="AG50" s="33"/>
      <c r="AH50" s="33"/>
      <c r="AI50" s="33"/>
      <c r="AJ50" s="33"/>
      <c r="AK50" s="33"/>
      <c r="AL50" s="136"/>
      <c r="AM50" s="134"/>
      <c r="AN50" s="33"/>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row>
    <row r="51" spans="1:64" ht="18" customHeight="1" x14ac:dyDescent="0.2">
      <c r="A51" s="141"/>
      <c r="B51" s="1217" t="s">
        <v>683</v>
      </c>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33"/>
      <c r="AE51" s="33"/>
      <c r="AF51" s="33"/>
      <c r="AG51" s="33"/>
      <c r="AH51" s="33"/>
      <c r="AI51" s="33"/>
      <c r="AJ51" s="33"/>
      <c r="AK51" s="33"/>
      <c r="AL51" s="121"/>
      <c r="AM51" s="1"/>
      <c r="AN51" s="33"/>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row>
    <row r="52" spans="1:64" ht="9" customHeight="1" x14ac:dyDescent="0.2">
      <c r="A52" s="141"/>
      <c r="B52" s="121"/>
      <c r="C52" s="1654">
        <v>1</v>
      </c>
      <c r="D52" s="1654"/>
      <c r="E52" s="1654">
        <v>2</v>
      </c>
      <c r="F52" s="1654"/>
      <c r="G52" s="1654">
        <v>3</v>
      </c>
      <c r="H52" s="1654"/>
      <c r="I52" s="1654">
        <v>4</v>
      </c>
      <c r="J52" s="1654"/>
      <c r="K52" s="1654">
        <v>5</v>
      </c>
      <c r="L52" s="1654"/>
      <c r="M52" s="1654">
        <v>6</v>
      </c>
      <c r="N52" s="1654"/>
      <c r="O52" s="1333">
        <v>7</v>
      </c>
      <c r="P52" s="133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33"/>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row>
    <row r="53" spans="1:64" ht="19.5" customHeight="1" x14ac:dyDescent="0.2">
      <c r="A53" s="1324"/>
      <c r="B53" s="127"/>
      <c r="C53" s="638" t="s">
        <v>429</v>
      </c>
      <c r="D53" s="638"/>
      <c r="E53" s="638"/>
      <c r="F53" s="638"/>
      <c r="G53" s="638"/>
      <c r="H53" s="638"/>
      <c r="I53" s="638"/>
      <c r="J53" s="638"/>
      <c r="K53" s="638"/>
      <c r="L53" s="638"/>
      <c r="M53" s="638"/>
      <c r="N53" s="638"/>
      <c r="O53" s="638"/>
      <c r="P53" s="638"/>
      <c r="Q53" s="1928" t="s">
        <v>142</v>
      </c>
      <c r="R53" s="1928"/>
      <c r="S53" s="1928"/>
      <c r="T53" s="1928"/>
      <c r="U53" s="1928"/>
      <c r="V53" s="1928"/>
      <c r="W53" s="1928"/>
      <c r="X53" s="1928"/>
      <c r="Y53" s="1928"/>
      <c r="Z53" s="1928"/>
      <c r="AA53" s="1928"/>
      <c r="AB53" s="1928"/>
      <c r="AC53" s="1860" t="s">
        <v>428</v>
      </c>
      <c r="AD53" s="1860"/>
      <c r="AE53" s="1860"/>
      <c r="AF53" s="1860"/>
      <c r="AG53" s="1861"/>
      <c r="AH53" s="1863">
        <v>2024</v>
      </c>
      <c r="AI53" s="1864"/>
      <c r="AJ53" s="1865"/>
      <c r="AK53" s="33"/>
      <c r="AL53" s="33"/>
      <c r="AM53" s="33"/>
      <c r="AN53" s="33"/>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row>
    <row r="54" spans="1:64" ht="19.5" customHeight="1" x14ac:dyDescent="0.2">
      <c r="A54" s="141"/>
      <c r="B54" s="143"/>
      <c r="C54" s="639" t="s">
        <v>436</v>
      </c>
      <c r="D54" s="639"/>
      <c r="E54" s="639"/>
      <c r="F54" s="639"/>
      <c r="G54" s="639"/>
      <c r="H54" s="639"/>
      <c r="I54" s="639"/>
      <c r="J54" s="639"/>
      <c r="K54" s="639"/>
      <c r="L54" s="639"/>
      <c r="M54" s="639"/>
      <c r="N54" s="639"/>
      <c r="O54" s="639"/>
      <c r="P54" s="639"/>
      <c r="Q54" s="145"/>
      <c r="R54" s="145"/>
      <c r="S54" s="145"/>
      <c r="T54" s="145"/>
      <c r="U54" s="145"/>
      <c r="V54" s="145"/>
      <c r="W54" s="145"/>
      <c r="X54" s="145"/>
      <c r="Y54" s="145"/>
      <c r="Z54" s="145"/>
      <c r="AA54" s="145"/>
      <c r="AB54" s="145"/>
      <c r="AC54" s="33"/>
      <c r="AD54" s="33"/>
      <c r="AE54" s="33"/>
      <c r="AF54" s="33"/>
      <c r="AG54" s="33"/>
      <c r="AH54" s="366"/>
      <c r="AI54" s="33"/>
      <c r="AJ54" s="33"/>
      <c r="AK54" s="33"/>
      <c r="AL54" s="144"/>
      <c r="AM54" s="138"/>
      <c r="AN54" s="33"/>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row>
    <row r="55" spans="1:64" ht="20.25" customHeight="1" x14ac:dyDescent="0.2">
      <c r="A55" s="141"/>
      <c r="B55" s="127"/>
      <c r="C55" s="1854" t="s">
        <v>430</v>
      </c>
      <c r="D55" s="1853"/>
      <c r="E55" s="1852" t="s">
        <v>375</v>
      </c>
      <c r="F55" s="1853"/>
      <c r="G55" s="1852" t="s">
        <v>431</v>
      </c>
      <c r="H55" s="1853"/>
      <c r="I55" s="1852" t="s">
        <v>432</v>
      </c>
      <c r="J55" s="1853"/>
      <c r="K55" s="1852" t="s">
        <v>433</v>
      </c>
      <c r="L55" s="1853"/>
      <c r="M55" s="1852" t="s">
        <v>434</v>
      </c>
      <c r="N55" s="1853"/>
      <c r="O55" s="1852" t="s">
        <v>435</v>
      </c>
      <c r="P55" s="1868"/>
      <c r="Q55" s="148"/>
      <c r="R55" s="1856" t="s">
        <v>447</v>
      </c>
      <c r="S55" s="1856"/>
      <c r="T55" s="1856"/>
      <c r="U55" s="1856" t="s">
        <v>448</v>
      </c>
      <c r="V55" s="1856"/>
      <c r="W55" s="1856"/>
      <c r="X55" s="1867" t="s">
        <v>445</v>
      </c>
      <c r="Y55" s="1867"/>
      <c r="Z55" s="1867"/>
      <c r="AA55" s="1856" t="s">
        <v>446</v>
      </c>
      <c r="AB55" s="1856"/>
      <c r="AC55" s="1856"/>
      <c r="AD55" s="145"/>
      <c r="AE55" s="145"/>
      <c r="AF55" s="145"/>
      <c r="AG55" s="33"/>
      <c r="AH55" s="33"/>
      <c r="AI55" s="630"/>
      <c r="AJ55" s="33"/>
      <c r="AK55" s="33"/>
      <c r="AL55" s="33"/>
      <c r="AM55" s="33"/>
      <c r="AN55" s="33"/>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row>
    <row r="56" spans="1:64" ht="20.25" customHeight="1" x14ac:dyDescent="0.2">
      <c r="A56" s="1324"/>
      <c r="B56" s="127"/>
      <c r="C56" s="1851"/>
      <c r="D56" s="1767"/>
      <c r="E56" s="1766"/>
      <c r="F56" s="1767"/>
      <c r="G56" s="1766"/>
      <c r="H56" s="1767"/>
      <c r="I56" s="1766"/>
      <c r="J56" s="1767"/>
      <c r="K56" s="1766"/>
      <c r="L56" s="1767"/>
      <c r="M56" s="1766"/>
      <c r="N56" s="1767"/>
      <c r="O56" s="1766"/>
      <c r="P56" s="1845"/>
      <c r="Q56" s="157"/>
      <c r="R56" s="1855">
        <f>SUM(G61:G66)+SUM(Y61:Y66)</f>
        <v>0</v>
      </c>
      <c r="S56" s="1855"/>
      <c r="T56" s="1855"/>
      <c r="U56" s="1855">
        <f>IF(AH53&gt;0,COUNTIF(CASSA!C180:C545,0),0)</f>
        <v>365</v>
      </c>
      <c r="V56" s="1855"/>
      <c r="W56" s="1855"/>
      <c r="X56" s="1855">
        <f>COUNTIF(CASSA!C180:C545,CASSA!W551)</f>
        <v>0</v>
      </c>
      <c r="Y56" s="1855"/>
      <c r="Z56" s="1855"/>
      <c r="AA56" s="1855">
        <f>COUNTIF(CASSA!C180:C545,CASSA!W550)</f>
        <v>1</v>
      </c>
      <c r="AB56" s="1855"/>
      <c r="AC56" s="1855"/>
      <c r="AD56" s="1859" t="s">
        <v>449</v>
      </c>
      <c r="AE56" s="1859"/>
      <c r="AF56" s="1858">
        <f>R56+U56+X56+AA56</f>
        <v>366</v>
      </c>
      <c r="AG56" s="1858"/>
      <c r="AH56" s="1858"/>
      <c r="AI56" s="630"/>
      <c r="AJ56" s="33"/>
      <c r="AK56" s="33"/>
      <c r="AL56" s="33"/>
      <c r="AM56" s="33"/>
      <c r="AN56" s="33"/>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row>
    <row r="57" spans="1:64" ht="18" customHeight="1" x14ac:dyDescent="0.2">
      <c r="A57" s="141"/>
      <c r="B57" s="127"/>
      <c r="C57" s="1723">
        <f>IF(C56=$D134,"L",0)</f>
        <v>0</v>
      </c>
      <c r="D57" s="1723"/>
      <c r="E57" s="1723">
        <f>IF(E56=$D134,"L",0)</f>
        <v>0</v>
      </c>
      <c r="F57" s="1723"/>
      <c r="G57" s="1723">
        <f>IF(G56=$D134,"L",0)</f>
        <v>0</v>
      </c>
      <c r="H57" s="1723"/>
      <c r="I57" s="1723">
        <f>IF(I56=$D134,"L",0)</f>
        <v>0</v>
      </c>
      <c r="J57" s="1723"/>
      <c r="K57" s="1723">
        <f>IF(K56=$D134,"L",0)</f>
        <v>0</v>
      </c>
      <c r="L57" s="1723"/>
      <c r="M57" s="1723">
        <f>IF(M56=$D134,"L",0)</f>
        <v>0</v>
      </c>
      <c r="N57" s="1723"/>
      <c r="O57" s="1331">
        <f>IF(O56=$D134,"L",0)</f>
        <v>0</v>
      </c>
      <c r="P57" s="1331"/>
      <c r="Q57" s="127"/>
      <c r="R57" s="127"/>
      <c r="S57" s="127"/>
      <c r="T57" s="127"/>
      <c r="U57" s="127"/>
      <c r="V57" s="127"/>
      <c r="W57" s="127"/>
      <c r="X57" s="127"/>
      <c r="Y57" s="127"/>
      <c r="Z57" s="127"/>
      <c r="AA57" s="127"/>
      <c r="AB57" s="127"/>
      <c r="AC57" s="1324"/>
      <c r="AD57" s="1324"/>
      <c r="AE57" s="1324"/>
      <c r="AF57" s="1324"/>
      <c r="AG57" s="1324"/>
      <c r="AH57" s="1324"/>
      <c r="AI57" s="1324"/>
      <c r="AJ57" s="1324"/>
      <c r="AK57" s="1324"/>
      <c r="AL57" s="1324"/>
      <c r="AM57" s="1324"/>
      <c r="AN57" s="33"/>
      <c r="AO57" s="264"/>
      <c r="AP57" s="264"/>
      <c r="AQ57" s="264"/>
      <c r="AR57" s="264"/>
      <c r="AS57" s="264"/>
      <c r="AT57" s="264"/>
      <c r="AU57" s="264"/>
      <c r="AV57" s="264"/>
      <c r="AW57" s="264"/>
      <c r="AX57" s="264"/>
      <c r="AY57" s="264"/>
      <c r="AZ57" s="264"/>
      <c r="BA57" s="264"/>
      <c r="BB57" s="264"/>
      <c r="BC57" s="264"/>
      <c r="BD57" s="264"/>
      <c r="BE57" s="264"/>
      <c r="BF57" s="264"/>
      <c r="BG57" s="264"/>
      <c r="BH57" s="264"/>
      <c r="BI57" s="264"/>
      <c r="BJ57" s="264"/>
      <c r="BK57" s="264"/>
      <c r="BL57" s="264"/>
    </row>
    <row r="58" spans="1:64" ht="19.5" customHeight="1" x14ac:dyDescent="0.2">
      <c r="A58" s="141"/>
      <c r="B58" s="127"/>
      <c r="C58" s="638" t="s">
        <v>239</v>
      </c>
      <c r="D58" s="638"/>
      <c r="E58" s="638"/>
      <c r="F58" s="638"/>
      <c r="G58" s="638"/>
      <c r="H58" s="638"/>
      <c r="I58" s="638"/>
      <c r="J58" s="638"/>
      <c r="K58" s="638"/>
      <c r="L58" s="638"/>
      <c r="M58" s="638"/>
      <c r="N58" s="638"/>
      <c r="O58" s="638"/>
      <c r="P58" s="638"/>
      <c r="Q58" s="644"/>
      <c r="R58" s="644"/>
      <c r="S58" s="644"/>
      <c r="T58" s="644"/>
      <c r="U58" s="644"/>
      <c r="V58" s="644"/>
      <c r="W58" s="644"/>
      <c r="X58" s="644"/>
      <c r="Y58" s="644"/>
      <c r="Z58" s="644"/>
      <c r="AA58" s="644"/>
      <c r="AB58" s="644"/>
      <c r="AC58" s="644"/>
      <c r="AD58" s="644"/>
      <c r="AE58" s="644"/>
      <c r="AF58" s="644"/>
      <c r="AG58" s="644"/>
      <c r="AH58" s="644"/>
      <c r="AI58" s="644"/>
      <c r="AJ58" s="644"/>
      <c r="AK58" s="644"/>
      <c r="AL58" s="33"/>
      <c r="AM58" s="33"/>
      <c r="AN58" s="33"/>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row>
    <row r="59" spans="1:64" ht="24.75" customHeight="1" x14ac:dyDescent="0.2">
      <c r="A59" s="141"/>
      <c r="B59" s="143"/>
      <c r="C59" s="639" t="s">
        <v>132</v>
      </c>
      <c r="D59" s="639"/>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144"/>
      <c r="AM59" s="144"/>
      <c r="AN59" s="138"/>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row>
    <row r="60" spans="1:64" ht="21" customHeight="1" x14ac:dyDescent="0.2">
      <c r="A60" s="141"/>
      <c r="B60" s="127"/>
      <c r="C60" s="1866" t="s">
        <v>438</v>
      </c>
      <c r="D60" s="1866"/>
      <c r="E60" s="1866"/>
      <c r="F60" s="1866"/>
      <c r="G60" s="1866"/>
      <c r="H60" s="1866"/>
      <c r="I60" s="127"/>
      <c r="J60" s="1869" t="s">
        <v>439</v>
      </c>
      <c r="K60" s="1869"/>
      <c r="L60" s="1869"/>
      <c r="M60" s="1869"/>
      <c r="N60" s="1883" t="str">
        <f>CONCATENATE(X55,"  DAL  /  AL ")</f>
        <v xml:space="preserve">Chiuso  DAL  /  AL </v>
      </c>
      <c r="O60" s="1883"/>
      <c r="P60" s="1883"/>
      <c r="Q60" s="1883"/>
      <c r="R60" s="1883"/>
      <c r="S60" s="1883"/>
      <c r="T60" s="127"/>
      <c r="U60" s="1866" t="s">
        <v>438</v>
      </c>
      <c r="V60" s="1866"/>
      <c r="W60" s="1866"/>
      <c r="X60" s="1866"/>
      <c r="Y60" s="1866"/>
      <c r="Z60" s="1866"/>
      <c r="AA60" s="127"/>
      <c r="AB60" s="1869" t="s">
        <v>439</v>
      </c>
      <c r="AC60" s="1869"/>
      <c r="AD60" s="1869"/>
      <c r="AE60" s="1869"/>
      <c r="AF60" s="1883" t="str">
        <f>N60</f>
        <v xml:space="preserve">Chiuso  DAL  /  AL </v>
      </c>
      <c r="AG60" s="1883"/>
      <c r="AH60" s="1883"/>
      <c r="AI60" s="1883"/>
      <c r="AJ60" s="1883"/>
      <c r="AK60" s="1883"/>
      <c r="AL60" s="33"/>
      <c r="AM60" s="33"/>
      <c r="AN60" s="33"/>
      <c r="AO60" s="264"/>
      <c r="AP60" s="264"/>
      <c r="AQ60" s="264"/>
      <c r="AR60" s="264"/>
      <c r="AS60" s="264"/>
      <c r="AT60" s="264"/>
      <c r="AU60" s="264"/>
      <c r="AV60" s="264"/>
      <c r="AW60" s="264"/>
      <c r="AX60" s="264"/>
      <c r="AY60" s="264"/>
      <c r="AZ60" s="264"/>
      <c r="BA60" s="264"/>
      <c r="BB60" s="264"/>
      <c r="BC60" s="264"/>
      <c r="BD60" s="264"/>
      <c r="BE60" s="264"/>
      <c r="BF60" s="264"/>
      <c r="BG60" s="264"/>
      <c r="BH60" s="264"/>
      <c r="BI60" s="264"/>
      <c r="BJ60" s="264"/>
      <c r="BK60" s="264"/>
      <c r="BL60" s="264"/>
    </row>
    <row r="61" spans="1:64" ht="18" customHeight="1" x14ac:dyDescent="0.2">
      <c r="A61" s="1324"/>
      <c r="B61" s="147">
        <v>1</v>
      </c>
      <c r="C61" s="1739" t="s">
        <v>270</v>
      </c>
      <c r="D61" s="1739"/>
      <c r="E61" s="1739"/>
      <c r="F61" s="1739"/>
      <c r="G61" s="1735">
        <f>COUNTIF(CASSA!$D$180:$D$545,IMPOSTAZIONI!B61)</f>
        <v>0</v>
      </c>
      <c r="H61" s="1735"/>
      <c r="I61" s="33"/>
      <c r="J61" s="1341"/>
      <c r="K61" s="1342"/>
      <c r="L61" s="1342"/>
      <c r="M61" s="1343"/>
      <c r="N61" s="1768"/>
      <c r="O61" s="1769"/>
      <c r="P61" s="1770"/>
      <c r="Q61" s="1873"/>
      <c r="R61" s="1769"/>
      <c r="S61" s="1874"/>
      <c r="T61" s="147">
        <v>7</v>
      </c>
      <c r="U61" s="1329" t="s">
        <v>278</v>
      </c>
      <c r="V61" s="1329"/>
      <c r="W61" s="1329"/>
      <c r="X61" s="1329"/>
      <c r="Y61" s="1735">
        <f>COUNTIF(CASSA!$D$180:$D$545,T61)</f>
        <v>0</v>
      </c>
      <c r="Z61" s="1735"/>
      <c r="AA61" s="127"/>
      <c r="AB61" s="1341"/>
      <c r="AC61" s="1342"/>
      <c r="AD61" s="1342"/>
      <c r="AE61" s="1343"/>
      <c r="AF61" s="1768"/>
      <c r="AG61" s="1769"/>
      <c r="AH61" s="1770"/>
      <c r="AI61" s="1873"/>
      <c r="AJ61" s="1769"/>
      <c r="AK61" s="1874"/>
      <c r="AL61" s="33"/>
      <c r="AM61" s="33"/>
      <c r="AN61" s="33"/>
      <c r="AO61" s="264"/>
      <c r="AP61" s="264"/>
      <c r="AQ61" s="264"/>
      <c r="AR61" s="264"/>
      <c r="AS61" s="264"/>
      <c r="AT61" s="264"/>
      <c r="AU61" s="264"/>
      <c r="AV61" s="264"/>
      <c r="AW61" s="264"/>
      <c r="AX61" s="264"/>
      <c r="AY61" s="264"/>
      <c r="AZ61" s="264"/>
      <c r="BA61" s="264"/>
      <c r="BB61" s="264"/>
      <c r="BC61" s="264"/>
      <c r="BD61" s="264"/>
      <c r="BE61" s="264"/>
      <c r="BF61" s="264"/>
      <c r="BG61" s="264"/>
      <c r="BH61" s="264"/>
      <c r="BI61" s="264"/>
      <c r="BJ61" s="264"/>
      <c r="BK61" s="264"/>
      <c r="BL61" s="264"/>
    </row>
    <row r="62" spans="1:64" ht="18" customHeight="1" x14ac:dyDescent="0.2">
      <c r="A62" s="1324"/>
      <c r="B62" s="147">
        <v>2</v>
      </c>
      <c r="C62" s="1739" t="s">
        <v>271</v>
      </c>
      <c r="D62" s="1739"/>
      <c r="E62" s="1739"/>
      <c r="F62" s="1739"/>
      <c r="G62" s="1735">
        <f>COUNTIF(CASSA!$D$180:$D$545,IMPOSTAZIONI!B62)</f>
        <v>0</v>
      </c>
      <c r="H62" s="1735"/>
      <c r="I62" s="127"/>
      <c r="J62" s="1344"/>
      <c r="K62" s="1345"/>
      <c r="L62" s="1345"/>
      <c r="M62" s="1346"/>
      <c r="N62" s="1649"/>
      <c r="O62" s="1650"/>
      <c r="P62" s="1651"/>
      <c r="Q62" s="1652"/>
      <c r="R62" s="1650"/>
      <c r="S62" s="1653"/>
      <c r="T62" s="147">
        <v>8</v>
      </c>
      <c r="U62" s="1329" t="s">
        <v>279</v>
      </c>
      <c r="V62" s="1329"/>
      <c r="W62" s="1329"/>
      <c r="X62" s="1329"/>
      <c r="Y62" s="1735">
        <f>COUNTIF(CASSA!$D$180:$D$545,T62)</f>
        <v>0</v>
      </c>
      <c r="Z62" s="1735"/>
      <c r="AA62" s="127"/>
      <c r="AB62" s="1344">
        <v>15</v>
      </c>
      <c r="AC62" s="1345"/>
      <c r="AD62" s="1345"/>
      <c r="AE62" s="1346"/>
      <c r="AF62" s="1649"/>
      <c r="AG62" s="1650"/>
      <c r="AH62" s="1651"/>
      <c r="AI62" s="1652"/>
      <c r="AJ62" s="1650"/>
      <c r="AK62" s="1653"/>
      <c r="AL62" s="33"/>
      <c r="AM62" s="33"/>
      <c r="AN62" s="33"/>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row>
    <row r="63" spans="1:64" ht="18" customHeight="1" x14ac:dyDescent="0.2">
      <c r="A63" s="1324"/>
      <c r="B63" s="147">
        <v>3</v>
      </c>
      <c r="C63" s="1739" t="s">
        <v>272</v>
      </c>
      <c r="D63" s="1739"/>
      <c r="E63" s="1739"/>
      <c r="F63" s="1739"/>
      <c r="G63" s="1735">
        <f>COUNTIF(CASSA!$D$180:$D$545,IMPOSTAZIONI!B63)</f>
        <v>0</v>
      </c>
      <c r="H63" s="1735"/>
      <c r="I63" s="127"/>
      <c r="J63" s="1344"/>
      <c r="K63" s="1345"/>
      <c r="L63" s="1345"/>
      <c r="M63" s="1346"/>
      <c r="N63" s="1649"/>
      <c r="O63" s="1650"/>
      <c r="P63" s="1651"/>
      <c r="Q63" s="1652"/>
      <c r="R63" s="1650"/>
      <c r="S63" s="1653"/>
      <c r="T63" s="147">
        <v>9</v>
      </c>
      <c r="U63" s="1329" t="s">
        <v>280</v>
      </c>
      <c r="V63" s="1329"/>
      <c r="W63" s="1329"/>
      <c r="X63" s="1329"/>
      <c r="Y63" s="1735">
        <f>COUNTIF(CASSA!$D$180:$D$545,T63)</f>
        <v>0</v>
      </c>
      <c r="Z63" s="1735"/>
      <c r="AA63" s="127"/>
      <c r="AB63" s="1344"/>
      <c r="AC63" s="1345"/>
      <c r="AD63" s="1345"/>
      <c r="AE63" s="1346"/>
      <c r="AF63" s="1649"/>
      <c r="AG63" s="1650"/>
      <c r="AH63" s="1651"/>
      <c r="AI63" s="1652"/>
      <c r="AJ63" s="1650"/>
      <c r="AK63" s="1653"/>
      <c r="AL63" s="33"/>
      <c r="AM63" s="33"/>
      <c r="AN63" s="33"/>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row>
    <row r="64" spans="1:64" ht="18" customHeight="1" x14ac:dyDescent="0.2">
      <c r="A64" s="1324"/>
      <c r="B64" s="147">
        <v>4</v>
      </c>
      <c r="C64" s="1739" t="s">
        <v>274</v>
      </c>
      <c r="D64" s="1739"/>
      <c r="E64" s="1739"/>
      <c r="F64" s="1739"/>
      <c r="G64" s="1735">
        <f>COUNTIF(CASSA!$D$180:$D$545,IMPOSTAZIONI!B64)</f>
        <v>0</v>
      </c>
      <c r="H64" s="1735"/>
      <c r="I64" s="127"/>
      <c r="J64" s="1344"/>
      <c r="K64" s="1345"/>
      <c r="L64" s="1345"/>
      <c r="M64" s="1346"/>
      <c r="N64" s="1649"/>
      <c r="O64" s="1650"/>
      <c r="P64" s="1651"/>
      <c r="Q64" s="1652"/>
      <c r="R64" s="1650"/>
      <c r="S64" s="1653"/>
      <c r="T64" s="147">
        <v>10</v>
      </c>
      <c r="U64" s="1329" t="s">
        <v>282</v>
      </c>
      <c r="V64" s="1329"/>
      <c r="W64" s="1329"/>
      <c r="X64" s="1329"/>
      <c r="Y64" s="1735">
        <f>COUNTIF(CASSA!$D$180:$D$545,T64)</f>
        <v>0</v>
      </c>
      <c r="Z64" s="1735"/>
      <c r="AA64" s="127"/>
      <c r="AB64" s="1344"/>
      <c r="AC64" s="1345"/>
      <c r="AD64" s="1345"/>
      <c r="AE64" s="1346"/>
      <c r="AF64" s="1649"/>
      <c r="AG64" s="1650"/>
      <c r="AH64" s="1651"/>
      <c r="AI64" s="1652"/>
      <c r="AJ64" s="1650"/>
      <c r="AK64" s="1653"/>
      <c r="AL64" s="33"/>
      <c r="AM64" s="33"/>
      <c r="AN64" s="33"/>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row>
    <row r="65" spans="1:64" ht="18" customHeight="1" x14ac:dyDescent="0.2">
      <c r="A65" s="1324"/>
      <c r="B65" s="147">
        <v>5</v>
      </c>
      <c r="C65" s="1739" t="s">
        <v>275</v>
      </c>
      <c r="D65" s="1739"/>
      <c r="E65" s="1739"/>
      <c r="F65" s="1739"/>
      <c r="G65" s="1735">
        <f>COUNTIF(CASSA!$D$180:$D$545,IMPOSTAZIONI!B65)</f>
        <v>0</v>
      </c>
      <c r="H65" s="1735"/>
      <c r="I65" s="127"/>
      <c r="J65" s="1344"/>
      <c r="K65" s="1345"/>
      <c r="L65" s="1345"/>
      <c r="M65" s="1346"/>
      <c r="N65" s="1649"/>
      <c r="O65" s="1650"/>
      <c r="P65" s="1651"/>
      <c r="Q65" s="1652"/>
      <c r="R65" s="1650"/>
      <c r="S65" s="1653"/>
      <c r="T65" s="147">
        <v>11</v>
      </c>
      <c r="U65" s="1329" t="s">
        <v>283</v>
      </c>
      <c r="V65" s="1329"/>
      <c r="W65" s="1329"/>
      <c r="X65" s="1329"/>
      <c r="Y65" s="1735">
        <f>COUNTIF(CASSA!$D$180:$D$545,T65)</f>
        <v>0</v>
      </c>
      <c r="Z65" s="1735"/>
      <c r="AA65" s="127"/>
      <c r="AB65" s="1344"/>
      <c r="AC65" s="1345"/>
      <c r="AD65" s="1345"/>
      <c r="AE65" s="1346"/>
      <c r="AF65" s="1649"/>
      <c r="AG65" s="1650"/>
      <c r="AH65" s="1651"/>
      <c r="AI65" s="1652"/>
      <c r="AJ65" s="1650"/>
      <c r="AK65" s="1653"/>
      <c r="AL65" s="33"/>
      <c r="AM65" s="33"/>
      <c r="AN65" s="33"/>
      <c r="AO65" s="264"/>
      <c r="AP65" s="264"/>
      <c r="AQ65" s="264"/>
      <c r="AR65" s="264"/>
      <c r="AS65" s="264"/>
      <c r="AT65" s="264"/>
      <c r="AU65" s="264"/>
      <c r="AV65" s="264"/>
      <c r="AW65" s="264"/>
      <c r="AX65" s="264"/>
      <c r="AY65" s="264"/>
      <c r="AZ65" s="264"/>
      <c r="BA65" s="264"/>
      <c r="BB65" s="264"/>
      <c r="BC65" s="264"/>
      <c r="BD65" s="264"/>
      <c r="BE65" s="264"/>
      <c r="BF65" s="264"/>
      <c r="BG65" s="264"/>
      <c r="BH65" s="264"/>
      <c r="BI65" s="264"/>
      <c r="BJ65" s="264"/>
      <c r="BK65" s="264"/>
      <c r="BL65" s="264"/>
    </row>
    <row r="66" spans="1:64" ht="18" customHeight="1" x14ac:dyDescent="0.2">
      <c r="A66" s="1324"/>
      <c r="B66" s="147">
        <v>6</v>
      </c>
      <c r="C66" s="1739" t="s">
        <v>276</v>
      </c>
      <c r="D66" s="1739"/>
      <c r="E66" s="1739"/>
      <c r="F66" s="1739"/>
      <c r="G66" s="1735">
        <f>COUNTIF(CASSA!$D$180:$D$545,IMPOSTAZIONI!B66)</f>
        <v>0</v>
      </c>
      <c r="H66" s="1735"/>
      <c r="I66" s="127"/>
      <c r="J66" s="1347"/>
      <c r="K66" s="1348"/>
      <c r="L66" s="1348"/>
      <c r="M66" s="1349"/>
      <c r="N66" s="1736"/>
      <c r="O66" s="1737"/>
      <c r="P66" s="1738"/>
      <c r="Q66" s="1745"/>
      <c r="R66" s="1737"/>
      <c r="S66" s="1746"/>
      <c r="T66" s="147">
        <v>12</v>
      </c>
      <c r="U66" s="1329" t="s">
        <v>284</v>
      </c>
      <c r="V66" s="1329"/>
      <c r="W66" s="1329"/>
      <c r="X66" s="1329"/>
      <c r="Y66" s="1735">
        <f>COUNTIF(CASSA!$D$180:$D$545,T66)</f>
        <v>0</v>
      </c>
      <c r="Z66" s="1735"/>
      <c r="AA66" s="127"/>
      <c r="AB66" s="1347"/>
      <c r="AC66" s="1348"/>
      <c r="AD66" s="1348"/>
      <c r="AE66" s="1349"/>
      <c r="AF66" s="1736"/>
      <c r="AG66" s="1737"/>
      <c r="AH66" s="1738"/>
      <c r="AI66" s="1745"/>
      <c r="AJ66" s="1737"/>
      <c r="AK66" s="1746"/>
      <c r="AL66" s="33"/>
      <c r="AM66" s="33"/>
      <c r="AN66" s="33"/>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row>
    <row r="67" spans="1:64" ht="18" customHeight="1" x14ac:dyDescent="0.2">
      <c r="A67" s="141"/>
      <c r="B67" s="127"/>
      <c r="C67" s="127"/>
      <c r="D67" s="127"/>
      <c r="E67" s="127"/>
      <c r="F67" s="127"/>
      <c r="G67" s="127"/>
      <c r="H67" s="127"/>
      <c r="I67" s="127"/>
      <c r="J67" s="1601" t="s">
        <v>146</v>
      </c>
      <c r="K67" s="1601"/>
      <c r="L67" s="1601"/>
      <c r="M67" s="1601"/>
      <c r="N67" s="1601"/>
      <c r="O67" s="1601"/>
      <c r="P67" s="1601"/>
      <c r="Q67" s="1601"/>
      <c r="R67" s="1601"/>
      <c r="S67" s="1601"/>
      <c r="T67" s="127"/>
      <c r="U67" s="127"/>
      <c r="V67" s="127"/>
      <c r="W67" s="127"/>
      <c r="X67" s="127"/>
      <c r="Y67" s="127"/>
      <c r="Z67" s="127"/>
      <c r="AA67" s="127"/>
      <c r="AB67" s="1601" t="s">
        <v>146</v>
      </c>
      <c r="AC67" s="1601"/>
      <c r="AD67" s="1601"/>
      <c r="AE67" s="1601"/>
      <c r="AF67" s="1601"/>
      <c r="AG67" s="1601"/>
      <c r="AH67" s="1601"/>
      <c r="AI67" s="1601"/>
      <c r="AJ67" s="1601"/>
      <c r="AK67" s="1601"/>
      <c r="AL67" s="1324"/>
      <c r="AM67" s="1324"/>
      <c r="AN67" s="33"/>
      <c r="AO67" s="264"/>
      <c r="AP67" s="264"/>
      <c r="AQ67" s="264"/>
      <c r="AR67" s="264"/>
      <c r="AS67" s="264"/>
      <c r="AT67" s="264"/>
      <c r="AU67" s="264"/>
      <c r="AV67" s="264"/>
      <c r="AW67" s="264"/>
      <c r="AX67" s="264"/>
      <c r="AY67" s="264"/>
      <c r="AZ67" s="264"/>
      <c r="BA67" s="264"/>
      <c r="BB67" s="264"/>
      <c r="BC67" s="264"/>
      <c r="BD67" s="264"/>
      <c r="BE67" s="264"/>
      <c r="BF67" s="264"/>
      <c r="BG67" s="264"/>
      <c r="BH67" s="264"/>
      <c r="BI67" s="264"/>
      <c r="BJ67" s="264"/>
      <c r="BK67" s="264"/>
      <c r="BL67" s="264"/>
    </row>
    <row r="68" spans="1:64" ht="18" customHeight="1" x14ac:dyDescent="0.2">
      <c r="A68" s="141"/>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324"/>
      <c r="AD68" s="1324"/>
      <c r="AE68" s="1324"/>
      <c r="AF68" s="1324"/>
      <c r="AG68" s="1324"/>
      <c r="AH68" s="1324"/>
      <c r="AI68" s="1324"/>
      <c r="AJ68" s="1324"/>
      <c r="AK68" s="1324"/>
      <c r="AL68" s="1324"/>
      <c r="AM68" s="1324"/>
      <c r="AN68" s="33"/>
      <c r="AO68" s="264"/>
      <c r="AP68" s="264"/>
      <c r="AQ68" s="264"/>
      <c r="AR68" s="264"/>
      <c r="AS68" s="264"/>
      <c r="AT68" s="264"/>
      <c r="AU68" s="264"/>
      <c r="AV68" s="264"/>
      <c r="AW68" s="264"/>
      <c r="AX68" s="264"/>
      <c r="AY68" s="264"/>
      <c r="AZ68" s="264"/>
      <c r="BA68" s="264"/>
      <c r="BB68" s="264"/>
      <c r="BC68" s="264"/>
      <c r="BD68" s="264"/>
      <c r="BE68" s="264"/>
      <c r="BF68" s="264"/>
      <c r="BG68" s="264"/>
      <c r="BH68" s="264"/>
      <c r="BI68" s="264"/>
      <c r="BJ68" s="264"/>
      <c r="BK68" s="264"/>
      <c r="BL68" s="264"/>
    </row>
    <row r="69" spans="1:64" x14ac:dyDescent="0.2">
      <c r="A69" s="141"/>
      <c r="B69" s="363" t="s">
        <v>62</v>
      </c>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135"/>
      <c r="AM69" s="132"/>
      <c r="AN69" s="33"/>
      <c r="AO69" s="264"/>
      <c r="AP69" s="264"/>
      <c r="AQ69" s="264"/>
      <c r="AR69" s="264"/>
      <c r="AS69" s="264"/>
      <c r="AT69" s="264"/>
      <c r="AU69" s="264"/>
      <c r="AV69" s="264"/>
      <c r="AW69" s="264"/>
      <c r="AX69" s="264"/>
      <c r="AY69" s="264"/>
      <c r="AZ69" s="264"/>
      <c r="BA69" s="264"/>
      <c r="BB69" s="264"/>
      <c r="BC69" s="264"/>
      <c r="BD69" s="264"/>
      <c r="BE69" s="264"/>
      <c r="BF69" s="264"/>
      <c r="BG69" s="264"/>
      <c r="BH69" s="264"/>
      <c r="BI69" s="264"/>
      <c r="BJ69" s="264"/>
      <c r="BK69" s="264"/>
      <c r="BL69" s="264"/>
    </row>
    <row r="70" spans="1:64" ht="16.5" customHeight="1" x14ac:dyDescent="0.2">
      <c r="A70" s="141"/>
      <c r="B70" s="1336" t="s">
        <v>440</v>
      </c>
      <c r="C70" s="1336"/>
      <c r="D70" s="1336"/>
      <c r="E70" s="1336"/>
      <c r="F70" s="1336"/>
      <c r="G70" s="1336"/>
      <c r="H70" s="1336"/>
      <c r="I70" s="1336"/>
      <c r="J70" s="1336"/>
      <c r="K70" s="1336"/>
      <c r="L70" s="1336"/>
      <c r="M70" s="1336"/>
      <c r="N70" s="1336"/>
      <c r="O70" s="1336"/>
      <c r="P70" s="1336"/>
      <c r="Q70" s="1336"/>
      <c r="R70" s="1336"/>
      <c r="S70" s="1336"/>
      <c r="T70" s="1336"/>
      <c r="U70" s="1336"/>
      <c r="V70" s="1336"/>
      <c r="W70" s="1336"/>
      <c r="X70" s="1336"/>
      <c r="Y70" s="1336"/>
      <c r="Z70" s="1740" t="str">
        <f>IF(AND(Presentazione!F164=TRUE,Presentazione!K95=Presentazione!J173),"Titolare del sistema",Presentazione!H23)</f>
        <v/>
      </c>
      <c r="AA70" s="1740"/>
      <c r="AB70" s="1740"/>
      <c r="AC70" s="1740"/>
      <c r="AD70" s="1740"/>
      <c r="AE70" s="1740"/>
      <c r="AF70" s="1740"/>
      <c r="AG70" s="1740"/>
      <c r="AH70" s="1740"/>
      <c r="AI70" s="1740"/>
      <c r="AJ70" s="1740"/>
      <c r="AK70" s="1740"/>
      <c r="AL70" s="1740"/>
      <c r="AM70" s="133"/>
      <c r="AN70" s="33"/>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row>
    <row r="71" spans="1:64" ht="16.5" customHeight="1" x14ac:dyDescent="0.25">
      <c r="A71" s="141"/>
      <c r="B71" s="337" t="s">
        <v>133</v>
      </c>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c r="AA71" s="337"/>
      <c r="AB71" s="337"/>
      <c r="AC71" s="337"/>
      <c r="AD71" s="337"/>
      <c r="AE71" s="337"/>
      <c r="AF71" s="337"/>
      <c r="AG71" s="337"/>
      <c r="AH71" s="337"/>
      <c r="AI71" s="337"/>
      <c r="AJ71" s="337"/>
      <c r="AK71" s="1042" t="s">
        <v>134</v>
      </c>
      <c r="AL71" s="1350" t="s">
        <v>72</v>
      </c>
      <c r="AM71" s="134"/>
      <c r="AN71" s="33"/>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c r="BL71" s="264"/>
    </row>
    <row r="72" spans="1:64" ht="18" customHeight="1" x14ac:dyDescent="0.2">
      <c r="A72" s="141"/>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324"/>
      <c r="AD72" s="1324"/>
      <c r="AE72" s="1324"/>
      <c r="AF72" s="1324"/>
      <c r="AG72" s="1324"/>
      <c r="AH72" s="1324"/>
      <c r="AI72" s="1324"/>
      <c r="AJ72" s="1324"/>
      <c r="AK72" s="1324"/>
      <c r="AL72" s="1324"/>
      <c r="AM72" s="1324"/>
      <c r="AN72" s="33"/>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row>
    <row r="73" spans="1:64" x14ac:dyDescent="0.2">
      <c r="A73" s="141"/>
      <c r="B73" s="1324"/>
      <c r="C73" s="1882" t="s">
        <v>245</v>
      </c>
      <c r="D73" s="1882"/>
      <c r="E73" s="1882"/>
      <c r="F73" s="1882"/>
      <c r="G73" s="1882"/>
      <c r="H73" s="1882"/>
      <c r="I73" s="1882"/>
      <c r="J73" s="1882"/>
      <c r="K73" s="1882"/>
      <c r="L73" s="1882"/>
      <c r="M73" s="1882"/>
      <c r="N73" s="1882"/>
      <c r="O73" s="1332" t="s">
        <v>246</v>
      </c>
      <c r="P73" s="1332"/>
      <c r="Q73" s="1332"/>
      <c r="R73" s="1332"/>
      <c r="S73" s="33"/>
      <c r="T73" s="1330" t="s">
        <v>360</v>
      </c>
      <c r="U73" s="1330"/>
      <c r="V73" s="1330"/>
      <c r="W73" s="1330"/>
      <c r="X73" s="1330"/>
      <c r="Y73" s="33"/>
      <c r="Z73" s="33"/>
      <c r="AA73" s="33"/>
      <c r="AB73" s="33"/>
      <c r="AC73" s="33"/>
      <c r="AD73" s="33"/>
      <c r="AE73" s="33"/>
      <c r="AF73" s="33"/>
      <c r="AG73" s="33"/>
      <c r="AH73" s="33"/>
      <c r="AI73" s="33"/>
      <c r="AJ73" s="33"/>
      <c r="AK73" s="33"/>
      <c r="AL73" s="33"/>
      <c r="AM73" s="33"/>
      <c r="AN73" s="33"/>
      <c r="AO73" s="264"/>
      <c r="AP73" s="264"/>
      <c r="AQ73" s="264"/>
      <c r="AR73" s="264"/>
      <c r="AS73" s="264"/>
      <c r="AT73" s="264"/>
      <c r="AU73" s="264"/>
      <c r="AV73" s="264"/>
      <c r="AW73" s="264"/>
      <c r="AX73" s="264"/>
      <c r="AY73" s="264"/>
      <c r="AZ73" s="264"/>
      <c r="BA73" s="264"/>
      <c r="BB73" s="264"/>
      <c r="BC73" s="264"/>
      <c r="BD73" s="264"/>
      <c r="BE73" s="264"/>
      <c r="BF73" s="264"/>
      <c r="BG73" s="264"/>
      <c r="BH73" s="264"/>
      <c r="BI73" s="264"/>
      <c r="BJ73" s="264"/>
      <c r="BK73" s="264"/>
      <c r="BL73" s="264"/>
    </row>
    <row r="74" spans="1:64" ht="21" customHeight="1" x14ac:dyDescent="0.2">
      <c r="A74" s="1324"/>
      <c r="B74" s="1324"/>
      <c r="C74" s="1875" t="s">
        <v>236</v>
      </c>
      <c r="D74" s="1876"/>
      <c r="E74" s="1876"/>
      <c r="F74" s="1876"/>
      <c r="G74" s="1876"/>
      <c r="H74" s="1876"/>
      <c r="I74" s="1876"/>
      <c r="J74" s="1876"/>
      <c r="K74" s="1876"/>
      <c r="L74" s="1876"/>
      <c r="M74" s="1876"/>
      <c r="N74" s="1877"/>
      <c r="O74" s="1584" t="s">
        <v>150</v>
      </c>
      <c r="P74" s="1585"/>
      <c r="Q74" s="1585"/>
      <c r="R74" s="1586"/>
      <c r="S74" s="33"/>
      <c r="T74" s="1888"/>
      <c r="U74" s="1585"/>
      <c r="V74" s="1585"/>
      <c r="W74" s="1585"/>
      <c r="X74" s="1585"/>
      <c r="Y74" s="1586"/>
      <c r="Z74" s="33"/>
      <c r="AA74" s="33"/>
      <c r="AB74" s="33"/>
      <c r="AC74" s="33"/>
      <c r="AD74" s="33"/>
      <c r="AE74" s="33"/>
      <c r="AF74" s="33"/>
      <c r="AG74" s="33"/>
      <c r="AH74" s="33"/>
      <c r="AI74" s="33"/>
      <c r="AJ74" s="33"/>
      <c r="AK74" s="33"/>
      <c r="AL74" s="33"/>
      <c r="AM74" s="33"/>
      <c r="AN74" s="33"/>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row>
    <row r="75" spans="1:64" ht="15" customHeight="1" x14ac:dyDescent="0.2">
      <c r="A75" s="1324"/>
      <c r="B75" s="1"/>
      <c r="C75" s="1879" t="s">
        <v>247</v>
      </c>
      <c r="D75" s="1879"/>
      <c r="E75" s="1879"/>
      <c r="F75" s="1879"/>
      <c r="G75" s="1879"/>
      <c r="H75" s="1879"/>
      <c r="I75" s="1879"/>
      <c r="J75" s="1879"/>
      <c r="K75" s="1879"/>
      <c r="L75" s="1879"/>
      <c r="M75" s="1879" t="s">
        <v>248</v>
      </c>
      <c r="N75" s="1879"/>
      <c r="O75" s="1330" t="s">
        <v>249</v>
      </c>
      <c r="P75" s="1330"/>
      <c r="Q75" s="1330"/>
      <c r="R75" s="1330"/>
      <c r="S75" s="1330"/>
      <c r="T75" s="1330"/>
      <c r="U75" s="1330"/>
      <c r="V75" s="1894" t="s">
        <v>250</v>
      </c>
      <c r="W75" s="1894"/>
      <c r="X75" s="1"/>
      <c r="Y75" s="1878" t="s">
        <v>684</v>
      </c>
      <c r="Z75" s="1878"/>
      <c r="AA75" s="1878"/>
      <c r="AB75" s="1878"/>
      <c r="AC75" s="1878"/>
      <c r="AD75" s="1878"/>
      <c r="AE75" s="1878"/>
      <c r="AF75" s="1878"/>
      <c r="AG75" s="1878"/>
      <c r="AH75" s="1878"/>
      <c r="AI75" s="1878"/>
      <c r="AJ75" s="1878"/>
      <c r="AK75" s="1878"/>
      <c r="AL75" s="1878"/>
      <c r="AM75" s="1"/>
      <c r="AN75" s="1"/>
      <c r="AO75" s="266"/>
      <c r="AP75" s="266"/>
      <c r="AQ75" s="264"/>
      <c r="AR75" s="264"/>
      <c r="AS75" s="264"/>
      <c r="AT75" s="264"/>
      <c r="AU75" s="264"/>
      <c r="AV75" s="264"/>
      <c r="AW75" s="264"/>
      <c r="AX75" s="264"/>
      <c r="AY75" s="264"/>
      <c r="AZ75" s="264"/>
      <c r="BA75" s="264"/>
      <c r="BB75" s="264"/>
      <c r="BC75" s="264"/>
      <c r="BD75" s="264"/>
      <c r="BE75" s="264"/>
      <c r="BF75" s="264"/>
      <c r="BG75" s="264"/>
      <c r="BH75" s="264"/>
      <c r="BI75" s="264"/>
      <c r="BJ75" s="264"/>
      <c r="BK75" s="264"/>
      <c r="BL75" s="264"/>
    </row>
    <row r="76" spans="1:64" ht="21" customHeight="1" x14ac:dyDescent="0.2">
      <c r="A76" s="1324"/>
      <c r="B76" s="1324"/>
      <c r="C76" s="1875" t="s">
        <v>238</v>
      </c>
      <c r="D76" s="1876"/>
      <c r="E76" s="1876"/>
      <c r="F76" s="1876"/>
      <c r="G76" s="1876"/>
      <c r="H76" s="1876"/>
      <c r="I76" s="1876"/>
      <c r="J76" s="1876"/>
      <c r="K76" s="1876"/>
      <c r="L76" s="1877"/>
      <c r="M76" s="1584"/>
      <c r="N76" s="1895"/>
      <c r="O76" s="1757"/>
      <c r="P76" s="1758"/>
      <c r="Q76" s="1758"/>
      <c r="R76" s="1758"/>
      <c r="S76" s="1758"/>
      <c r="T76" s="1758"/>
      <c r="U76" s="1759"/>
      <c r="V76" s="1886"/>
      <c r="W76" s="1887"/>
      <c r="X76" s="1324"/>
      <c r="Y76" s="1754" t="s">
        <v>685</v>
      </c>
      <c r="Z76" s="1755"/>
      <c r="AA76" s="1755"/>
      <c r="AB76" s="1755"/>
      <c r="AC76" s="1755"/>
      <c r="AD76" s="1755"/>
      <c r="AE76" s="1755"/>
      <c r="AF76" s="1755"/>
      <c r="AG76" s="1755"/>
      <c r="AH76" s="1755"/>
      <c r="AI76" s="1755"/>
      <c r="AJ76" s="1755"/>
      <c r="AK76" s="1755"/>
      <c r="AL76" s="1755"/>
      <c r="AM76" s="1324"/>
      <c r="AN76" s="1324"/>
      <c r="AO76" s="265"/>
      <c r="AP76" s="265"/>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row>
    <row r="77" spans="1:64" ht="18" customHeight="1" x14ac:dyDescent="0.2">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265"/>
      <c r="AP77" s="265"/>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row>
    <row r="78" spans="1:64" ht="18" customHeight="1" x14ac:dyDescent="0.2">
      <c r="A78" s="648"/>
      <c r="B78" s="648"/>
      <c r="C78" s="1044" t="s">
        <v>579</v>
      </c>
      <c r="D78" s="648"/>
      <c r="E78" s="648"/>
      <c r="F78" s="648"/>
      <c r="G78" s="648"/>
      <c r="H78" s="648"/>
      <c r="I78" s="648"/>
      <c r="J78" s="648"/>
      <c r="K78" s="648"/>
      <c r="L78" s="648"/>
      <c r="M78" s="1043" t="s">
        <v>580</v>
      </c>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265"/>
      <c r="AP78" s="265"/>
      <c r="AQ78" s="264"/>
      <c r="AR78" s="264"/>
      <c r="AS78" s="264"/>
      <c r="AT78" s="264"/>
      <c r="AU78" s="264"/>
      <c r="AV78" s="264"/>
      <c r="AW78" s="264"/>
      <c r="AX78" s="264"/>
      <c r="AY78" s="264"/>
      <c r="AZ78" s="264"/>
      <c r="BA78" s="264"/>
      <c r="BB78" s="264"/>
      <c r="BC78" s="264"/>
      <c r="BD78" s="264"/>
      <c r="BE78" s="264"/>
      <c r="BF78" s="264"/>
      <c r="BG78" s="264"/>
      <c r="BH78" s="264"/>
      <c r="BI78" s="264"/>
      <c r="BJ78" s="264"/>
      <c r="BK78" s="264"/>
      <c r="BL78" s="264"/>
    </row>
    <row r="79" spans="1:64" ht="18" customHeight="1" x14ac:dyDescent="0.2">
      <c r="A79" s="648"/>
      <c r="B79" s="648"/>
      <c r="C79" s="648"/>
      <c r="D79" s="648"/>
      <c r="E79" s="648"/>
      <c r="F79" s="648"/>
      <c r="G79" s="630"/>
      <c r="H79" s="648"/>
      <c r="I79" s="648"/>
      <c r="J79" s="648"/>
      <c r="K79" s="648"/>
      <c r="L79" s="648"/>
      <c r="M79" s="1562" t="s">
        <v>686</v>
      </c>
      <c r="N79" s="1563"/>
      <c r="O79" s="1563"/>
      <c r="P79" s="1563"/>
      <c r="Q79" s="1563"/>
      <c r="R79" s="1563"/>
      <c r="S79" s="1563"/>
      <c r="T79" s="1563"/>
      <c r="U79" s="1563"/>
      <c r="V79" s="1564"/>
      <c r="W79" s="648"/>
      <c r="X79" s="648"/>
      <c r="Y79" s="648"/>
      <c r="Z79" s="648"/>
      <c r="AA79" s="648"/>
      <c r="AB79" s="648"/>
      <c r="AC79" s="648"/>
      <c r="AD79" s="648"/>
      <c r="AE79" s="648"/>
      <c r="AF79" s="648"/>
      <c r="AG79" s="648"/>
      <c r="AH79" s="648"/>
      <c r="AI79" s="648"/>
      <c r="AJ79" s="648"/>
      <c r="AK79" s="648"/>
      <c r="AL79" s="648"/>
      <c r="AM79" s="648"/>
      <c r="AN79" s="648"/>
      <c r="AO79" s="265"/>
      <c r="AP79" s="265"/>
      <c r="AQ79" s="264"/>
      <c r="AR79" s="264"/>
      <c r="AS79" s="264"/>
      <c r="AT79" s="264"/>
      <c r="AU79" s="264"/>
      <c r="AV79" s="264"/>
      <c r="AW79" s="264"/>
      <c r="AX79" s="264"/>
      <c r="AY79" s="264"/>
      <c r="AZ79" s="264"/>
      <c r="BA79" s="264"/>
      <c r="BB79" s="264"/>
      <c r="BC79" s="264"/>
      <c r="BD79" s="264"/>
      <c r="BE79" s="264"/>
      <c r="BF79" s="264"/>
      <c r="BG79" s="264"/>
      <c r="BH79" s="264"/>
      <c r="BI79" s="264"/>
      <c r="BJ79" s="264"/>
      <c r="BK79" s="264"/>
      <c r="BL79" s="264"/>
    </row>
    <row r="80" spans="1:64" ht="18" customHeight="1" x14ac:dyDescent="0.2">
      <c r="A80" s="648"/>
      <c r="B80" s="648"/>
      <c r="C80" s="648"/>
      <c r="D80" s="648"/>
      <c r="E80" s="648"/>
      <c r="F80" s="648"/>
      <c r="G80" s="630"/>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265"/>
      <c r="AP80" s="265"/>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row>
    <row r="81" spans="1:64" ht="18" customHeight="1" x14ac:dyDescent="0.2">
      <c r="A81" s="648"/>
      <c r="B81" s="648"/>
      <c r="C81" s="648"/>
      <c r="D81" s="648"/>
      <c r="E81" s="648"/>
      <c r="F81" s="648"/>
      <c r="G81" s="648"/>
      <c r="H81" s="648"/>
      <c r="I81" s="648"/>
      <c r="J81" s="648"/>
      <c r="K81" s="648"/>
      <c r="L81" s="648"/>
      <c r="M81" s="1043" t="s">
        <v>581</v>
      </c>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265"/>
      <c r="AP81" s="265"/>
      <c r="AQ81" s="264"/>
      <c r="AR81" s="264"/>
      <c r="AS81" s="264"/>
      <c r="AT81" s="264"/>
      <c r="AU81" s="264"/>
      <c r="AV81" s="264"/>
      <c r="AW81" s="264"/>
      <c r="AX81" s="264"/>
      <c r="AY81" s="264"/>
      <c r="AZ81" s="264"/>
      <c r="BA81" s="264"/>
      <c r="BB81" s="264"/>
      <c r="BC81" s="264"/>
      <c r="BD81" s="264"/>
      <c r="BE81" s="264"/>
      <c r="BF81" s="264"/>
      <c r="BG81" s="264"/>
      <c r="BH81" s="264"/>
      <c r="BI81" s="264"/>
      <c r="BJ81" s="264"/>
      <c r="BK81" s="264"/>
      <c r="BL81" s="264"/>
    </row>
    <row r="82" spans="1:64" ht="18" customHeight="1" x14ac:dyDescent="0.2">
      <c r="A82" s="648"/>
      <c r="B82" s="648"/>
      <c r="C82" s="648"/>
      <c r="D82" s="648"/>
      <c r="E82" s="648"/>
      <c r="F82" s="648"/>
      <c r="G82" s="648"/>
      <c r="H82" s="648"/>
      <c r="I82" s="648"/>
      <c r="J82" s="648"/>
      <c r="K82" s="648"/>
      <c r="L82" s="648"/>
      <c r="M82" s="1942" t="s">
        <v>617</v>
      </c>
      <c r="N82" s="1943"/>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265"/>
      <c r="AP82" s="265"/>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row>
    <row r="83" spans="1:64" ht="18" customHeight="1" x14ac:dyDescent="0.2">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265"/>
      <c r="AP83" s="265"/>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row>
    <row r="84" spans="1:64" ht="18" customHeight="1" x14ac:dyDescent="0.2">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265"/>
      <c r="AP84" s="265"/>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row>
    <row r="85" spans="1:64" ht="18" customHeight="1" x14ac:dyDescent="0.2">
      <c r="A85" s="1324"/>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896" t="s">
        <v>251</v>
      </c>
      <c r="AA85" s="1896"/>
      <c r="AB85" s="1896"/>
      <c r="AC85" s="1756"/>
      <c r="AD85" s="1756"/>
      <c r="AE85" s="1756"/>
      <c r="AF85" s="1756"/>
      <c r="AG85" s="1756"/>
      <c r="AH85" s="1756"/>
      <c r="AI85" s="1756"/>
      <c r="AJ85" s="1756"/>
      <c r="AK85" s="1756"/>
      <c r="AL85" s="1756"/>
      <c r="AM85" s="1756"/>
      <c r="AN85" s="33"/>
      <c r="AO85" s="265"/>
      <c r="AP85" s="265"/>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row>
    <row r="86" spans="1:64" ht="30" customHeight="1" x14ac:dyDescent="0.2">
      <c r="A86" s="1324"/>
      <c r="B86" s="127"/>
      <c r="C86" s="127"/>
      <c r="D86" s="127"/>
      <c r="E86" s="127"/>
      <c r="F86" s="127"/>
      <c r="G86" s="127"/>
      <c r="H86" s="127"/>
      <c r="I86" s="127"/>
      <c r="J86" s="127"/>
      <c r="K86" s="127"/>
      <c r="L86" s="127"/>
      <c r="M86" s="358" t="str">
        <f>Presentazione!$H$23</f>
        <v/>
      </c>
      <c r="N86" s="127"/>
      <c r="O86" s="127"/>
      <c r="P86" s="127"/>
      <c r="Q86" s="127"/>
      <c r="R86" s="127"/>
      <c r="S86" s="127"/>
      <c r="T86" s="127"/>
      <c r="U86" s="127"/>
      <c r="V86" s="127"/>
      <c r="W86" s="127"/>
      <c r="X86" s="127"/>
      <c r="Y86" s="127"/>
      <c r="Z86" s="127"/>
      <c r="AA86" s="127"/>
      <c r="AB86" s="127"/>
      <c r="AC86" s="1324"/>
      <c r="AD86" s="1324"/>
      <c r="AE86" s="1324"/>
      <c r="AF86" s="1324"/>
      <c r="AG86" s="1324"/>
      <c r="AH86" s="1324"/>
      <c r="AI86" s="1324"/>
      <c r="AJ86" s="1324"/>
      <c r="AK86" s="1324"/>
      <c r="AL86" s="1324"/>
      <c r="AM86" s="1324"/>
      <c r="AN86" s="33"/>
      <c r="AO86" s="264"/>
      <c r="AP86" s="264"/>
      <c r="AQ86" s="264"/>
      <c r="AR86" s="264"/>
      <c r="AS86" s="264"/>
      <c r="AT86" s="264"/>
      <c r="AU86" s="264"/>
      <c r="AV86" s="264"/>
      <c r="AW86" s="264"/>
      <c r="AX86" s="264"/>
      <c r="AY86" s="264"/>
      <c r="AZ86" s="264"/>
      <c r="BA86" s="264"/>
      <c r="BB86" s="264"/>
      <c r="BC86" s="264"/>
      <c r="BD86" s="264"/>
      <c r="BE86" s="264"/>
      <c r="BF86" s="264"/>
      <c r="BG86" s="264"/>
      <c r="BH86" s="264"/>
      <c r="BI86" s="264"/>
      <c r="BJ86" s="264"/>
      <c r="BK86" s="264"/>
      <c r="BL86" s="264"/>
    </row>
    <row r="87" spans="1:64" ht="24.75" customHeight="1" x14ac:dyDescent="0.2">
      <c r="A87" s="1324"/>
      <c r="B87" s="411" t="str">
        <f>Presentazione!$G$29</f>
        <v>Registro Contabile Giornaliero 6.0.7 - per EXCEL .xlsm</v>
      </c>
      <c r="C87" s="119"/>
      <c r="D87" s="119"/>
      <c r="E87" s="119"/>
      <c r="F87" s="119"/>
      <c r="G87" s="119"/>
      <c r="H87" s="119"/>
      <c r="I87" s="119"/>
      <c r="J87" s="119"/>
      <c r="K87" s="119"/>
      <c r="L87" s="143"/>
      <c r="M87" s="359" t="str">
        <f>IF(Presentazione!$J$173=Presentazione!$K$95,CONCATENATE(Presentazione!$F$89,"   -   ","P.I./C.F ",Presentazione!$K$91),Presentazione!$I$165)</f>
        <v>Sistema attivato dal 01/01 al 31/03. Modifica il trimestre dal foglio Presentazione.</v>
      </c>
      <c r="N87" s="143"/>
      <c r="O87" s="143"/>
      <c r="P87" s="143"/>
      <c r="Q87" s="143"/>
      <c r="R87" s="143"/>
      <c r="S87" s="143"/>
      <c r="T87" s="143"/>
      <c r="U87" s="143"/>
      <c r="V87" s="143"/>
      <c r="W87" s="143"/>
      <c r="X87" s="143"/>
      <c r="Y87" s="143"/>
      <c r="Z87" s="143"/>
      <c r="AA87" s="143"/>
      <c r="AB87" s="143"/>
      <c r="AC87" s="144"/>
      <c r="AD87" s="144"/>
      <c r="AE87" s="144"/>
      <c r="AF87" s="144"/>
      <c r="AG87" s="144"/>
      <c r="AH87" s="119"/>
      <c r="AI87" s="119"/>
      <c r="AJ87" s="119"/>
      <c r="AK87" s="119"/>
      <c r="AL87" s="119"/>
      <c r="AM87" s="577" t="s">
        <v>289</v>
      </c>
      <c r="AN87" s="138"/>
      <c r="AO87" s="264"/>
      <c r="AP87" s="264"/>
      <c r="AQ87" s="264"/>
      <c r="AR87" s="264"/>
      <c r="AS87" s="264"/>
      <c r="AT87" s="264"/>
      <c r="AU87" s="264"/>
      <c r="AV87" s="264"/>
      <c r="AW87" s="264"/>
      <c r="AX87" s="264"/>
      <c r="AY87" s="264"/>
      <c r="AZ87" s="264"/>
      <c r="BA87" s="264"/>
      <c r="BB87" s="264"/>
      <c r="BC87" s="264"/>
      <c r="BD87" s="264"/>
      <c r="BE87" s="264"/>
      <c r="BF87" s="264"/>
      <c r="BG87" s="264"/>
      <c r="BH87" s="264"/>
      <c r="BI87" s="264"/>
      <c r="BJ87" s="264"/>
      <c r="BK87" s="264"/>
      <c r="BL87" s="264"/>
    </row>
    <row r="88" spans="1:64" x14ac:dyDescent="0.2">
      <c r="A88" s="141"/>
      <c r="B88" s="363" t="s">
        <v>61</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135"/>
      <c r="AM88" s="132"/>
      <c r="AN88" s="33"/>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row>
    <row r="89" spans="1:64" ht="16.5" customHeight="1" x14ac:dyDescent="0.2">
      <c r="A89" s="141"/>
      <c r="B89" s="1336" t="s">
        <v>219</v>
      </c>
      <c r="C89" s="1336"/>
      <c r="D89" s="1336"/>
      <c r="E89" s="1336"/>
      <c r="F89" s="1336"/>
      <c r="G89" s="1336"/>
      <c r="H89" s="1336"/>
      <c r="I89" s="1336"/>
      <c r="J89" s="1336"/>
      <c r="K89" s="1336"/>
      <c r="L89" s="1336"/>
      <c r="M89" s="1336"/>
      <c r="N89" s="1336"/>
      <c r="O89" s="1336"/>
      <c r="P89" s="1336"/>
      <c r="Q89" s="1336"/>
      <c r="R89" s="1336"/>
      <c r="S89" s="1336"/>
      <c r="T89" s="1336"/>
      <c r="U89" s="1336"/>
      <c r="V89" s="1336"/>
      <c r="W89" s="1336"/>
      <c r="X89" s="1336"/>
      <c r="Y89" s="1336"/>
      <c r="Z89" s="1336"/>
      <c r="AA89" s="1336"/>
      <c r="AB89" s="1336"/>
      <c r="AC89" s="1336"/>
      <c r="AD89" s="38"/>
      <c r="AE89" s="38"/>
      <c r="AF89" s="38"/>
      <c r="AG89" s="38"/>
      <c r="AH89" s="38"/>
      <c r="AI89" s="38"/>
      <c r="AJ89" s="38"/>
      <c r="AK89" s="38"/>
      <c r="AL89" s="38"/>
      <c r="AM89" s="133"/>
      <c r="AN89" s="33"/>
      <c r="AO89" s="264"/>
      <c r="AP89" s="264"/>
      <c r="AQ89" s="264"/>
      <c r="AR89" s="264"/>
      <c r="AS89" s="264"/>
      <c r="AT89" s="264"/>
      <c r="AU89" s="264"/>
      <c r="AV89" s="264"/>
      <c r="AW89" s="264"/>
      <c r="AX89" s="264"/>
      <c r="AY89" s="264"/>
      <c r="AZ89" s="264"/>
      <c r="BA89" s="264"/>
      <c r="BB89" s="264"/>
      <c r="BC89" s="264"/>
      <c r="BD89" s="264"/>
      <c r="BE89" s="264"/>
      <c r="BF89" s="264"/>
      <c r="BG89" s="264"/>
      <c r="BH89" s="264"/>
      <c r="BI89" s="264"/>
      <c r="BJ89" s="264"/>
      <c r="BK89" s="264"/>
      <c r="BL89" s="264"/>
    </row>
    <row r="90" spans="1:64" ht="16.5" customHeight="1" x14ac:dyDescent="0.2">
      <c r="A90" s="141"/>
      <c r="B90" s="1338" t="s">
        <v>510</v>
      </c>
      <c r="C90" s="648"/>
      <c r="D90" s="648"/>
      <c r="E90" s="648"/>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33"/>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row>
    <row r="91" spans="1:64" ht="16.5" customHeight="1" x14ac:dyDescent="0.25">
      <c r="A91" s="141"/>
      <c r="B91" s="677" t="s">
        <v>218</v>
      </c>
      <c r="C91" s="648"/>
      <c r="D91" s="648"/>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33"/>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row>
    <row r="92" spans="1:64" ht="16.5" customHeight="1" x14ac:dyDescent="0.2">
      <c r="A92" s="141"/>
      <c r="B92" s="678" t="s">
        <v>511</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33"/>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row>
    <row r="93" spans="1:64" ht="16.5" customHeight="1" x14ac:dyDescent="0.2">
      <c r="A93" s="141"/>
      <c r="B93" s="578"/>
      <c r="C93" s="578"/>
      <c r="D93" s="578"/>
      <c r="E93" s="578"/>
      <c r="F93" s="578"/>
      <c r="G93" s="578"/>
      <c r="H93" s="578"/>
      <c r="I93" s="578"/>
      <c r="J93" s="578"/>
      <c r="K93" s="578"/>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33"/>
      <c r="AO93" s="264"/>
      <c r="AP93" s="264"/>
      <c r="AQ93" s="264"/>
      <c r="AR93" s="264"/>
      <c r="AS93" s="264"/>
      <c r="AT93" s="264"/>
      <c r="AU93" s="264"/>
      <c r="AV93" s="264"/>
      <c r="AW93" s="264"/>
      <c r="AX93" s="264"/>
      <c r="AY93" s="264"/>
      <c r="AZ93" s="264"/>
      <c r="BA93" s="264"/>
      <c r="BB93" s="264"/>
      <c r="BC93" s="264"/>
      <c r="BD93" s="264"/>
      <c r="BE93" s="264"/>
      <c r="BF93" s="264"/>
      <c r="BG93" s="264"/>
      <c r="BH93" s="264"/>
      <c r="BI93" s="264"/>
      <c r="BJ93" s="264"/>
      <c r="BK93" s="264"/>
      <c r="BL93" s="264"/>
    </row>
    <row r="94" spans="1:64" ht="19.5" customHeight="1" x14ac:dyDescent="0.2">
      <c r="A94" s="141"/>
      <c r="B94" s="127"/>
      <c r="C94" s="638" t="s">
        <v>450</v>
      </c>
      <c r="D94" s="638"/>
      <c r="E94" s="638"/>
      <c r="F94" s="638"/>
      <c r="G94" s="638"/>
      <c r="H94" s="638"/>
      <c r="I94" s="638"/>
      <c r="J94" s="638"/>
      <c r="K94" s="638"/>
      <c r="L94" s="638"/>
      <c r="M94" s="638"/>
      <c r="N94" s="638"/>
      <c r="O94" s="638"/>
      <c r="P94" s="638"/>
      <c r="Q94" s="145"/>
      <c r="R94" s="145"/>
      <c r="S94" s="145"/>
      <c r="T94" s="145"/>
      <c r="U94" s="145"/>
      <c r="V94" s="145"/>
      <c r="W94" s="145"/>
      <c r="X94" s="145"/>
      <c r="Y94" s="145"/>
      <c r="Z94" s="145"/>
      <c r="AA94" s="145"/>
      <c r="AB94" s="145"/>
      <c r="AC94" s="33"/>
      <c r="AD94" s="33"/>
      <c r="AE94" s="33"/>
      <c r="AF94" s="33"/>
      <c r="AG94" s="33"/>
      <c r="AH94" s="33"/>
      <c r="AI94" s="33"/>
      <c r="AJ94" s="33"/>
      <c r="AK94" s="33"/>
      <c r="AL94" s="33"/>
      <c r="AM94" s="33"/>
      <c r="AN94" s="33"/>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row>
    <row r="95" spans="1:64" ht="19.5" customHeight="1" x14ac:dyDescent="0.25">
      <c r="A95" s="1324"/>
      <c r="B95" s="143"/>
      <c r="C95" s="1753" t="s">
        <v>451</v>
      </c>
      <c r="D95" s="1753"/>
      <c r="E95" s="1753"/>
      <c r="F95" s="1753"/>
      <c r="G95" s="1753"/>
      <c r="H95" s="1753"/>
      <c r="I95" s="1753"/>
      <c r="J95" s="1741"/>
      <c r="K95" s="1741"/>
      <c r="L95" s="1741"/>
      <c r="M95" s="1741"/>
      <c r="N95" s="1764" t="str">
        <f>IF(J95="","",IF(HLOOKUP(J95,$H$22:$AI$36,15,FALSE)=0,"",HLOOKUP(J95,$H$22:$AI$36,15,FALSE)))</f>
        <v/>
      </c>
      <c r="O95" s="1764"/>
      <c r="P95" s="1764"/>
      <c r="Q95" s="679" t="s">
        <v>512</v>
      </c>
      <c r="R95" s="630"/>
      <c r="S95" s="630"/>
      <c r="T95" s="630"/>
      <c r="U95" s="145"/>
      <c r="V95" s="145"/>
      <c r="W95" s="145"/>
      <c r="X95" s="145"/>
      <c r="Y95" s="145"/>
      <c r="Z95" s="1730" t="str">
        <f>IF(SUM(O184:Z184)&gt;0,J$412,"")</f>
        <v/>
      </c>
      <c r="AA95" s="1730"/>
      <c r="AB95" s="1730"/>
      <c r="AC95" s="1730"/>
      <c r="AD95" s="1730"/>
      <c r="AE95" s="1730"/>
      <c r="AF95" s="1730"/>
      <c r="AG95" s="1730"/>
      <c r="AH95" s="33"/>
      <c r="AI95" s="33"/>
      <c r="AJ95" s="33"/>
      <c r="AK95" s="33"/>
      <c r="AL95" s="144"/>
      <c r="AM95" s="138"/>
      <c r="AN95" s="33"/>
      <c r="AO95" s="264"/>
      <c r="AP95" s="264"/>
      <c r="AQ95" s="264"/>
      <c r="AR95" s="264"/>
      <c r="AS95" s="264"/>
      <c r="AT95" s="264"/>
      <c r="AU95" s="264"/>
      <c r="AV95" s="264"/>
      <c r="AW95" s="264"/>
      <c r="AX95" s="264"/>
      <c r="AY95" s="264"/>
      <c r="AZ95" s="264"/>
      <c r="BA95" s="264"/>
      <c r="BB95" s="264"/>
      <c r="BC95" s="264"/>
      <c r="BD95" s="264"/>
      <c r="BE95" s="264"/>
      <c r="BF95" s="264"/>
      <c r="BG95" s="264"/>
      <c r="BH95" s="264"/>
      <c r="BI95" s="264"/>
      <c r="BJ95" s="264"/>
      <c r="BK95" s="264"/>
      <c r="BL95" s="264"/>
    </row>
    <row r="96" spans="1:64" ht="9" customHeight="1" x14ac:dyDescent="0.2">
      <c r="A96" s="1324"/>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324"/>
      <c r="AD96" s="1324"/>
      <c r="AE96" s="1324"/>
      <c r="AF96" s="1324"/>
      <c r="AG96" s="1324"/>
      <c r="AH96" s="1324"/>
      <c r="AI96" s="1324"/>
      <c r="AJ96" s="1324"/>
      <c r="AK96" s="1324"/>
      <c r="AL96" s="1324"/>
      <c r="AM96" s="1324"/>
      <c r="AN96" s="33"/>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row>
    <row r="97" spans="1:64" ht="18.75" customHeight="1" x14ac:dyDescent="0.25">
      <c r="A97" s="1324"/>
      <c r="B97" s="127"/>
      <c r="C97" s="127"/>
      <c r="D97" s="33"/>
      <c r="E97" s="33"/>
      <c r="F97" s="33"/>
      <c r="G97" s="303">
        <f>IF(T97="",0,1)</f>
        <v>0</v>
      </c>
      <c r="H97" s="303" t="str">
        <f>IF(J95="","",HLOOKUP(J95,$I$21:$AG$25,3,FALSE))</f>
        <v/>
      </c>
      <c r="I97" s="103" t="str">
        <f>IF(H97=0,"",H97)</f>
        <v/>
      </c>
      <c r="J97" s="1710" t="str">
        <f>IF(J$95="","",HLOOKUP(J$95,$H$22:$AI$29,6,FALSE))</f>
        <v/>
      </c>
      <c r="K97" s="1518"/>
      <c r="L97" s="1518"/>
      <c r="M97" s="1711"/>
      <c r="N97" s="33"/>
      <c r="O97" s="33"/>
      <c r="P97" s="33"/>
      <c r="Q97" s="33"/>
      <c r="R97" s="1591" t="s">
        <v>415</v>
      </c>
      <c r="S97" s="1591"/>
      <c r="T97" s="1351"/>
      <c r="U97" s="1710" t="str">
        <f>IF(J$95="","",IF(T97="","",VLOOKUP(T97,$B$8:$K$17,10,FALSE)))</f>
        <v/>
      </c>
      <c r="V97" s="1518"/>
      <c r="W97" s="1518"/>
      <c r="X97" s="1711"/>
      <c r="Y97" s="127"/>
      <c r="Z97" s="1731" t="s">
        <v>454</v>
      </c>
      <c r="AA97" s="1731"/>
      <c r="AB97" s="1731"/>
      <c r="AC97" s="1731"/>
      <c r="AD97" s="1731"/>
      <c r="AE97" s="1731"/>
      <c r="AF97" s="1731"/>
      <c r="AG97" s="1731"/>
      <c r="AH97" s="1324"/>
      <c r="AI97" s="1324"/>
      <c r="AJ97" s="1324"/>
      <c r="AK97" s="1324"/>
      <c r="AL97" s="33"/>
      <c r="AM97" s="33"/>
      <c r="AN97" s="33"/>
      <c r="AO97" s="264"/>
      <c r="AP97" s="264"/>
      <c r="AQ97" s="264"/>
      <c r="AR97" s="264"/>
      <c r="AS97" s="264"/>
      <c r="AT97" s="264"/>
      <c r="AU97" s="264"/>
      <c r="AV97" s="264"/>
      <c r="AW97" s="264"/>
      <c r="AX97" s="264"/>
      <c r="AY97" s="264"/>
      <c r="AZ97" s="264"/>
      <c r="BA97" s="264"/>
      <c r="BB97" s="264"/>
      <c r="BC97" s="264"/>
      <c r="BD97" s="264"/>
      <c r="BE97" s="264"/>
      <c r="BF97" s="264"/>
      <c r="BG97" s="264"/>
      <c r="BH97" s="264"/>
      <c r="BI97" s="264"/>
      <c r="BJ97" s="264"/>
      <c r="BK97" s="264"/>
      <c r="BL97" s="264"/>
    </row>
    <row r="98" spans="1:64" ht="18.75" customHeight="1" x14ac:dyDescent="0.2">
      <c r="A98" s="1324"/>
      <c r="B98" s="127"/>
      <c r="C98" s="127"/>
      <c r="D98" s="33"/>
      <c r="E98" s="33"/>
      <c r="F98" s="33"/>
      <c r="G98" s="303">
        <f>IF(T98="",0,1)</f>
        <v>0</v>
      </c>
      <c r="H98" s="303" t="str">
        <f>IF(J95="","",HLOOKUP(J95,$I$21:$AG$25,4,FALSE))</f>
        <v/>
      </c>
      <c r="I98" s="103" t="str">
        <f>IF(H98=0,"",H98)</f>
        <v/>
      </c>
      <c r="J98" s="1743" t="str">
        <f>IF(J$95="","",HLOOKUP(J$95,$H$22:$AI$29,7,FALSE))</f>
        <v/>
      </c>
      <c r="K98" s="1520"/>
      <c r="L98" s="1520"/>
      <c r="M98" s="1744"/>
      <c r="N98" s="1880" t="s">
        <v>453</v>
      </c>
      <c r="O98" s="1881"/>
      <c r="P98" s="1881"/>
      <c r="Q98" s="1881"/>
      <c r="R98" s="680" t="s">
        <v>508</v>
      </c>
      <c r="S98" s="1354"/>
      <c r="T98" s="1352"/>
      <c r="U98" s="1743" t="str">
        <f>IF(J95="","",IF(SUM(G97:G99)=0,"",IF(T98="","",VLOOKUP(T98,$R$132:$Y$146,8,FALSE))))</f>
        <v/>
      </c>
      <c r="V98" s="1520"/>
      <c r="W98" s="1520"/>
      <c r="X98" s="1744"/>
      <c r="Y98" s="127"/>
      <c r="Z98" s="1732" t="s">
        <v>455</v>
      </c>
      <c r="AA98" s="1732"/>
      <c r="AB98" s="1732"/>
      <c r="AC98" s="1732"/>
      <c r="AD98" s="1732" t="s">
        <v>292</v>
      </c>
      <c r="AE98" s="1732"/>
      <c r="AF98" s="1732"/>
      <c r="AG98" s="1732"/>
      <c r="AH98" s="1324"/>
      <c r="AI98" s="1324"/>
      <c r="AJ98" s="1324"/>
      <c r="AK98" s="1324"/>
      <c r="AL98" s="33"/>
      <c r="AM98" s="33"/>
      <c r="AN98" s="33"/>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row>
    <row r="99" spans="1:64" ht="18.75" customHeight="1" x14ac:dyDescent="0.2">
      <c r="A99" s="1324"/>
      <c r="B99" s="127"/>
      <c r="C99" s="127"/>
      <c r="D99" s="33"/>
      <c r="E99" s="33"/>
      <c r="F99" s="33"/>
      <c r="G99" s="303">
        <f>IF(T99="",0,1)</f>
        <v>0</v>
      </c>
      <c r="H99" s="303" t="str">
        <f>IF(J95="","",HLOOKUP(J95,$I$21:$AG$25,5,FALSE))</f>
        <v/>
      </c>
      <c r="I99" s="103" t="str">
        <f>IF(H99=0,"",H99)</f>
        <v/>
      </c>
      <c r="J99" s="1750" t="str">
        <f>IF(J$95="","",HLOOKUP(J$95,$H$22:$AI$29,8,FALSE))</f>
        <v/>
      </c>
      <c r="K99" s="1751"/>
      <c r="L99" s="1751"/>
      <c r="M99" s="1752"/>
      <c r="N99" s="33"/>
      <c r="O99" s="33"/>
      <c r="P99" s="33"/>
      <c r="Q99" s="33"/>
      <c r="R99" s="1591" t="s">
        <v>416</v>
      </c>
      <c r="S99" s="1591"/>
      <c r="T99" s="1353"/>
      <c r="U99" s="1750" t="str">
        <f>IF(J95="","",IF(T99="","",VLOOKUP(T99,$AF$8:$AG$14,2,FALSE)))</f>
        <v/>
      </c>
      <c r="V99" s="1751"/>
      <c r="W99" s="1751"/>
      <c r="X99" s="1752"/>
      <c r="Y99" s="158"/>
      <c r="Z99" s="1720"/>
      <c r="AA99" s="1721"/>
      <c r="AB99" s="1721"/>
      <c r="AC99" s="1722"/>
      <c r="AD99" s="1733"/>
      <c r="AE99" s="1721"/>
      <c r="AF99" s="1721"/>
      <c r="AG99" s="1734"/>
      <c r="AH99" s="1884" t="str">
        <f>IF(N95="",IF(OR(Z99="",AD99=""),"",IF(OR(AND(T98&lt;&gt;"",S98=""),AND(S98&lt;&gt;"",T98="")),L$185,IF(OR(Z100&gt;AD100,AB186=L$185),C$152,H$412))),L$185)</f>
        <v/>
      </c>
      <c r="AI99" s="1885"/>
      <c r="AJ99" s="1885"/>
      <c r="AK99" s="1324"/>
      <c r="AL99" s="33"/>
      <c r="AM99" s="33"/>
      <c r="AN99" s="33"/>
      <c r="AO99" s="264"/>
      <c r="AP99" s="264"/>
      <c r="AQ99" s="264"/>
      <c r="AR99" s="264"/>
      <c r="AS99" s="264"/>
      <c r="AT99" s="264"/>
      <c r="AU99" s="264"/>
      <c r="AV99" s="264"/>
      <c r="AW99" s="264"/>
      <c r="AX99" s="264"/>
      <c r="AY99" s="264"/>
      <c r="AZ99" s="264"/>
      <c r="BA99" s="264"/>
      <c r="BB99" s="264"/>
      <c r="BC99" s="264"/>
      <c r="BD99" s="264"/>
      <c r="BE99" s="264"/>
      <c r="BF99" s="264"/>
      <c r="BG99" s="264"/>
      <c r="BH99" s="264"/>
      <c r="BI99" s="264"/>
      <c r="BJ99" s="264"/>
      <c r="BK99" s="264"/>
      <c r="BL99" s="264"/>
    </row>
    <row r="100" spans="1:64" ht="18" customHeight="1" x14ac:dyDescent="0.25">
      <c r="A100" s="1324"/>
      <c r="B100" s="127"/>
      <c r="C100" s="127"/>
      <c r="D100" s="127"/>
      <c r="E100" s="127"/>
      <c r="F100" s="127"/>
      <c r="G100" s="127"/>
      <c r="H100" s="127"/>
      <c r="I100" s="127"/>
      <c r="J100" s="1592" t="s">
        <v>452</v>
      </c>
      <c r="K100" s="1592"/>
      <c r="L100" s="1592"/>
      <c r="M100" s="1592"/>
      <c r="N100" s="127"/>
      <c r="O100" s="127"/>
      <c r="P100" s="127"/>
      <c r="Q100" s="127"/>
      <c r="R100" s="127"/>
      <c r="S100" s="1357">
        <f>COUNTIF(T97:T99,"")</f>
        <v>3</v>
      </c>
      <c r="T100" s="1545" t="s">
        <v>458</v>
      </c>
      <c r="U100" s="1545"/>
      <c r="V100" s="1545"/>
      <c r="W100" s="1545"/>
      <c r="X100" s="1545"/>
      <c r="Y100" s="127"/>
      <c r="Z100" s="1742" t="e">
        <f>VLOOKUP(Z99,C$167:G$178,5,FALSE)</f>
        <v>#N/A</v>
      </c>
      <c r="AA100" s="1742"/>
      <c r="AB100" s="1742"/>
      <c r="AC100" s="1742"/>
      <c r="AD100" s="1742" t="e">
        <f>VLOOKUP(AD99,C$167:G$178,5,FALSE)</f>
        <v>#N/A</v>
      </c>
      <c r="AE100" s="1742"/>
      <c r="AF100" s="1742"/>
      <c r="AG100" s="1742"/>
      <c r="AH100" s="1324"/>
      <c r="AI100" s="1324"/>
      <c r="AJ100" s="1324"/>
      <c r="AK100" s="1324"/>
      <c r="AL100" s="1324"/>
      <c r="AM100" s="1324"/>
      <c r="AN100" s="33"/>
      <c r="AO100" s="264"/>
      <c r="AP100" s="264"/>
      <c r="AQ100" s="264"/>
      <c r="AR100" s="264"/>
      <c r="AS100" s="264"/>
      <c r="AT100" s="264"/>
      <c r="AU100" s="264"/>
      <c r="AV100" s="264"/>
      <c r="AW100" s="264"/>
      <c r="AX100" s="264"/>
      <c r="AY100" s="264"/>
      <c r="AZ100" s="264"/>
      <c r="BA100" s="264"/>
      <c r="BB100" s="264"/>
      <c r="BC100" s="264"/>
      <c r="BD100" s="264"/>
      <c r="BE100" s="264"/>
      <c r="BF100" s="264"/>
      <c r="BG100" s="264"/>
      <c r="BH100" s="264"/>
      <c r="BI100" s="264"/>
      <c r="BJ100" s="264"/>
      <c r="BK100" s="264"/>
      <c r="BL100" s="264"/>
    </row>
    <row r="101" spans="1:64" ht="24" customHeight="1" x14ac:dyDescent="0.2">
      <c r="A101" s="1324"/>
      <c r="B101" s="127"/>
      <c r="C101" s="127"/>
      <c r="D101" s="127"/>
      <c r="E101" s="127"/>
      <c r="F101" s="127"/>
      <c r="G101" s="127"/>
      <c r="H101" s="127"/>
      <c r="I101" s="127"/>
      <c r="J101" s="127"/>
      <c r="K101" s="127"/>
      <c r="L101" s="127"/>
      <c r="M101" s="127"/>
      <c r="N101" s="127"/>
      <c r="O101" s="127"/>
      <c r="P101" s="127"/>
      <c r="Q101" s="127"/>
      <c r="R101" s="127"/>
      <c r="S101" s="127"/>
      <c r="T101" s="470" t="str">
        <f>AB187</f>
        <v>Questa colonna esiste già !!!</v>
      </c>
      <c r="U101" s="127"/>
      <c r="V101" s="127"/>
      <c r="W101" s="127"/>
      <c r="X101" s="127"/>
      <c r="Y101" s="127"/>
      <c r="Z101" s="127"/>
      <c r="AA101" s="127"/>
      <c r="AB101" s="127"/>
      <c r="AC101" s="1324"/>
      <c r="AD101" s="1324"/>
      <c r="AE101" s="1324"/>
      <c r="AF101" s="1324"/>
      <c r="AG101" s="1324"/>
      <c r="AH101" s="1324"/>
      <c r="AI101" s="1324"/>
      <c r="AJ101" s="1324"/>
      <c r="AK101" s="1324"/>
      <c r="AL101" s="1324"/>
      <c r="AM101" s="1324"/>
      <c r="AN101" s="33"/>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row>
    <row r="102" spans="1:64" ht="19.5" customHeight="1" x14ac:dyDescent="0.2">
      <c r="A102" s="1364"/>
      <c r="B102" s="127"/>
      <c r="C102" s="638" t="s">
        <v>456</v>
      </c>
      <c r="D102" s="638"/>
      <c r="E102" s="638"/>
      <c r="F102" s="638"/>
      <c r="G102" s="638"/>
      <c r="H102" s="638"/>
      <c r="I102" s="638"/>
      <c r="J102" s="638"/>
      <c r="K102" s="638"/>
      <c r="L102" s="638"/>
      <c r="M102" s="638"/>
      <c r="N102" s="638"/>
      <c r="O102" s="638"/>
      <c r="P102" s="638"/>
      <c r="Q102" s="145"/>
      <c r="R102" s="145"/>
      <c r="S102" s="145"/>
      <c r="T102" s="145"/>
      <c r="U102" s="145"/>
      <c r="V102" s="145"/>
      <c r="W102" s="145"/>
      <c r="X102" s="145"/>
      <c r="Y102" s="145"/>
      <c r="Z102" s="145"/>
      <c r="AA102" s="145"/>
      <c r="AB102" s="145"/>
      <c r="AC102" s="33"/>
      <c r="AD102" s="33"/>
      <c r="AE102" s="33"/>
      <c r="AF102" s="33"/>
      <c r="AG102" s="33"/>
      <c r="AH102" s="33"/>
      <c r="AI102" s="33"/>
      <c r="AJ102" s="33"/>
      <c r="AK102" s="33"/>
      <c r="AL102" s="33"/>
      <c r="AM102" s="33"/>
      <c r="AN102" s="33"/>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row>
    <row r="103" spans="1:64" ht="19.5" customHeight="1" x14ac:dyDescent="0.25">
      <c r="A103" s="1324"/>
      <c r="B103" s="143"/>
      <c r="C103" s="1753" t="s">
        <v>451</v>
      </c>
      <c r="D103" s="1753"/>
      <c r="E103" s="1753"/>
      <c r="F103" s="1753"/>
      <c r="G103" s="1753"/>
      <c r="H103" s="1753"/>
      <c r="I103" s="1753"/>
      <c r="J103" s="1741"/>
      <c r="K103" s="1741"/>
      <c r="L103" s="1741"/>
      <c r="M103" s="1741"/>
      <c r="N103" s="1764" t="str">
        <f>IF(J103="","",IF(HLOOKUP(J103,$H$22:$AI$36,15,FALSE)=0,"",HLOOKUP(J103,$H$22:$AI$36,15,FALSE)))</f>
        <v/>
      </c>
      <c r="O103" s="1764"/>
      <c r="P103" s="1764"/>
      <c r="Q103" s="679" t="s">
        <v>512</v>
      </c>
      <c r="R103" s="145"/>
      <c r="S103" s="145"/>
      <c r="T103" s="145"/>
      <c r="U103" s="145"/>
      <c r="V103" s="145"/>
      <c r="W103" s="145"/>
      <c r="X103" s="145"/>
      <c r="Y103" s="145"/>
      <c r="Z103" s="1730" t="str">
        <f>IF(SUM(O185:Z185)&gt;0,J$412,"")</f>
        <v/>
      </c>
      <c r="AA103" s="1730"/>
      <c r="AB103" s="1730"/>
      <c r="AC103" s="1730"/>
      <c r="AD103" s="1730"/>
      <c r="AE103" s="1730"/>
      <c r="AF103" s="1730"/>
      <c r="AG103" s="1730"/>
      <c r="AH103" s="33"/>
      <c r="AI103" s="33"/>
      <c r="AJ103" s="33"/>
      <c r="AK103" s="33"/>
      <c r="AL103" s="144"/>
      <c r="AM103" s="138"/>
      <c r="AN103" s="33"/>
      <c r="AO103" s="264"/>
      <c r="AP103" s="264"/>
      <c r="AQ103" s="264"/>
      <c r="AR103" s="264"/>
      <c r="AS103" s="264"/>
      <c r="AT103" s="264"/>
      <c r="AU103" s="264"/>
      <c r="AV103" s="264"/>
      <c r="AW103" s="264"/>
      <c r="AX103" s="264"/>
      <c r="AY103" s="264"/>
      <c r="AZ103" s="264"/>
      <c r="BA103" s="264"/>
      <c r="BB103" s="264"/>
      <c r="BC103" s="264"/>
      <c r="BD103" s="264"/>
      <c r="BE103" s="264"/>
      <c r="BF103" s="264"/>
      <c r="BG103" s="264"/>
      <c r="BH103" s="264"/>
      <c r="BI103" s="264"/>
      <c r="BJ103" s="264"/>
      <c r="BK103" s="264"/>
      <c r="BL103" s="264"/>
    </row>
    <row r="104" spans="1:64" ht="9" customHeight="1" x14ac:dyDescent="0.2">
      <c r="A104" s="1324"/>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324"/>
      <c r="AD104" s="1324"/>
      <c r="AE104" s="1324"/>
      <c r="AF104" s="1324"/>
      <c r="AG104" s="1324"/>
      <c r="AH104" s="1324"/>
      <c r="AI104" s="1324"/>
      <c r="AJ104" s="1324"/>
      <c r="AK104" s="1324"/>
      <c r="AL104" s="1324"/>
      <c r="AM104" s="1324"/>
      <c r="AN104" s="33"/>
      <c r="AO104" s="264"/>
      <c r="AP104" s="264"/>
      <c r="AQ104" s="264"/>
      <c r="AR104" s="264"/>
      <c r="AS104" s="264"/>
      <c r="AT104" s="264"/>
      <c r="AU104" s="264"/>
      <c r="AV104" s="264"/>
      <c r="AW104" s="264"/>
      <c r="AX104" s="264"/>
      <c r="AY104" s="264"/>
      <c r="AZ104" s="264"/>
      <c r="BA104" s="264"/>
      <c r="BB104" s="264"/>
      <c r="BC104" s="264"/>
      <c r="BD104" s="264"/>
      <c r="BE104" s="264"/>
      <c r="BF104" s="264"/>
      <c r="BG104" s="264"/>
      <c r="BH104" s="264"/>
      <c r="BI104" s="264"/>
      <c r="BJ104" s="264"/>
      <c r="BK104" s="264"/>
      <c r="BL104" s="264"/>
    </row>
    <row r="105" spans="1:64" ht="18.75" customHeight="1" x14ac:dyDescent="0.25">
      <c r="A105" s="1324"/>
      <c r="B105" s="127"/>
      <c r="C105" s="127"/>
      <c r="D105" s="33"/>
      <c r="E105" s="33"/>
      <c r="F105" s="33"/>
      <c r="G105" s="303">
        <f>IF(T105="",0,1)</f>
        <v>0</v>
      </c>
      <c r="H105" s="303" t="str">
        <f>IF(J103="","",HLOOKUP(J103,$I$21:$AG$25,3,FALSE))</f>
        <v/>
      </c>
      <c r="I105" s="103" t="str">
        <f>IF(H105=0,"",H105)</f>
        <v/>
      </c>
      <c r="J105" s="1710" t="str">
        <f>IF(J$103="","",HLOOKUP(J$103,$H$22:$AI$29,6,FALSE))</f>
        <v/>
      </c>
      <c r="K105" s="1518"/>
      <c r="L105" s="1518"/>
      <c r="M105" s="1711"/>
      <c r="N105" s="33"/>
      <c r="O105" s="33"/>
      <c r="P105" s="33"/>
      <c r="Q105" s="33"/>
      <c r="R105" s="1591" t="s">
        <v>415</v>
      </c>
      <c r="S105" s="1591"/>
      <c r="T105" s="1351"/>
      <c r="U105" s="1710" t="str">
        <f>IF(J$103="","",IF(T105="","",VLOOKUP(T105,$B$8:$K$17,10,FALSE)))</f>
        <v/>
      </c>
      <c r="V105" s="1518"/>
      <c r="W105" s="1518"/>
      <c r="X105" s="1711"/>
      <c r="Y105" s="127"/>
      <c r="Z105" s="1731" t="s">
        <v>454</v>
      </c>
      <c r="AA105" s="1731"/>
      <c r="AB105" s="1731"/>
      <c r="AC105" s="1731"/>
      <c r="AD105" s="1731"/>
      <c r="AE105" s="1731"/>
      <c r="AF105" s="1731"/>
      <c r="AG105" s="1731"/>
      <c r="AH105" s="1324"/>
      <c r="AI105" s="1324"/>
      <c r="AJ105" s="1324"/>
      <c r="AK105" s="1324"/>
      <c r="AL105" s="33"/>
      <c r="AM105" s="33"/>
      <c r="AN105" s="33"/>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row>
    <row r="106" spans="1:64" ht="18.75" customHeight="1" x14ac:dyDescent="0.2">
      <c r="A106" s="1324"/>
      <c r="B106" s="127"/>
      <c r="C106" s="127"/>
      <c r="D106" s="33"/>
      <c r="E106" s="33"/>
      <c r="F106" s="33"/>
      <c r="G106" s="303">
        <f>IF(T106="",0,1)</f>
        <v>0</v>
      </c>
      <c r="H106" s="303" t="str">
        <f>IF(J103="","",HLOOKUP(J103,$I$21:$AG$25,4,FALSE))</f>
        <v/>
      </c>
      <c r="I106" s="103" t="str">
        <f>IF(H106=0,"",H106)</f>
        <v/>
      </c>
      <c r="J106" s="1743" t="str">
        <f>IF(J$103="","",HLOOKUP(J$103,$H$22:$AI$29,7,FALSE))</f>
        <v/>
      </c>
      <c r="K106" s="1520"/>
      <c r="L106" s="1520"/>
      <c r="M106" s="1744"/>
      <c r="N106" s="1880" t="s">
        <v>453</v>
      </c>
      <c r="O106" s="1881"/>
      <c r="P106" s="1881"/>
      <c r="Q106" s="1881"/>
      <c r="R106" s="680" t="s">
        <v>508</v>
      </c>
      <c r="S106" s="1354"/>
      <c r="T106" s="1352"/>
      <c r="U106" s="1743" t="str">
        <f>IF(J103="","",IF(SUM(G105:G107)=0,"",IF(T106="","",VLOOKUP(T106,$R$132:$Y$146,8,FALSE))))</f>
        <v/>
      </c>
      <c r="V106" s="1520"/>
      <c r="W106" s="1520"/>
      <c r="X106" s="1744"/>
      <c r="Y106" s="127"/>
      <c r="Z106" s="1732" t="s">
        <v>455</v>
      </c>
      <c r="AA106" s="1732"/>
      <c r="AB106" s="1732"/>
      <c r="AC106" s="1732"/>
      <c r="AD106" s="1732" t="s">
        <v>292</v>
      </c>
      <c r="AE106" s="1732"/>
      <c r="AF106" s="1732"/>
      <c r="AG106" s="1732"/>
      <c r="AH106" s="1324"/>
      <c r="AI106" s="1324"/>
      <c r="AJ106" s="1324"/>
      <c r="AK106" s="1324"/>
      <c r="AL106" s="33"/>
      <c r="AM106" s="33"/>
      <c r="AN106" s="33"/>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row>
    <row r="107" spans="1:64" ht="18.75" customHeight="1" x14ac:dyDescent="0.2">
      <c r="A107" s="1324"/>
      <c r="B107" s="127"/>
      <c r="C107" s="127"/>
      <c r="D107" s="33"/>
      <c r="E107" s="33"/>
      <c r="F107" s="33"/>
      <c r="G107" s="303">
        <f>IF(T107="",0,1)</f>
        <v>0</v>
      </c>
      <c r="H107" s="303" t="str">
        <f>IF(J103="","",HLOOKUP(J103,$I$21:$AG$25,5,FALSE))</f>
        <v/>
      </c>
      <c r="I107" s="103" t="str">
        <f>IF(H107=0,"",H107)</f>
        <v/>
      </c>
      <c r="J107" s="1750" t="str">
        <f>IF(J$103="","",HLOOKUP(J$103,$H$22:$AI$29,8,FALSE))</f>
        <v/>
      </c>
      <c r="K107" s="1751"/>
      <c r="L107" s="1751"/>
      <c r="M107" s="1752"/>
      <c r="N107" s="33"/>
      <c r="O107" s="33"/>
      <c r="P107" s="33"/>
      <c r="Q107" s="33"/>
      <c r="R107" s="1591" t="s">
        <v>416</v>
      </c>
      <c r="S107" s="1591"/>
      <c r="T107" s="1353"/>
      <c r="U107" s="1750" t="str">
        <f>IF(J103="","",IF(T107="","",VLOOKUP(T107,$AF$8:$AG$14,2,FALSE)))</f>
        <v/>
      </c>
      <c r="V107" s="1751"/>
      <c r="W107" s="1751"/>
      <c r="X107" s="1752"/>
      <c r="Y107" s="158"/>
      <c r="Z107" s="1720"/>
      <c r="AA107" s="1721"/>
      <c r="AB107" s="1721"/>
      <c r="AC107" s="1722"/>
      <c r="AD107" s="1733"/>
      <c r="AE107" s="1721"/>
      <c r="AF107" s="1721"/>
      <c r="AG107" s="1734"/>
      <c r="AH107" s="1884" t="str">
        <f>IF(N103="",IF(OR(Z107="",AD107=""),"",IF(OR(AND(T106&lt;&gt;"",S106=""),AND(S106&lt;&gt;"",T106="")),L$185,IF(OR(Z108&gt;AD108,AE186=L$185),C$152,H$412))),L$185)</f>
        <v/>
      </c>
      <c r="AI107" s="1885"/>
      <c r="AJ107" s="1885"/>
      <c r="AK107" s="1324"/>
      <c r="AL107" s="33"/>
      <c r="AM107" s="33"/>
      <c r="AN107" s="33"/>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row>
    <row r="108" spans="1:64" ht="18" customHeight="1" x14ac:dyDescent="0.25">
      <c r="A108" s="1324"/>
      <c r="B108" s="127"/>
      <c r="C108" s="127"/>
      <c r="D108" s="127"/>
      <c r="E108" s="127"/>
      <c r="F108" s="127"/>
      <c r="G108" s="127"/>
      <c r="H108" s="127"/>
      <c r="I108" s="127"/>
      <c r="J108" s="1592" t="s">
        <v>452</v>
      </c>
      <c r="K108" s="1592"/>
      <c r="L108" s="1592"/>
      <c r="M108" s="1592"/>
      <c r="N108" s="127"/>
      <c r="O108" s="127"/>
      <c r="P108" s="127"/>
      <c r="Q108" s="127"/>
      <c r="R108" s="127"/>
      <c r="S108" s="1357">
        <f>COUNTIF(T105:T107,"")</f>
        <v>3</v>
      </c>
      <c r="T108" s="1545" t="s">
        <v>458</v>
      </c>
      <c r="U108" s="1545"/>
      <c r="V108" s="1545"/>
      <c r="W108" s="1545"/>
      <c r="X108" s="1545"/>
      <c r="Y108" s="127"/>
      <c r="Z108" s="1723" t="e">
        <f>VLOOKUP(Z107,C$167:G$178,5,FALSE)</f>
        <v>#N/A</v>
      </c>
      <c r="AA108" s="1723"/>
      <c r="AB108" s="1723"/>
      <c r="AC108" s="1723"/>
      <c r="AD108" s="1723" t="e">
        <f>VLOOKUP(AD107,C$167:G$178,5,FALSE)</f>
        <v>#N/A</v>
      </c>
      <c r="AE108" s="1723"/>
      <c r="AF108" s="1723"/>
      <c r="AG108" s="1723"/>
      <c r="AH108" s="1324"/>
      <c r="AI108" s="1324"/>
      <c r="AJ108" s="1324"/>
      <c r="AK108" s="1324"/>
      <c r="AL108" s="1324"/>
      <c r="AM108" s="1324"/>
      <c r="AN108" s="33"/>
      <c r="AO108" s="264"/>
      <c r="AP108" s="264"/>
      <c r="AQ108" s="264"/>
      <c r="AR108" s="264"/>
      <c r="AS108" s="264"/>
      <c r="AT108" s="264"/>
      <c r="AU108" s="264"/>
      <c r="AV108" s="264"/>
      <c r="AW108" s="264"/>
      <c r="AX108" s="264"/>
      <c r="AY108" s="264"/>
      <c r="AZ108" s="264"/>
      <c r="BA108" s="264"/>
      <c r="BB108" s="264"/>
      <c r="BC108" s="264"/>
      <c r="BD108" s="264"/>
      <c r="BE108" s="264"/>
      <c r="BF108" s="264"/>
      <c r="BG108" s="264"/>
      <c r="BH108" s="264"/>
      <c r="BI108" s="264"/>
      <c r="BJ108" s="264"/>
      <c r="BK108" s="264"/>
      <c r="BL108" s="264"/>
    </row>
    <row r="109" spans="1:64" ht="24" customHeight="1" x14ac:dyDescent="0.2">
      <c r="A109" s="1324"/>
      <c r="B109" s="127"/>
      <c r="C109" s="127"/>
      <c r="D109" s="127"/>
      <c r="E109" s="127"/>
      <c r="F109" s="127"/>
      <c r="G109" s="127"/>
      <c r="H109" s="127"/>
      <c r="I109" s="127"/>
      <c r="J109" s="127"/>
      <c r="K109" s="127"/>
      <c r="L109" s="127"/>
      <c r="M109" s="127"/>
      <c r="N109" s="127"/>
      <c r="O109" s="127"/>
      <c r="P109" s="127"/>
      <c r="Q109" s="127"/>
      <c r="R109" s="127"/>
      <c r="S109" s="127"/>
      <c r="T109" s="470" t="str">
        <f>AE187</f>
        <v>Questa colonna esiste già !!!</v>
      </c>
      <c r="U109" s="127"/>
      <c r="V109" s="127"/>
      <c r="W109" s="127"/>
      <c r="X109" s="127"/>
      <c r="Y109" s="127"/>
      <c r="Z109" s="127"/>
      <c r="AA109" s="127"/>
      <c r="AB109" s="127"/>
      <c r="AC109" s="1324"/>
      <c r="AD109" s="1324"/>
      <c r="AE109" s="1324"/>
      <c r="AF109" s="1324"/>
      <c r="AG109" s="1324"/>
      <c r="AH109" s="1324"/>
      <c r="AI109" s="1324"/>
      <c r="AJ109" s="1324"/>
      <c r="AK109" s="1324"/>
      <c r="AL109" s="1324"/>
      <c r="AM109" s="1324"/>
      <c r="AN109" s="33"/>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row>
    <row r="110" spans="1:64" ht="19.5" customHeight="1" x14ac:dyDescent="0.2">
      <c r="A110" s="1364"/>
      <c r="B110" s="127"/>
      <c r="C110" s="638" t="s">
        <v>457</v>
      </c>
      <c r="D110" s="638"/>
      <c r="E110" s="638"/>
      <c r="F110" s="638"/>
      <c r="G110" s="638"/>
      <c r="H110" s="638"/>
      <c r="I110" s="638"/>
      <c r="J110" s="638"/>
      <c r="K110" s="638"/>
      <c r="L110" s="638"/>
      <c r="M110" s="638"/>
      <c r="N110" s="638"/>
      <c r="O110" s="638"/>
      <c r="P110" s="638"/>
      <c r="Q110" s="145"/>
      <c r="R110" s="145"/>
      <c r="S110" s="145"/>
      <c r="T110" s="145"/>
      <c r="U110" s="145"/>
      <c r="V110" s="145"/>
      <c r="W110" s="145"/>
      <c r="X110" s="145"/>
      <c r="Y110" s="145"/>
      <c r="Z110" s="145"/>
      <c r="AA110" s="145"/>
      <c r="AB110" s="145"/>
      <c r="AC110" s="33"/>
      <c r="AD110" s="33"/>
      <c r="AE110" s="33"/>
      <c r="AF110" s="33"/>
      <c r="AG110" s="33"/>
      <c r="AH110" s="33"/>
      <c r="AI110" s="33"/>
      <c r="AJ110" s="33"/>
      <c r="AK110" s="33"/>
      <c r="AL110" s="33"/>
      <c r="AM110" s="33"/>
      <c r="AN110" s="33"/>
      <c r="AO110" s="264"/>
      <c r="AP110" s="264"/>
      <c r="AQ110" s="264"/>
      <c r="AR110" s="264"/>
      <c r="AS110" s="264"/>
      <c r="AT110" s="264"/>
      <c r="AU110" s="264"/>
      <c r="AV110" s="264"/>
      <c r="AW110" s="264"/>
      <c r="AX110" s="264"/>
      <c r="AY110" s="264"/>
      <c r="AZ110" s="264"/>
      <c r="BA110" s="264"/>
      <c r="BB110" s="264"/>
      <c r="BC110" s="264"/>
      <c r="BD110" s="264"/>
      <c r="BE110" s="264"/>
      <c r="BF110" s="264"/>
      <c r="BG110" s="264"/>
      <c r="BH110" s="264"/>
      <c r="BI110" s="264"/>
      <c r="BJ110" s="264"/>
      <c r="BK110" s="264"/>
      <c r="BL110" s="264"/>
    </row>
    <row r="111" spans="1:64" ht="19.5" customHeight="1" x14ac:dyDescent="0.25">
      <c r="A111" s="1324"/>
      <c r="B111" s="143"/>
      <c r="C111" s="1753" t="s">
        <v>451</v>
      </c>
      <c r="D111" s="1753"/>
      <c r="E111" s="1753"/>
      <c r="F111" s="1753"/>
      <c r="G111" s="1753"/>
      <c r="H111" s="1753"/>
      <c r="I111" s="1753"/>
      <c r="J111" s="1741"/>
      <c r="K111" s="1741"/>
      <c r="L111" s="1741"/>
      <c r="M111" s="1741"/>
      <c r="N111" s="1764" t="str">
        <f>IF(J111="","",IF(HLOOKUP(J111,$H$22:$AI$36,15,FALSE)=0,"",HLOOKUP(J111,$H$22:$AI$36,15,FALSE)))</f>
        <v/>
      </c>
      <c r="O111" s="1764"/>
      <c r="P111" s="1764"/>
      <c r="Q111" s="679" t="s">
        <v>512</v>
      </c>
      <c r="R111" s="145"/>
      <c r="S111" s="145"/>
      <c r="T111" s="145"/>
      <c r="U111" s="145"/>
      <c r="V111" s="145"/>
      <c r="W111" s="145"/>
      <c r="X111" s="145"/>
      <c r="Y111" s="145"/>
      <c r="Z111" s="1730" t="str">
        <f>IF(SUM(O186:Z186)&gt;0,J$412,"")</f>
        <v/>
      </c>
      <c r="AA111" s="1730"/>
      <c r="AB111" s="1730"/>
      <c r="AC111" s="1730"/>
      <c r="AD111" s="1730"/>
      <c r="AE111" s="1730"/>
      <c r="AF111" s="1730"/>
      <c r="AG111" s="1730"/>
      <c r="AH111" s="33"/>
      <c r="AI111" s="33"/>
      <c r="AJ111" s="33"/>
      <c r="AK111" s="33"/>
      <c r="AL111" s="144"/>
      <c r="AM111" s="138"/>
      <c r="AN111" s="33"/>
      <c r="AO111" s="264"/>
      <c r="AP111" s="264"/>
      <c r="AQ111" s="264"/>
      <c r="AR111" s="264"/>
      <c r="AS111" s="264"/>
      <c r="AT111" s="264"/>
      <c r="AU111" s="264"/>
      <c r="AV111" s="264"/>
      <c r="AW111" s="264"/>
      <c r="AX111" s="264"/>
      <c r="AY111" s="264"/>
      <c r="AZ111" s="264"/>
      <c r="BA111" s="264"/>
      <c r="BB111" s="264"/>
      <c r="BC111" s="264"/>
      <c r="BD111" s="264"/>
      <c r="BE111" s="264"/>
      <c r="BF111" s="264"/>
      <c r="BG111" s="264"/>
      <c r="BH111" s="264"/>
      <c r="BI111" s="264"/>
      <c r="BJ111" s="264"/>
      <c r="BK111" s="264"/>
      <c r="BL111" s="264"/>
    </row>
    <row r="112" spans="1:64" ht="9" customHeight="1" x14ac:dyDescent="0.2">
      <c r="A112" s="1324"/>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324"/>
      <c r="AD112" s="1324"/>
      <c r="AE112" s="1324"/>
      <c r="AF112" s="1324"/>
      <c r="AG112" s="1324"/>
      <c r="AH112" s="1324"/>
      <c r="AI112" s="1324"/>
      <c r="AJ112" s="1324"/>
      <c r="AK112" s="1324"/>
      <c r="AL112" s="1324"/>
      <c r="AM112" s="1324"/>
      <c r="AN112" s="33"/>
      <c r="AO112" s="264"/>
      <c r="AP112" s="264"/>
      <c r="AQ112" s="264"/>
      <c r="AR112" s="264"/>
      <c r="AS112" s="264"/>
      <c r="AT112" s="264"/>
      <c r="AU112" s="264"/>
      <c r="AV112" s="264"/>
      <c r="AW112" s="264"/>
      <c r="AX112" s="264"/>
      <c r="AY112" s="264"/>
      <c r="AZ112" s="264"/>
      <c r="BA112" s="264"/>
      <c r="BB112" s="264"/>
      <c r="BC112" s="264"/>
      <c r="BD112" s="264"/>
      <c r="BE112" s="264"/>
      <c r="BF112" s="264"/>
      <c r="BG112" s="264"/>
      <c r="BH112" s="264"/>
      <c r="BI112" s="264"/>
      <c r="BJ112" s="264"/>
      <c r="BK112" s="264"/>
      <c r="BL112" s="264"/>
    </row>
    <row r="113" spans="1:64" ht="18.75" customHeight="1" x14ac:dyDescent="0.25">
      <c r="A113" s="1324"/>
      <c r="B113" s="127"/>
      <c r="C113" s="127"/>
      <c r="D113" s="33"/>
      <c r="E113" s="33"/>
      <c r="F113" s="33"/>
      <c r="G113" s="303">
        <f>IF(T113="",0,1)</f>
        <v>0</v>
      </c>
      <c r="H113" s="303" t="str">
        <f>IF(J111="","",HLOOKUP(J111,$I$21:$AG$25,3,FALSE))</f>
        <v/>
      </c>
      <c r="I113" s="103" t="str">
        <f>IF(H113=0,"",H113)</f>
        <v/>
      </c>
      <c r="J113" s="1710" t="str">
        <f>IF(J$111="","",HLOOKUP(J$111,$H$22:$AI$29,6,FALSE))</f>
        <v/>
      </c>
      <c r="K113" s="1518"/>
      <c r="L113" s="1518"/>
      <c r="M113" s="1711"/>
      <c r="N113" s="33"/>
      <c r="O113" s="33"/>
      <c r="P113" s="33"/>
      <c r="Q113" s="33"/>
      <c r="R113" s="1591" t="s">
        <v>415</v>
      </c>
      <c r="S113" s="1591"/>
      <c r="T113" s="1351"/>
      <c r="U113" s="1710" t="str">
        <f>IF(J$111="","",IF(T113="","",VLOOKUP(T113,$B$8:$K$17,10,FALSE)))</f>
        <v/>
      </c>
      <c r="V113" s="1518"/>
      <c r="W113" s="1518"/>
      <c r="X113" s="1711"/>
      <c r="Y113" s="127"/>
      <c r="Z113" s="1731" t="s">
        <v>454</v>
      </c>
      <c r="AA113" s="1731"/>
      <c r="AB113" s="1731"/>
      <c r="AC113" s="1731"/>
      <c r="AD113" s="1731"/>
      <c r="AE113" s="1731"/>
      <c r="AF113" s="1731"/>
      <c r="AG113" s="1731"/>
      <c r="AH113" s="1324"/>
      <c r="AI113" s="1324"/>
      <c r="AJ113" s="1324"/>
      <c r="AK113" s="1324"/>
      <c r="AL113" s="33"/>
      <c r="AM113" s="33"/>
      <c r="AN113" s="33"/>
      <c r="AO113" s="264"/>
      <c r="AP113" s="264"/>
      <c r="AQ113" s="264"/>
      <c r="AR113" s="264"/>
      <c r="AS113" s="264"/>
      <c r="AT113" s="264"/>
      <c r="AU113" s="264"/>
      <c r="AV113" s="264"/>
      <c r="AW113" s="264"/>
      <c r="AX113" s="264"/>
      <c r="AY113" s="264"/>
      <c r="AZ113" s="264"/>
      <c r="BA113" s="264"/>
      <c r="BB113" s="264"/>
      <c r="BC113" s="264"/>
      <c r="BD113" s="264"/>
      <c r="BE113" s="264"/>
      <c r="BF113" s="264"/>
      <c r="BG113" s="264"/>
      <c r="BH113" s="264"/>
      <c r="BI113" s="264"/>
      <c r="BJ113" s="264"/>
      <c r="BK113" s="264"/>
      <c r="BL113" s="264"/>
    </row>
    <row r="114" spans="1:64" ht="18.75" customHeight="1" x14ac:dyDescent="0.2">
      <c r="A114" s="1324"/>
      <c r="B114" s="127"/>
      <c r="C114" s="127"/>
      <c r="D114" s="33"/>
      <c r="E114" s="33"/>
      <c r="F114" s="33"/>
      <c r="G114" s="303">
        <f>IF(T114="",0,1)</f>
        <v>0</v>
      </c>
      <c r="H114" s="303" t="str">
        <f>IF(J111="","",HLOOKUP(J111,$I$21:$AG$25,4,FALSE))</f>
        <v/>
      </c>
      <c r="I114" s="103" t="str">
        <f>IF(H114=0,"",H114)</f>
        <v/>
      </c>
      <c r="J114" s="1743" t="str">
        <f>IF(J$111="","",HLOOKUP(J$111,$H$22:$AI$29,7,FALSE))</f>
        <v/>
      </c>
      <c r="K114" s="1520"/>
      <c r="L114" s="1520"/>
      <c r="M114" s="1744"/>
      <c r="N114" s="1880" t="s">
        <v>453</v>
      </c>
      <c r="O114" s="1881"/>
      <c r="P114" s="1881"/>
      <c r="Q114" s="1881"/>
      <c r="R114" s="680" t="s">
        <v>508</v>
      </c>
      <c r="S114" s="1354"/>
      <c r="T114" s="1352"/>
      <c r="U114" s="1743" t="str">
        <f>IF(J111="","",IF(SUM(G113:G115)=0,"",IF(T114="","",VLOOKUP(T114,$R$132:$Y$146,8,FALSE))))</f>
        <v/>
      </c>
      <c r="V114" s="1520"/>
      <c r="W114" s="1520"/>
      <c r="X114" s="1744"/>
      <c r="Y114" s="127"/>
      <c r="Z114" s="1732" t="s">
        <v>455</v>
      </c>
      <c r="AA114" s="1732"/>
      <c r="AB114" s="1732"/>
      <c r="AC114" s="1732"/>
      <c r="AD114" s="1732" t="s">
        <v>292</v>
      </c>
      <c r="AE114" s="1732"/>
      <c r="AF114" s="1732"/>
      <c r="AG114" s="1732"/>
      <c r="AH114" s="1324"/>
      <c r="AI114" s="1324"/>
      <c r="AJ114" s="1324"/>
      <c r="AK114" s="1324"/>
      <c r="AL114" s="33"/>
      <c r="AM114" s="33"/>
      <c r="AN114" s="33"/>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row>
    <row r="115" spans="1:64" ht="18.75" customHeight="1" x14ac:dyDescent="0.2">
      <c r="A115" s="1324"/>
      <c r="B115" s="127"/>
      <c r="C115" s="127"/>
      <c r="D115" s="33"/>
      <c r="E115" s="33"/>
      <c r="F115" s="33"/>
      <c r="G115" s="303">
        <f>IF(T115="",0,1)</f>
        <v>0</v>
      </c>
      <c r="H115" s="303" t="str">
        <f>IF(J111="","",HLOOKUP(J111,$I$21:$AG$25,5,FALSE))</f>
        <v/>
      </c>
      <c r="I115" s="103" t="str">
        <f>IF(H115=0,"",H115)</f>
        <v/>
      </c>
      <c r="J115" s="1750" t="str">
        <f>IF(J$111="","",HLOOKUP(J$111,$H$22:$AI$29,8,FALSE))</f>
        <v/>
      </c>
      <c r="K115" s="1751"/>
      <c r="L115" s="1751"/>
      <c r="M115" s="1752"/>
      <c r="N115" s="33"/>
      <c r="O115" s="33"/>
      <c r="P115" s="33"/>
      <c r="Q115" s="33"/>
      <c r="R115" s="1591" t="s">
        <v>416</v>
      </c>
      <c r="S115" s="1591"/>
      <c r="T115" s="1353"/>
      <c r="U115" s="1750" t="str">
        <f>IF(J111="","",IF(T115="","",VLOOKUP(T115,$AF$8:$AG$14,2,FALSE)))</f>
        <v/>
      </c>
      <c r="V115" s="1751"/>
      <c r="W115" s="1751"/>
      <c r="X115" s="1752"/>
      <c r="Y115" s="158"/>
      <c r="Z115" s="1720"/>
      <c r="AA115" s="1721"/>
      <c r="AB115" s="1721"/>
      <c r="AC115" s="1722"/>
      <c r="AD115" s="1733"/>
      <c r="AE115" s="1721"/>
      <c r="AF115" s="1721"/>
      <c r="AG115" s="1734"/>
      <c r="AH115" s="1884" t="str">
        <f>IF(N111="",IF(OR(Z115="",AD115=""),"",IF(OR(AND(T114&lt;&gt;"",S114=""),AND(S114&lt;&gt;"",T114="")),L$185,IF(OR(Z116&gt;AD116,AH186=L$185),C$152,H$412))),L$185)</f>
        <v/>
      </c>
      <c r="AI115" s="1885"/>
      <c r="AJ115" s="1885"/>
      <c r="AK115" s="1324"/>
      <c r="AL115" s="33"/>
      <c r="AM115" s="33"/>
      <c r="AN115" s="33"/>
      <c r="AO115" s="264"/>
      <c r="AP115" s="264"/>
      <c r="AQ115" s="264"/>
      <c r="AR115" s="264"/>
      <c r="AS115" s="264"/>
      <c r="AT115" s="264"/>
      <c r="AU115" s="264"/>
      <c r="AV115" s="264"/>
      <c r="AW115" s="264"/>
      <c r="AX115" s="264"/>
      <c r="AY115" s="264"/>
      <c r="AZ115" s="264"/>
      <c r="BA115" s="264"/>
      <c r="BB115" s="264"/>
      <c r="BC115" s="264"/>
      <c r="BD115" s="264"/>
      <c r="BE115" s="264"/>
      <c r="BF115" s="264"/>
      <c r="BG115" s="264"/>
      <c r="BH115" s="264"/>
      <c r="BI115" s="264"/>
      <c r="BJ115" s="264"/>
      <c r="BK115" s="264"/>
      <c r="BL115" s="264"/>
    </row>
    <row r="116" spans="1:64" ht="18" customHeight="1" x14ac:dyDescent="0.25">
      <c r="A116" s="1324"/>
      <c r="B116" s="127"/>
      <c r="C116" s="127"/>
      <c r="D116" s="127"/>
      <c r="E116" s="127"/>
      <c r="F116" s="127"/>
      <c r="G116" s="127"/>
      <c r="H116" s="127"/>
      <c r="I116" s="127"/>
      <c r="J116" s="1592" t="s">
        <v>452</v>
      </c>
      <c r="K116" s="1592"/>
      <c r="L116" s="1592"/>
      <c r="M116" s="1592"/>
      <c r="N116" s="127"/>
      <c r="O116" s="127"/>
      <c r="P116" s="127"/>
      <c r="Q116" s="127"/>
      <c r="R116" s="127"/>
      <c r="S116" s="1357">
        <f>COUNTIF(T113:T115,"")</f>
        <v>3</v>
      </c>
      <c r="T116" s="1545" t="s">
        <v>458</v>
      </c>
      <c r="U116" s="1545"/>
      <c r="V116" s="1545"/>
      <c r="W116" s="1545"/>
      <c r="X116" s="1545"/>
      <c r="Y116" s="127"/>
      <c r="Z116" s="1723" t="e">
        <f>VLOOKUP(Z115,C$167:G$178,5,FALSE)</f>
        <v>#N/A</v>
      </c>
      <c r="AA116" s="1723"/>
      <c r="AB116" s="1723"/>
      <c r="AC116" s="1723"/>
      <c r="AD116" s="1723" t="e">
        <f>VLOOKUP(AD115,C$167:G$178,5,FALSE)</f>
        <v>#N/A</v>
      </c>
      <c r="AE116" s="1723"/>
      <c r="AF116" s="1723"/>
      <c r="AG116" s="1723"/>
      <c r="AH116" s="1324"/>
      <c r="AI116" s="1324"/>
      <c r="AJ116" s="1324"/>
      <c r="AK116" s="1324"/>
      <c r="AL116" s="1324"/>
      <c r="AM116" s="1324"/>
      <c r="AN116" s="33"/>
      <c r="AO116" s="264"/>
      <c r="AP116" s="264"/>
      <c r="AQ116" s="264"/>
      <c r="AR116" s="264"/>
      <c r="AS116" s="264"/>
      <c r="AT116" s="264"/>
      <c r="AU116" s="264"/>
      <c r="AV116" s="264"/>
      <c r="AW116" s="264"/>
      <c r="AX116" s="264"/>
      <c r="AY116" s="264"/>
      <c r="AZ116" s="264"/>
      <c r="BA116" s="264"/>
      <c r="BB116" s="264"/>
      <c r="BC116" s="264"/>
      <c r="BD116" s="264"/>
      <c r="BE116" s="264"/>
      <c r="BF116" s="264"/>
      <c r="BG116" s="264"/>
      <c r="BH116" s="264"/>
      <c r="BI116" s="264"/>
      <c r="BJ116" s="264"/>
      <c r="BK116" s="264"/>
      <c r="BL116" s="264"/>
    </row>
    <row r="117" spans="1:64" ht="24" customHeight="1" x14ac:dyDescent="0.2">
      <c r="A117" s="1324"/>
      <c r="B117" s="127"/>
      <c r="C117" s="127"/>
      <c r="D117" s="127"/>
      <c r="E117" s="127"/>
      <c r="F117" s="127"/>
      <c r="G117" s="127"/>
      <c r="H117" s="127"/>
      <c r="I117" s="127"/>
      <c r="J117" s="127"/>
      <c r="K117" s="127"/>
      <c r="L117" s="127"/>
      <c r="M117" s="127"/>
      <c r="N117" s="127"/>
      <c r="O117" s="127"/>
      <c r="P117" s="127"/>
      <c r="Q117" s="127"/>
      <c r="R117" s="127"/>
      <c r="S117" s="127"/>
      <c r="T117" s="470" t="str">
        <f>AH187</f>
        <v>Questa colonna esiste già !!!</v>
      </c>
      <c r="U117" s="127"/>
      <c r="V117" s="127"/>
      <c r="W117" s="127"/>
      <c r="X117" s="127"/>
      <c r="Y117" s="127"/>
      <c r="Z117" s="127"/>
      <c r="AA117" s="127"/>
      <c r="AB117" s="127"/>
      <c r="AC117" s="1324"/>
      <c r="AD117" s="1324"/>
      <c r="AE117" s="1324"/>
      <c r="AF117" s="1324"/>
      <c r="AG117" s="1324"/>
      <c r="AH117" s="1324"/>
      <c r="AI117" s="1324"/>
      <c r="AJ117" s="1324"/>
      <c r="AK117" s="1324"/>
      <c r="AL117" s="1324"/>
      <c r="AM117" s="1324"/>
      <c r="AN117" s="33"/>
      <c r="AO117" s="264"/>
      <c r="AP117" s="264"/>
      <c r="AQ117" s="264"/>
      <c r="AR117" s="264"/>
      <c r="AS117" s="264"/>
      <c r="AT117" s="264"/>
      <c r="AU117" s="264"/>
      <c r="AV117" s="264"/>
      <c r="AW117" s="264"/>
      <c r="AX117" s="264"/>
      <c r="AY117" s="264"/>
      <c r="AZ117" s="264"/>
      <c r="BA117" s="264"/>
      <c r="BB117" s="264"/>
      <c r="BC117" s="264"/>
      <c r="BD117" s="264"/>
      <c r="BE117" s="264"/>
      <c r="BF117" s="264"/>
      <c r="BG117" s="264"/>
      <c r="BH117" s="264"/>
      <c r="BI117" s="264"/>
      <c r="BJ117" s="264"/>
      <c r="BK117" s="264"/>
      <c r="BL117" s="264"/>
    </row>
    <row r="118" spans="1:64" ht="18" customHeight="1" x14ac:dyDescent="0.2">
      <c r="A118" s="648"/>
      <c r="B118" s="648"/>
      <c r="C118" s="1367">
        <f>IF(AND(AH99&lt;&gt;C152,AH107&lt;&gt;C152,AH115&lt;&gt;C152),1,0)</f>
        <v>1</v>
      </c>
      <c r="D118" s="1053" t="s">
        <v>583</v>
      </c>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127"/>
      <c r="AA118" s="127"/>
      <c r="AB118" s="127"/>
      <c r="AC118" s="1324"/>
      <c r="AD118" s="1324"/>
      <c r="AE118" s="1324"/>
      <c r="AF118" s="1324"/>
      <c r="AG118" s="1324"/>
      <c r="AH118" s="1324"/>
      <c r="AI118" s="1324"/>
      <c r="AJ118" s="1324"/>
      <c r="AK118" s="1324"/>
      <c r="AL118" s="1324"/>
      <c r="AM118" s="1324"/>
      <c r="AN118" s="33"/>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row>
    <row r="119" spans="1:64" ht="18" customHeight="1" x14ac:dyDescent="0.2">
      <c r="A119" s="648"/>
      <c r="B119" s="648"/>
      <c r="C119" s="648"/>
      <c r="D119" s="1054" t="s">
        <v>584</v>
      </c>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127"/>
      <c r="AA119" s="127"/>
      <c r="AB119" s="127"/>
      <c r="AC119" s="1324"/>
      <c r="AD119" s="1324"/>
      <c r="AE119" s="1324"/>
      <c r="AF119" s="1324"/>
      <c r="AG119" s="1324"/>
      <c r="AH119" s="1324"/>
      <c r="AI119" s="1324"/>
      <c r="AJ119" s="1324"/>
      <c r="AK119" s="1324"/>
      <c r="AL119" s="1324"/>
      <c r="AM119" s="1324"/>
      <c r="AN119" s="33"/>
      <c r="AO119" s="264"/>
      <c r="AP119" s="264"/>
      <c r="AQ119" s="264"/>
      <c r="AR119" s="264"/>
      <c r="AS119" s="264"/>
      <c r="AT119" s="264"/>
      <c r="AU119" s="264"/>
      <c r="AV119" s="264"/>
      <c r="AW119" s="264"/>
      <c r="AX119" s="264"/>
      <c r="AY119" s="264"/>
      <c r="AZ119" s="264"/>
      <c r="BA119" s="264"/>
      <c r="BB119" s="264"/>
      <c r="BC119" s="264"/>
      <c r="BD119" s="264"/>
      <c r="BE119" s="264"/>
      <c r="BF119" s="264"/>
      <c r="BG119" s="264"/>
      <c r="BH119" s="264"/>
      <c r="BI119" s="264"/>
      <c r="BJ119" s="264"/>
      <c r="BK119" s="264"/>
      <c r="BL119" s="264"/>
    </row>
    <row r="120" spans="1:64" ht="18" customHeight="1" x14ac:dyDescent="0.2">
      <c r="A120" s="648"/>
      <c r="B120" s="648"/>
      <c r="C120" s="648"/>
      <c r="D120" s="1054" t="s">
        <v>585</v>
      </c>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127"/>
      <c r="AA120" s="127"/>
      <c r="AB120" s="127"/>
      <c r="AC120" s="1324"/>
      <c r="AD120" s="1324"/>
      <c r="AE120" s="1324"/>
      <c r="AF120" s="1324"/>
      <c r="AG120" s="1324"/>
      <c r="AH120" s="1324"/>
      <c r="AI120" s="1324"/>
      <c r="AJ120" s="1324"/>
      <c r="AK120" s="1324"/>
      <c r="AL120" s="1324"/>
      <c r="AM120" s="1324"/>
      <c r="AN120" s="33"/>
      <c r="AO120" s="264"/>
      <c r="AP120" s="264"/>
      <c r="AQ120" s="264"/>
      <c r="AR120" s="264"/>
      <c r="AS120" s="264"/>
      <c r="AT120" s="264"/>
      <c r="AU120" s="264"/>
      <c r="AV120" s="264"/>
      <c r="AW120" s="264"/>
      <c r="AX120" s="264"/>
      <c r="AY120" s="264"/>
      <c r="AZ120" s="264"/>
      <c r="BA120" s="264"/>
      <c r="BB120" s="264"/>
      <c r="BC120" s="264"/>
      <c r="BD120" s="264"/>
      <c r="BE120" s="264"/>
      <c r="BF120" s="264"/>
      <c r="BG120" s="264"/>
      <c r="BH120" s="264"/>
      <c r="BI120" s="264"/>
      <c r="BJ120" s="264"/>
      <c r="BK120" s="264"/>
      <c r="BL120" s="264"/>
    </row>
    <row r="121" spans="1:64" ht="17.25" customHeight="1" x14ac:dyDescent="0.2">
      <c r="A121" s="648"/>
      <c r="B121" s="648"/>
      <c r="C121" s="648"/>
      <c r="D121" s="1054" t="s">
        <v>586</v>
      </c>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127"/>
      <c r="AA121" s="127"/>
      <c r="AB121" s="127"/>
      <c r="AC121" s="1324"/>
      <c r="AD121" s="1324"/>
      <c r="AE121" s="1324"/>
      <c r="AF121" s="1324"/>
      <c r="AG121" s="1324"/>
      <c r="AH121" s="1324"/>
      <c r="AI121" s="1324"/>
      <c r="AJ121" s="1324"/>
      <c r="AK121" s="1324"/>
      <c r="AL121" s="1324"/>
      <c r="AM121" s="1324"/>
      <c r="AN121" s="33"/>
      <c r="AO121" s="264"/>
      <c r="AP121" s="264"/>
      <c r="AQ121" s="264"/>
      <c r="AR121" s="264"/>
      <c r="AS121" s="264"/>
      <c r="AT121" s="264"/>
      <c r="AU121" s="264"/>
      <c r="AV121" s="264"/>
      <c r="AW121" s="264"/>
      <c r="AX121" s="264"/>
      <c r="AY121" s="264"/>
      <c r="AZ121" s="264"/>
      <c r="BA121" s="264"/>
      <c r="BB121" s="264"/>
      <c r="BC121" s="264"/>
      <c r="BD121" s="264"/>
      <c r="BE121" s="264"/>
      <c r="BF121" s="264"/>
      <c r="BG121" s="264"/>
      <c r="BH121" s="264"/>
      <c r="BI121" s="264"/>
      <c r="BJ121" s="264"/>
      <c r="BK121" s="264"/>
      <c r="BL121" s="264"/>
    </row>
    <row r="122" spans="1:64" ht="17.25" customHeight="1" x14ac:dyDescent="0.2">
      <c r="A122" s="648"/>
      <c r="B122" s="648"/>
      <c r="C122" s="648"/>
      <c r="D122" s="1054" t="s">
        <v>587</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127"/>
      <c r="AA122" s="127"/>
      <c r="AB122" s="127"/>
      <c r="AC122" s="1324"/>
      <c r="AD122" s="1324"/>
      <c r="AE122" s="1324"/>
      <c r="AF122" s="1324"/>
      <c r="AG122" s="1324"/>
      <c r="AH122" s="1324"/>
      <c r="AI122" s="1324"/>
      <c r="AJ122" s="1324"/>
      <c r="AK122" s="1324"/>
      <c r="AL122" s="1324"/>
      <c r="AM122" s="1324"/>
      <c r="AN122" s="33"/>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row>
    <row r="123" spans="1:64" ht="18" customHeight="1" x14ac:dyDescent="0.2">
      <c r="A123" s="648"/>
      <c r="B123" s="648"/>
      <c r="C123" s="648"/>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127"/>
      <c r="AA123" s="127"/>
      <c r="AB123" s="127"/>
      <c r="AC123" s="1324"/>
      <c r="AD123" s="1324"/>
      <c r="AE123" s="1324"/>
      <c r="AF123" s="1324"/>
      <c r="AG123" s="1324"/>
      <c r="AH123" s="1324"/>
      <c r="AI123" s="1324"/>
      <c r="AJ123" s="1324"/>
      <c r="AK123" s="1324"/>
      <c r="AL123" s="1324"/>
      <c r="AM123" s="1324"/>
      <c r="AN123" s="33"/>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row>
    <row r="124" spans="1:64" ht="18" customHeight="1" x14ac:dyDescent="0.2">
      <c r="A124" s="648"/>
      <c r="B124" s="648"/>
      <c r="C124" s="648"/>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1896" t="s">
        <v>251</v>
      </c>
      <c r="AA124" s="1896"/>
      <c r="AB124" s="1896"/>
      <c r="AC124" s="1756"/>
      <c r="AD124" s="1756"/>
      <c r="AE124" s="1756"/>
      <c r="AF124" s="1756"/>
      <c r="AG124" s="1756"/>
      <c r="AH124" s="1756"/>
      <c r="AI124" s="1756"/>
      <c r="AJ124" s="1756"/>
      <c r="AK124" s="1756"/>
      <c r="AL124" s="1756"/>
      <c r="AM124" s="1756"/>
      <c r="AN124" s="33"/>
      <c r="AO124" s="264"/>
      <c r="AP124" s="264"/>
      <c r="AQ124" s="264"/>
      <c r="AR124" s="264"/>
      <c r="AS124" s="264"/>
      <c r="AT124" s="264"/>
      <c r="AU124" s="264"/>
      <c r="AV124" s="264"/>
      <c r="AW124" s="264"/>
      <c r="AX124" s="264"/>
      <c r="AY124" s="264"/>
      <c r="AZ124" s="264"/>
      <c r="BA124" s="264"/>
      <c r="BB124" s="264"/>
      <c r="BC124" s="264"/>
      <c r="BD124" s="264"/>
      <c r="BE124" s="264"/>
      <c r="BF124" s="264"/>
      <c r="BG124" s="264"/>
      <c r="BH124" s="264"/>
      <c r="BI124" s="264"/>
      <c r="BJ124" s="264"/>
      <c r="BK124" s="264"/>
      <c r="BL124" s="264"/>
    </row>
    <row r="125" spans="1:64" ht="18" customHeight="1" x14ac:dyDescent="0.2">
      <c r="A125" s="141"/>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324"/>
      <c r="AD125" s="1324"/>
      <c r="AE125" s="1324"/>
      <c r="AF125" s="1324"/>
      <c r="AG125" s="1324"/>
      <c r="AH125" s="1324"/>
      <c r="AI125" s="1324"/>
      <c r="AJ125" s="1324"/>
      <c r="AK125" s="1324"/>
      <c r="AL125" s="1324"/>
      <c r="AM125" s="1324"/>
      <c r="AN125" s="33"/>
      <c r="AO125" s="264"/>
      <c r="AP125" s="264"/>
      <c r="AQ125" s="264"/>
      <c r="AR125" s="264"/>
      <c r="AS125" s="264"/>
      <c r="AT125" s="264"/>
      <c r="AU125" s="264"/>
      <c r="AV125" s="264"/>
      <c r="AW125" s="264"/>
      <c r="AX125" s="264"/>
      <c r="AY125" s="264"/>
      <c r="AZ125" s="264"/>
      <c r="BA125" s="264"/>
      <c r="BB125" s="264"/>
      <c r="BC125" s="264"/>
      <c r="BD125" s="264"/>
      <c r="BE125" s="264"/>
      <c r="BF125" s="264"/>
      <c r="BG125" s="264"/>
      <c r="BH125" s="264"/>
      <c r="BI125" s="264"/>
      <c r="BJ125" s="264"/>
      <c r="BK125" s="264"/>
      <c r="BL125" s="264"/>
    </row>
    <row r="126" spans="1:64" ht="18" customHeight="1" x14ac:dyDescent="0.2">
      <c r="A126" s="1324"/>
      <c r="B126" s="127"/>
      <c r="C126" s="127"/>
      <c r="D126" s="127"/>
      <c r="E126" s="127"/>
      <c r="F126" s="127"/>
      <c r="G126" s="127"/>
      <c r="H126" s="127"/>
      <c r="I126" s="127"/>
      <c r="J126" s="127"/>
      <c r="K126" s="127"/>
      <c r="L126" s="127"/>
      <c r="M126" s="358" t="str">
        <f>Presentazione!$H$23</f>
        <v/>
      </c>
      <c r="N126" s="127"/>
      <c r="O126" s="127"/>
      <c r="P126" s="127"/>
      <c r="Q126" s="127"/>
      <c r="R126" s="127"/>
      <c r="S126" s="127"/>
      <c r="T126" s="127"/>
      <c r="U126" s="127"/>
      <c r="V126" s="127"/>
      <c r="W126" s="127"/>
      <c r="X126" s="127"/>
      <c r="Y126" s="127"/>
      <c r="Z126" s="127"/>
      <c r="AA126" s="127"/>
      <c r="AB126" s="127"/>
      <c r="AC126" s="1324"/>
      <c r="AD126" s="1324"/>
      <c r="AE126" s="1324"/>
      <c r="AF126" s="1324"/>
      <c r="AG126" s="1324"/>
      <c r="AH126" s="1324"/>
      <c r="AI126" s="1324"/>
      <c r="AJ126" s="1324"/>
      <c r="AK126" s="1324"/>
      <c r="AL126" s="1324"/>
      <c r="AM126" s="1324"/>
      <c r="AN126" s="33"/>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row>
    <row r="127" spans="1:64" ht="16.5" customHeight="1" x14ac:dyDescent="0.2">
      <c r="A127" s="1324"/>
      <c r="B127" s="411" t="str">
        <f>Presentazione!$G$29</f>
        <v>Registro Contabile Giornaliero 6.0.7 - per EXCEL .xlsm</v>
      </c>
      <c r="C127" s="119"/>
      <c r="D127" s="119"/>
      <c r="E127" s="119"/>
      <c r="F127" s="119"/>
      <c r="G127" s="119"/>
      <c r="H127" s="119"/>
      <c r="I127" s="119"/>
      <c r="J127" s="119"/>
      <c r="K127" s="119"/>
      <c r="L127" s="143"/>
      <c r="M127" s="359" t="str">
        <f>IF(Presentazione!$J$173=Presentazione!$K$95,CONCATENATE(Presentazione!$F$89,"   -   ","P.I./C.F ",Presentazione!$K$91),Presentazione!$I$165)</f>
        <v>Sistema attivato dal 01/01 al 31/03. Modifica il trimestre dal foglio Presentazione.</v>
      </c>
      <c r="N127" s="143"/>
      <c r="O127" s="143"/>
      <c r="P127" s="143"/>
      <c r="Q127" s="143"/>
      <c r="R127" s="143"/>
      <c r="S127" s="143"/>
      <c r="T127" s="143"/>
      <c r="U127" s="143"/>
      <c r="V127" s="143"/>
      <c r="W127" s="143"/>
      <c r="X127" s="143"/>
      <c r="Y127" s="143"/>
      <c r="Z127" s="143"/>
      <c r="AA127" s="143"/>
      <c r="AB127" s="143"/>
      <c r="AC127" s="144"/>
      <c r="AD127" s="144"/>
      <c r="AE127" s="144"/>
      <c r="AF127" s="144"/>
      <c r="AG127" s="144"/>
      <c r="AH127" s="119"/>
      <c r="AI127" s="119"/>
      <c r="AJ127" s="119"/>
      <c r="AK127" s="119"/>
      <c r="AL127" s="119"/>
      <c r="AM127" s="577" t="s">
        <v>289</v>
      </c>
      <c r="AN127" s="138"/>
      <c r="AO127" s="264"/>
      <c r="AP127" s="264"/>
      <c r="AQ127" s="264"/>
      <c r="AR127" s="264"/>
      <c r="AS127" s="264"/>
      <c r="AT127" s="264"/>
      <c r="AU127" s="264"/>
      <c r="AV127" s="264"/>
      <c r="AW127" s="264"/>
      <c r="AX127" s="264"/>
      <c r="AY127" s="264"/>
      <c r="AZ127" s="264"/>
      <c r="BA127" s="264"/>
      <c r="BB127" s="264"/>
      <c r="BC127" s="264"/>
      <c r="BD127" s="264"/>
      <c r="BE127" s="264"/>
      <c r="BF127" s="264"/>
      <c r="BG127" s="264"/>
      <c r="BH127" s="264"/>
      <c r="BI127" s="264"/>
      <c r="BJ127" s="264"/>
      <c r="BK127" s="264"/>
      <c r="BL127" s="264"/>
    </row>
    <row r="128" spans="1:64" ht="15" customHeight="1" x14ac:dyDescent="0.2">
      <c r="A128" s="1324"/>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324"/>
      <c r="AD128" s="1324"/>
      <c r="AE128" s="1324"/>
      <c r="AF128" s="1324"/>
      <c r="AG128" s="1324"/>
      <c r="AH128" s="1324"/>
      <c r="AI128" s="1324"/>
      <c r="AJ128" s="1324"/>
      <c r="AK128" s="1324"/>
      <c r="AL128" s="1324"/>
      <c r="AM128" s="1324"/>
      <c r="AN128" s="33"/>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4"/>
      <c r="BK128" s="264"/>
      <c r="BL128" s="264"/>
    </row>
    <row r="129" spans="1:64" s="633" customFormat="1" ht="6.75" hidden="1" customHeight="1" x14ac:dyDescent="0.2">
      <c r="A129" s="681"/>
      <c r="B129" s="681"/>
      <c r="C129" s="681"/>
      <c r="D129" s="681"/>
      <c r="E129" s="681"/>
      <c r="F129" s="681"/>
      <c r="G129" s="681"/>
      <c r="H129" s="681"/>
      <c r="I129" s="681"/>
      <c r="J129" s="681"/>
      <c r="K129" s="681"/>
      <c r="L129" s="681"/>
      <c r="M129" s="681"/>
      <c r="N129" s="681"/>
      <c r="O129" s="681"/>
      <c r="P129" s="681"/>
      <c r="Q129" s="681"/>
      <c r="R129" s="681"/>
      <c r="S129" s="681"/>
      <c r="T129" s="681"/>
      <c r="U129" s="681"/>
      <c r="V129" s="681"/>
      <c r="W129" s="681"/>
      <c r="X129" s="681"/>
      <c r="Y129" s="681"/>
      <c r="Z129" s="681"/>
      <c r="AA129" s="681"/>
      <c r="AB129" s="681"/>
      <c r="AC129" s="681"/>
      <c r="AD129" s="681"/>
      <c r="AE129" s="681"/>
      <c r="AF129" s="681"/>
      <c r="AG129" s="681"/>
      <c r="AH129" s="681"/>
      <c r="AI129" s="681"/>
      <c r="AJ129" s="681"/>
      <c r="AK129" s="681"/>
      <c r="AL129" s="681"/>
      <c r="AM129" s="681"/>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row>
    <row r="130" spans="1:64" ht="15" hidden="1" customHeight="1" x14ac:dyDescent="0.2">
      <c r="A130" s="1324"/>
      <c r="B130" s="1324"/>
      <c r="C130" s="1324"/>
      <c r="D130" s="1324"/>
      <c r="E130" s="1324"/>
      <c r="F130" s="1324"/>
      <c r="G130" s="1324"/>
      <c r="H130" s="1324"/>
      <c r="I130" s="131"/>
      <c r="J130" s="103"/>
      <c r="K130" s="103"/>
      <c r="L130" s="131"/>
      <c r="M130" s="103"/>
      <c r="N130" s="103"/>
      <c r="O130" s="131"/>
      <c r="P130" s="103"/>
      <c r="Q130" s="103"/>
      <c r="R130" s="131"/>
      <c r="S130" s="103"/>
      <c r="T130" s="103"/>
      <c r="U130" s="131"/>
      <c r="V130" s="103"/>
      <c r="W130" s="103"/>
      <c r="X130" s="103"/>
      <c r="Y130" s="1324"/>
      <c r="Z130" s="1324"/>
      <c r="AA130" s="1324"/>
      <c r="AB130" s="1324"/>
      <c r="AC130" s="33"/>
      <c r="AD130" s="33"/>
      <c r="AE130" s="33"/>
      <c r="AF130" s="681"/>
      <c r="AG130" s="681"/>
      <c r="AH130" s="681"/>
      <c r="AI130" s="681"/>
      <c r="AJ130" s="681"/>
      <c r="AK130" s="681"/>
      <c r="AL130" s="681"/>
      <c r="AM130" s="681"/>
      <c r="AN130" s="681"/>
      <c r="AO130" s="681"/>
      <c r="AP130" s="681"/>
      <c r="AQ130" s="681"/>
      <c r="AR130" s="681"/>
      <c r="AS130" s="681"/>
      <c r="AT130" s="681"/>
      <c r="AU130" s="681"/>
      <c r="AV130" s="264"/>
      <c r="AW130" s="264"/>
      <c r="AX130" s="264"/>
      <c r="AY130" s="264"/>
      <c r="AZ130" s="264"/>
      <c r="BA130" s="264"/>
      <c r="BB130" s="264"/>
      <c r="BC130" s="264"/>
      <c r="BD130" s="264"/>
      <c r="BE130" s="264"/>
      <c r="BF130" s="264"/>
      <c r="BG130" s="264"/>
      <c r="BH130" s="264"/>
      <c r="BI130" s="264"/>
      <c r="BJ130" s="264"/>
      <c r="BK130" s="264"/>
      <c r="BL130" s="264"/>
    </row>
    <row r="131" spans="1:64" hidden="1" x14ac:dyDescent="0.2">
      <c r="A131" s="1324"/>
      <c r="B131" s="1324"/>
      <c r="C131" s="630"/>
      <c r="D131" s="630"/>
      <c r="E131" s="630"/>
      <c r="F131" s="630"/>
      <c r="G131" s="630"/>
      <c r="H131" s="630"/>
      <c r="I131" s="630"/>
      <c r="J131" s="630"/>
      <c r="K131" s="630"/>
      <c r="L131" s="1324"/>
      <c r="M131" s="1324"/>
      <c r="N131" s="1324"/>
      <c r="O131" s="1324"/>
      <c r="P131" s="684"/>
      <c r="Q131" s="684"/>
      <c r="R131" s="630"/>
      <c r="S131" s="630"/>
      <c r="T131" s="630"/>
      <c r="U131" s="630"/>
      <c r="V131" s="630"/>
      <c r="W131" s="630"/>
      <c r="X131" s="630"/>
      <c r="Y131" s="630"/>
      <c r="Z131" s="630"/>
      <c r="AA131" s="630"/>
      <c r="AB131" s="630"/>
      <c r="AC131" s="630"/>
      <c r="AD131" s="630"/>
      <c r="AE131" s="630"/>
      <c r="AF131" s="681"/>
      <c r="AG131" s="681"/>
      <c r="AH131" s="681"/>
      <c r="AI131" s="681"/>
      <c r="AJ131" s="681"/>
      <c r="AK131" s="681"/>
      <c r="AL131" s="681"/>
      <c r="AM131" s="681"/>
      <c r="AN131" s="681"/>
      <c r="AO131" s="681"/>
      <c r="AP131" s="681"/>
      <c r="AQ131" s="681"/>
      <c r="AR131" s="681"/>
      <c r="AS131" s="681"/>
      <c r="AT131" s="681"/>
      <c r="AU131" s="681"/>
      <c r="AV131" s="264"/>
      <c r="AW131" s="264"/>
      <c r="AX131" s="264"/>
      <c r="AY131" s="264"/>
      <c r="AZ131" s="264"/>
      <c r="BA131" s="264"/>
      <c r="BB131" s="264"/>
      <c r="BC131" s="264"/>
      <c r="BD131" s="264"/>
      <c r="BE131" s="264"/>
      <c r="BF131" s="264"/>
      <c r="BG131" s="264"/>
      <c r="BH131" s="264"/>
      <c r="BI131" s="264"/>
      <c r="BJ131" s="264"/>
      <c r="BK131" s="264"/>
      <c r="BL131" s="264"/>
    </row>
    <row r="132" spans="1:64" hidden="1" x14ac:dyDescent="0.2">
      <c r="A132" s="1324"/>
      <c r="B132" s="1324"/>
      <c r="C132" s="630"/>
      <c r="D132" s="630"/>
      <c r="E132" s="630"/>
      <c r="F132" s="630"/>
      <c r="G132" s="630"/>
      <c r="H132" s="630"/>
      <c r="I132" s="630"/>
      <c r="J132" s="630"/>
      <c r="K132" s="630"/>
      <c r="M132" s="1324"/>
      <c r="N132" s="1324"/>
      <c r="O132" s="1324"/>
      <c r="P132" s="1324"/>
      <c r="Q132" s="1324"/>
      <c r="R132" s="658" t="str">
        <f>P8</f>
        <v>11</v>
      </c>
      <c r="S132" s="1542" t="str">
        <f>IF(Q8="","",Q8)</f>
        <v>Descrizione #1</v>
      </c>
      <c r="T132" s="1543"/>
      <c r="U132" s="1543"/>
      <c r="V132" s="1544"/>
      <c r="W132" s="661">
        <f t="shared" ref="W132:W140" si="12">IF(ISBLANK(U8),"",U8)</f>
        <v>0</v>
      </c>
      <c r="X132" s="139" t="s">
        <v>252</v>
      </c>
      <c r="Y132" s="1892" t="str">
        <f t="shared" ref="Y132:Y140" si="13">IF(W132="","",CONCATENATE(S132," ",W132," ",X132))</f>
        <v>Descrizione #1 0 %</v>
      </c>
      <c r="Z132" s="1892"/>
      <c r="AA132" s="1892"/>
      <c r="AB132" s="1893"/>
      <c r="AC132" s="166" t="str">
        <f t="shared" ref="AC132:AC141" si="14">TEXT(R132,"00")</f>
        <v>11</v>
      </c>
      <c r="AD132" s="182">
        <f t="shared" ref="AD132:AD141" si="15">W132</f>
        <v>0</v>
      </c>
      <c r="AE132" s="33"/>
      <c r="AF132" s="681"/>
      <c r="AG132" s="681"/>
      <c r="AH132" s="681"/>
      <c r="AI132" s="681"/>
      <c r="AJ132" s="681"/>
      <c r="AK132" s="681"/>
      <c r="AL132" s="681"/>
      <c r="AM132" s="681"/>
      <c r="AN132" s="681"/>
      <c r="AO132" s="681"/>
      <c r="AP132" s="681"/>
      <c r="AQ132" s="681"/>
      <c r="AR132" s="681"/>
      <c r="AS132" s="681"/>
      <c r="AT132" s="681"/>
      <c r="AU132" s="681"/>
      <c r="AV132" s="264"/>
      <c r="AW132" s="264"/>
      <c r="AX132" s="264"/>
      <c r="AY132" s="264"/>
      <c r="AZ132" s="264"/>
      <c r="BA132" s="264"/>
      <c r="BB132" s="264"/>
      <c r="BC132" s="264"/>
      <c r="BD132" s="264"/>
      <c r="BE132" s="264"/>
      <c r="BF132" s="264"/>
      <c r="BG132" s="264"/>
      <c r="BH132" s="264"/>
      <c r="BI132" s="264"/>
      <c r="BJ132" s="264"/>
      <c r="BK132" s="264"/>
      <c r="BL132" s="264"/>
    </row>
    <row r="133" spans="1:64" hidden="1" x14ac:dyDescent="0.2">
      <c r="A133" s="1324"/>
      <c r="B133" s="1324"/>
      <c r="C133" s="630"/>
      <c r="D133" s="682"/>
      <c r="E133" s="630"/>
      <c r="F133" s="1593" t="s">
        <v>516</v>
      </c>
      <c r="G133" s="1594"/>
      <c r="H133" s="1594"/>
      <c r="I133" s="1594"/>
      <c r="J133" s="1594"/>
      <c r="K133" s="1595"/>
      <c r="L133" s="1324"/>
      <c r="M133" s="1324"/>
      <c r="N133" s="1324"/>
      <c r="O133" s="1324"/>
      <c r="P133" s="1324"/>
      <c r="Q133" s="1324"/>
      <c r="R133" s="659" t="str">
        <f t="shared" ref="R133:R141" si="16">P9</f>
        <v>12</v>
      </c>
      <c r="S133" s="1714" t="str">
        <f t="shared" ref="S133:S141" si="17">IF(Q9="","",Q9)</f>
        <v>Descrizione #2</v>
      </c>
      <c r="T133" s="1715"/>
      <c r="U133" s="1715"/>
      <c r="V133" s="1716"/>
      <c r="W133" s="662">
        <f t="shared" si="12"/>
        <v>10</v>
      </c>
      <c r="X133" s="1328" t="s">
        <v>252</v>
      </c>
      <c r="Y133" s="1712" t="str">
        <f t="shared" si="13"/>
        <v>Descrizione #2 10 %</v>
      </c>
      <c r="Z133" s="1712"/>
      <c r="AA133" s="1712"/>
      <c r="AB133" s="1713"/>
      <c r="AC133" s="166" t="str">
        <f t="shared" si="14"/>
        <v>12</v>
      </c>
      <c r="AD133" s="182">
        <f t="shared" si="15"/>
        <v>10</v>
      </c>
      <c r="AE133" s="33"/>
      <c r="AF133" s="681"/>
      <c r="AG133" s="681"/>
      <c r="AH133" s="681"/>
      <c r="AI133" s="681"/>
      <c r="AJ133" s="681"/>
      <c r="AK133" s="681"/>
      <c r="AL133" s="681"/>
      <c r="AM133" s="681"/>
      <c r="AN133" s="681"/>
      <c r="AO133" s="681"/>
      <c r="AP133" s="681"/>
      <c r="AQ133" s="681"/>
      <c r="AR133" s="681"/>
      <c r="AS133" s="681"/>
      <c r="AT133" s="681"/>
      <c r="AU133" s="681"/>
      <c r="AV133" s="264"/>
      <c r="AW133" s="264"/>
      <c r="AX133" s="264"/>
      <c r="AY133" s="264"/>
      <c r="AZ133" s="264"/>
      <c r="BA133" s="264"/>
      <c r="BB133" s="264"/>
      <c r="BC133" s="264"/>
      <c r="BD133" s="264"/>
      <c r="BE133" s="264"/>
      <c r="BF133" s="264"/>
      <c r="BG133" s="264"/>
      <c r="BH133" s="264"/>
      <c r="BI133" s="264"/>
      <c r="BJ133" s="264"/>
      <c r="BK133" s="264"/>
      <c r="BL133" s="264"/>
    </row>
    <row r="134" spans="1:64" hidden="1" x14ac:dyDescent="0.2">
      <c r="A134" s="1324"/>
      <c r="B134" s="1324"/>
      <c r="C134" s="630"/>
      <c r="D134" s="683" t="s">
        <v>437</v>
      </c>
      <c r="E134" s="630"/>
      <c r="F134" s="1593" t="s">
        <v>506</v>
      </c>
      <c r="G134" s="1594"/>
      <c r="H134" s="1594"/>
      <c r="I134" s="1594"/>
      <c r="J134" s="1594"/>
      <c r="K134" s="1595"/>
      <c r="L134" s="1324"/>
      <c r="M134" s="1324"/>
      <c r="N134" s="1324"/>
      <c r="O134" s="1324"/>
      <c r="P134" s="1324"/>
      <c r="Q134" s="1324"/>
      <c r="R134" s="659" t="str">
        <f t="shared" si="16"/>
        <v>13</v>
      </c>
      <c r="S134" s="1714" t="str">
        <f t="shared" si="17"/>
        <v>Descrizione #3</v>
      </c>
      <c r="T134" s="1715"/>
      <c r="U134" s="1715"/>
      <c r="V134" s="1716"/>
      <c r="W134" s="662">
        <f t="shared" si="12"/>
        <v>22</v>
      </c>
      <c r="X134" s="1328" t="s">
        <v>252</v>
      </c>
      <c r="Y134" s="1712" t="str">
        <f t="shared" si="13"/>
        <v>Descrizione #3 22 %</v>
      </c>
      <c r="Z134" s="1712"/>
      <c r="AA134" s="1712"/>
      <c r="AB134" s="1713"/>
      <c r="AC134" s="166" t="str">
        <f t="shared" si="14"/>
        <v>13</v>
      </c>
      <c r="AD134" s="182">
        <f t="shared" si="15"/>
        <v>22</v>
      </c>
      <c r="AE134" s="33"/>
      <c r="AF134" s="681"/>
      <c r="AG134" s="681"/>
      <c r="AH134" s="681"/>
      <c r="AI134" s="681"/>
      <c r="AJ134" s="681"/>
      <c r="AK134" s="681"/>
      <c r="AL134" s="681"/>
      <c r="AM134" s="681"/>
      <c r="AN134" s="681"/>
      <c r="AO134" s="681"/>
      <c r="AP134" s="681"/>
      <c r="AQ134" s="681"/>
      <c r="AR134" s="681"/>
      <c r="AS134" s="681"/>
      <c r="AT134" s="681"/>
      <c r="AU134" s="681"/>
      <c r="AV134" s="264"/>
      <c r="AW134" s="264"/>
      <c r="AX134" s="264"/>
      <c r="AY134" s="264"/>
      <c r="AZ134" s="264"/>
      <c r="BA134" s="264"/>
      <c r="BB134" s="264"/>
      <c r="BC134" s="264"/>
      <c r="BD134" s="264"/>
      <c r="BE134" s="264"/>
      <c r="BF134" s="264"/>
      <c r="BG134" s="264"/>
      <c r="BH134" s="264"/>
      <c r="BI134" s="264"/>
      <c r="BJ134" s="264"/>
      <c r="BK134" s="264"/>
      <c r="BL134" s="264"/>
    </row>
    <row r="135" spans="1:64" hidden="1" x14ac:dyDescent="0.2">
      <c r="A135" s="1324"/>
      <c r="B135" s="1324"/>
      <c r="C135" s="630"/>
      <c r="D135" s="630"/>
      <c r="E135" s="630"/>
      <c r="F135" s="630"/>
      <c r="G135" s="630"/>
      <c r="H135" s="630"/>
      <c r="I135" s="630"/>
      <c r="J135" s="630"/>
      <c r="K135" s="630"/>
      <c r="L135" s="1324"/>
      <c r="M135" s="1324"/>
      <c r="N135" s="1324"/>
      <c r="O135" s="1324"/>
      <c r="P135" s="1324"/>
      <c r="Q135" s="1324"/>
      <c r="R135" s="659" t="str">
        <f t="shared" si="16"/>
        <v>14</v>
      </c>
      <c r="S135" s="1714" t="str">
        <f t="shared" si="17"/>
        <v/>
      </c>
      <c r="T135" s="1715"/>
      <c r="U135" s="1715"/>
      <c r="V135" s="1716"/>
      <c r="W135" s="662" t="str">
        <f t="shared" si="12"/>
        <v/>
      </c>
      <c r="X135" s="1328" t="s">
        <v>252</v>
      </c>
      <c r="Y135" s="1712" t="str">
        <f t="shared" si="13"/>
        <v/>
      </c>
      <c r="Z135" s="1712"/>
      <c r="AA135" s="1712"/>
      <c r="AB135" s="1713"/>
      <c r="AC135" s="166" t="str">
        <f t="shared" si="14"/>
        <v>14</v>
      </c>
      <c r="AD135" s="182" t="str">
        <f t="shared" si="15"/>
        <v/>
      </c>
      <c r="AE135" s="33"/>
      <c r="AF135" s="681"/>
      <c r="AG135" s="681"/>
      <c r="AH135" s="681"/>
      <c r="AI135" s="681"/>
      <c r="AJ135" s="681"/>
      <c r="AK135" s="681"/>
      <c r="AL135" s="681"/>
      <c r="AM135" s="681"/>
      <c r="AN135" s="681"/>
      <c r="AO135" s="681"/>
      <c r="AP135" s="681"/>
      <c r="AQ135" s="681"/>
      <c r="AR135" s="681"/>
      <c r="AS135" s="681"/>
      <c r="AT135" s="681"/>
      <c r="AU135" s="681"/>
      <c r="AV135" s="264"/>
      <c r="AW135" s="264"/>
      <c r="AX135" s="264"/>
      <c r="AY135" s="264"/>
      <c r="AZ135" s="264"/>
      <c r="BA135" s="264"/>
      <c r="BB135" s="264"/>
      <c r="BC135" s="264"/>
      <c r="BD135" s="264"/>
      <c r="BE135" s="264"/>
      <c r="BF135" s="264"/>
      <c r="BG135" s="264"/>
      <c r="BH135" s="264"/>
      <c r="BI135" s="264"/>
      <c r="BJ135" s="264"/>
      <c r="BK135" s="264"/>
      <c r="BL135" s="264"/>
    </row>
    <row r="136" spans="1:64" hidden="1" x14ac:dyDescent="0.2">
      <c r="A136" s="1324"/>
      <c r="B136" s="1324"/>
      <c r="C136" s="630"/>
      <c r="D136" s="1889" t="s">
        <v>427</v>
      </c>
      <c r="E136" s="1890"/>
      <c r="F136" s="1890"/>
      <c r="G136" s="1891"/>
      <c r="H136" s="630"/>
      <c r="I136" s="630"/>
      <c r="J136" s="630"/>
      <c r="K136" s="630"/>
      <c r="L136" s="1324"/>
      <c r="M136" s="1324"/>
      <c r="N136" s="1324"/>
      <c r="O136" s="1324"/>
      <c r="P136" s="1324"/>
      <c r="Q136" s="1324"/>
      <c r="R136" s="659" t="str">
        <f t="shared" si="16"/>
        <v>15</v>
      </c>
      <c r="S136" s="1714" t="str">
        <f t="shared" si="17"/>
        <v/>
      </c>
      <c r="T136" s="1715"/>
      <c r="U136" s="1715"/>
      <c r="V136" s="1716"/>
      <c r="W136" s="662" t="str">
        <f t="shared" si="12"/>
        <v/>
      </c>
      <c r="X136" s="1328" t="s">
        <v>252</v>
      </c>
      <c r="Y136" s="1712" t="str">
        <f t="shared" si="13"/>
        <v/>
      </c>
      <c r="Z136" s="1712"/>
      <c r="AA136" s="1712"/>
      <c r="AB136" s="1713"/>
      <c r="AC136" s="166" t="str">
        <f t="shared" si="14"/>
        <v>15</v>
      </c>
      <c r="AD136" s="182" t="str">
        <f t="shared" si="15"/>
        <v/>
      </c>
      <c r="AE136" s="33"/>
      <c r="AF136" s="681"/>
      <c r="AG136" s="681"/>
      <c r="AH136" s="681"/>
      <c r="AI136" s="681"/>
      <c r="AJ136" s="681"/>
      <c r="AK136" s="681"/>
      <c r="AL136" s="681"/>
      <c r="AM136" s="681"/>
      <c r="AN136" s="681"/>
      <c r="AO136" s="681"/>
      <c r="AP136" s="681"/>
      <c r="AQ136" s="681"/>
      <c r="AR136" s="681"/>
      <c r="AS136" s="681"/>
      <c r="AT136" s="681"/>
      <c r="AU136" s="681"/>
      <c r="AV136" s="264"/>
      <c r="AW136" s="264"/>
      <c r="AX136" s="264"/>
      <c r="AY136" s="264"/>
      <c r="AZ136" s="264"/>
      <c r="BA136" s="264"/>
      <c r="BB136" s="264"/>
      <c r="BC136" s="264"/>
      <c r="BD136" s="264"/>
      <c r="BE136" s="264"/>
      <c r="BF136" s="264"/>
      <c r="BG136" s="264"/>
      <c r="BH136" s="264"/>
      <c r="BI136" s="264"/>
      <c r="BJ136" s="264"/>
      <c r="BK136" s="264"/>
      <c r="BL136" s="264"/>
    </row>
    <row r="137" spans="1:64" hidden="1" x14ac:dyDescent="0.2">
      <c r="A137" s="1324"/>
      <c r="B137" s="1324"/>
      <c r="C137" s="630"/>
      <c r="D137" s="1747" t="s">
        <v>444</v>
      </c>
      <c r="E137" s="1748"/>
      <c r="F137" s="1748"/>
      <c r="G137" s="1749"/>
      <c r="H137" s="630"/>
      <c r="I137" s="630"/>
      <c r="J137" s="630"/>
      <c r="K137" s="630"/>
      <c r="L137" s="684"/>
      <c r="M137" s="630"/>
      <c r="N137" s="630"/>
      <c r="O137" s="630"/>
      <c r="P137" s="630"/>
      <c r="Q137" s="630"/>
      <c r="R137" s="659" t="str">
        <f t="shared" si="16"/>
        <v>16</v>
      </c>
      <c r="S137" s="1714" t="str">
        <f t="shared" si="17"/>
        <v/>
      </c>
      <c r="T137" s="1715"/>
      <c r="U137" s="1715"/>
      <c r="V137" s="1716"/>
      <c r="W137" s="662" t="str">
        <f t="shared" si="12"/>
        <v/>
      </c>
      <c r="X137" s="1328" t="s">
        <v>252</v>
      </c>
      <c r="Y137" s="1712" t="str">
        <f t="shared" si="13"/>
        <v/>
      </c>
      <c r="Z137" s="1712"/>
      <c r="AA137" s="1712"/>
      <c r="AB137" s="1713"/>
      <c r="AC137" s="166" t="str">
        <f t="shared" si="14"/>
        <v>16</v>
      </c>
      <c r="AD137" s="182" t="str">
        <f t="shared" si="15"/>
        <v/>
      </c>
      <c r="AE137" s="33"/>
      <c r="AF137" s="681"/>
      <c r="AG137" s="681"/>
      <c r="AH137" s="681"/>
      <c r="AI137" s="681"/>
      <c r="AJ137" s="681"/>
      <c r="AK137" s="681"/>
      <c r="AL137" s="681"/>
      <c r="AM137" s="681"/>
      <c r="AN137" s="681"/>
      <c r="AO137" s="681"/>
      <c r="AP137" s="681"/>
      <c r="AQ137" s="681"/>
      <c r="AR137" s="681"/>
      <c r="AS137" s="681"/>
      <c r="AT137" s="681"/>
      <c r="AU137" s="681"/>
      <c r="AV137" s="264"/>
      <c r="AW137" s="264"/>
      <c r="AX137" s="264"/>
      <c r="AY137" s="264"/>
      <c r="AZ137" s="264"/>
      <c r="BA137" s="264"/>
      <c r="BB137" s="264"/>
      <c r="BC137" s="264"/>
      <c r="BD137" s="264"/>
      <c r="BE137" s="264"/>
      <c r="BF137" s="264"/>
      <c r="BG137" s="264"/>
      <c r="BH137" s="264"/>
      <c r="BI137" s="264"/>
      <c r="BJ137" s="264"/>
      <c r="BK137" s="264"/>
      <c r="BL137" s="264"/>
    </row>
    <row r="138" spans="1:64" hidden="1" x14ac:dyDescent="0.2">
      <c r="A138" s="1324"/>
      <c r="B138" s="1324"/>
      <c r="C138" s="630"/>
      <c r="D138" s="33"/>
      <c r="E138" s="33"/>
      <c r="F138" s="33"/>
      <c r="G138" s="33"/>
      <c r="H138" s="684"/>
      <c r="I138" s="684"/>
      <c r="J138" s="684"/>
      <c r="K138" s="684"/>
      <c r="L138" s="684"/>
      <c r="M138" s="630"/>
      <c r="N138" s="630"/>
      <c r="O138" s="630"/>
      <c r="P138" s="630"/>
      <c r="Q138" s="630"/>
      <c r="R138" s="659" t="str">
        <f t="shared" si="16"/>
        <v>17</v>
      </c>
      <c r="S138" s="1714" t="str">
        <f t="shared" si="17"/>
        <v/>
      </c>
      <c r="T138" s="1715"/>
      <c r="U138" s="1715"/>
      <c r="V138" s="1716"/>
      <c r="W138" s="662" t="str">
        <f t="shared" si="12"/>
        <v/>
      </c>
      <c r="X138" s="1328" t="s">
        <v>252</v>
      </c>
      <c r="Y138" s="1712" t="str">
        <f t="shared" si="13"/>
        <v/>
      </c>
      <c r="Z138" s="1712"/>
      <c r="AA138" s="1712"/>
      <c r="AB138" s="1713"/>
      <c r="AC138" s="166" t="str">
        <f t="shared" si="14"/>
        <v>17</v>
      </c>
      <c r="AD138" s="182" t="str">
        <f t="shared" si="15"/>
        <v/>
      </c>
      <c r="AE138" s="33"/>
      <c r="AF138" s="681"/>
      <c r="AG138" s="681"/>
      <c r="AH138" s="681"/>
      <c r="AI138" s="681"/>
      <c r="AJ138" s="681"/>
      <c r="AK138" s="681"/>
      <c r="AL138" s="681"/>
      <c r="AM138" s="681"/>
      <c r="AN138" s="681"/>
      <c r="AO138" s="681"/>
      <c r="AP138" s="681"/>
      <c r="AQ138" s="681"/>
      <c r="AR138" s="681"/>
      <c r="AS138" s="681"/>
      <c r="AT138" s="681"/>
      <c r="AU138" s="681"/>
      <c r="AV138" s="264"/>
      <c r="AW138" s="264"/>
      <c r="AX138" s="264"/>
      <c r="AY138" s="264"/>
      <c r="AZ138" s="264"/>
      <c r="BA138" s="264"/>
      <c r="BB138" s="264"/>
      <c r="BC138" s="264"/>
      <c r="BD138" s="264"/>
      <c r="BE138" s="264"/>
      <c r="BF138" s="264"/>
      <c r="BG138" s="264"/>
      <c r="BH138" s="264"/>
      <c r="BI138" s="264"/>
      <c r="BJ138" s="264"/>
      <c r="BK138" s="264"/>
      <c r="BL138" s="264"/>
    </row>
    <row r="139" spans="1:64" hidden="1" x14ac:dyDescent="0.2">
      <c r="A139" s="1324"/>
      <c r="B139" s="1324"/>
      <c r="C139" s="1324"/>
      <c r="D139" s="1581" t="s">
        <v>417</v>
      </c>
      <c r="E139" s="1582"/>
      <c r="F139" s="1582"/>
      <c r="G139" s="1583"/>
      <c r="H139" s="684"/>
      <c r="I139" s="1581" t="s">
        <v>529</v>
      </c>
      <c r="J139" s="1582"/>
      <c r="K139" s="1582"/>
      <c r="L139" s="1583"/>
      <c r="M139" s="630"/>
      <c r="N139" s="630"/>
      <c r="O139" s="630"/>
      <c r="P139" s="630"/>
      <c r="Q139" s="630"/>
      <c r="R139" s="659" t="str">
        <f t="shared" si="16"/>
        <v>18</v>
      </c>
      <c r="S139" s="1714" t="str">
        <f t="shared" si="17"/>
        <v/>
      </c>
      <c r="T139" s="1715"/>
      <c r="U139" s="1715"/>
      <c r="V139" s="1716"/>
      <c r="W139" s="662" t="str">
        <f t="shared" si="12"/>
        <v/>
      </c>
      <c r="X139" s="1328" t="s">
        <v>252</v>
      </c>
      <c r="Y139" s="1712" t="str">
        <f t="shared" si="13"/>
        <v/>
      </c>
      <c r="Z139" s="1712"/>
      <c r="AA139" s="1712"/>
      <c r="AB139" s="1713"/>
      <c r="AC139" s="166" t="str">
        <f t="shared" si="14"/>
        <v>18</v>
      </c>
      <c r="AD139" s="182" t="str">
        <f t="shared" si="15"/>
        <v/>
      </c>
      <c r="AE139" s="33"/>
      <c r="AF139" s="681"/>
      <c r="AG139" s="681"/>
      <c r="AH139" s="681"/>
      <c r="AI139" s="681"/>
      <c r="AJ139" s="681"/>
      <c r="AK139" s="681"/>
      <c r="AL139" s="681"/>
      <c r="AM139" s="681"/>
      <c r="AN139" s="681"/>
      <c r="AO139" s="681"/>
      <c r="AP139" s="681"/>
      <c r="AQ139" s="681"/>
      <c r="AR139" s="681"/>
      <c r="AS139" s="681"/>
      <c r="AT139" s="681"/>
      <c r="AU139" s="681"/>
      <c r="AV139" s="264"/>
      <c r="AW139" s="264"/>
      <c r="AX139" s="264"/>
      <c r="AY139" s="264"/>
      <c r="AZ139" s="264"/>
      <c r="BA139" s="264"/>
      <c r="BB139" s="264"/>
      <c r="BC139" s="264"/>
      <c r="BD139" s="264"/>
      <c r="BE139" s="264"/>
      <c r="BF139" s="264"/>
      <c r="BG139" s="264"/>
      <c r="BH139" s="264"/>
      <c r="BI139" s="264"/>
      <c r="BJ139" s="264"/>
      <c r="BK139" s="264"/>
      <c r="BL139" s="264"/>
    </row>
    <row r="140" spans="1:64" hidden="1" x14ac:dyDescent="0.2">
      <c r="A140" s="1324"/>
      <c r="B140" s="33"/>
      <c r="C140" s="249"/>
      <c r="D140" s="249"/>
      <c r="E140" s="249"/>
      <c r="F140" s="249"/>
      <c r="G140" s="249"/>
      <c r="H140" s="689"/>
      <c r="I140" s="689"/>
      <c r="J140" s="689"/>
      <c r="K140" s="690"/>
      <c r="L140" s="690"/>
      <c r="M140" s="630"/>
      <c r="N140" s="630"/>
      <c r="O140" s="630"/>
      <c r="P140" s="630"/>
      <c r="Q140" s="630"/>
      <c r="R140" s="660" t="str">
        <f t="shared" si="16"/>
        <v>19</v>
      </c>
      <c r="S140" s="1724" t="str">
        <f t="shared" si="17"/>
        <v/>
      </c>
      <c r="T140" s="1725"/>
      <c r="U140" s="1725"/>
      <c r="V140" s="1726"/>
      <c r="W140" s="662" t="str">
        <f t="shared" si="12"/>
        <v/>
      </c>
      <c r="X140" s="1328" t="s">
        <v>252</v>
      </c>
      <c r="Y140" s="1712" t="str">
        <f t="shared" si="13"/>
        <v/>
      </c>
      <c r="Z140" s="1712"/>
      <c r="AA140" s="1712"/>
      <c r="AB140" s="1713"/>
      <c r="AC140" s="166" t="str">
        <f t="shared" si="14"/>
        <v>19</v>
      </c>
      <c r="AD140" s="182" t="str">
        <f t="shared" si="15"/>
        <v/>
      </c>
      <c r="AE140" s="33"/>
      <c r="AF140" s="681"/>
      <c r="AG140" s="681"/>
      <c r="AH140" s="681"/>
      <c r="AI140" s="681"/>
      <c r="AJ140" s="681"/>
      <c r="AK140" s="681"/>
      <c r="AL140" s="681"/>
      <c r="AM140" s="681"/>
      <c r="AN140" s="681"/>
      <c r="AO140" s="681"/>
      <c r="AP140" s="681"/>
      <c r="AQ140" s="681"/>
      <c r="AR140" s="681"/>
      <c r="AS140" s="681"/>
      <c r="AT140" s="681"/>
      <c r="AU140" s="681"/>
      <c r="AV140" s="264"/>
      <c r="AW140" s="264"/>
      <c r="AX140" s="264"/>
      <c r="AY140" s="264"/>
      <c r="AZ140" s="264"/>
      <c r="BA140" s="264"/>
      <c r="BB140" s="264"/>
      <c r="BC140" s="264"/>
      <c r="BD140" s="264"/>
      <c r="BE140" s="264"/>
      <c r="BF140" s="264"/>
      <c r="BG140" s="264"/>
      <c r="BH140" s="264"/>
      <c r="BI140" s="264"/>
      <c r="BJ140" s="264"/>
      <c r="BK140" s="264"/>
      <c r="BL140" s="264"/>
    </row>
    <row r="141" spans="1:64" hidden="1" x14ac:dyDescent="0.2">
      <c r="A141" s="1324"/>
      <c r="B141" s="33"/>
      <c r="C141" s="249"/>
      <c r="D141" s="1581" t="s">
        <v>43</v>
      </c>
      <c r="E141" s="1582"/>
      <c r="F141" s="1582"/>
      <c r="G141" s="1583"/>
      <c r="H141" s="689"/>
      <c r="I141" s="689"/>
      <c r="J141" s="689"/>
      <c r="K141" s="690"/>
      <c r="L141" s="690"/>
      <c r="M141" s="630"/>
      <c r="N141" s="630"/>
      <c r="O141" s="630"/>
      <c r="P141" s="630"/>
      <c r="Q141" s="630"/>
      <c r="R141" s="656" t="str">
        <f t="shared" si="16"/>
        <v>20</v>
      </c>
      <c r="S141" s="1727" t="str">
        <f t="shared" si="17"/>
        <v>Percentuali diverse</v>
      </c>
      <c r="T141" s="1728"/>
      <c r="U141" s="1728"/>
      <c r="V141" s="1729"/>
      <c r="W141" s="663" t="s">
        <v>312</v>
      </c>
      <c r="X141" s="657" t="s">
        <v>252</v>
      </c>
      <c r="Y141" s="1900" t="str">
        <f>S141</f>
        <v>Percentuali diverse</v>
      </c>
      <c r="Z141" s="1900"/>
      <c r="AA141" s="1900"/>
      <c r="AB141" s="1901"/>
      <c r="AC141" s="166" t="str">
        <f t="shared" si="14"/>
        <v>20</v>
      </c>
      <c r="AD141" s="182" t="str">
        <f t="shared" si="15"/>
        <v>X</v>
      </c>
      <c r="AE141" s="33"/>
      <c r="AF141" s="681"/>
      <c r="AG141" s="681"/>
      <c r="AH141" s="681"/>
      <c r="AI141" s="681"/>
      <c r="AJ141" s="681"/>
      <c r="AK141" s="681"/>
      <c r="AL141" s="681"/>
      <c r="AM141" s="681"/>
      <c r="AN141" s="681"/>
      <c r="AO141" s="681"/>
      <c r="AP141" s="681"/>
      <c r="AQ141" s="681"/>
      <c r="AR141" s="681"/>
      <c r="AS141" s="681"/>
      <c r="AT141" s="681"/>
      <c r="AU141" s="681"/>
      <c r="AV141" s="264"/>
      <c r="AW141" s="264"/>
      <c r="AX141" s="264"/>
      <c r="AY141" s="264"/>
      <c r="AZ141" s="264"/>
      <c r="BA141" s="264"/>
      <c r="BB141" s="264"/>
      <c r="BC141" s="264"/>
      <c r="BD141" s="264"/>
      <c r="BE141" s="264"/>
      <c r="BF141" s="264"/>
      <c r="BG141" s="264"/>
      <c r="BH141" s="264"/>
      <c r="BI141" s="264"/>
      <c r="BJ141" s="264"/>
      <c r="BK141" s="264"/>
      <c r="BL141" s="264"/>
    </row>
    <row r="142" spans="1:64" hidden="1" x14ac:dyDescent="0.2">
      <c r="A142" s="1324"/>
      <c r="B142" s="33"/>
      <c r="C142" s="249"/>
      <c r="D142" s="249"/>
      <c r="E142" s="249"/>
      <c r="F142" s="249"/>
      <c r="G142" s="249"/>
      <c r="H142" s="689"/>
      <c r="I142" s="689"/>
      <c r="J142" s="689"/>
      <c r="K142" s="690"/>
      <c r="L142" s="690"/>
      <c r="M142" s="630"/>
      <c r="N142" s="630"/>
      <c r="O142" s="630"/>
      <c r="P142" s="630"/>
      <c r="Q142" s="630"/>
      <c r="R142" s="648"/>
      <c r="S142" s="666">
        <v>1</v>
      </c>
      <c r="T142" s="666">
        <v>2</v>
      </c>
      <c r="U142" s="666">
        <v>3</v>
      </c>
      <c r="V142" s="666">
        <v>4</v>
      </c>
      <c r="W142" s="666">
        <v>5</v>
      </c>
      <c r="X142" s="666">
        <v>6</v>
      </c>
      <c r="Y142" s="666">
        <v>7</v>
      </c>
      <c r="Z142" s="666">
        <v>8</v>
      </c>
      <c r="AA142" s="666">
        <v>9</v>
      </c>
      <c r="AB142" s="666">
        <v>10</v>
      </c>
      <c r="AC142" s="648"/>
      <c r="AD142" s="648"/>
      <c r="AE142" s="33"/>
      <c r="AF142" s="681"/>
      <c r="AG142" s="681"/>
      <c r="AH142" s="681"/>
      <c r="AI142" s="681"/>
      <c r="AJ142" s="681"/>
      <c r="AK142" s="681"/>
      <c r="AL142" s="681"/>
      <c r="AM142" s="681"/>
      <c r="AN142" s="681"/>
      <c r="AO142" s="681"/>
      <c r="AP142" s="681"/>
      <c r="AQ142" s="681"/>
      <c r="AR142" s="681"/>
      <c r="AS142" s="681"/>
      <c r="AT142" s="681"/>
      <c r="AU142" s="681"/>
      <c r="AV142" s="264"/>
      <c r="AW142" s="264"/>
      <c r="AX142" s="264"/>
      <c r="AY142" s="264"/>
      <c r="AZ142" s="264"/>
      <c r="BA142" s="264"/>
      <c r="BB142" s="264"/>
      <c r="BC142" s="264"/>
      <c r="BD142" s="264"/>
      <c r="BE142" s="264"/>
      <c r="BF142" s="264"/>
      <c r="BG142" s="264"/>
      <c r="BH142" s="264"/>
      <c r="BI142" s="264"/>
      <c r="BJ142" s="264"/>
      <c r="BK142" s="264"/>
      <c r="BL142" s="264"/>
    </row>
    <row r="143" spans="1:64" hidden="1" x14ac:dyDescent="0.2">
      <c r="A143" s="1324"/>
      <c r="B143" s="33"/>
      <c r="C143" s="249"/>
      <c r="D143" s="142">
        <f>IF(AND(AK151=0,AD45=D136),1,0)</f>
        <v>0</v>
      </c>
      <c r="E143" s="125" t="s">
        <v>442</v>
      </c>
      <c r="F143" s="249"/>
      <c r="G143" s="249"/>
      <c r="H143" s="689"/>
      <c r="I143" s="689"/>
      <c r="J143" s="689"/>
      <c r="K143" s="690"/>
      <c r="L143" s="690"/>
      <c r="M143" s="630"/>
      <c r="N143" s="630"/>
      <c r="O143" s="630"/>
      <c r="P143" s="630"/>
      <c r="Q143" s="630"/>
      <c r="R143" s="648"/>
      <c r="S143" s="664">
        <f>H24</f>
        <v>0</v>
      </c>
      <c r="T143" s="664">
        <f>L24</f>
        <v>0</v>
      </c>
      <c r="U143" s="664">
        <f>P24</f>
        <v>0</v>
      </c>
      <c r="V143" s="664">
        <f>T24</f>
        <v>0</v>
      </c>
      <c r="W143" s="664">
        <f>X24</f>
        <v>0</v>
      </c>
      <c r="X143" s="664">
        <f>AB24</f>
        <v>0</v>
      </c>
      <c r="Y143" s="664">
        <f>AF24</f>
        <v>0</v>
      </c>
      <c r="Z143" s="665"/>
      <c r="AA143" s="665"/>
      <c r="AB143" s="665"/>
      <c r="AC143" s="648"/>
      <c r="AD143" s="648"/>
      <c r="AE143" s="33"/>
      <c r="AF143" s="681"/>
      <c r="AG143" s="681"/>
      <c r="AH143" s="681"/>
      <c r="AI143" s="681"/>
      <c r="AJ143" s="681"/>
      <c r="AK143" s="681"/>
      <c r="AL143" s="681"/>
      <c r="AM143" s="681"/>
      <c r="AN143" s="681"/>
      <c r="AO143" s="681"/>
      <c r="AP143" s="681"/>
      <c r="AQ143" s="681"/>
      <c r="AR143" s="681"/>
      <c r="AS143" s="681"/>
      <c r="AT143" s="681"/>
      <c r="AU143" s="681"/>
      <c r="AV143" s="264"/>
      <c r="AW143" s="264"/>
      <c r="AX143" s="264"/>
      <c r="AY143" s="264"/>
      <c r="AZ143" s="264"/>
      <c r="BA143" s="264"/>
      <c r="BB143" s="264"/>
      <c r="BC143" s="264"/>
      <c r="BD143" s="264"/>
      <c r="BE143" s="264"/>
      <c r="BF143" s="264"/>
      <c r="BG143" s="264"/>
      <c r="BH143" s="264"/>
      <c r="BI143" s="264"/>
      <c r="BJ143" s="264"/>
      <c r="BK143" s="264"/>
      <c r="BL143" s="264"/>
    </row>
    <row r="144" spans="1:64" hidden="1" x14ac:dyDescent="0.2">
      <c r="A144" s="1324"/>
      <c r="B144" s="33"/>
      <c r="C144" s="249"/>
      <c r="D144" s="249"/>
      <c r="E144" s="249"/>
      <c r="F144" s="249"/>
      <c r="G144" s="249"/>
      <c r="H144" s="630"/>
      <c r="I144" s="630"/>
      <c r="J144" s="630"/>
      <c r="K144" s="630"/>
      <c r="L144" s="690"/>
      <c r="M144" s="630"/>
      <c r="N144" s="630"/>
      <c r="O144" s="630"/>
      <c r="P144" s="630"/>
      <c r="Q144" s="630"/>
      <c r="R144" s="648"/>
      <c r="S144" s="667">
        <f>IF(S143=0,0,VLOOKUP(I24,$R$132:$W$141,6,FALSE))</f>
        <v>0</v>
      </c>
      <c r="T144" s="667">
        <f>IF(T143=0,0,VLOOKUP(M24,$R$132:$W$141,6,FALSE))</f>
        <v>0</v>
      </c>
      <c r="U144" s="667">
        <f>IF(U143=0,0,VLOOKUP(Q24,$R$132:$W$141,6,FALSE))</f>
        <v>0</v>
      </c>
      <c r="V144" s="667">
        <f>IF(V143=0,0,VLOOKUP(U24,$R$132:$W$141,6,FALSE))</f>
        <v>0</v>
      </c>
      <c r="W144" s="667">
        <f>IF(W143=0,0,VLOOKUP(Y24,$R$132:$W$141,6,FALSE))</f>
        <v>0</v>
      </c>
      <c r="X144" s="667">
        <f>IF(X143=0,0,VLOOKUP(AC24,$R$132:$W$141,6,FALSE))</f>
        <v>0</v>
      </c>
      <c r="Y144" s="667">
        <f>IF(Y143=0,0,VLOOKUP(AG24,$R$132:$W$141,6,FALSE))</f>
        <v>0</v>
      </c>
      <c r="Z144" s="648"/>
      <c r="AA144" s="648"/>
      <c r="AB144" s="648"/>
      <c r="AC144" s="648"/>
      <c r="AD144" s="648"/>
      <c r="AE144" s="33"/>
      <c r="AF144" s="681"/>
      <c r="AG144" s="681"/>
      <c r="AH144" s="681"/>
      <c r="AI144" s="681"/>
      <c r="AJ144" s="681"/>
      <c r="AK144" s="681"/>
      <c r="AL144" s="681"/>
      <c r="AM144" s="681"/>
      <c r="AN144" s="681"/>
      <c r="AO144" s="681"/>
      <c r="AP144" s="681"/>
      <c r="AQ144" s="681"/>
      <c r="AR144" s="681"/>
      <c r="AS144" s="681"/>
      <c r="AT144" s="681"/>
      <c r="AU144" s="681"/>
      <c r="AV144" s="264"/>
      <c r="AW144" s="264"/>
      <c r="AX144" s="264"/>
      <c r="AY144" s="264"/>
      <c r="AZ144" s="264"/>
      <c r="BA144" s="264"/>
      <c r="BB144" s="264"/>
      <c r="BC144" s="264"/>
      <c r="BD144" s="264"/>
      <c r="BE144" s="264"/>
      <c r="BF144" s="264"/>
      <c r="BG144" s="264"/>
      <c r="BH144" s="264"/>
      <c r="BI144" s="264"/>
      <c r="BJ144" s="264"/>
      <c r="BK144" s="264"/>
      <c r="BL144" s="264"/>
    </row>
    <row r="145" spans="1:64" hidden="1" x14ac:dyDescent="0.2">
      <c r="A145" s="1324"/>
      <c r="B145" s="33"/>
      <c r="C145" s="249"/>
      <c r="D145" s="129" t="s">
        <v>269</v>
      </c>
      <c r="E145" s="249"/>
      <c r="F145" s="249"/>
      <c r="G145" s="249"/>
      <c r="H145" s="630"/>
      <c r="I145" s="992" t="str">
        <f>CONCATENATE(X14,P17)</f>
        <v>+20</v>
      </c>
      <c r="J145" s="993" t="s">
        <v>365</v>
      </c>
      <c r="K145" s="630"/>
      <c r="L145" s="690"/>
      <c r="M145" s="630"/>
      <c r="N145" s="630"/>
      <c r="O145" s="630"/>
      <c r="P145" s="630"/>
      <c r="Q145" s="630"/>
      <c r="R145" s="648"/>
      <c r="S145" s="668">
        <f>IF(OR(S143=0,ISERROR(S144),S144=$W141),0,IF(H24=$X$16,S144/(100+S144),S144/100))</f>
        <v>0</v>
      </c>
      <c r="T145" s="668">
        <f>IF(OR(T143=0,ISERROR(T144),T144=$W141),0,IF(L24=$X$16,T144/(100+T144),T144/100))</f>
        <v>0</v>
      </c>
      <c r="U145" s="668">
        <f>IF(OR(U143=0,ISERROR(U144),U144=$W141),0,IF(P24=$X$16,U144/(100+U144),U144/100))</f>
        <v>0</v>
      </c>
      <c r="V145" s="668">
        <f>IF(OR(V143=0,ISERROR(V144),V144=$W141),0,IF(T24=$X$16,V144/(100+V144),V144/100))</f>
        <v>0</v>
      </c>
      <c r="W145" s="668">
        <f>IF(OR(W143=0,ISERROR(W144),W144=$W141),0,IF(X24=$X$16,W144/(100+W144),W144/100))</f>
        <v>0</v>
      </c>
      <c r="X145" s="668">
        <f>IF(OR(X143=0,ISERROR(X144),X144=$W141),0,IF(AB24=$X$16,X144/(100+X144),X144/100))</f>
        <v>0</v>
      </c>
      <c r="Y145" s="668">
        <f>IF(OR(Y143=0,ISERROR(Y144),Y144=$W141),0,IF(AF24=$X$16,Y144/(100+Y144),Y144/100))</f>
        <v>0</v>
      </c>
      <c r="Z145" s="648"/>
      <c r="AA145" s="648"/>
      <c r="AB145" s="648"/>
      <c r="AC145" s="648"/>
      <c r="AD145" s="648"/>
      <c r="AE145" s="33"/>
      <c r="AF145" s="681"/>
      <c r="AG145" s="681"/>
      <c r="AH145" s="681"/>
      <c r="AI145" s="681"/>
      <c r="AJ145" s="681"/>
      <c r="AK145" s="681"/>
      <c r="AL145" s="681"/>
      <c r="AM145" s="681"/>
      <c r="AN145" s="681"/>
      <c r="AO145" s="681"/>
      <c r="AP145" s="681"/>
      <c r="AQ145" s="681"/>
      <c r="AR145" s="681"/>
      <c r="AS145" s="681"/>
      <c r="AT145" s="681"/>
      <c r="AU145" s="681"/>
      <c r="AV145" s="264"/>
      <c r="AW145" s="264"/>
      <c r="AX145" s="264"/>
      <c r="AY145" s="264"/>
      <c r="AZ145" s="264"/>
      <c r="BA145" s="264"/>
      <c r="BB145" s="264"/>
      <c r="BC145" s="264"/>
      <c r="BD145" s="264"/>
      <c r="BE145" s="264"/>
      <c r="BF145" s="264"/>
      <c r="BG145" s="264"/>
      <c r="BH145" s="264"/>
      <c r="BI145" s="264"/>
      <c r="BJ145" s="264"/>
      <c r="BK145" s="264"/>
      <c r="BL145" s="264"/>
    </row>
    <row r="146" spans="1:64" hidden="1" x14ac:dyDescent="0.2">
      <c r="A146" s="1324"/>
      <c r="B146" s="33"/>
      <c r="C146" s="249"/>
      <c r="D146" s="249"/>
      <c r="E146" s="249"/>
      <c r="F146" s="249"/>
      <c r="G146" s="249"/>
      <c r="H146" s="630"/>
      <c r="I146" s="630"/>
      <c r="J146" s="630"/>
      <c r="K146" s="630"/>
      <c r="L146" s="690"/>
      <c r="M146" s="630"/>
      <c r="N146" s="630"/>
      <c r="O146" s="630"/>
      <c r="P146" s="630"/>
      <c r="Q146" s="630"/>
      <c r="R146" s="648"/>
      <c r="S146" s="648"/>
      <c r="T146" s="648"/>
      <c r="U146" s="648"/>
      <c r="V146" s="648"/>
      <c r="W146" s="648"/>
      <c r="X146" s="648"/>
      <c r="Y146" s="648"/>
      <c r="Z146" s="648"/>
      <c r="AA146" s="648"/>
      <c r="AB146" s="648"/>
      <c r="AC146" s="648"/>
      <c r="AD146" s="648"/>
      <c r="AE146" s="33"/>
      <c r="AF146" s="681"/>
      <c r="AG146" s="681"/>
      <c r="AH146" s="681"/>
      <c r="AI146" s="681"/>
      <c r="AJ146" s="681"/>
      <c r="AK146" s="681"/>
      <c r="AL146" s="681"/>
      <c r="AM146" s="681"/>
      <c r="AN146" s="681"/>
      <c r="AO146" s="681"/>
      <c r="AP146" s="681"/>
      <c r="AQ146" s="681"/>
      <c r="AR146" s="681"/>
      <c r="AS146" s="681"/>
      <c r="AT146" s="681"/>
      <c r="AU146" s="681"/>
      <c r="AV146" s="264"/>
      <c r="AW146" s="264"/>
      <c r="AX146" s="264"/>
      <c r="AY146" s="264"/>
      <c r="AZ146" s="264"/>
      <c r="BA146" s="264"/>
      <c r="BB146" s="264"/>
      <c r="BC146" s="264"/>
      <c r="BD146" s="264"/>
      <c r="BE146" s="264"/>
      <c r="BF146" s="264"/>
      <c r="BG146" s="264"/>
      <c r="BH146" s="264"/>
      <c r="BI146" s="264"/>
      <c r="BJ146" s="264"/>
      <c r="BK146" s="264"/>
      <c r="BL146" s="264"/>
    </row>
    <row r="147" spans="1:64" hidden="1" x14ac:dyDescent="0.2">
      <c r="A147" s="1324"/>
      <c r="B147" s="33"/>
      <c r="C147" s="264"/>
      <c r="D147" s="264"/>
      <c r="E147" s="264"/>
      <c r="F147" s="264"/>
      <c r="G147" s="264"/>
      <c r="H147" s="808"/>
      <c r="I147" s="808"/>
      <c r="J147" s="808"/>
      <c r="K147" s="265"/>
      <c r="L147" s="265"/>
      <c r="M147" s="265"/>
      <c r="N147" s="681"/>
      <c r="O147" s="681"/>
      <c r="P147" s="681"/>
      <c r="Q147" s="681"/>
      <c r="R147" s="681"/>
      <c r="S147" s="681"/>
      <c r="T147" s="681"/>
      <c r="U147" s="681"/>
      <c r="V147" s="681"/>
      <c r="W147" s="681"/>
      <c r="X147" s="681"/>
      <c r="Y147" s="681"/>
      <c r="Z147" s="681"/>
      <c r="AA147" s="264"/>
      <c r="AB147" s="681"/>
      <c r="AC147" s="681"/>
      <c r="AD147" s="681"/>
      <c r="AE147" s="681"/>
      <c r="AF147" s="681"/>
      <c r="AG147" s="681"/>
      <c r="AH147" s="681"/>
      <c r="AI147" s="681"/>
      <c r="AJ147" s="681"/>
      <c r="AK147" s="681"/>
      <c r="AL147" s="681"/>
      <c r="AM147" s="681"/>
      <c r="AN147" s="681"/>
      <c r="AO147" s="681"/>
      <c r="AP147" s="681"/>
      <c r="AQ147" s="681"/>
      <c r="AR147" s="264"/>
      <c r="AS147" s="264"/>
      <c r="AT147" s="264"/>
      <c r="AU147" s="264"/>
      <c r="AV147" s="264"/>
      <c r="AW147" s="264"/>
      <c r="AX147" s="264"/>
      <c r="AY147" s="264"/>
      <c r="AZ147" s="264"/>
      <c r="BA147" s="264"/>
      <c r="BB147" s="264"/>
      <c r="BC147" s="264"/>
      <c r="BD147" s="264"/>
      <c r="BE147" s="264"/>
      <c r="BF147" s="264"/>
      <c r="BG147" s="264"/>
      <c r="BH147" s="264"/>
      <c r="BI147" s="264"/>
      <c r="BJ147" s="264"/>
      <c r="BK147" s="264"/>
      <c r="BL147" s="264"/>
    </row>
    <row r="148" spans="1:64" hidden="1" x14ac:dyDescent="0.2">
      <c r="A148" s="1324"/>
      <c r="B148" s="33"/>
      <c r="C148" s="809"/>
      <c r="D148" s="264"/>
      <c r="E148" s="264"/>
      <c r="F148" s="264"/>
      <c r="G148" s="264"/>
      <c r="H148" s="810"/>
      <c r="I148" s="810"/>
      <c r="J148" s="810"/>
      <c r="K148" s="265"/>
      <c r="L148" s="265"/>
      <c r="M148" s="265"/>
      <c r="N148" s="264"/>
      <c r="O148" s="264"/>
      <c r="P148" s="264"/>
      <c r="Q148" s="264"/>
      <c r="R148" s="264"/>
      <c r="S148" s="264"/>
      <c r="T148" s="264"/>
      <c r="U148" s="264"/>
      <c r="V148" s="264"/>
      <c r="W148" s="264"/>
      <c r="X148" s="264"/>
      <c r="Y148" s="264"/>
      <c r="Z148" s="264"/>
      <c r="AA148" s="264"/>
      <c r="AB148" s="681"/>
      <c r="AC148" s="681"/>
      <c r="AD148" s="681"/>
      <c r="AE148" s="681"/>
      <c r="AF148" s="681"/>
      <c r="AG148" s="681"/>
      <c r="AH148" s="681"/>
      <c r="AI148" s="681"/>
      <c r="AJ148" s="681"/>
      <c r="AK148" s="681"/>
      <c r="AL148" s="681"/>
      <c r="AM148" s="681"/>
      <c r="AN148" s="681"/>
      <c r="AO148" s="681"/>
      <c r="AP148" s="681"/>
      <c r="AQ148" s="681"/>
      <c r="AR148" s="264"/>
      <c r="AS148" s="264"/>
      <c r="AT148" s="264"/>
      <c r="AU148" s="264"/>
      <c r="AV148" s="264"/>
      <c r="AW148" s="264"/>
      <c r="AX148" s="264"/>
      <c r="AY148" s="264"/>
      <c r="AZ148" s="264"/>
      <c r="BA148" s="264"/>
      <c r="BB148" s="264"/>
      <c r="BC148" s="264"/>
      <c r="BD148" s="264"/>
      <c r="BE148" s="264"/>
      <c r="BF148" s="264"/>
      <c r="BG148" s="264"/>
      <c r="BH148" s="264"/>
      <c r="BI148" s="264"/>
      <c r="BJ148" s="264"/>
      <c r="BK148" s="264"/>
      <c r="BL148" s="264"/>
    </row>
    <row r="149" spans="1:64" hidden="1" x14ac:dyDescent="0.2">
      <c r="A149" s="1324"/>
      <c r="B149" s="1324"/>
      <c r="C149" s="630"/>
      <c r="D149" s="630"/>
      <c r="E149" s="630"/>
      <c r="F149" s="630"/>
      <c r="G149" s="1324"/>
      <c r="H149" s="630"/>
      <c r="I149" s="630"/>
      <c r="J149" s="630"/>
      <c r="K149" s="630"/>
      <c r="L149" s="684"/>
      <c r="M149" s="684"/>
      <c r="N149" s="684"/>
      <c r="O149" s="684"/>
      <c r="P149" s="684"/>
      <c r="Q149" s="684"/>
      <c r="R149" s="1324"/>
      <c r="S149" s="1324"/>
      <c r="T149" s="1324"/>
      <c r="U149" s="1324"/>
      <c r="V149" s="1324"/>
      <c r="W149" s="1324"/>
      <c r="X149" s="1324"/>
      <c r="Y149" s="1324"/>
      <c r="Z149" s="1324"/>
      <c r="AA149" s="1324"/>
      <c r="AB149" s="1324"/>
      <c r="AC149" s="1324"/>
      <c r="AD149" s="33"/>
      <c r="AE149" s="33"/>
      <c r="AF149" s="33"/>
      <c r="AG149" s="33"/>
      <c r="AH149" s="33"/>
      <c r="AI149" s="1335"/>
      <c r="AJ149" s="33"/>
      <c r="AK149" s="33"/>
      <c r="AL149" s="33"/>
      <c r="AM149" s="33"/>
      <c r="AN149" s="33"/>
      <c r="AO149" s="33"/>
      <c r="AP149" s="33"/>
      <c r="AQ149" s="33"/>
      <c r="AR149" s="33"/>
      <c r="AS149" s="33"/>
      <c r="AT149" s="33"/>
      <c r="AU149" s="264"/>
      <c r="AV149" s="264"/>
      <c r="AW149" s="264"/>
      <c r="AX149" s="264"/>
      <c r="AY149" s="264"/>
      <c r="AZ149" s="264"/>
      <c r="BA149" s="264"/>
      <c r="BB149" s="264"/>
      <c r="BC149" s="264"/>
      <c r="BD149" s="264"/>
      <c r="BE149" s="264"/>
      <c r="BF149" s="264"/>
      <c r="BG149" s="264"/>
      <c r="BH149" s="264"/>
      <c r="BI149" s="264"/>
      <c r="BJ149" s="264"/>
      <c r="BK149" s="264"/>
      <c r="BL149" s="264"/>
    </row>
    <row r="150" spans="1:64" hidden="1" x14ac:dyDescent="0.2">
      <c r="A150" s="1324"/>
      <c r="B150" s="33"/>
      <c r="C150" s="33"/>
      <c r="D150" s="33"/>
      <c r="E150" s="33"/>
      <c r="F150" s="33"/>
      <c r="G150" s="33"/>
      <c r="H150" s="1566">
        <f>IF(H151="",0,1)</f>
        <v>0</v>
      </c>
      <c r="I150" s="1566"/>
      <c r="J150" s="1566"/>
      <c r="K150" s="1566"/>
      <c r="L150" s="1566">
        <f>IF(L151="",0,1)</f>
        <v>0</v>
      </c>
      <c r="M150" s="1566"/>
      <c r="N150" s="1566"/>
      <c r="O150" s="1566"/>
      <c r="P150" s="1566">
        <f>IF(P151="",0,1)</f>
        <v>0</v>
      </c>
      <c r="Q150" s="1566"/>
      <c r="R150" s="1566"/>
      <c r="S150" s="1566"/>
      <c r="T150" s="1566">
        <f>IF(T151="",0,1)</f>
        <v>0</v>
      </c>
      <c r="U150" s="1566"/>
      <c r="V150" s="1566"/>
      <c r="W150" s="1566"/>
      <c r="X150" s="1566">
        <f>IF(X151="",0,1)</f>
        <v>0</v>
      </c>
      <c r="Y150" s="1566"/>
      <c r="Z150" s="1566"/>
      <c r="AA150" s="1566"/>
      <c r="AB150" s="1566">
        <f>IF(AB151="",0,1)</f>
        <v>0</v>
      </c>
      <c r="AC150" s="1566"/>
      <c r="AD150" s="1566"/>
      <c r="AE150" s="1566"/>
      <c r="AF150" s="1566">
        <f>IF(AF151="",0,1)</f>
        <v>0</v>
      </c>
      <c r="AG150" s="1566"/>
      <c r="AH150" s="1566"/>
      <c r="AI150" s="1566"/>
      <c r="AJ150" s="33"/>
      <c r="AK150" s="33"/>
      <c r="AL150" s="33"/>
      <c r="AM150" s="33"/>
      <c r="AN150" s="33"/>
      <c r="AO150" s="33"/>
      <c r="AP150" s="33"/>
      <c r="AQ150" s="33"/>
      <c r="AR150" s="33"/>
      <c r="AS150" s="33"/>
      <c r="AT150" s="33"/>
      <c r="AU150" s="264"/>
      <c r="AV150" s="264"/>
      <c r="AW150" s="264"/>
      <c r="AX150" s="264"/>
      <c r="AY150" s="264"/>
      <c r="AZ150" s="264"/>
      <c r="BA150" s="264"/>
      <c r="BB150" s="264"/>
      <c r="BC150" s="264"/>
      <c r="BD150" s="264"/>
      <c r="BE150" s="264"/>
      <c r="BF150" s="264"/>
      <c r="BG150" s="264"/>
      <c r="BH150" s="264"/>
      <c r="BI150" s="264"/>
      <c r="BJ150" s="264"/>
      <c r="BK150" s="264"/>
      <c r="BL150" s="264"/>
    </row>
    <row r="151" spans="1:64" ht="18" hidden="1" customHeight="1" x14ac:dyDescent="0.2">
      <c r="A151" s="1324"/>
      <c r="B151" s="33"/>
      <c r="C151" s="1889" t="s">
        <v>166</v>
      </c>
      <c r="D151" s="1890"/>
      <c r="E151" s="1890"/>
      <c r="F151" s="1891"/>
      <c r="G151" s="33"/>
      <c r="H151" s="1717" t="str">
        <f>IF(AND(SUM(K23:K25)=0,H24=""),"",IF(AND(K24&gt;0,H24=""),$C151,IF(OR(AND(H24&lt;&gt;"",K24=0),AND(H28&lt;&gt;0,AND(H27=0,H29=0)),AND(H28&lt;&gt;"",AND(H27="",H29="")),AND(H38=1,I152=$I145)),$C152,"")))</f>
        <v/>
      </c>
      <c r="I151" s="1718"/>
      <c r="J151" s="1718"/>
      <c r="K151" s="1719"/>
      <c r="L151" s="1717" t="str">
        <f>IF(AND(SUM(O23:O25)=0,L24=""),"",IF(AND(O24&gt;0,L24=""),$C151,IF(OR(AND(L24&lt;&gt;"",O24=0),AND(L28&lt;&gt;0,AND(L27=0,L29=0)),AND(L28&lt;&gt;"",AND(L27="",L29="")),AND(L38=1,M152=$I145)),$C152,"")))</f>
        <v/>
      </c>
      <c r="M151" s="1718"/>
      <c r="N151" s="1718"/>
      <c r="O151" s="1719"/>
      <c r="P151" s="1717" t="str">
        <f>IF(AND(SUM(S23:S25)=0,P24=""),"",IF(AND(S24&gt;0,P24=""),$C151,IF(OR(AND(P24&lt;&gt;"",S24=0),AND(P28&lt;&gt;0,AND(P27=0,P29=0)),AND(P28&lt;&gt;"",AND(P27="",P29="")),AND(P38=1,Q152=$I145)),$C152,"")))</f>
        <v/>
      </c>
      <c r="Q151" s="1718"/>
      <c r="R151" s="1718"/>
      <c r="S151" s="1719"/>
      <c r="T151" s="1717" t="str">
        <f>IF(AND(SUM(W23:W25)=0,T24=""),"",IF(AND(W24&gt;0,T24=""),$C151,IF(OR(AND(T24&lt;&gt;"",W24=0),AND(T28&lt;&gt;0,AND(T27=0,T29=0)),AND(T28&lt;&gt;"",AND(T27="",T29="")),AND(T38=1,U152=$I145)),$C152,"")))</f>
        <v/>
      </c>
      <c r="U151" s="1718"/>
      <c r="V151" s="1718"/>
      <c r="W151" s="1719"/>
      <c r="X151" s="1717" t="str">
        <f>IF(AND(SUM(AA23:AA25)=0,X24=""),"",IF(AND(AA24&gt;0,X24=""),$C151,IF(OR(AND(X24&lt;&gt;"",AA24=0),AND(X28&lt;&gt;0,AND(X27=0,X29=0)),AND(X28&lt;&gt;"",AND(X27="",X29="")),AND(X38=1,Y152=$I145)),$C152,"")))</f>
        <v/>
      </c>
      <c r="Y151" s="1718"/>
      <c r="Z151" s="1718"/>
      <c r="AA151" s="1719"/>
      <c r="AB151" s="1717" t="str">
        <f>IF(AND(SUM(AE23:AE25)=0,AB24=""),"",IF(AND(AE24&gt;0,AB24=""),$C151,IF(OR(AND(AB24&lt;&gt;"",AE24=0),AND(AB28&lt;&gt;0,AND(AB27=0,AB29=0)),AND(AB28&lt;&gt;"",AND(AB27="",AB29="")),AND(AB38=1,AC152=$I145)),$C152,"")))</f>
        <v/>
      </c>
      <c r="AC151" s="1718"/>
      <c r="AD151" s="1718"/>
      <c r="AE151" s="1719"/>
      <c r="AF151" s="1717" t="str">
        <f>IF(AND(SUM(AI23:AI25)=0,AF24=""),"",IF(AND(AI24&gt;0,AF24=""),$C151,IF(OR(AND(AF24&lt;&gt;"",AI24=0),AND(AF28&lt;&gt;0,AND(AF27=0,AF29=0)),AND(AF28&lt;&gt;"",AND(AF27="",AF29="")),AND(AF38=1,AG152=$I145)),$C152,"")))</f>
        <v/>
      </c>
      <c r="AG151" s="1718"/>
      <c r="AH151" s="1718"/>
      <c r="AI151" s="1719"/>
      <c r="AJ151" s="673">
        <f>SUM(AS39:AS42)</f>
        <v>0</v>
      </c>
      <c r="AK151" s="142">
        <f>IF(OR(AQ151=FALSE,SUM(H152+L152+P152+T152+X152+AB152+AF152)=AI152,AH53="",AJ151&gt;0),1,SUM(H150:AI150))</f>
        <v>1</v>
      </c>
      <c r="AL151" s="125" t="s">
        <v>443</v>
      </c>
      <c r="AM151" s="33"/>
      <c r="AN151" s="33"/>
      <c r="AO151" s="33"/>
      <c r="AP151" s="33"/>
      <c r="AQ151" s="1920" t="b">
        <f>Presentazione!F164</f>
        <v>1</v>
      </c>
      <c r="AR151" s="1921"/>
      <c r="AS151" s="33"/>
      <c r="AT151" s="33"/>
      <c r="AU151" s="264"/>
      <c r="AV151" s="264"/>
      <c r="AW151" s="264"/>
      <c r="AX151" s="264"/>
      <c r="AY151" s="264"/>
      <c r="AZ151" s="264"/>
      <c r="BA151" s="264"/>
      <c r="BB151" s="264"/>
      <c r="BC151" s="264"/>
      <c r="BD151" s="264"/>
      <c r="BE151" s="264"/>
      <c r="BF151" s="264"/>
      <c r="BG151" s="264"/>
      <c r="BH151" s="264"/>
      <c r="BI151" s="264"/>
      <c r="BJ151" s="264"/>
      <c r="BK151" s="264"/>
      <c r="BL151" s="264"/>
    </row>
    <row r="152" spans="1:64" ht="18" hidden="1" customHeight="1" x14ac:dyDescent="0.2">
      <c r="A152" s="1324"/>
      <c r="B152" s="33"/>
      <c r="C152" s="1747" t="s">
        <v>365</v>
      </c>
      <c r="D152" s="1748"/>
      <c r="E152" s="1748"/>
      <c r="F152" s="1749"/>
      <c r="G152" s="33"/>
      <c r="H152" s="103">
        <f>IF(AND(ISBLANK(I23),ISBLANK(I24)),1,0)</f>
        <v>1</v>
      </c>
      <c r="I152" s="992" t="str">
        <f>CONCATENATE(H24,I24)</f>
        <v/>
      </c>
      <c r="J152" s="34"/>
      <c r="K152" s="34"/>
      <c r="L152" s="103">
        <f>IF(AND(ISBLANK(M23),ISBLANK(M24)),1,0)</f>
        <v>1</v>
      </c>
      <c r="M152" s="992" t="str">
        <f>CONCATENATE(L24,M24)</f>
        <v/>
      </c>
      <c r="N152" s="34"/>
      <c r="O152" s="103"/>
      <c r="P152" s="103">
        <f>IF(AND(ISBLANK(Q23),ISBLANK(Q24)),1,0)</f>
        <v>1</v>
      </c>
      <c r="Q152" s="992" t="str">
        <f>CONCATENATE(P24,Q24)</f>
        <v/>
      </c>
      <c r="R152" s="103"/>
      <c r="S152" s="103"/>
      <c r="T152" s="103">
        <f>IF(AND(ISBLANK(U23),ISBLANK(U24)),1,0)</f>
        <v>1</v>
      </c>
      <c r="U152" s="992" t="str">
        <f>CONCATENATE(T24,U24)</f>
        <v/>
      </c>
      <c r="V152" s="103"/>
      <c r="W152" s="103"/>
      <c r="X152" s="103">
        <f>IF(AND(ISBLANK(Y23),ISBLANK(Y24)),1,0)</f>
        <v>1</v>
      </c>
      <c r="Y152" s="992" t="str">
        <f>CONCATENATE(X24,Y24)</f>
        <v/>
      </c>
      <c r="Z152" s="103"/>
      <c r="AA152" s="103"/>
      <c r="AB152" s="103">
        <f>IF(AND(ISBLANK(AC23),ISBLANK(AC24)),1,0)</f>
        <v>1</v>
      </c>
      <c r="AC152" s="992" t="str">
        <f>CONCATENATE(AB24,AC24)</f>
        <v/>
      </c>
      <c r="AD152" s="34"/>
      <c r="AE152" s="34"/>
      <c r="AF152" s="103">
        <f>IF(AND(ISBLANK(AG23),ISBLANK(AG24)),1,0)</f>
        <v>1</v>
      </c>
      <c r="AG152" s="992" t="str">
        <f>CONCATENATE(AF24,AG24)</f>
        <v/>
      </c>
      <c r="AH152" s="33"/>
      <c r="AI152" s="216">
        <v>7</v>
      </c>
      <c r="AJ152" s="33"/>
      <c r="AK152" s="33"/>
      <c r="AL152" s="33"/>
      <c r="AM152" s="33"/>
      <c r="AN152" s="33"/>
      <c r="AO152" s="33"/>
      <c r="AP152" s="33"/>
      <c r="AQ152" s="33"/>
      <c r="AR152" s="33"/>
      <c r="AS152" s="33"/>
      <c r="AT152" s="33"/>
      <c r="AU152" s="264"/>
      <c r="AV152" s="264"/>
      <c r="AW152" s="264"/>
      <c r="AX152" s="264"/>
      <c r="AY152" s="264"/>
      <c r="AZ152" s="264"/>
      <c r="BA152" s="264"/>
      <c r="BB152" s="264"/>
      <c r="BC152" s="264"/>
      <c r="BD152" s="264"/>
      <c r="BE152" s="264"/>
      <c r="BF152" s="264"/>
      <c r="BG152" s="264"/>
      <c r="BH152" s="264"/>
      <c r="BI152" s="264"/>
      <c r="BJ152" s="264"/>
      <c r="BK152" s="264"/>
      <c r="BL152" s="264"/>
    </row>
    <row r="153" spans="1:64" hidden="1" x14ac:dyDescent="0.2">
      <c r="A153" s="1324"/>
      <c r="B153" s="33"/>
      <c r="C153" s="648"/>
      <c r="D153" s="648"/>
      <c r="E153" s="648"/>
      <c r="F153" s="648"/>
      <c r="G153" s="33"/>
      <c r="H153" s="33"/>
      <c r="I153" s="33"/>
      <c r="J153" s="33"/>
      <c r="K153" s="33"/>
      <c r="L153" s="33"/>
      <c r="M153" s="33"/>
      <c r="N153" s="33"/>
      <c r="O153" s="1324"/>
      <c r="P153" s="1324"/>
      <c r="Q153" s="1324"/>
      <c r="R153" s="1324"/>
      <c r="S153" s="1324"/>
      <c r="T153" s="1324"/>
      <c r="U153" s="1324"/>
      <c r="V153" s="1324"/>
      <c r="W153" s="1324"/>
      <c r="X153" s="1324"/>
      <c r="Y153" s="1324"/>
      <c r="Z153" s="1324"/>
      <c r="AA153" s="1324"/>
      <c r="AB153" s="1324"/>
      <c r="AC153" s="1324"/>
      <c r="AD153" s="33"/>
      <c r="AE153" s="33"/>
      <c r="AF153" s="33"/>
      <c r="AG153" s="33"/>
      <c r="AH153" s="33"/>
      <c r="AI153" s="33"/>
      <c r="AJ153" s="33"/>
      <c r="AK153" s="33"/>
      <c r="AL153" s="33"/>
      <c r="AM153" s="33"/>
      <c r="AN153" s="33"/>
      <c r="AO153" s="33"/>
      <c r="AP153" s="33"/>
      <c r="AQ153" s="33"/>
      <c r="AR153" s="33"/>
      <c r="AS153" s="33"/>
      <c r="AT153" s="33"/>
      <c r="AU153" s="264"/>
      <c r="AV153" s="264"/>
      <c r="AW153" s="264"/>
      <c r="AX153" s="264"/>
      <c r="AY153" s="264"/>
      <c r="AZ153" s="264"/>
      <c r="BA153" s="264"/>
      <c r="BB153" s="264"/>
      <c r="BC153" s="264"/>
      <c r="BD153" s="264"/>
      <c r="BE153" s="264"/>
      <c r="BF153" s="264"/>
      <c r="BG153" s="264"/>
      <c r="BH153" s="264"/>
      <c r="BI153" s="264"/>
      <c r="BJ153" s="264"/>
      <c r="BK153" s="264"/>
      <c r="BL153" s="264"/>
    </row>
    <row r="154" spans="1:64" ht="13.5" hidden="1" customHeight="1" x14ac:dyDescent="0.2">
      <c r="A154" s="1324"/>
      <c r="B154" s="1335">
        <v>1</v>
      </c>
      <c r="C154" s="1581" t="str">
        <f t="shared" ref="C154:C159" si="18">C61</f>
        <v>Gennaio</v>
      </c>
      <c r="D154" s="1582"/>
      <c r="E154" s="1582"/>
      <c r="F154" s="1583"/>
      <c r="G154" s="33"/>
      <c r="H154" s="149">
        <v>1</v>
      </c>
      <c r="I154" s="149">
        <v>2</v>
      </c>
      <c r="J154" s="149">
        <v>3</v>
      </c>
      <c r="K154" s="149">
        <v>4</v>
      </c>
      <c r="L154" s="149">
        <v>5</v>
      </c>
      <c r="M154" s="149">
        <v>6</v>
      </c>
      <c r="N154" s="149">
        <v>7</v>
      </c>
      <c r="O154" s="149">
        <v>8</v>
      </c>
      <c r="P154" s="149">
        <v>9</v>
      </c>
      <c r="Q154" s="149">
        <v>10</v>
      </c>
      <c r="R154" s="149">
        <v>11</v>
      </c>
      <c r="S154" s="149">
        <v>12</v>
      </c>
      <c r="T154" s="149">
        <v>13</v>
      </c>
      <c r="U154" s="149">
        <v>14</v>
      </c>
      <c r="V154" s="149">
        <v>15</v>
      </c>
      <c r="W154" s="149">
        <v>16</v>
      </c>
      <c r="X154" s="149">
        <v>17</v>
      </c>
      <c r="Y154" s="149">
        <v>18</v>
      </c>
      <c r="Z154" s="149">
        <v>19</v>
      </c>
      <c r="AA154" s="149">
        <v>20</v>
      </c>
      <c r="AB154" s="149">
        <v>21</v>
      </c>
      <c r="AC154" s="149">
        <v>22</v>
      </c>
      <c r="AD154" s="149">
        <v>23</v>
      </c>
      <c r="AE154" s="149">
        <v>24</v>
      </c>
      <c r="AF154" s="149">
        <v>25</v>
      </c>
      <c r="AG154" s="149">
        <v>26</v>
      </c>
      <c r="AH154" s="149">
        <v>27</v>
      </c>
      <c r="AI154" s="149">
        <v>28</v>
      </c>
      <c r="AJ154" s="149">
        <v>29</v>
      </c>
      <c r="AK154" s="149">
        <v>30</v>
      </c>
      <c r="AL154" s="149">
        <v>31</v>
      </c>
      <c r="AM154" s="33"/>
      <c r="AN154" s="33"/>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row>
    <row r="155" spans="1:64" ht="13.5" hidden="1" customHeight="1" x14ac:dyDescent="0.2">
      <c r="A155" s="1324"/>
      <c r="B155" s="1335">
        <v>2</v>
      </c>
      <c r="C155" s="1581" t="str">
        <f t="shared" si="18"/>
        <v>Febbraio</v>
      </c>
      <c r="D155" s="1582"/>
      <c r="E155" s="1582"/>
      <c r="F155" s="1583"/>
      <c r="G155" s="33"/>
      <c r="H155" s="149">
        <v>1</v>
      </c>
      <c r="I155" s="149">
        <v>2</v>
      </c>
      <c r="J155" s="149">
        <v>3</v>
      </c>
      <c r="K155" s="149">
        <v>4</v>
      </c>
      <c r="L155" s="149">
        <v>5</v>
      </c>
      <c r="M155" s="149">
        <v>6</v>
      </c>
      <c r="N155" s="149">
        <v>7</v>
      </c>
      <c r="O155" s="149">
        <v>8</v>
      </c>
      <c r="P155" s="149">
        <v>9</v>
      </c>
      <c r="Q155" s="149">
        <v>10</v>
      </c>
      <c r="R155" s="149">
        <v>11</v>
      </c>
      <c r="S155" s="149">
        <v>12</v>
      </c>
      <c r="T155" s="149">
        <v>13</v>
      </c>
      <c r="U155" s="149">
        <v>14</v>
      </c>
      <c r="V155" s="149">
        <v>15</v>
      </c>
      <c r="W155" s="149">
        <v>16</v>
      </c>
      <c r="X155" s="149">
        <v>17</v>
      </c>
      <c r="Y155" s="149">
        <v>18</v>
      </c>
      <c r="Z155" s="149">
        <v>19</v>
      </c>
      <c r="AA155" s="149">
        <v>20</v>
      </c>
      <c r="AB155" s="149">
        <v>21</v>
      </c>
      <c r="AC155" s="149">
        <v>22</v>
      </c>
      <c r="AD155" s="149">
        <v>23</v>
      </c>
      <c r="AE155" s="149">
        <v>24</v>
      </c>
      <c r="AF155" s="149">
        <v>25</v>
      </c>
      <c r="AG155" s="149">
        <v>26</v>
      </c>
      <c r="AH155" s="149">
        <v>27</v>
      </c>
      <c r="AI155" s="149">
        <v>28</v>
      </c>
      <c r="AJ155" s="150">
        <f>IF(CASSA!E239="",0,29)</f>
        <v>29</v>
      </c>
      <c r="AK155" s="33"/>
      <c r="AL155" s="33"/>
      <c r="AM155" s="33"/>
      <c r="AN155" s="33"/>
      <c r="AO155" s="264"/>
      <c r="AP155" s="264"/>
      <c r="AQ155" s="264"/>
      <c r="AR155" s="264"/>
      <c r="AS155" s="264"/>
      <c r="AT155" s="264"/>
      <c r="AU155" s="264"/>
      <c r="AV155" s="264"/>
      <c r="AW155" s="264"/>
      <c r="AX155" s="264"/>
      <c r="AY155" s="264"/>
      <c r="AZ155" s="264"/>
      <c r="BA155" s="264"/>
      <c r="BB155" s="264"/>
      <c r="BC155" s="264"/>
      <c r="BD155" s="264"/>
      <c r="BE155" s="264"/>
      <c r="BF155" s="264"/>
      <c r="BG155" s="264"/>
      <c r="BH155" s="264"/>
      <c r="BI155" s="264"/>
      <c r="BJ155" s="264"/>
      <c r="BK155" s="264"/>
      <c r="BL155" s="264"/>
    </row>
    <row r="156" spans="1:64" ht="13.5" hidden="1" customHeight="1" x14ac:dyDescent="0.2">
      <c r="A156" s="1324"/>
      <c r="B156" s="1335">
        <v>3</v>
      </c>
      <c r="C156" s="1581" t="str">
        <f t="shared" si="18"/>
        <v>Marzo</v>
      </c>
      <c r="D156" s="1582"/>
      <c r="E156" s="1582"/>
      <c r="F156" s="1583"/>
      <c r="G156" s="33"/>
      <c r="H156" s="149">
        <v>1</v>
      </c>
      <c r="I156" s="149">
        <v>2</v>
      </c>
      <c r="J156" s="149">
        <v>3</v>
      </c>
      <c r="K156" s="149">
        <v>4</v>
      </c>
      <c r="L156" s="149">
        <v>5</v>
      </c>
      <c r="M156" s="149">
        <v>6</v>
      </c>
      <c r="N156" s="149">
        <v>7</v>
      </c>
      <c r="O156" s="149">
        <v>8</v>
      </c>
      <c r="P156" s="149">
        <v>9</v>
      </c>
      <c r="Q156" s="149">
        <v>10</v>
      </c>
      <c r="R156" s="149">
        <v>11</v>
      </c>
      <c r="S156" s="149">
        <v>12</v>
      </c>
      <c r="T156" s="149">
        <v>13</v>
      </c>
      <c r="U156" s="149">
        <v>14</v>
      </c>
      <c r="V156" s="149">
        <v>15</v>
      </c>
      <c r="W156" s="149">
        <v>16</v>
      </c>
      <c r="X156" s="149">
        <v>17</v>
      </c>
      <c r="Y156" s="149">
        <v>18</v>
      </c>
      <c r="Z156" s="149">
        <v>19</v>
      </c>
      <c r="AA156" s="149">
        <v>20</v>
      </c>
      <c r="AB156" s="149">
        <v>21</v>
      </c>
      <c r="AC156" s="149">
        <v>22</v>
      </c>
      <c r="AD156" s="149">
        <v>23</v>
      </c>
      <c r="AE156" s="149">
        <v>24</v>
      </c>
      <c r="AF156" s="149">
        <v>25</v>
      </c>
      <c r="AG156" s="149">
        <v>26</v>
      </c>
      <c r="AH156" s="149">
        <v>27</v>
      </c>
      <c r="AI156" s="149">
        <v>28</v>
      </c>
      <c r="AJ156" s="149">
        <v>29</v>
      </c>
      <c r="AK156" s="149">
        <v>30</v>
      </c>
      <c r="AL156" s="149">
        <v>31</v>
      </c>
      <c r="AM156" s="33"/>
      <c r="AN156" s="33"/>
      <c r="AO156" s="264"/>
      <c r="AP156" s="264"/>
      <c r="AQ156" s="264"/>
      <c r="AR156" s="264"/>
      <c r="AS156" s="264"/>
      <c r="AT156" s="264"/>
      <c r="AU156" s="264"/>
      <c r="AV156" s="264"/>
      <c r="AW156" s="264"/>
      <c r="AX156" s="264"/>
      <c r="AY156" s="264"/>
      <c r="AZ156" s="264"/>
      <c r="BA156" s="264"/>
      <c r="BB156" s="264"/>
      <c r="BC156" s="264"/>
      <c r="BD156" s="264"/>
      <c r="BE156" s="264"/>
      <c r="BF156" s="264"/>
      <c r="BG156" s="264"/>
      <c r="BH156" s="264"/>
      <c r="BI156" s="264"/>
      <c r="BJ156" s="264"/>
      <c r="BK156" s="264"/>
      <c r="BL156" s="264"/>
    </row>
    <row r="157" spans="1:64" ht="13.5" hidden="1" customHeight="1" x14ac:dyDescent="0.2">
      <c r="A157" s="1324"/>
      <c r="B157" s="1335">
        <v>4</v>
      </c>
      <c r="C157" s="1581" t="str">
        <f t="shared" si="18"/>
        <v>Aprile</v>
      </c>
      <c r="D157" s="1582"/>
      <c r="E157" s="1582"/>
      <c r="F157" s="1583"/>
      <c r="G157" s="33"/>
      <c r="H157" s="149">
        <v>1</v>
      </c>
      <c r="I157" s="149">
        <v>2</v>
      </c>
      <c r="J157" s="149">
        <v>3</v>
      </c>
      <c r="K157" s="149">
        <v>4</v>
      </c>
      <c r="L157" s="149">
        <v>5</v>
      </c>
      <c r="M157" s="149">
        <v>6</v>
      </c>
      <c r="N157" s="149">
        <v>7</v>
      </c>
      <c r="O157" s="149">
        <v>8</v>
      </c>
      <c r="P157" s="149">
        <v>9</v>
      </c>
      <c r="Q157" s="149">
        <v>10</v>
      </c>
      <c r="R157" s="149">
        <v>11</v>
      </c>
      <c r="S157" s="149">
        <v>12</v>
      </c>
      <c r="T157" s="149">
        <v>13</v>
      </c>
      <c r="U157" s="149">
        <v>14</v>
      </c>
      <c r="V157" s="149">
        <v>15</v>
      </c>
      <c r="W157" s="149">
        <v>16</v>
      </c>
      <c r="X157" s="149">
        <v>17</v>
      </c>
      <c r="Y157" s="149">
        <v>18</v>
      </c>
      <c r="Z157" s="149">
        <v>19</v>
      </c>
      <c r="AA157" s="149">
        <v>20</v>
      </c>
      <c r="AB157" s="149">
        <v>21</v>
      </c>
      <c r="AC157" s="149">
        <v>22</v>
      </c>
      <c r="AD157" s="149">
        <v>23</v>
      </c>
      <c r="AE157" s="149">
        <v>24</v>
      </c>
      <c r="AF157" s="149">
        <v>25</v>
      </c>
      <c r="AG157" s="149">
        <v>26</v>
      </c>
      <c r="AH157" s="149">
        <v>27</v>
      </c>
      <c r="AI157" s="149">
        <v>28</v>
      </c>
      <c r="AJ157" s="149">
        <v>29</v>
      </c>
      <c r="AK157" s="149">
        <v>30</v>
      </c>
      <c r="AL157" s="33"/>
      <c r="AM157" s="33"/>
      <c r="AN157" s="33"/>
      <c r="AO157" s="264"/>
      <c r="AP157" s="264"/>
      <c r="AQ157" s="264"/>
      <c r="AR157" s="264"/>
      <c r="AS157" s="264"/>
      <c r="AT157" s="264"/>
      <c r="AU157" s="264"/>
      <c r="AV157" s="264"/>
      <c r="AW157" s="264"/>
      <c r="AX157" s="264"/>
      <c r="AY157" s="264"/>
      <c r="AZ157" s="264"/>
      <c r="BA157" s="264"/>
      <c r="BB157" s="264"/>
      <c r="BC157" s="264"/>
      <c r="BD157" s="264"/>
      <c r="BE157" s="264"/>
      <c r="BF157" s="264"/>
      <c r="BG157" s="264"/>
      <c r="BH157" s="264"/>
      <c r="BI157" s="264"/>
      <c r="BJ157" s="264"/>
      <c r="BK157" s="264"/>
      <c r="BL157" s="264"/>
    </row>
    <row r="158" spans="1:64" ht="13.5" hidden="1" customHeight="1" x14ac:dyDescent="0.2">
      <c r="A158" s="1324"/>
      <c r="B158" s="1335">
        <v>5</v>
      </c>
      <c r="C158" s="1581" t="str">
        <f t="shared" si="18"/>
        <v>Maggio</v>
      </c>
      <c r="D158" s="1582"/>
      <c r="E158" s="1582"/>
      <c r="F158" s="1583"/>
      <c r="G158" s="33"/>
      <c r="H158" s="149">
        <v>1</v>
      </c>
      <c r="I158" s="149">
        <v>2</v>
      </c>
      <c r="J158" s="149">
        <v>3</v>
      </c>
      <c r="K158" s="149">
        <v>4</v>
      </c>
      <c r="L158" s="149">
        <v>5</v>
      </c>
      <c r="M158" s="149">
        <v>6</v>
      </c>
      <c r="N158" s="149">
        <v>7</v>
      </c>
      <c r="O158" s="149">
        <v>8</v>
      </c>
      <c r="P158" s="149">
        <v>9</v>
      </c>
      <c r="Q158" s="149">
        <v>10</v>
      </c>
      <c r="R158" s="149">
        <v>11</v>
      </c>
      <c r="S158" s="149">
        <v>12</v>
      </c>
      <c r="T158" s="149">
        <v>13</v>
      </c>
      <c r="U158" s="149">
        <v>14</v>
      </c>
      <c r="V158" s="149">
        <v>15</v>
      </c>
      <c r="W158" s="149">
        <v>16</v>
      </c>
      <c r="X158" s="149">
        <v>17</v>
      </c>
      <c r="Y158" s="149">
        <v>18</v>
      </c>
      <c r="Z158" s="149">
        <v>19</v>
      </c>
      <c r="AA158" s="149">
        <v>20</v>
      </c>
      <c r="AB158" s="149">
        <v>21</v>
      </c>
      <c r="AC158" s="149">
        <v>22</v>
      </c>
      <c r="AD158" s="149">
        <v>23</v>
      </c>
      <c r="AE158" s="149">
        <v>24</v>
      </c>
      <c r="AF158" s="149">
        <v>25</v>
      </c>
      <c r="AG158" s="149">
        <v>26</v>
      </c>
      <c r="AH158" s="149">
        <v>27</v>
      </c>
      <c r="AI158" s="149">
        <v>28</v>
      </c>
      <c r="AJ158" s="149">
        <v>29</v>
      </c>
      <c r="AK158" s="149">
        <v>30</v>
      </c>
      <c r="AL158" s="149">
        <v>31</v>
      </c>
      <c r="AM158" s="33"/>
      <c r="AN158" s="33"/>
      <c r="AO158" s="264"/>
      <c r="AP158" s="264"/>
      <c r="AQ158" s="264"/>
      <c r="AR158" s="264"/>
      <c r="AS158" s="264"/>
      <c r="AT158" s="264"/>
      <c r="AU158" s="264"/>
      <c r="AV158" s="264"/>
      <c r="AW158" s="264"/>
      <c r="AX158" s="264"/>
      <c r="AY158" s="264"/>
      <c r="AZ158" s="264"/>
      <c r="BA158" s="264"/>
      <c r="BB158" s="264"/>
      <c r="BC158" s="264"/>
      <c r="BD158" s="264"/>
      <c r="BE158" s="264"/>
      <c r="BF158" s="264"/>
      <c r="BG158" s="264"/>
      <c r="BH158" s="264"/>
      <c r="BI158" s="264"/>
      <c r="BJ158" s="264"/>
      <c r="BK158" s="264"/>
      <c r="BL158" s="264"/>
    </row>
    <row r="159" spans="1:64" ht="13.5" hidden="1" customHeight="1" x14ac:dyDescent="0.2">
      <c r="A159" s="1324"/>
      <c r="B159" s="1335">
        <v>6</v>
      </c>
      <c r="C159" s="1581" t="str">
        <f t="shared" si="18"/>
        <v>Giugno</v>
      </c>
      <c r="D159" s="1582"/>
      <c r="E159" s="1582"/>
      <c r="F159" s="1583"/>
      <c r="G159" s="33"/>
      <c r="H159" s="149">
        <v>1</v>
      </c>
      <c r="I159" s="149">
        <v>2</v>
      </c>
      <c r="J159" s="149">
        <v>3</v>
      </c>
      <c r="K159" s="149">
        <v>4</v>
      </c>
      <c r="L159" s="149">
        <v>5</v>
      </c>
      <c r="M159" s="149">
        <v>6</v>
      </c>
      <c r="N159" s="149">
        <v>7</v>
      </c>
      <c r="O159" s="149">
        <v>8</v>
      </c>
      <c r="P159" s="149">
        <v>9</v>
      </c>
      <c r="Q159" s="149">
        <v>10</v>
      </c>
      <c r="R159" s="149">
        <v>11</v>
      </c>
      <c r="S159" s="149">
        <v>12</v>
      </c>
      <c r="T159" s="149">
        <v>13</v>
      </c>
      <c r="U159" s="149">
        <v>14</v>
      </c>
      <c r="V159" s="149">
        <v>15</v>
      </c>
      <c r="W159" s="149">
        <v>16</v>
      </c>
      <c r="X159" s="149">
        <v>17</v>
      </c>
      <c r="Y159" s="149">
        <v>18</v>
      </c>
      <c r="Z159" s="149">
        <v>19</v>
      </c>
      <c r="AA159" s="149">
        <v>20</v>
      </c>
      <c r="AB159" s="149">
        <v>21</v>
      </c>
      <c r="AC159" s="149">
        <v>22</v>
      </c>
      <c r="AD159" s="149">
        <v>23</v>
      </c>
      <c r="AE159" s="149">
        <v>24</v>
      </c>
      <c r="AF159" s="149">
        <v>25</v>
      </c>
      <c r="AG159" s="149">
        <v>26</v>
      </c>
      <c r="AH159" s="149">
        <v>27</v>
      </c>
      <c r="AI159" s="149">
        <v>28</v>
      </c>
      <c r="AJ159" s="149">
        <v>29</v>
      </c>
      <c r="AK159" s="149">
        <v>30</v>
      </c>
      <c r="AL159" s="33"/>
      <c r="AM159" s="33"/>
      <c r="AN159" s="33"/>
      <c r="AO159" s="264"/>
      <c r="AP159" s="264"/>
      <c r="AQ159" s="264"/>
      <c r="AR159" s="264"/>
      <c r="AS159" s="264"/>
      <c r="AT159" s="264"/>
      <c r="AU159" s="264"/>
      <c r="AV159" s="264"/>
      <c r="AW159" s="264"/>
      <c r="AX159" s="264"/>
      <c r="AY159" s="264"/>
      <c r="AZ159" s="264"/>
      <c r="BA159" s="264"/>
      <c r="BB159" s="264"/>
      <c r="BC159" s="264"/>
      <c r="BD159" s="264"/>
      <c r="BE159" s="264"/>
      <c r="BF159" s="264"/>
      <c r="BG159" s="264"/>
      <c r="BH159" s="264"/>
      <c r="BI159" s="264"/>
      <c r="BJ159" s="264"/>
      <c r="BK159" s="264"/>
      <c r="BL159" s="264"/>
    </row>
    <row r="160" spans="1:64" ht="13.5" hidden="1" customHeight="1" x14ac:dyDescent="0.2">
      <c r="A160" s="1324"/>
      <c r="B160" s="1335">
        <v>7</v>
      </c>
      <c r="C160" s="1581" t="str">
        <f t="shared" ref="C160:C165" si="19">U61</f>
        <v>Luglio</v>
      </c>
      <c r="D160" s="1582"/>
      <c r="E160" s="1582"/>
      <c r="F160" s="1583"/>
      <c r="G160" s="33"/>
      <c r="H160" s="149">
        <v>1</v>
      </c>
      <c r="I160" s="149">
        <v>2</v>
      </c>
      <c r="J160" s="149">
        <v>3</v>
      </c>
      <c r="K160" s="149">
        <v>4</v>
      </c>
      <c r="L160" s="149">
        <v>5</v>
      </c>
      <c r="M160" s="149">
        <v>6</v>
      </c>
      <c r="N160" s="149">
        <v>7</v>
      </c>
      <c r="O160" s="149">
        <v>8</v>
      </c>
      <c r="P160" s="149">
        <v>9</v>
      </c>
      <c r="Q160" s="149">
        <v>10</v>
      </c>
      <c r="R160" s="149">
        <v>11</v>
      </c>
      <c r="S160" s="149">
        <v>12</v>
      </c>
      <c r="T160" s="149">
        <v>13</v>
      </c>
      <c r="U160" s="149">
        <v>14</v>
      </c>
      <c r="V160" s="149">
        <v>15</v>
      </c>
      <c r="W160" s="149">
        <v>16</v>
      </c>
      <c r="X160" s="149">
        <v>17</v>
      </c>
      <c r="Y160" s="149">
        <v>18</v>
      </c>
      <c r="Z160" s="149">
        <v>19</v>
      </c>
      <c r="AA160" s="149">
        <v>20</v>
      </c>
      <c r="AB160" s="149">
        <v>21</v>
      </c>
      <c r="AC160" s="149">
        <v>22</v>
      </c>
      <c r="AD160" s="149">
        <v>23</v>
      </c>
      <c r="AE160" s="149">
        <v>24</v>
      </c>
      <c r="AF160" s="149">
        <v>25</v>
      </c>
      <c r="AG160" s="149">
        <v>26</v>
      </c>
      <c r="AH160" s="149">
        <v>27</v>
      </c>
      <c r="AI160" s="149">
        <v>28</v>
      </c>
      <c r="AJ160" s="149">
        <v>29</v>
      </c>
      <c r="AK160" s="149">
        <v>30</v>
      </c>
      <c r="AL160" s="149">
        <v>31</v>
      </c>
      <c r="AM160" s="33"/>
      <c r="AN160" s="33"/>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row>
    <row r="161" spans="1:64" ht="13.5" hidden="1" customHeight="1" x14ac:dyDescent="0.2">
      <c r="A161" s="1324"/>
      <c r="B161" s="1335">
        <v>8</v>
      </c>
      <c r="C161" s="1581" t="str">
        <f t="shared" si="19"/>
        <v>Agosto</v>
      </c>
      <c r="D161" s="1582"/>
      <c r="E161" s="1582"/>
      <c r="F161" s="1583"/>
      <c r="G161" s="33"/>
      <c r="H161" s="149">
        <v>1</v>
      </c>
      <c r="I161" s="149">
        <v>2</v>
      </c>
      <c r="J161" s="149">
        <v>3</v>
      </c>
      <c r="K161" s="149">
        <v>4</v>
      </c>
      <c r="L161" s="149">
        <v>5</v>
      </c>
      <c r="M161" s="149">
        <v>6</v>
      </c>
      <c r="N161" s="149">
        <v>7</v>
      </c>
      <c r="O161" s="149">
        <v>8</v>
      </c>
      <c r="P161" s="149">
        <v>9</v>
      </c>
      <c r="Q161" s="149">
        <v>10</v>
      </c>
      <c r="R161" s="149">
        <v>11</v>
      </c>
      <c r="S161" s="149">
        <v>12</v>
      </c>
      <c r="T161" s="149">
        <v>13</v>
      </c>
      <c r="U161" s="149">
        <v>14</v>
      </c>
      <c r="V161" s="149">
        <v>15</v>
      </c>
      <c r="W161" s="149">
        <v>16</v>
      </c>
      <c r="X161" s="149">
        <v>17</v>
      </c>
      <c r="Y161" s="149">
        <v>18</v>
      </c>
      <c r="Z161" s="149">
        <v>19</v>
      </c>
      <c r="AA161" s="149">
        <v>20</v>
      </c>
      <c r="AB161" s="149">
        <v>21</v>
      </c>
      <c r="AC161" s="149">
        <v>22</v>
      </c>
      <c r="AD161" s="149">
        <v>23</v>
      </c>
      <c r="AE161" s="149">
        <v>24</v>
      </c>
      <c r="AF161" s="149">
        <v>25</v>
      </c>
      <c r="AG161" s="149">
        <v>26</v>
      </c>
      <c r="AH161" s="149">
        <v>27</v>
      </c>
      <c r="AI161" s="149">
        <v>28</v>
      </c>
      <c r="AJ161" s="149">
        <v>29</v>
      </c>
      <c r="AK161" s="149">
        <v>30</v>
      </c>
      <c r="AL161" s="149">
        <v>31</v>
      </c>
      <c r="AM161" s="33"/>
      <c r="AN161" s="33"/>
      <c r="AO161" s="264"/>
      <c r="AP161" s="264"/>
      <c r="AQ161" s="264"/>
      <c r="AR161" s="264"/>
      <c r="AS161" s="264"/>
      <c r="AT161" s="264"/>
      <c r="AU161" s="264"/>
      <c r="AV161" s="264"/>
      <c r="AW161" s="264"/>
      <c r="AX161" s="264"/>
      <c r="AY161" s="264"/>
      <c r="AZ161" s="264"/>
      <c r="BA161" s="264"/>
      <c r="BB161" s="264"/>
      <c r="BC161" s="264"/>
      <c r="BD161" s="264"/>
      <c r="BE161" s="264"/>
      <c r="BF161" s="264"/>
      <c r="BG161" s="264"/>
      <c r="BH161" s="264"/>
      <c r="BI161" s="264"/>
      <c r="BJ161" s="264"/>
      <c r="BK161" s="264"/>
      <c r="BL161" s="264"/>
    </row>
    <row r="162" spans="1:64" ht="13.5" hidden="1" customHeight="1" x14ac:dyDescent="0.2">
      <c r="A162" s="1324"/>
      <c r="B162" s="1335">
        <v>9</v>
      </c>
      <c r="C162" s="1581" t="str">
        <f t="shared" si="19"/>
        <v>Settembre</v>
      </c>
      <c r="D162" s="1582"/>
      <c r="E162" s="1582"/>
      <c r="F162" s="1583"/>
      <c r="G162" s="33"/>
      <c r="H162" s="149">
        <v>1</v>
      </c>
      <c r="I162" s="149">
        <v>2</v>
      </c>
      <c r="J162" s="149">
        <v>3</v>
      </c>
      <c r="K162" s="149">
        <v>4</v>
      </c>
      <c r="L162" s="149">
        <v>5</v>
      </c>
      <c r="M162" s="149">
        <v>6</v>
      </c>
      <c r="N162" s="149">
        <v>7</v>
      </c>
      <c r="O162" s="149">
        <v>8</v>
      </c>
      <c r="P162" s="149">
        <v>9</v>
      </c>
      <c r="Q162" s="149">
        <v>10</v>
      </c>
      <c r="R162" s="149">
        <v>11</v>
      </c>
      <c r="S162" s="149">
        <v>12</v>
      </c>
      <c r="T162" s="149">
        <v>13</v>
      </c>
      <c r="U162" s="149">
        <v>14</v>
      </c>
      <c r="V162" s="149">
        <v>15</v>
      </c>
      <c r="W162" s="149">
        <v>16</v>
      </c>
      <c r="X162" s="149">
        <v>17</v>
      </c>
      <c r="Y162" s="149">
        <v>18</v>
      </c>
      <c r="Z162" s="149">
        <v>19</v>
      </c>
      <c r="AA162" s="149">
        <v>20</v>
      </c>
      <c r="AB162" s="149">
        <v>21</v>
      </c>
      <c r="AC162" s="149">
        <v>22</v>
      </c>
      <c r="AD162" s="149">
        <v>23</v>
      </c>
      <c r="AE162" s="149">
        <v>24</v>
      </c>
      <c r="AF162" s="149">
        <v>25</v>
      </c>
      <c r="AG162" s="149">
        <v>26</v>
      </c>
      <c r="AH162" s="149">
        <v>27</v>
      </c>
      <c r="AI162" s="149">
        <v>28</v>
      </c>
      <c r="AJ162" s="149">
        <v>29</v>
      </c>
      <c r="AK162" s="149">
        <v>30</v>
      </c>
      <c r="AL162" s="33"/>
      <c r="AM162" s="33"/>
      <c r="AN162" s="33"/>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row>
    <row r="163" spans="1:64" ht="13.5" hidden="1" customHeight="1" x14ac:dyDescent="0.2">
      <c r="A163" s="1324"/>
      <c r="B163" s="1335">
        <v>10</v>
      </c>
      <c r="C163" s="1581" t="str">
        <f t="shared" si="19"/>
        <v>Ottobre</v>
      </c>
      <c r="D163" s="1582"/>
      <c r="E163" s="1582"/>
      <c r="F163" s="1583"/>
      <c r="G163" s="33"/>
      <c r="H163" s="149">
        <v>1</v>
      </c>
      <c r="I163" s="149">
        <v>2</v>
      </c>
      <c r="J163" s="149">
        <v>3</v>
      </c>
      <c r="K163" s="149">
        <v>4</v>
      </c>
      <c r="L163" s="149">
        <v>5</v>
      </c>
      <c r="M163" s="149">
        <v>6</v>
      </c>
      <c r="N163" s="149">
        <v>7</v>
      </c>
      <c r="O163" s="149">
        <v>8</v>
      </c>
      <c r="P163" s="149">
        <v>9</v>
      </c>
      <c r="Q163" s="149">
        <v>10</v>
      </c>
      <c r="R163" s="149">
        <v>11</v>
      </c>
      <c r="S163" s="149">
        <v>12</v>
      </c>
      <c r="T163" s="149">
        <v>13</v>
      </c>
      <c r="U163" s="149">
        <v>14</v>
      </c>
      <c r="V163" s="149">
        <v>15</v>
      </c>
      <c r="W163" s="149">
        <v>16</v>
      </c>
      <c r="X163" s="149">
        <v>17</v>
      </c>
      <c r="Y163" s="149">
        <v>18</v>
      </c>
      <c r="Z163" s="149">
        <v>19</v>
      </c>
      <c r="AA163" s="149">
        <v>20</v>
      </c>
      <c r="AB163" s="149">
        <v>21</v>
      </c>
      <c r="AC163" s="149">
        <v>22</v>
      </c>
      <c r="AD163" s="149">
        <v>23</v>
      </c>
      <c r="AE163" s="149">
        <v>24</v>
      </c>
      <c r="AF163" s="149">
        <v>25</v>
      </c>
      <c r="AG163" s="149">
        <v>26</v>
      </c>
      <c r="AH163" s="149">
        <v>27</v>
      </c>
      <c r="AI163" s="149">
        <v>28</v>
      </c>
      <c r="AJ163" s="149">
        <v>29</v>
      </c>
      <c r="AK163" s="149">
        <v>30</v>
      </c>
      <c r="AL163" s="149">
        <v>31</v>
      </c>
      <c r="AM163" s="33"/>
      <c r="AN163" s="33"/>
      <c r="AO163" s="264"/>
      <c r="AP163" s="264"/>
      <c r="AQ163" s="264"/>
      <c r="AR163" s="264"/>
      <c r="AS163" s="264"/>
      <c r="AT163" s="264"/>
      <c r="AU163" s="264"/>
      <c r="AV163" s="264"/>
      <c r="AW163" s="264"/>
      <c r="AX163" s="264"/>
      <c r="AY163" s="264"/>
      <c r="AZ163" s="264"/>
      <c r="BA163" s="264"/>
      <c r="BB163" s="264"/>
      <c r="BC163" s="264"/>
      <c r="BD163" s="264"/>
      <c r="BE163" s="264"/>
      <c r="BF163" s="264"/>
      <c r="BG163" s="264"/>
      <c r="BH163" s="264"/>
      <c r="BI163" s="264"/>
      <c r="BJ163" s="264"/>
      <c r="BK163" s="264"/>
      <c r="BL163" s="264"/>
    </row>
    <row r="164" spans="1:64" ht="13.5" hidden="1" customHeight="1" x14ac:dyDescent="0.2">
      <c r="A164" s="1324"/>
      <c r="B164" s="1335">
        <v>11</v>
      </c>
      <c r="C164" s="1581" t="str">
        <f t="shared" si="19"/>
        <v>Novembre</v>
      </c>
      <c r="D164" s="1582"/>
      <c r="E164" s="1582"/>
      <c r="F164" s="1583"/>
      <c r="G164" s="33"/>
      <c r="H164" s="149">
        <v>1</v>
      </c>
      <c r="I164" s="149">
        <v>2</v>
      </c>
      <c r="J164" s="149">
        <v>3</v>
      </c>
      <c r="K164" s="149">
        <v>4</v>
      </c>
      <c r="L164" s="149">
        <v>5</v>
      </c>
      <c r="M164" s="149">
        <v>6</v>
      </c>
      <c r="N164" s="149">
        <v>7</v>
      </c>
      <c r="O164" s="149">
        <v>8</v>
      </c>
      <c r="P164" s="149">
        <v>9</v>
      </c>
      <c r="Q164" s="149">
        <v>10</v>
      </c>
      <c r="R164" s="149">
        <v>11</v>
      </c>
      <c r="S164" s="149">
        <v>12</v>
      </c>
      <c r="T164" s="149">
        <v>13</v>
      </c>
      <c r="U164" s="149">
        <v>14</v>
      </c>
      <c r="V164" s="149">
        <v>15</v>
      </c>
      <c r="W164" s="149">
        <v>16</v>
      </c>
      <c r="X164" s="149">
        <v>17</v>
      </c>
      <c r="Y164" s="149">
        <v>18</v>
      </c>
      <c r="Z164" s="149">
        <v>19</v>
      </c>
      <c r="AA164" s="149">
        <v>20</v>
      </c>
      <c r="AB164" s="149">
        <v>21</v>
      </c>
      <c r="AC164" s="149">
        <v>22</v>
      </c>
      <c r="AD164" s="149">
        <v>23</v>
      </c>
      <c r="AE164" s="149">
        <v>24</v>
      </c>
      <c r="AF164" s="149">
        <v>25</v>
      </c>
      <c r="AG164" s="149">
        <v>26</v>
      </c>
      <c r="AH164" s="149">
        <v>27</v>
      </c>
      <c r="AI164" s="149">
        <v>28</v>
      </c>
      <c r="AJ164" s="149">
        <v>29</v>
      </c>
      <c r="AK164" s="149">
        <v>30</v>
      </c>
      <c r="AL164" s="33"/>
      <c r="AM164" s="33"/>
      <c r="AN164" s="33"/>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row>
    <row r="165" spans="1:64" ht="13.5" hidden="1" customHeight="1" x14ac:dyDescent="0.2">
      <c r="A165" s="1324"/>
      <c r="B165" s="1335">
        <v>12</v>
      </c>
      <c r="C165" s="1581" t="str">
        <f t="shared" si="19"/>
        <v>Dicembre</v>
      </c>
      <c r="D165" s="1582"/>
      <c r="E165" s="1582"/>
      <c r="F165" s="1583"/>
      <c r="G165" s="33"/>
      <c r="H165" s="149">
        <v>1</v>
      </c>
      <c r="I165" s="149">
        <v>2</v>
      </c>
      <c r="J165" s="149">
        <v>3</v>
      </c>
      <c r="K165" s="149">
        <v>4</v>
      </c>
      <c r="L165" s="149">
        <v>5</v>
      </c>
      <c r="M165" s="149">
        <v>6</v>
      </c>
      <c r="N165" s="149">
        <v>7</v>
      </c>
      <c r="O165" s="149">
        <v>8</v>
      </c>
      <c r="P165" s="149">
        <v>9</v>
      </c>
      <c r="Q165" s="149">
        <v>10</v>
      </c>
      <c r="R165" s="149">
        <v>11</v>
      </c>
      <c r="S165" s="149">
        <v>12</v>
      </c>
      <c r="T165" s="149">
        <v>13</v>
      </c>
      <c r="U165" s="149">
        <v>14</v>
      </c>
      <c r="V165" s="149">
        <v>15</v>
      </c>
      <c r="W165" s="149">
        <v>16</v>
      </c>
      <c r="X165" s="149">
        <v>17</v>
      </c>
      <c r="Y165" s="149">
        <v>18</v>
      </c>
      <c r="Z165" s="149">
        <v>19</v>
      </c>
      <c r="AA165" s="149">
        <v>20</v>
      </c>
      <c r="AB165" s="149">
        <v>21</v>
      </c>
      <c r="AC165" s="149">
        <v>22</v>
      </c>
      <c r="AD165" s="149">
        <v>23</v>
      </c>
      <c r="AE165" s="149">
        <v>24</v>
      </c>
      <c r="AF165" s="149">
        <v>25</v>
      </c>
      <c r="AG165" s="149">
        <v>26</v>
      </c>
      <c r="AH165" s="149">
        <v>27</v>
      </c>
      <c r="AI165" s="149">
        <v>28</v>
      </c>
      <c r="AJ165" s="149">
        <v>29</v>
      </c>
      <c r="AK165" s="149">
        <v>30</v>
      </c>
      <c r="AL165" s="149">
        <v>31</v>
      </c>
      <c r="AM165" s="33"/>
      <c r="AN165" s="33"/>
      <c r="AO165" s="264"/>
      <c r="AP165" s="264"/>
      <c r="AQ165" s="264"/>
      <c r="AR165" s="264"/>
      <c r="AS165" s="264"/>
      <c r="AT165" s="264"/>
      <c r="AU165" s="264"/>
      <c r="AV165" s="264"/>
      <c r="AW165" s="264"/>
      <c r="AX165" s="264"/>
      <c r="AY165" s="264"/>
      <c r="AZ165" s="264"/>
      <c r="BA165" s="264"/>
      <c r="BB165" s="264"/>
      <c r="BC165" s="264"/>
      <c r="BD165" s="264"/>
      <c r="BE165" s="264"/>
      <c r="BF165" s="264"/>
      <c r="BG165" s="264"/>
      <c r="BH165" s="264"/>
      <c r="BI165" s="264"/>
      <c r="BJ165" s="264"/>
      <c r="BK165" s="264"/>
      <c r="BL165" s="264"/>
    </row>
    <row r="166" spans="1:64" hidden="1" x14ac:dyDescent="0.2">
      <c r="A166" s="1324"/>
      <c r="B166" s="1324"/>
      <c r="C166" s="1324"/>
      <c r="D166" s="1324"/>
      <c r="E166" s="1324"/>
      <c r="F166" s="1324"/>
      <c r="G166" s="1324"/>
      <c r="H166" s="1324"/>
      <c r="I166" s="1324"/>
      <c r="J166" s="1324"/>
      <c r="K166" s="1324"/>
      <c r="L166" s="1324"/>
      <c r="M166" s="1324"/>
      <c r="N166" s="1324"/>
      <c r="O166" s="1324"/>
      <c r="P166" s="1324"/>
      <c r="Q166" s="1324"/>
      <c r="R166" s="1324"/>
      <c r="S166" s="1324"/>
      <c r="T166" s="1324"/>
      <c r="U166" s="1324"/>
      <c r="V166" s="1324"/>
      <c r="W166" s="1324"/>
      <c r="X166" s="1324"/>
      <c r="Y166" s="1324"/>
      <c r="Z166" s="1324"/>
      <c r="AA166" s="1324"/>
      <c r="AB166" s="1324"/>
      <c r="AC166" s="1324"/>
      <c r="AD166" s="33"/>
      <c r="AE166" s="33"/>
      <c r="AF166" s="33"/>
      <c r="AG166" s="33"/>
      <c r="AH166" s="33"/>
      <c r="AI166" s="33"/>
      <c r="AJ166" s="33"/>
      <c r="AK166" s="33"/>
      <c r="AL166" s="33"/>
      <c r="AM166" s="33"/>
      <c r="AN166" s="33"/>
      <c r="AO166" s="264"/>
      <c r="AP166" s="264"/>
      <c r="AQ166" s="264"/>
      <c r="AR166" s="264"/>
      <c r="AS166" s="264"/>
      <c r="AT166" s="264"/>
      <c r="AU166" s="264"/>
      <c r="AV166" s="264"/>
      <c r="AW166" s="264"/>
      <c r="AX166" s="264"/>
      <c r="AY166" s="264"/>
      <c r="AZ166" s="264"/>
      <c r="BA166" s="264"/>
      <c r="BB166" s="264"/>
      <c r="BC166" s="264"/>
      <c r="BD166" s="264"/>
      <c r="BE166" s="264"/>
      <c r="BF166" s="264"/>
      <c r="BG166" s="264"/>
      <c r="BH166" s="264"/>
      <c r="BI166" s="264"/>
      <c r="BJ166" s="264"/>
      <c r="BK166" s="264"/>
      <c r="BL166" s="264"/>
    </row>
    <row r="167" spans="1:64" ht="13.5" hidden="1" customHeight="1" x14ac:dyDescent="0.2">
      <c r="A167" s="1324"/>
      <c r="B167" s="33"/>
      <c r="C167" s="1581" t="str">
        <f>C154</f>
        <v>Gennaio</v>
      </c>
      <c r="D167" s="1582"/>
      <c r="E167" s="1582"/>
      <c r="F167" s="1583"/>
      <c r="G167" s="1335">
        <f>B154</f>
        <v>1</v>
      </c>
      <c r="H167" s="151">
        <f t="shared" ref="H167:AL167" si="20">DATE($AH$53,$B154,H154)</f>
        <v>45292</v>
      </c>
      <c r="I167" s="151">
        <f t="shared" si="20"/>
        <v>45293</v>
      </c>
      <c r="J167" s="151">
        <f t="shared" si="20"/>
        <v>45294</v>
      </c>
      <c r="K167" s="151">
        <f t="shared" si="20"/>
        <v>45295</v>
      </c>
      <c r="L167" s="151">
        <f t="shared" si="20"/>
        <v>45296</v>
      </c>
      <c r="M167" s="151">
        <f t="shared" si="20"/>
        <v>45297</v>
      </c>
      <c r="N167" s="151">
        <f t="shared" si="20"/>
        <v>45298</v>
      </c>
      <c r="O167" s="151">
        <f t="shared" si="20"/>
        <v>45299</v>
      </c>
      <c r="P167" s="151">
        <f t="shared" ref="P167:V178" si="21">DATE($AH$53,$B154,P154)</f>
        <v>45300</v>
      </c>
      <c r="Q167" s="151">
        <f t="shared" si="21"/>
        <v>45301</v>
      </c>
      <c r="R167" s="151">
        <f t="shared" si="21"/>
        <v>45302</v>
      </c>
      <c r="S167" s="151">
        <f t="shared" si="21"/>
        <v>45303</v>
      </c>
      <c r="T167" s="151">
        <f t="shared" si="21"/>
        <v>45304</v>
      </c>
      <c r="U167" s="151">
        <f t="shared" si="21"/>
        <v>45305</v>
      </c>
      <c r="V167" s="151">
        <f t="shared" si="21"/>
        <v>45306</v>
      </c>
      <c r="W167" s="151">
        <f t="shared" si="20"/>
        <v>45307</v>
      </c>
      <c r="X167" s="151">
        <f t="shared" si="20"/>
        <v>45308</v>
      </c>
      <c r="Y167" s="151">
        <f t="shared" si="20"/>
        <v>45309</v>
      </c>
      <c r="Z167" s="151">
        <f t="shared" si="20"/>
        <v>45310</v>
      </c>
      <c r="AA167" s="151">
        <f t="shared" si="20"/>
        <v>45311</v>
      </c>
      <c r="AB167" s="151">
        <f t="shared" si="20"/>
        <v>45312</v>
      </c>
      <c r="AC167" s="151">
        <f t="shared" si="20"/>
        <v>45313</v>
      </c>
      <c r="AD167" s="151">
        <f t="shared" si="20"/>
        <v>45314</v>
      </c>
      <c r="AE167" s="151">
        <f t="shared" si="20"/>
        <v>45315</v>
      </c>
      <c r="AF167" s="151">
        <f t="shared" si="20"/>
        <v>45316</v>
      </c>
      <c r="AG167" s="151">
        <f t="shared" si="20"/>
        <v>45317</v>
      </c>
      <c r="AH167" s="151">
        <f t="shared" si="20"/>
        <v>45318</v>
      </c>
      <c r="AI167" s="151">
        <f t="shared" si="20"/>
        <v>45319</v>
      </c>
      <c r="AJ167" s="151">
        <f t="shared" si="20"/>
        <v>45320</v>
      </c>
      <c r="AK167" s="151">
        <f t="shared" si="20"/>
        <v>45321</v>
      </c>
      <c r="AL167" s="151">
        <f t="shared" si="20"/>
        <v>45322</v>
      </c>
      <c r="AM167" s="33"/>
      <c r="AN167" s="33"/>
      <c r="AO167" s="264"/>
      <c r="AP167" s="264"/>
      <c r="AQ167" s="264"/>
      <c r="AR167" s="264"/>
      <c r="AS167" s="264"/>
      <c r="AT167" s="264"/>
      <c r="AU167" s="264"/>
      <c r="AV167" s="264"/>
      <c r="AW167" s="264"/>
      <c r="AX167" s="264"/>
      <c r="AY167" s="264"/>
      <c r="AZ167" s="264"/>
      <c r="BA167" s="264"/>
      <c r="BB167" s="264"/>
      <c r="BC167" s="264"/>
      <c r="BD167" s="264"/>
      <c r="BE167" s="264"/>
      <c r="BF167" s="264"/>
      <c r="BG167" s="264"/>
      <c r="BH167" s="264"/>
      <c r="BI167" s="264"/>
      <c r="BJ167" s="264"/>
      <c r="BK167" s="264"/>
      <c r="BL167" s="264"/>
    </row>
    <row r="168" spans="1:64" ht="13.5" hidden="1" customHeight="1" x14ac:dyDescent="0.2">
      <c r="A168" s="1324"/>
      <c r="B168" s="33"/>
      <c r="C168" s="1581" t="str">
        <f t="shared" ref="C168:C178" si="22">C155</f>
        <v>Febbraio</v>
      </c>
      <c r="D168" s="1582"/>
      <c r="E168" s="1582"/>
      <c r="F168" s="1583"/>
      <c r="G168" s="1335">
        <f t="shared" ref="G168:G178" si="23">B155</f>
        <v>2</v>
      </c>
      <c r="H168" s="151">
        <f t="shared" ref="H168:AI168" si="24">DATE($AH$53,$B155,H155)</f>
        <v>45323</v>
      </c>
      <c r="I168" s="151">
        <f t="shared" si="24"/>
        <v>45324</v>
      </c>
      <c r="J168" s="151">
        <f t="shared" si="24"/>
        <v>45325</v>
      </c>
      <c r="K168" s="151">
        <f t="shared" si="24"/>
        <v>45326</v>
      </c>
      <c r="L168" s="151">
        <f t="shared" si="24"/>
        <v>45327</v>
      </c>
      <c r="M168" s="151">
        <f t="shared" si="24"/>
        <v>45328</v>
      </c>
      <c r="N168" s="151">
        <f t="shared" si="24"/>
        <v>45329</v>
      </c>
      <c r="O168" s="151">
        <f t="shared" si="24"/>
        <v>45330</v>
      </c>
      <c r="P168" s="151">
        <f t="shared" si="21"/>
        <v>45331</v>
      </c>
      <c r="Q168" s="151">
        <f t="shared" si="21"/>
        <v>45332</v>
      </c>
      <c r="R168" s="151">
        <f t="shared" si="21"/>
        <v>45333</v>
      </c>
      <c r="S168" s="151">
        <f t="shared" si="21"/>
        <v>45334</v>
      </c>
      <c r="T168" s="151">
        <f t="shared" si="21"/>
        <v>45335</v>
      </c>
      <c r="U168" s="151">
        <f t="shared" si="21"/>
        <v>45336</v>
      </c>
      <c r="V168" s="151">
        <f t="shared" si="21"/>
        <v>45337</v>
      </c>
      <c r="W168" s="151">
        <f t="shared" si="24"/>
        <v>45338</v>
      </c>
      <c r="X168" s="151">
        <f t="shared" si="24"/>
        <v>45339</v>
      </c>
      <c r="Y168" s="151">
        <f t="shared" si="24"/>
        <v>45340</v>
      </c>
      <c r="Z168" s="151">
        <f t="shared" si="24"/>
        <v>45341</v>
      </c>
      <c r="AA168" s="151">
        <f t="shared" si="24"/>
        <v>45342</v>
      </c>
      <c r="AB168" s="151">
        <f t="shared" si="24"/>
        <v>45343</v>
      </c>
      <c r="AC168" s="151">
        <f t="shared" si="24"/>
        <v>45344</v>
      </c>
      <c r="AD168" s="151">
        <f t="shared" si="24"/>
        <v>45345</v>
      </c>
      <c r="AE168" s="151">
        <f t="shared" si="24"/>
        <v>45346</v>
      </c>
      <c r="AF168" s="151">
        <f t="shared" si="24"/>
        <v>45347</v>
      </c>
      <c r="AG168" s="151">
        <f t="shared" si="24"/>
        <v>45348</v>
      </c>
      <c r="AH168" s="151">
        <f t="shared" si="24"/>
        <v>45349</v>
      </c>
      <c r="AI168" s="151">
        <f t="shared" si="24"/>
        <v>45350</v>
      </c>
      <c r="AJ168" s="152">
        <f>IF(AJ155=0,0,DATE($AH$53,$B155,AJ155))</f>
        <v>45351</v>
      </c>
      <c r="AK168" s="153"/>
      <c r="AL168" s="153"/>
      <c r="AM168" s="33"/>
      <c r="AN168" s="33"/>
      <c r="AO168" s="264"/>
      <c r="AP168" s="264"/>
      <c r="AQ168" s="264"/>
      <c r="AR168" s="264"/>
      <c r="AS168" s="264"/>
      <c r="AT168" s="264"/>
      <c r="AU168" s="264"/>
      <c r="AV168" s="264"/>
      <c r="AW168" s="264"/>
      <c r="AX168" s="264"/>
      <c r="AY168" s="264"/>
      <c r="AZ168" s="264"/>
      <c r="BA168" s="264"/>
      <c r="BB168" s="264"/>
      <c r="BC168" s="264"/>
      <c r="BD168" s="264"/>
      <c r="BE168" s="264"/>
      <c r="BF168" s="264"/>
      <c r="BG168" s="264"/>
      <c r="BH168" s="264"/>
      <c r="BI168" s="264"/>
      <c r="BJ168" s="264"/>
      <c r="BK168" s="264"/>
      <c r="BL168" s="264"/>
    </row>
    <row r="169" spans="1:64" ht="13.5" hidden="1" customHeight="1" x14ac:dyDescent="0.2">
      <c r="A169" s="1324"/>
      <c r="B169" s="33"/>
      <c r="C169" s="1581" t="str">
        <f t="shared" si="22"/>
        <v>Marzo</v>
      </c>
      <c r="D169" s="1582"/>
      <c r="E169" s="1582"/>
      <c r="F169" s="1583"/>
      <c r="G169" s="1335">
        <f t="shared" si="23"/>
        <v>3</v>
      </c>
      <c r="H169" s="151">
        <f t="shared" ref="H169:AI169" si="25">DATE($AH$53,$B156,H156)</f>
        <v>45352</v>
      </c>
      <c r="I169" s="151">
        <f t="shared" si="25"/>
        <v>45353</v>
      </c>
      <c r="J169" s="151">
        <f t="shared" si="25"/>
        <v>45354</v>
      </c>
      <c r="K169" s="151">
        <f t="shared" si="25"/>
        <v>45355</v>
      </c>
      <c r="L169" s="151">
        <f t="shared" si="25"/>
        <v>45356</v>
      </c>
      <c r="M169" s="151">
        <f t="shared" si="25"/>
        <v>45357</v>
      </c>
      <c r="N169" s="151">
        <f t="shared" si="25"/>
        <v>45358</v>
      </c>
      <c r="O169" s="151">
        <f t="shared" si="25"/>
        <v>45359</v>
      </c>
      <c r="P169" s="151">
        <f t="shared" si="21"/>
        <v>45360</v>
      </c>
      <c r="Q169" s="151">
        <f t="shared" si="21"/>
        <v>45361</v>
      </c>
      <c r="R169" s="151">
        <f t="shared" si="21"/>
        <v>45362</v>
      </c>
      <c r="S169" s="151">
        <f t="shared" si="21"/>
        <v>45363</v>
      </c>
      <c r="T169" s="151">
        <f t="shared" si="21"/>
        <v>45364</v>
      </c>
      <c r="U169" s="151">
        <f t="shared" si="21"/>
        <v>45365</v>
      </c>
      <c r="V169" s="151">
        <f t="shared" si="21"/>
        <v>45366</v>
      </c>
      <c r="W169" s="151">
        <f t="shared" si="25"/>
        <v>45367</v>
      </c>
      <c r="X169" s="151">
        <f t="shared" si="25"/>
        <v>45368</v>
      </c>
      <c r="Y169" s="151">
        <f t="shared" si="25"/>
        <v>45369</v>
      </c>
      <c r="Z169" s="151">
        <f t="shared" si="25"/>
        <v>45370</v>
      </c>
      <c r="AA169" s="151">
        <f t="shared" si="25"/>
        <v>45371</v>
      </c>
      <c r="AB169" s="151">
        <f t="shared" si="25"/>
        <v>45372</v>
      </c>
      <c r="AC169" s="151">
        <f t="shared" si="25"/>
        <v>45373</v>
      </c>
      <c r="AD169" s="151">
        <f t="shared" si="25"/>
        <v>45374</v>
      </c>
      <c r="AE169" s="151">
        <f t="shared" si="25"/>
        <v>45375</v>
      </c>
      <c r="AF169" s="151">
        <f t="shared" si="25"/>
        <v>45376</v>
      </c>
      <c r="AG169" s="151">
        <f t="shared" si="25"/>
        <v>45377</v>
      </c>
      <c r="AH169" s="151">
        <f t="shared" si="25"/>
        <v>45378</v>
      </c>
      <c r="AI169" s="151">
        <f t="shared" si="25"/>
        <v>45379</v>
      </c>
      <c r="AJ169" s="151">
        <f>DATE($AH$53,$B156,AJ156)</f>
        <v>45380</v>
      </c>
      <c r="AK169" s="151">
        <f>DATE($AH$53,$B156,AK156)</f>
        <v>45381</v>
      </c>
      <c r="AL169" s="151">
        <f>DATE($AH$53,$B156,AL156)</f>
        <v>45382</v>
      </c>
      <c r="AM169" s="33"/>
      <c r="AN169" s="33"/>
      <c r="AO169" s="264"/>
      <c r="AP169" s="264"/>
      <c r="AQ169" s="264"/>
      <c r="AR169" s="264"/>
      <c r="AS169" s="264"/>
      <c r="AT169" s="264"/>
      <c r="AU169" s="264"/>
      <c r="AV169" s="264"/>
      <c r="AW169" s="264"/>
      <c r="AX169" s="264"/>
      <c r="AY169" s="264"/>
      <c r="AZ169" s="264"/>
      <c r="BA169" s="264"/>
      <c r="BB169" s="264"/>
      <c r="BC169" s="264"/>
      <c r="BD169" s="264"/>
      <c r="BE169" s="264"/>
      <c r="BF169" s="264"/>
      <c r="BG169" s="264"/>
      <c r="BH169" s="264"/>
      <c r="BI169" s="264"/>
      <c r="BJ169" s="264"/>
      <c r="BK169" s="264"/>
      <c r="BL169" s="264"/>
    </row>
    <row r="170" spans="1:64" ht="13.5" hidden="1" customHeight="1" x14ac:dyDescent="0.2">
      <c r="A170" s="1324"/>
      <c r="B170" s="33"/>
      <c r="C170" s="1581" t="str">
        <f t="shared" si="22"/>
        <v>Aprile</v>
      </c>
      <c r="D170" s="1582"/>
      <c r="E170" s="1582"/>
      <c r="F170" s="1583"/>
      <c r="G170" s="1335">
        <f t="shared" si="23"/>
        <v>4</v>
      </c>
      <c r="H170" s="151">
        <f t="shared" ref="H170:AI170" si="26">DATE($AH$53,$B157,H157)</f>
        <v>45383</v>
      </c>
      <c r="I170" s="151">
        <f t="shared" si="26"/>
        <v>45384</v>
      </c>
      <c r="J170" s="151">
        <f t="shared" si="26"/>
        <v>45385</v>
      </c>
      <c r="K170" s="151">
        <f t="shared" si="26"/>
        <v>45386</v>
      </c>
      <c r="L170" s="151">
        <f t="shared" si="26"/>
        <v>45387</v>
      </c>
      <c r="M170" s="151">
        <f t="shared" si="26"/>
        <v>45388</v>
      </c>
      <c r="N170" s="151">
        <f t="shared" si="26"/>
        <v>45389</v>
      </c>
      <c r="O170" s="151">
        <f t="shared" si="26"/>
        <v>45390</v>
      </c>
      <c r="P170" s="151">
        <f t="shared" si="21"/>
        <v>45391</v>
      </c>
      <c r="Q170" s="151">
        <f t="shared" si="21"/>
        <v>45392</v>
      </c>
      <c r="R170" s="151">
        <f t="shared" si="21"/>
        <v>45393</v>
      </c>
      <c r="S170" s="151">
        <f t="shared" si="21"/>
        <v>45394</v>
      </c>
      <c r="T170" s="151">
        <f t="shared" si="21"/>
        <v>45395</v>
      </c>
      <c r="U170" s="151">
        <f t="shared" si="21"/>
        <v>45396</v>
      </c>
      <c r="V170" s="151">
        <f t="shared" si="21"/>
        <v>45397</v>
      </c>
      <c r="W170" s="151">
        <f t="shared" si="26"/>
        <v>45398</v>
      </c>
      <c r="X170" s="151">
        <f t="shared" si="26"/>
        <v>45399</v>
      </c>
      <c r="Y170" s="151">
        <f t="shared" si="26"/>
        <v>45400</v>
      </c>
      <c r="Z170" s="151">
        <f t="shared" si="26"/>
        <v>45401</v>
      </c>
      <c r="AA170" s="151">
        <f t="shared" si="26"/>
        <v>45402</v>
      </c>
      <c r="AB170" s="151">
        <f t="shared" si="26"/>
        <v>45403</v>
      </c>
      <c r="AC170" s="151">
        <f t="shared" si="26"/>
        <v>45404</v>
      </c>
      <c r="AD170" s="151">
        <f t="shared" si="26"/>
        <v>45405</v>
      </c>
      <c r="AE170" s="151">
        <f t="shared" si="26"/>
        <v>45406</v>
      </c>
      <c r="AF170" s="151">
        <f t="shared" si="26"/>
        <v>45407</v>
      </c>
      <c r="AG170" s="151">
        <f t="shared" si="26"/>
        <v>45408</v>
      </c>
      <c r="AH170" s="151">
        <f t="shared" si="26"/>
        <v>45409</v>
      </c>
      <c r="AI170" s="151">
        <f t="shared" si="26"/>
        <v>45410</v>
      </c>
      <c r="AJ170" s="151">
        <f t="shared" ref="AJ170:AK178" si="27">DATE($AH$53,$B157,AJ157)</f>
        <v>45411</v>
      </c>
      <c r="AK170" s="151">
        <f t="shared" si="27"/>
        <v>45412</v>
      </c>
      <c r="AL170" s="153"/>
      <c r="AM170" s="33"/>
      <c r="AN170" s="33"/>
      <c r="AO170" s="264"/>
      <c r="AP170" s="264"/>
      <c r="AQ170" s="264"/>
      <c r="AR170" s="264"/>
      <c r="AS170" s="264"/>
      <c r="AT170" s="264"/>
      <c r="AU170" s="264"/>
      <c r="AV170" s="264"/>
      <c r="AW170" s="264"/>
      <c r="AX170" s="264"/>
      <c r="AY170" s="264"/>
      <c r="AZ170" s="264"/>
      <c r="BA170" s="264"/>
      <c r="BB170" s="264"/>
      <c r="BC170" s="264"/>
      <c r="BD170" s="264"/>
      <c r="BE170" s="264"/>
      <c r="BF170" s="264"/>
      <c r="BG170" s="264"/>
      <c r="BH170" s="264"/>
      <c r="BI170" s="264"/>
      <c r="BJ170" s="264"/>
      <c r="BK170" s="264"/>
      <c r="BL170" s="264"/>
    </row>
    <row r="171" spans="1:64" ht="13.5" hidden="1" customHeight="1" x14ac:dyDescent="0.2">
      <c r="A171" s="1324"/>
      <c r="B171" s="33"/>
      <c r="C171" s="1581" t="str">
        <f t="shared" si="22"/>
        <v>Maggio</v>
      </c>
      <c r="D171" s="1582"/>
      <c r="E171" s="1582"/>
      <c r="F171" s="1583"/>
      <c r="G171" s="1335">
        <f t="shared" si="23"/>
        <v>5</v>
      </c>
      <c r="H171" s="151">
        <f t="shared" ref="H171:AI171" si="28">DATE($AH$53,$B158,H158)</f>
        <v>45413</v>
      </c>
      <c r="I171" s="151">
        <f t="shared" si="28"/>
        <v>45414</v>
      </c>
      <c r="J171" s="151">
        <f t="shared" si="28"/>
        <v>45415</v>
      </c>
      <c r="K171" s="151">
        <f t="shared" si="28"/>
        <v>45416</v>
      </c>
      <c r="L171" s="151">
        <f t="shared" si="28"/>
        <v>45417</v>
      </c>
      <c r="M171" s="151">
        <f t="shared" si="28"/>
        <v>45418</v>
      </c>
      <c r="N171" s="151">
        <f t="shared" si="28"/>
        <v>45419</v>
      </c>
      <c r="O171" s="151">
        <f t="shared" si="28"/>
        <v>45420</v>
      </c>
      <c r="P171" s="151">
        <f t="shared" si="21"/>
        <v>45421</v>
      </c>
      <c r="Q171" s="151">
        <f t="shared" si="21"/>
        <v>45422</v>
      </c>
      <c r="R171" s="151">
        <f t="shared" si="21"/>
        <v>45423</v>
      </c>
      <c r="S171" s="151">
        <f t="shared" si="21"/>
        <v>45424</v>
      </c>
      <c r="T171" s="151">
        <f t="shared" si="21"/>
        <v>45425</v>
      </c>
      <c r="U171" s="151">
        <f t="shared" si="21"/>
        <v>45426</v>
      </c>
      <c r="V171" s="151">
        <f t="shared" si="21"/>
        <v>45427</v>
      </c>
      <c r="W171" s="151">
        <f t="shared" si="28"/>
        <v>45428</v>
      </c>
      <c r="X171" s="151">
        <f t="shared" si="28"/>
        <v>45429</v>
      </c>
      <c r="Y171" s="151">
        <f t="shared" si="28"/>
        <v>45430</v>
      </c>
      <c r="Z171" s="151">
        <f t="shared" si="28"/>
        <v>45431</v>
      </c>
      <c r="AA171" s="151">
        <f t="shared" si="28"/>
        <v>45432</v>
      </c>
      <c r="AB171" s="151">
        <f t="shared" si="28"/>
        <v>45433</v>
      </c>
      <c r="AC171" s="151">
        <f t="shared" si="28"/>
        <v>45434</v>
      </c>
      <c r="AD171" s="151">
        <f t="shared" si="28"/>
        <v>45435</v>
      </c>
      <c r="AE171" s="151">
        <f t="shared" si="28"/>
        <v>45436</v>
      </c>
      <c r="AF171" s="151">
        <f t="shared" si="28"/>
        <v>45437</v>
      </c>
      <c r="AG171" s="151">
        <f t="shared" si="28"/>
        <v>45438</v>
      </c>
      <c r="AH171" s="151">
        <f t="shared" si="28"/>
        <v>45439</v>
      </c>
      <c r="AI171" s="151">
        <f t="shared" si="28"/>
        <v>45440</v>
      </c>
      <c r="AJ171" s="151">
        <f t="shared" si="27"/>
        <v>45441</v>
      </c>
      <c r="AK171" s="151">
        <f t="shared" si="27"/>
        <v>45442</v>
      </c>
      <c r="AL171" s="151">
        <f>DATE($AH$53,$B158,AL158)</f>
        <v>45443</v>
      </c>
      <c r="AM171" s="33"/>
      <c r="AN171" s="33"/>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row>
    <row r="172" spans="1:64" ht="13.5" hidden="1" customHeight="1" x14ac:dyDescent="0.2">
      <c r="A172" s="1324"/>
      <c r="B172" s="33"/>
      <c r="C172" s="1581" t="str">
        <f t="shared" si="22"/>
        <v>Giugno</v>
      </c>
      <c r="D172" s="1582"/>
      <c r="E172" s="1582"/>
      <c r="F172" s="1583"/>
      <c r="G172" s="1335">
        <f t="shared" si="23"/>
        <v>6</v>
      </c>
      <c r="H172" s="151">
        <f t="shared" ref="H172:AI172" si="29">DATE($AH$53,$B159,H159)</f>
        <v>45444</v>
      </c>
      <c r="I172" s="151">
        <f t="shared" si="29"/>
        <v>45445</v>
      </c>
      <c r="J172" s="151">
        <f t="shared" si="29"/>
        <v>45446</v>
      </c>
      <c r="K172" s="151">
        <f t="shared" si="29"/>
        <v>45447</v>
      </c>
      <c r="L172" s="151">
        <f t="shared" si="29"/>
        <v>45448</v>
      </c>
      <c r="M172" s="151">
        <f t="shared" si="29"/>
        <v>45449</v>
      </c>
      <c r="N172" s="151">
        <f t="shared" si="29"/>
        <v>45450</v>
      </c>
      <c r="O172" s="151">
        <f t="shared" si="29"/>
        <v>45451</v>
      </c>
      <c r="P172" s="151">
        <f t="shared" si="21"/>
        <v>45452</v>
      </c>
      <c r="Q172" s="151">
        <f t="shared" si="21"/>
        <v>45453</v>
      </c>
      <c r="R172" s="151">
        <f t="shared" si="21"/>
        <v>45454</v>
      </c>
      <c r="S172" s="151">
        <f t="shared" si="21"/>
        <v>45455</v>
      </c>
      <c r="T172" s="151">
        <f t="shared" si="21"/>
        <v>45456</v>
      </c>
      <c r="U172" s="151">
        <f t="shared" si="21"/>
        <v>45457</v>
      </c>
      <c r="V172" s="151">
        <f t="shared" si="21"/>
        <v>45458</v>
      </c>
      <c r="W172" s="151">
        <f t="shared" si="29"/>
        <v>45459</v>
      </c>
      <c r="X172" s="151">
        <f t="shared" si="29"/>
        <v>45460</v>
      </c>
      <c r="Y172" s="151">
        <f t="shared" si="29"/>
        <v>45461</v>
      </c>
      <c r="Z172" s="151">
        <f t="shared" si="29"/>
        <v>45462</v>
      </c>
      <c r="AA172" s="151">
        <f t="shared" si="29"/>
        <v>45463</v>
      </c>
      <c r="AB172" s="151">
        <f t="shared" si="29"/>
        <v>45464</v>
      </c>
      <c r="AC172" s="151">
        <f t="shared" si="29"/>
        <v>45465</v>
      </c>
      <c r="AD172" s="151">
        <f t="shared" si="29"/>
        <v>45466</v>
      </c>
      <c r="AE172" s="151">
        <f t="shared" si="29"/>
        <v>45467</v>
      </c>
      <c r="AF172" s="151">
        <f t="shared" si="29"/>
        <v>45468</v>
      </c>
      <c r="AG172" s="151">
        <f t="shared" si="29"/>
        <v>45469</v>
      </c>
      <c r="AH172" s="151">
        <f t="shared" si="29"/>
        <v>45470</v>
      </c>
      <c r="AI172" s="151">
        <f t="shared" si="29"/>
        <v>45471</v>
      </c>
      <c r="AJ172" s="151">
        <f t="shared" si="27"/>
        <v>45472</v>
      </c>
      <c r="AK172" s="151">
        <f t="shared" si="27"/>
        <v>45473</v>
      </c>
      <c r="AL172" s="153"/>
      <c r="AM172" s="33"/>
      <c r="AN172" s="33"/>
      <c r="AO172" s="264"/>
      <c r="AP172" s="264"/>
      <c r="AQ172" s="264"/>
      <c r="AR172" s="264"/>
      <c r="AS172" s="264"/>
      <c r="AT172" s="264"/>
      <c r="AU172" s="264"/>
      <c r="AV172" s="264"/>
      <c r="AW172" s="264"/>
      <c r="AX172" s="264"/>
      <c r="AY172" s="264"/>
      <c r="AZ172" s="264"/>
      <c r="BA172" s="264"/>
      <c r="BB172" s="264"/>
      <c r="BC172" s="264"/>
      <c r="BD172" s="264"/>
      <c r="BE172" s="264"/>
      <c r="BF172" s="264"/>
      <c r="BG172" s="264"/>
      <c r="BH172" s="264"/>
      <c r="BI172" s="264"/>
      <c r="BJ172" s="264"/>
      <c r="BK172" s="264"/>
      <c r="BL172" s="264"/>
    </row>
    <row r="173" spans="1:64" ht="13.5" hidden="1" customHeight="1" x14ac:dyDescent="0.2">
      <c r="A173" s="1324"/>
      <c r="B173" s="33"/>
      <c r="C173" s="1581" t="str">
        <f t="shared" si="22"/>
        <v>Luglio</v>
      </c>
      <c r="D173" s="1582"/>
      <c r="E173" s="1582"/>
      <c r="F173" s="1583"/>
      <c r="G173" s="1335">
        <f t="shared" si="23"/>
        <v>7</v>
      </c>
      <c r="H173" s="151">
        <f t="shared" ref="H173:AI173" si="30">DATE($AH$53,$B160,H160)</f>
        <v>45474</v>
      </c>
      <c r="I173" s="151">
        <f t="shared" si="30"/>
        <v>45475</v>
      </c>
      <c r="J173" s="151">
        <f t="shared" si="30"/>
        <v>45476</v>
      </c>
      <c r="K173" s="151">
        <f t="shared" si="30"/>
        <v>45477</v>
      </c>
      <c r="L173" s="151">
        <f t="shared" si="30"/>
        <v>45478</v>
      </c>
      <c r="M173" s="151">
        <f t="shared" si="30"/>
        <v>45479</v>
      </c>
      <c r="N173" s="151">
        <f t="shared" si="30"/>
        <v>45480</v>
      </c>
      <c r="O173" s="151">
        <f t="shared" si="30"/>
        <v>45481</v>
      </c>
      <c r="P173" s="151">
        <f t="shared" si="21"/>
        <v>45482</v>
      </c>
      <c r="Q173" s="151">
        <f t="shared" si="21"/>
        <v>45483</v>
      </c>
      <c r="R173" s="151">
        <f t="shared" si="21"/>
        <v>45484</v>
      </c>
      <c r="S173" s="151">
        <f t="shared" si="21"/>
        <v>45485</v>
      </c>
      <c r="T173" s="151">
        <f t="shared" si="21"/>
        <v>45486</v>
      </c>
      <c r="U173" s="151">
        <f t="shared" si="21"/>
        <v>45487</v>
      </c>
      <c r="V173" s="151">
        <f t="shared" si="21"/>
        <v>45488</v>
      </c>
      <c r="W173" s="151">
        <f t="shared" si="30"/>
        <v>45489</v>
      </c>
      <c r="X173" s="151">
        <f t="shared" si="30"/>
        <v>45490</v>
      </c>
      <c r="Y173" s="151">
        <f t="shared" si="30"/>
        <v>45491</v>
      </c>
      <c r="Z173" s="151">
        <f t="shared" si="30"/>
        <v>45492</v>
      </c>
      <c r="AA173" s="151">
        <f t="shared" si="30"/>
        <v>45493</v>
      </c>
      <c r="AB173" s="151">
        <f t="shared" si="30"/>
        <v>45494</v>
      </c>
      <c r="AC173" s="151">
        <f t="shared" si="30"/>
        <v>45495</v>
      </c>
      <c r="AD173" s="151">
        <f t="shared" si="30"/>
        <v>45496</v>
      </c>
      <c r="AE173" s="151">
        <f t="shared" si="30"/>
        <v>45497</v>
      </c>
      <c r="AF173" s="151">
        <f t="shared" si="30"/>
        <v>45498</v>
      </c>
      <c r="AG173" s="151">
        <f t="shared" si="30"/>
        <v>45499</v>
      </c>
      <c r="AH173" s="151">
        <f t="shared" si="30"/>
        <v>45500</v>
      </c>
      <c r="AI173" s="151">
        <f t="shared" si="30"/>
        <v>45501</v>
      </c>
      <c r="AJ173" s="151">
        <f t="shared" si="27"/>
        <v>45502</v>
      </c>
      <c r="AK173" s="151">
        <f t="shared" si="27"/>
        <v>45503</v>
      </c>
      <c r="AL173" s="151">
        <f>DATE($AH$53,$B160,AL160)</f>
        <v>45504</v>
      </c>
      <c r="AM173" s="33"/>
      <c r="AN173" s="33"/>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row>
    <row r="174" spans="1:64" ht="13.5" hidden="1" customHeight="1" x14ac:dyDescent="0.2">
      <c r="A174" s="1324"/>
      <c r="B174" s="33"/>
      <c r="C174" s="1581" t="str">
        <f t="shared" si="22"/>
        <v>Agosto</v>
      </c>
      <c r="D174" s="1582"/>
      <c r="E174" s="1582"/>
      <c r="F174" s="1583"/>
      <c r="G174" s="1335">
        <f t="shared" si="23"/>
        <v>8</v>
      </c>
      <c r="H174" s="151">
        <f t="shared" ref="H174:AI174" si="31">DATE($AH$53,$B161,H161)</f>
        <v>45505</v>
      </c>
      <c r="I174" s="151">
        <f t="shared" si="31"/>
        <v>45506</v>
      </c>
      <c r="J174" s="151">
        <f t="shared" si="31"/>
        <v>45507</v>
      </c>
      <c r="K174" s="151">
        <f t="shared" si="31"/>
        <v>45508</v>
      </c>
      <c r="L174" s="151">
        <f t="shared" si="31"/>
        <v>45509</v>
      </c>
      <c r="M174" s="151">
        <f t="shared" si="31"/>
        <v>45510</v>
      </c>
      <c r="N174" s="151">
        <f t="shared" si="31"/>
        <v>45511</v>
      </c>
      <c r="O174" s="151">
        <f t="shared" si="31"/>
        <v>45512</v>
      </c>
      <c r="P174" s="151">
        <f t="shared" si="21"/>
        <v>45513</v>
      </c>
      <c r="Q174" s="151">
        <f t="shared" si="21"/>
        <v>45514</v>
      </c>
      <c r="R174" s="151">
        <f t="shared" si="21"/>
        <v>45515</v>
      </c>
      <c r="S174" s="151">
        <f t="shared" si="21"/>
        <v>45516</v>
      </c>
      <c r="T174" s="151">
        <f t="shared" si="21"/>
        <v>45517</v>
      </c>
      <c r="U174" s="151">
        <f t="shared" si="21"/>
        <v>45518</v>
      </c>
      <c r="V174" s="151">
        <f t="shared" si="21"/>
        <v>45519</v>
      </c>
      <c r="W174" s="151">
        <f t="shared" si="31"/>
        <v>45520</v>
      </c>
      <c r="X174" s="151">
        <f t="shared" si="31"/>
        <v>45521</v>
      </c>
      <c r="Y174" s="151">
        <f t="shared" si="31"/>
        <v>45522</v>
      </c>
      <c r="Z174" s="151">
        <f t="shared" si="31"/>
        <v>45523</v>
      </c>
      <c r="AA174" s="151">
        <f t="shared" si="31"/>
        <v>45524</v>
      </c>
      <c r="AB174" s="151">
        <f t="shared" si="31"/>
        <v>45525</v>
      </c>
      <c r="AC174" s="151">
        <f t="shared" si="31"/>
        <v>45526</v>
      </c>
      <c r="AD174" s="151">
        <f t="shared" si="31"/>
        <v>45527</v>
      </c>
      <c r="AE174" s="151">
        <f t="shared" si="31"/>
        <v>45528</v>
      </c>
      <c r="AF174" s="151">
        <f t="shared" si="31"/>
        <v>45529</v>
      </c>
      <c r="AG174" s="151">
        <f t="shared" si="31"/>
        <v>45530</v>
      </c>
      <c r="AH174" s="151">
        <f t="shared" si="31"/>
        <v>45531</v>
      </c>
      <c r="AI174" s="151">
        <f t="shared" si="31"/>
        <v>45532</v>
      </c>
      <c r="AJ174" s="151">
        <f t="shared" si="27"/>
        <v>45533</v>
      </c>
      <c r="AK174" s="151">
        <f t="shared" si="27"/>
        <v>45534</v>
      </c>
      <c r="AL174" s="151">
        <f>DATE($AH$53,$B161,AL161)</f>
        <v>45535</v>
      </c>
      <c r="AM174" s="33"/>
      <c r="AN174" s="33"/>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row>
    <row r="175" spans="1:64" ht="13.5" hidden="1" customHeight="1" x14ac:dyDescent="0.2">
      <c r="A175" s="1324"/>
      <c r="B175" s="33"/>
      <c r="C175" s="1581" t="str">
        <f t="shared" si="22"/>
        <v>Settembre</v>
      </c>
      <c r="D175" s="1582"/>
      <c r="E175" s="1582"/>
      <c r="F175" s="1583"/>
      <c r="G175" s="1335">
        <f t="shared" si="23"/>
        <v>9</v>
      </c>
      <c r="H175" s="151">
        <f t="shared" ref="H175:AI175" si="32">DATE($AH$53,$B162,H162)</f>
        <v>45536</v>
      </c>
      <c r="I175" s="151">
        <f t="shared" si="32"/>
        <v>45537</v>
      </c>
      <c r="J175" s="151">
        <f t="shared" si="32"/>
        <v>45538</v>
      </c>
      <c r="K175" s="151">
        <f t="shared" si="32"/>
        <v>45539</v>
      </c>
      <c r="L175" s="151">
        <f t="shared" si="32"/>
        <v>45540</v>
      </c>
      <c r="M175" s="151">
        <f t="shared" si="32"/>
        <v>45541</v>
      </c>
      <c r="N175" s="151">
        <f t="shared" si="32"/>
        <v>45542</v>
      </c>
      <c r="O175" s="151">
        <f t="shared" si="32"/>
        <v>45543</v>
      </c>
      <c r="P175" s="151">
        <f t="shared" si="21"/>
        <v>45544</v>
      </c>
      <c r="Q175" s="151">
        <f t="shared" si="21"/>
        <v>45545</v>
      </c>
      <c r="R175" s="151">
        <f t="shared" si="21"/>
        <v>45546</v>
      </c>
      <c r="S175" s="151">
        <f t="shared" si="21"/>
        <v>45547</v>
      </c>
      <c r="T175" s="151">
        <f t="shared" si="21"/>
        <v>45548</v>
      </c>
      <c r="U175" s="151">
        <f t="shared" si="21"/>
        <v>45549</v>
      </c>
      <c r="V175" s="151">
        <f t="shared" si="21"/>
        <v>45550</v>
      </c>
      <c r="W175" s="151">
        <f t="shared" si="32"/>
        <v>45551</v>
      </c>
      <c r="X175" s="151">
        <f t="shared" si="32"/>
        <v>45552</v>
      </c>
      <c r="Y175" s="151">
        <f t="shared" si="32"/>
        <v>45553</v>
      </c>
      <c r="Z175" s="151">
        <f t="shared" si="32"/>
        <v>45554</v>
      </c>
      <c r="AA175" s="151">
        <f t="shared" si="32"/>
        <v>45555</v>
      </c>
      <c r="AB175" s="151">
        <f t="shared" si="32"/>
        <v>45556</v>
      </c>
      <c r="AC175" s="151">
        <f t="shared" si="32"/>
        <v>45557</v>
      </c>
      <c r="AD175" s="151">
        <f t="shared" si="32"/>
        <v>45558</v>
      </c>
      <c r="AE175" s="151">
        <f t="shared" si="32"/>
        <v>45559</v>
      </c>
      <c r="AF175" s="151">
        <f t="shared" si="32"/>
        <v>45560</v>
      </c>
      <c r="AG175" s="151">
        <f t="shared" si="32"/>
        <v>45561</v>
      </c>
      <c r="AH175" s="151">
        <f t="shared" si="32"/>
        <v>45562</v>
      </c>
      <c r="AI175" s="151">
        <f t="shared" si="32"/>
        <v>45563</v>
      </c>
      <c r="AJ175" s="151">
        <f t="shared" si="27"/>
        <v>45564</v>
      </c>
      <c r="AK175" s="151">
        <f t="shared" si="27"/>
        <v>45565</v>
      </c>
      <c r="AL175" s="153"/>
      <c r="AM175" s="33"/>
      <c r="AN175" s="33"/>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row>
    <row r="176" spans="1:64" ht="13.5" hidden="1" customHeight="1" x14ac:dyDescent="0.2">
      <c r="A176" s="1324"/>
      <c r="B176" s="33"/>
      <c r="C176" s="1581" t="str">
        <f t="shared" si="22"/>
        <v>Ottobre</v>
      </c>
      <c r="D176" s="1582"/>
      <c r="E176" s="1582"/>
      <c r="F176" s="1583"/>
      <c r="G176" s="1335">
        <f t="shared" si="23"/>
        <v>10</v>
      </c>
      <c r="H176" s="151">
        <f t="shared" ref="H176:AI176" si="33">DATE($AH$53,$B163,H163)</f>
        <v>45566</v>
      </c>
      <c r="I176" s="151">
        <f t="shared" si="33"/>
        <v>45567</v>
      </c>
      <c r="J176" s="151">
        <f t="shared" si="33"/>
        <v>45568</v>
      </c>
      <c r="K176" s="151">
        <f t="shared" si="33"/>
        <v>45569</v>
      </c>
      <c r="L176" s="151">
        <f t="shared" si="33"/>
        <v>45570</v>
      </c>
      <c r="M176" s="151">
        <f t="shared" si="33"/>
        <v>45571</v>
      </c>
      <c r="N176" s="151">
        <f t="shared" si="33"/>
        <v>45572</v>
      </c>
      <c r="O176" s="151">
        <f t="shared" si="33"/>
        <v>45573</v>
      </c>
      <c r="P176" s="151">
        <f t="shared" si="21"/>
        <v>45574</v>
      </c>
      <c r="Q176" s="151">
        <f t="shared" si="21"/>
        <v>45575</v>
      </c>
      <c r="R176" s="151">
        <f t="shared" si="21"/>
        <v>45576</v>
      </c>
      <c r="S176" s="151">
        <f t="shared" si="21"/>
        <v>45577</v>
      </c>
      <c r="T176" s="151">
        <f t="shared" si="21"/>
        <v>45578</v>
      </c>
      <c r="U176" s="151">
        <f t="shared" si="21"/>
        <v>45579</v>
      </c>
      <c r="V176" s="151">
        <f t="shared" si="21"/>
        <v>45580</v>
      </c>
      <c r="W176" s="151">
        <f t="shared" si="33"/>
        <v>45581</v>
      </c>
      <c r="X176" s="151">
        <f t="shared" si="33"/>
        <v>45582</v>
      </c>
      <c r="Y176" s="151">
        <f t="shared" si="33"/>
        <v>45583</v>
      </c>
      <c r="Z176" s="151">
        <f t="shared" si="33"/>
        <v>45584</v>
      </c>
      <c r="AA176" s="151">
        <f t="shared" si="33"/>
        <v>45585</v>
      </c>
      <c r="AB176" s="151">
        <f t="shared" si="33"/>
        <v>45586</v>
      </c>
      <c r="AC176" s="151">
        <f t="shared" si="33"/>
        <v>45587</v>
      </c>
      <c r="AD176" s="151">
        <f t="shared" si="33"/>
        <v>45588</v>
      </c>
      <c r="AE176" s="151">
        <f t="shared" si="33"/>
        <v>45589</v>
      </c>
      <c r="AF176" s="151">
        <f t="shared" si="33"/>
        <v>45590</v>
      </c>
      <c r="AG176" s="151">
        <f t="shared" si="33"/>
        <v>45591</v>
      </c>
      <c r="AH176" s="151">
        <f t="shared" si="33"/>
        <v>45592</v>
      </c>
      <c r="AI176" s="151">
        <f t="shared" si="33"/>
        <v>45593</v>
      </c>
      <c r="AJ176" s="151">
        <f t="shared" si="27"/>
        <v>45594</v>
      </c>
      <c r="AK176" s="151">
        <f t="shared" si="27"/>
        <v>45595</v>
      </c>
      <c r="AL176" s="151">
        <f>DATE($AH$53,$B163,AL163)</f>
        <v>45596</v>
      </c>
      <c r="AM176" s="33"/>
      <c r="AN176" s="33"/>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row>
    <row r="177" spans="1:64" ht="13.5" hidden="1" customHeight="1" x14ac:dyDescent="0.2">
      <c r="A177" s="1324"/>
      <c r="B177" s="33"/>
      <c r="C177" s="1581" t="str">
        <f t="shared" si="22"/>
        <v>Novembre</v>
      </c>
      <c r="D177" s="1582"/>
      <c r="E177" s="1582"/>
      <c r="F177" s="1583"/>
      <c r="G177" s="1335">
        <f t="shared" si="23"/>
        <v>11</v>
      </c>
      <c r="H177" s="151">
        <f t="shared" ref="H177:AI177" si="34">DATE($AH$53,$B164,H164)</f>
        <v>45597</v>
      </c>
      <c r="I177" s="151">
        <f t="shared" si="34"/>
        <v>45598</v>
      </c>
      <c r="J177" s="151">
        <f t="shared" si="34"/>
        <v>45599</v>
      </c>
      <c r="K177" s="151">
        <f t="shared" si="34"/>
        <v>45600</v>
      </c>
      <c r="L177" s="151">
        <f t="shared" si="34"/>
        <v>45601</v>
      </c>
      <c r="M177" s="151">
        <f t="shared" si="34"/>
        <v>45602</v>
      </c>
      <c r="N177" s="151">
        <f t="shared" si="34"/>
        <v>45603</v>
      </c>
      <c r="O177" s="151">
        <f t="shared" si="34"/>
        <v>45604</v>
      </c>
      <c r="P177" s="151">
        <f t="shared" si="21"/>
        <v>45605</v>
      </c>
      <c r="Q177" s="151">
        <f t="shared" si="21"/>
        <v>45606</v>
      </c>
      <c r="R177" s="151">
        <f t="shared" si="21"/>
        <v>45607</v>
      </c>
      <c r="S177" s="151">
        <f t="shared" si="21"/>
        <v>45608</v>
      </c>
      <c r="T177" s="151">
        <f t="shared" si="21"/>
        <v>45609</v>
      </c>
      <c r="U177" s="151">
        <f t="shared" si="21"/>
        <v>45610</v>
      </c>
      <c r="V177" s="151">
        <f t="shared" si="21"/>
        <v>45611</v>
      </c>
      <c r="W177" s="151">
        <f t="shared" si="34"/>
        <v>45612</v>
      </c>
      <c r="X177" s="151">
        <f t="shared" si="34"/>
        <v>45613</v>
      </c>
      <c r="Y177" s="151">
        <f t="shared" si="34"/>
        <v>45614</v>
      </c>
      <c r="Z177" s="151">
        <f t="shared" si="34"/>
        <v>45615</v>
      </c>
      <c r="AA177" s="151">
        <f t="shared" si="34"/>
        <v>45616</v>
      </c>
      <c r="AB177" s="151">
        <f t="shared" si="34"/>
        <v>45617</v>
      </c>
      <c r="AC177" s="151">
        <f t="shared" si="34"/>
        <v>45618</v>
      </c>
      <c r="AD177" s="151">
        <f t="shared" si="34"/>
        <v>45619</v>
      </c>
      <c r="AE177" s="151">
        <f t="shared" si="34"/>
        <v>45620</v>
      </c>
      <c r="AF177" s="151">
        <f t="shared" si="34"/>
        <v>45621</v>
      </c>
      <c r="AG177" s="151">
        <f t="shared" si="34"/>
        <v>45622</v>
      </c>
      <c r="AH177" s="151">
        <f t="shared" si="34"/>
        <v>45623</v>
      </c>
      <c r="AI177" s="151">
        <f t="shared" si="34"/>
        <v>45624</v>
      </c>
      <c r="AJ177" s="151">
        <f t="shared" si="27"/>
        <v>45625</v>
      </c>
      <c r="AK177" s="151">
        <f t="shared" si="27"/>
        <v>45626</v>
      </c>
      <c r="AL177" s="153"/>
      <c r="AM177" s="33"/>
      <c r="AN177" s="33"/>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row>
    <row r="178" spans="1:64" ht="13.5" hidden="1" customHeight="1" x14ac:dyDescent="0.2">
      <c r="A178" s="1324"/>
      <c r="B178" s="33"/>
      <c r="C178" s="1581" t="str">
        <f t="shared" si="22"/>
        <v>Dicembre</v>
      </c>
      <c r="D178" s="1582"/>
      <c r="E178" s="1582"/>
      <c r="F178" s="1583"/>
      <c r="G178" s="1335">
        <f t="shared" si="23"/>
        <v>12</v>
      </c>
      <c r="H178" s="151">
        <f t="shared" ref="H178:AI178" si="35">DATE($AH$53,$B165,H165)</f>
        <v>45627</v>
      </c>
      <c r="I178" s="151">
        <f t="shared" si="35"/>
        <v>45628</v>
      </c>
      <c r="J178" s="151">
        <f t="shared" si="35"/>
        <v>45629</v>
      </c>
      <c r="K178" s="151">
        <f t="shared" si="35"/>
        <v>45630</v>
      </c>
      <c r="L178" s="151">
        <f t="shared" si="35"/>
        <v>45631</v>
      </c>
      <c r="M178" s="151">
        <f t="shared" si="35"/>
        <v>45632</v>
      </c>
      <c r="N178" s="151">
        <f t="shared" si="35"/>
        <v>45633</v>
      </c>
      <c r="O178" s="151">
        <f t="shared" si="35"/>
        <v>45634</v>
      </c>
      <c r="P178" s="151">
        <f t="shared" si="21"/>
        <v>45635</v>
      </c>
      <c r="Q178" s="151">
        <f t="shared" si="21"/>
        <v>45636</v>
      </c>
      <c r="R178" s="151">
        <f t="shared" si="21"/>
        <v>45637</v>
      </c>
      <c r="S178" s="151">
        <f t="shared" si="21"/>
        <v>45638</v>
      </c>
      <c r="T178" s="151">
        <f t="shared" si="21"/>
        <v>45639</v>
      </c>
      <c r="U178" s="151">
        <f t="shared" si="21"/>
        <v>45640</v>
      </c>
      <c r="V178" s="151">
        <f t="shared" si="21"/>
        <v>45641</v>
      </c>
      <c r="W178" s="151">
        <f t="shared" si="35"/>
        <v>45642</v>
      </c>
      <c r="X178" s="151">
        <f t="shared" si="35"/>
        <v>45643</v>
      </c>
      <c r="Y178" s="151">
        <f t="shared" si="35"/>
        <v>45644</v>
      </c>
      <c r="Z178" s="151">
        <f t="shared" si="35"/>
        <v>45645</v>
      </c>
      <c r="AA178" s="151">
        <f t="shared" si="35"/>
        <v>45646</v>
      </c>
      <c r="AB178" s="151">
        <f t="shared" si="35"/>
        <v>45647</v>
      </c>
      <c r="AC178" s="151">
        <f t="shared" si="35"/>
        <v>45648</v>
      </c>
      <c r="AD178" s="151">
        <f t="shared" si="35"/>
        <v>45649</v>
      </c>
      <c r="AE178" s="151">
        <f t="shared" si="35"/>
        <v>45650</v>
      </c>
      <c r="AF178" s="151">
        <f t="shared" si="35"/>
        <v>45651</v>
      </c>
      <c r="AG178" s="151">
        <f t="shared" si="35"/>
        <v>45652</v>
      </c>
      <c r="AH178" s="151">
        <f t="shared" si="35"/>
        <v>45653</v>
      </c>
      <c r="AI178" s="151">
        <f t="shared" si="35"/>
        <v>45654</v>
      </c>
      <c r="AJ178" s="151">
        <f t="shared" si="27"/>
        <v>45655</v>
      </c>
      <c r="AK178" s="151">
        <f t="shared" si="27"/>
        <v>45656</v>
      </c>
      <c r="AL178" s="151">
        <f>DATE($AH$53,$B165,AL165)</f>
        <v>45657</v>
      </c>
      <c r="AM178" s="33"/>
      <c r="AN178" s="33"/>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row>
    <row r="179" spans="1:64" ht="14.25" hidden="1" customHeight="1" x14ac:dyDescent="0.2">
      <c r="A179" s="1324"/>
      <c r="B179" s="1324"/>
      <c r="C179" s="1324"/>
      <c r="D179" s="1324"/>
      <c r="E179" s="1324"/>
      <c r="F179" s="1324"/>
      <c r="G179" s="1324"/>
      <c r="H179" s="1324"/>
      <c r="I179" s="1324"/>
      <c r="J179" s="1324"/>
      <c r="K179" s="1324"/>
      <c r="L179" s="1324"/>
      <c r="M179" s="1324"/>
      <c r="N179" s="1324"/>
      <c r="O179" s="1324"/>
      <c r="P179" s="1324"/>
      <c r="Q179" s="1324"/>
      <c r="R179" s="1324"/>
      <c r="S179" s="1324"/>
      <c r="T179" s="1324"/>
      <c r="U179" s="1324"/>
      <c r="V179" s="1324"/>
      <c r="W179" s="1324"/>
      <c r="X179" s="1324"/>
      <c r="Y179" s="1324"/>
      <c r="Z179" s="1324"/>
      <c r="AA179" s="1324"/>
      <c r="AB179" s="1324"/>
      <c r="AC179" s="1324"/>
      <c r="AD179" s="33"/>
      <c r="AE179" s="33"/>
      <c r="AF179" s="33"/>
      <c r="AG179" s="33"/>
      <c r="AH179" s="33"/>
      <c r="AI179" s="33"/>
      <c r="AJ179" s="33"/>
      <c r="AK179" s="33"/>
      <c r="AL179" s="33"/>
      <c r="AM179" s="33"/>
      <c r="AN179" s="33"/>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row>
    <row r="180" spans="1:64" ht="14.25" hidden="1" customHeight="1" x14ac:dyDescent="0.2">
      <c r="A180" s="1324"/>
      <c r="B180" s="1324"/>
      <c r="C180" s="1324"/>
      <c r="D180" s="1324"/>
      <c r="E180" s="1324"/>
      <c r="F180" s="1324"/>
      <c r="G180" s="1324"/>
      <c r="H180" s="1324"/>
      <c r="I180" s="1324"/>
      <c r="J180" s="1324"/>
      <c r="K180" s="1324"/>
      <c r="L180" s="1324"/>
      <c r="M180" s="1324"/>
      <c r="N180" s="1324"/>
      <c r="O180" s="163">
        <v>1</v>
      </c>
      <c r="P180" s="163">
        <v>2</v>
      </c>
      <c r="Q180" s="163">
        <v>3</v>
      </c>
      <c r="R180" s="163">
        <v>4</v>
      </c>
      <c r="S180" s="163">
        <v>5</v>
      </c>
      <c r="T180" s="163">
        <v>6</v>
      </c>
      <c r="U180" s="163">
        <v>7</v>
      </c>
      <c r="V180" s="163">
        <v>8</v>
      </c>
      <c r="W180" s="163">
        <v>9</v>
      </c>
      <c r="X180" s="163">
        <v>10</v>
      </c>
      <c r="Y180" s="163">
        <v>11</v>
      </c>
      <c r="Z180" s="163">
        <v>12</v>
      </c>
      <c r="AA180" s="1324"/>
      <c r="AB180" s="1547" t="str">
        <f>IF(J95="","",CONCATENATE(IF(T97="","..",T97),"-",IF(T98="","..",T98),"-",IF(T99="","..",T99)))</f>
        <v/>
      </c>
      <c r="AC180" s="1547"/>
      <c r="AD180" s="1547"/>
      <c r="AE180" s="1547" t="str">
        <f>IF(J103="","",CONCATENATE(IF(T105="","..",T105),"-",IF(T106="","..",T106),"-",IF(T107="","..",T107)))</f>
        <v/>
      </c>
      <c r="AF180" s="1547"/>
      <c r="AG180" s="1547"/>
      <c r="AH180" s="1547" t="str">
        <f>IF(J111="","",CONCATENATE(IF(T113="","..",T113),"-",IF(T114="","..",T114),"-",IF(T115="","..",T115)))</f>
        <v/>
      </c>
      <c r="AI180" s="1547"/>
      <c r="AJ180" s="1547"/>
      <c r="AK180" s="33"/>
      <c r="AL180" s="33"/>
      <c r="AM180" s="33"/>
      <c r="AN180" s="33"/>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row>
    <row r="181" spans="1:64" ht="14.25" hidden="1" customHeight="1" x14ac:dyDescent="0.2">
      <c r="A181" s="1324"/>
      <c r="B181" s="1324"/>
      <c r="C181" s="1897" t="s">
        <v>418</v>
      </c>
      <c r="D181" s="1898"/>
      <c r="E181" s="1899"/>
      <c r="F181" s="1324"/>
      <c r="G181" s="1324"/>
      <c r="H181" s="1548" t="str">
        <f>CONCATENATE("I",J95)</f>
        <v>I</v>
      </c>
      <c r="I181" s="1762"/>
      <c r="J181" s="1619"/>
      <c r="K181" s="162">
        <v>2</v>
      </c>
      <c r="L181" s="159">
        <f>IF(AH99=H412,Z100,0)</f>
        <v>0</v>
      </c>
      <c r="M181" s="159">
        <f>IF(AH99=H412,AD100,0)</f>
        <v>0</v>
      </c>
      <c r="N181" s="33"/>
      <c r="O181" s="160">
        <f>IF(OR(ISERROR($L181),ISERROR($M181)),O$180,IF(OR(O$180&lt;$L181,O$180&gt;$M181),O$180,0))</f>
        <v>1</v>
      </c>
      <c r="P181" s="160">
        <f t="shared" ref="P181:V183" si="36">IF(OR(ISERROR($L181),ISERROR($M181)),P$180,IF(OR(P$180&lt;$L181,P$180&gt;$M181),P$180,0))</f>
        <v>2</v>
      </c>
      <c r="Q181" s="160">
        <f t="shared" si="36"/>
        <v>3</v>
      </c>
      <c r="R181" s="160">
        <f t="shared" si="36"/>
        <v>4</v>
      </c>
      <c r="S181" s="160">
        <f t="shared" si="36"/>
        <v>5</v>
      </c>
      <c r="T181" s="160">
        <f t="shared" si="36"/>
        <v>6</v>
      </c>
      <c r="U181" s="160">
        <f t="shared" si="36"/>
        <v>7</v>
      </c>
      <c r="V181" s="160">
        <f t="shared" si="36"/>
        <v>8</v>
      </c>
      <c r="W181" s="160">
        <f t="shared" ref="W181:Z183" si="37">IF(OR(ISERROR($L181),ISERROR($M181)),W$180,IF(OR(W$180&lt;$L181,W$180&gt;$M181),W$180,0))</f>
        <v>9</v>
      </c>
      <c r="X181" s="160">
        <f t="shared" si="37"/>
        <v>10</v>
      </c>
      <c r="Y181" s="160">
        <f t="shared" si="37"/>
        <v>11</v>
      </c>
      <c r="Z181" s="160">
        <f t="shared" si="37"/>
        <v>12</v>
      </c>
      <c r="AA181" s="1324"/>
      <c r="AB181" s="1548" t="str">
        <f>H181</f>
        <v>I</v>
      </c>
      <c r="AC181" s="1549"/>
      <c r="AD181" s="1550"/>
      <c r="AE181" s="1548" t="str">
        <f>H182</f>
        <v>II</v>
      </c>
      <c r="AF181" s="1549"/>
      <c r="AG181" s="1550"/>
      <c r="AH181" s="1548" t="str">
        <f>H183</f>
        <v>III</v>
      </c>
      <c r="AI181" s="1549"/>
      <c r="AJ181" s="1550"/>
      <c r="AK181" s="33"/>
      <c r="AL181" s="33"/>
      <c r="AM181" s="33"/>
      <c r="AN181" s="33"/>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row>
    <row r="182" spans="1:64" ht="14.25" hidden="1" customHeight="1" x14ac:dyDescent="0.2">
      <c r="A182" s="1324"/>
      <c r="B182" s="1324"/>
      <c r="C182" s="1897" t="s">
        <v>419</v>
      </c>
      <c r="D182" s="1898"/>
      <c r="E182" s="1899"/>
      <c r="F182" s="1324"/>
      <c r="G182" s="1324"/>
      <c r="H182" s="1548" t="str">
        <f>CONCATENATE("II",J103)</f>
        <v>II</v>
      </c>
      <c r="I182" s="1762"/>
      <c r="J182" s="1619"/>
      <c r="K182" s="162">
        <v>3</v>
      </c>
      <c r="L182" s="159">
        <f>IF(AH107=H412,Z108,0)</f>
        <v>0</v>
      </c>
      <c r="M182" s="159">
        <f>IF(AH107=H412,AD108,0)</f>
        <v>0</v>
      </c>
      <c r="N182" s="33"/>
      <c r="O182" s="160">
        <f>IF(OR(ISERROR($L182),ISERROR($M182)),O$180,IF(OR(O$180&lt;$L182,O$180&gt;$M182),O$180,0))</f>
        <v>1</v>
      </c>
      <c r="P182" s="160">
        <f t="shared" si="36"/>
        <v>2</v>
      </c>
      <c r="Q182" s="160">
        <f t="shared" si="36"/>
        <v>3</v>
      </c>
      <c r="R182" s="160">
        <f t="shared" si="36"/>
        <v>4</v>
      </c>
      <c r="S182" s="160">
        <f t="shared" si="36"/>
        <v>5</v>
      </c>
      <c r="T182" s="160">
        <f t="shared" si="36"/>
        <v>6</v>
      </c>
      <c r="U182" s="160">
        <f t="shared" si="36"/>
        <v>7</v>
      </c>
      <c r="V182" s="160">
        <f t="shared" si="36"/>
        <v>8</v>
      </c>
      <c r="W182" s="160">
        <f t="shared" si="37"/>
        <v>9</v>
      </c>
      <c r="X182" s="160">
        <f t="shared" si="37"/>
        <v>10</v>
      </c>
      <c r="Y182" s="160">
        <f t="shared" si="37"/>
        <v>11</v>
      </c>
      <c r="Z182" s="160">
        <f t="shared" si="37"/>
        <v>12</v>
      </c>
      <c r="AA182" s="1324"/>
      <c r="AB182" s="1557" t="str">
        <f>U97</f>
        <v/>
      </c>
      <c r="AC182" s="1558"/>
      <c r="AD182" s="1559"/>
      <c r="AE182" s="1557" t="str">
        <f>U105</f>
        <v/>
      </c>
      <c r="AF182" s="1558"/>
      <c r="AG182" s="1559"/>
      <c r="AH182" s="1557" t="str">
        <f>U113</f>
        <v/>
      </c>
      <c r="AI182" s="1558"/>
      <c r="AJ182" s="1559"/>
      <c r="AK182" s="33"/>
      <c r="AL182" s="33"/>
      <c r="AM182" s="33"/>
      <c r="AN182" s="33"/>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row>
    <row r="183" spans="1:64" ht="14.25" hidden="1" customHeight="1" x14ac:dyDescent="0.2">
      <c r="A183" s="1324"/>
      <c r="B183" s="1324"/>
      <c r="C183" s="1897" t="s">
        <v>420</v>
      </c>
      <c r="D183" s="1898"/>
      <c r="E183" s="1899"/>
      <c r="F183" s="1324"/>
      <c r="G183" s="1324"/>
      <c r="H183" s="1548" t="str">
        <f>CONCATENATE("III",J111)</f>
        <v>III</v>
      </c>
      <c r="I183" s="1762"/>
      <c r="J183" s="1619"/>
      <c r="K183" s="162">
        <v>4</v>
      </c>
      <c r="L183" s="159">
        <f>IF(AH115=H412,Z116,0)</f>
        <v>0</v>
      </c>
      <c r="M183" s="159">
        <f>IF(AH115=H412,AD116,0)</f>
        <v>0</v>
      </c>
      <c r="N183" s="1324"/>
      <c r="O183" s="160">
        <f>IF(OR(ISERROR($L183),ISERROR($M183)),O$180,IF(OR(O$180&lt;$L183,O$180&gt;$M183),O$180,0))</f>
        <v>1</v>
      </c>
      <c r="P183" s="160">
        <f t="shared" si="36"/>
        <v>2</v>
      </c>
      <c r="Q183" s="160">
        <f t="shared" si="36"/>
        <v>3</v>
      </c>
      <c r="R183" s="160">
        <f t="shared" si="36"/>
        <v>4</v>
      </c>
      <c r="S183" s="160">
        <f t="shared" si="36"/>
        <v>5</v>
      </c>
      <c r="T183" s="160">
        <f t="shared" si="36"/>
        <v>6</v>
      </c>
      <c r="U183" s="160">
        <f t="shared" si="36"/>
        <v>7</v>
      </c>
      <c r="V183" s="160">
        <f t="shared" si="36"/>
        <v>8</v>
      </c>
      <c r="W183" s="160">
        <f t="shared" si="37"/>
        <v>9</v>
      </c>
      <c r="X183" s="160">
        <f t="shared" si="37"/>
        <v>10</v>
      </c>
      <c r="Y183" s="160">
        <f t="shared" si="37"/>
        <v>11</v>
      </c>
      <c r="Z183" s="160">
        <f t="shared" si="37"/>
        <v>12</v>
      </c>
      <c r="AA183" s="1324"/>
      <c r="AB183" s="1551" t="str">
        <f>U98</f>
        <v/>
      </c>
      <c r="AC183" s="1552"/>
      <c r="AD183" s="1553"/>
      <c r="AE183" s="1551" t="str">
        <f>U106</f>
        <v/>
      </c>
      <c r="AF183" s="1552"/>
      <c r="AG183" s="1553"/>
      <c r="AH183" s="1551" t="str">
        <f>U114</f>
        <v/>
      </c>
      <c r="AI183" s="1552"/>
      <c r="AJ183" s="1553"/>
      <c r="AK183" s="33"/>
      <c r="AL183" s="33"/>
      <c r="AM183" s="33"/>
      <c r="AN183" s="33"/>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row>
    <row r="184" spans="1:64" ht="14.25" hidden="1" customHeight="1" x14ac:dyDescent="0.2">
      <c r="A184" s="1324"/>
      <c r="B184" s="1324"/>
      <c r="C184" s="1897" t="s">
        <v>421</v>
      </c>
      <c r="D184" s="1898"/>
      <c r="E184" s="1899"/>
      <c r="F184" s="1324"/>
      <c r="G184" s="1324"/>
      <c r="H184" s="33"/>
      <c r="I184" s="33"/>
      <c r="J184" s="33"/>
      <c r="K184" s="33"/>
      <c r="L184" s="33"/>
      <c r="M184" s="33"/>
      <c r="N184" s="173">
        <f>IF(H183=H181,1,0)</f>
        <v>0</v>
      </c>
      <c r="O184" s="174">
        <f t="shared" ref="O184:V184" si="38">IF($N184=1,IF(SUM(O181+O183)=0,1,0),0)</f>
        <v>0</v>
      </c>
      <c r="P184" s="174">
        <f t="shared" si="38"/>
        <v>0</v>
      </c>
      <c r="Q184" s="174">
        <f t="shared" si="38"/>
        <v>0</v>
      </c>
      <c r="R184" s="174">
        <f t="shared" si="38"/>
        <v>0</v>
      </c>
      <c r="S184" s="174">
        <f t="shared" si="38"/>
        <v>0</v>
      </c>
      <c r="T184" s="174">
        <f t="shared" si="38"/>
        <v>0</v>
      </c>
      <c r="U184" s="174">
        <f t="shared" si="38"/>
        <v>0</v>
      </c>
      <c r="V184" s="174">
        <f t="shared" si="38"/>
        <v>0</v>
      </c>
      <c r="W184" s="174">
        <f>IF($N184=1,IF(SUM(W181+W183)=0,1,0),0)</f>
        <v>0</v>
      </c>
      <c r="X184" s="174">
        <f>IF($N184=1,IF(SUM(X181+X183)=0,1,0),0)</f>
        <v>0</v>
      </c>
      <c r="Y184" s="174">
        <f>IF($N184=1,IF(SUM(Y181+Y183)=0,1,0),0)</f>
        <v>0</v>
      </c>
      <c r="Z184" s="174">
        <f>IF($N184=1,IF(SUM(Z181+Z183)=0,1,0),0)</f>
        <v>0</v>
      </c>
      <c r="AA184" s="33"/>
      <c r="AB184" s="1554" t="str">
        <f>U99</f>
        <v/>
      </c>
      <c r="AC184" s="1555"/>
      <c r="AD184" s="1556"/>
      <c r="AE184" s="1554" t="str">
        <f>U107</f>
        <v/>
      </c>
      <c r="AF184" s="1555"/>
      <c r="AG184" s="1556"/>
      <c r="AH184" s="1554" t="str">
        <f>U115</f>
        <v/>
      </c>
      <c r="AI184" s="1555"/>
      <c r="AJ184" s="1556"/>
      <c r="AK184" s="33"/>
      <c r="AL184" s="33"/>
      <c r="AM184" s="33"/>
      <c r="AN184" s="33"/>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row>
    <row r="185" spans="1:64" ht="14.25" hidden="1" customHeight="1" x14ac:dyDescent="0.2">
      <c r="A185" s="1324"/>
      <c r="B185" s="1324"/>
      <c r="C185" s="1897" t="s">
        <v>422</v>
      </c>
      <c r="D185" s="1898"/>
      <c r="E185" s="1899"/>
      <c r="F185" s="1324"/>
      <c r="G185" s="1324"/>
      <c r="H185" s="33"/>
      <c r="I185" s="33"/>
      <c r="J185" s="33"/>
      <c r="K185" s="33"/>
      <c r="L185" s="1763" t="str">
        <f>UPPER(C152)</f>
        <v>ERROR</v>
      </c>
      <c r="M185" s="1763"/>
      <c r="N185" s="1335">
        <f>IF(H181=H182,1,0)</f>
        <v>0</v>
      </c>
      <c r="O185" s="175">
        <f t="shared" ref="O185:V186" si="39">IF($N185=1,IF(SUM(O181:O182)=0,1,0),0)</f>
        <v>0</v>
      </c>
      <c r="P185" s="175">
        <f t="shared" si="39"/>
        <v>0</v>
      </c>
      <c r="Q185" s="175">
        <f t="shared" si="39"/>
        <v>0</v>
      </c>
      <c r="R185" s="175">
        <f t="shared" si="39"/>
        <v>0</v>
      </c>
      <c r="S185" s="175">
        <f t="shared" si="39"/>
        <v>0</v>
      </c>
      <c r="T185" s="175">
        <f t="shared" si="39"/>
        <v>0</v>
      </c>
      <c r="U185" s="175">
        <f t="shared" si="39"/>
        <v>0</v>
      </c>
      <c r="V185" s="175">
        <f t="shared" si="39"/>
        <v>0</v>
      </c>
      <c r="W185" s="175">
        <f t="shared" ref="W185:Z186" si="40">IF($N185=1,IF(SUM(W181:W182)=0,1,0),0)</f>
        <v>0</v>
      </c>
      <c r="X185" s="175">
        <f t="shared" si="40"/>
        <v>0</v>
      </c>
      <c r="Y185" s="175">
        <f t="shared" si="40"/>
        <v>0</v>
      </c>
      <c r="Z185" s="175">
        <f t="shared" si="40"/>
        <v>0</v>
      </c>
      <c r="AA185" s="33"/>
      <c r="AB185" s="1546" t="str">
        <f>IF(AB180="","",VLOOKUP(AB180,$B$230:$B$248,1,FALSE))</f>
        <v/>
      </c>
      <c r="AC185" s="1546"/>
      <c r="AD185" s="1546"/>
      <c r="AE185" s="1546" t="str">
        <f>IF(AE180="","",VLOOKUP(AE180,$B$230:$B$251,1,FALSE))</f>
        <v/>
      </c>
      <c r="AF185" s="1546"/>
      <c r="AG185" s="1546"/>
      <c r="AH185" s="1546" t="str">
        <f>IF(AH180="","",VLOOKUP(AH180,$B$230:$B$254,1,FALSE))</f>
        <v/>
      </c>
      <c r="AI185" s="1546"/>
      <c r="AJ185" s="1546"/>
      <c r="AK185" s="33"/>
      <c r="AL185" s="33"/>
      <c r="AM185" s="33"/>
      <c r="AN185" s="33"/>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row>
    <row r="186" spans="1:64" ht="14.25" hidden="1" customHeight="1" x14ac:dyDescent="0.2">
      <c r="A186" s="1324"/>
      <c r="B186" s="1324"/>
      <c r="C186" s="1897" t="s">
        <v>423</v>
      </c>
      <c r="D186" s="1898"/>
      <c r="E186" s="1899"/>
      <c r="F186" s="1324"/>
      <c r="G186" s="1324"/>
      <c r="H186" s="33"/>
      <c r="I186" s="33"/>
      <c r="J186" s="33"/>
      <c r="K186" s="33"/>
      <c r="L186" s="33"/>
      <c r="M186" s="469" t="s">
        <v>148</v>
      </c>
      <c r="N186" s="172">
        <f>IF(H182=H183,1,0)</f>
        <v>0</v>
      </c>
      <c r="O186" s="176">
        <f t="shared" si="39"/>
        <v>0</v>
      </c>
      <c r="P186" s="176">
        <f t="shared" si="39"/>
        <v>0</v>
      </c>
      <c r="Q186" s="176">
        <f t="shared" si="39"/>
        <v>0</v>
      </c>
      <c r="R186" s="176">
        <f t="shared" si="39"/>
        <v>0</v>
      </c>
      <c r="S186" s="176">
        <f t="shared" si="39"/>
        <v>0</v>
      </c>
      <c r="T186" s="176">
        <f t="shared" si="39"/>
        <v>0</v>
      </c>
      <c r="U186" s="176">
        <f t="shared" si="39"/>
        <v>0</v>
      </c>
      <c r="V186" s="176">
        <f t="shared" si="39"/>
        <v>0</v>
      </c>
      <c r="W186" s="176">
        <f t="shared" si="40"/>
        <v>0</v>
      </c>
      <c r="X186" s="176">
        <f t="shared" si="40"/>
        <v>0</v>
      </c>
      <c r="Y186" s="176">
        <f t="shared" si="40"/>
        <v>0</v>
      </c>
      <c r="Z186" s="176">
        <f t="shared" si="40"/>
        <v>0</v>
      </c>
      <c r="AA186" s="33"/>
      <c r="AB186" s="1608" t="str">
        <f>IF(ISERROR(AB185),"OK",IF(AB185="--","",$L$185))</f>
        <v>ERROR</v>
      </c>
      <c r="AC186" s="1608"/>
      <c r="AD186" s="1608"/>
      <c r="AE186" s="1608" t="str">
        <f>IF(ISERROR(AE185),"OK",IF(AE185="--","",$L$185))</f>
        <v>ERROR</v>
      </c>
      <c r="AF186" s="1608"/>
      <c r="AG186" s="1608"/>
      <c r="AH186" s="1608" t="str">
        <f>IF(ISERROR(AH185),"OK",IF(AH185="--","",$L$185))</f>
        <v>ERROR</v>
      </c>
      <c r="AI186" s="1608"/>
      <c r="AJ186" s="1608"/>
      <c r="AK186" s="33"/>
      <c r="AL186" s="33"/>
      <c r="AM186" s="33"/>
      <c r="AN186" s="33"/>
      <c r="AO186" s="264"/>
      <c r="AP186" s="264"/>
      <c r="AQ186" s="264"/>
      <c r="AR186" s="264"/>
      <c r="AS186" s="264"/>
      <c r="AT186" s="264"/>
      <c r="AU186" s="264"/>
      <c r="AV186" s="264"/>
      <c r="AW186" s="264"/>
      <c r="AX186" s="264"/>
      <c r="AY186" s="264"/>
      <c r="AZ186" s="264"/>
      <c r="BA186" s="264"/>
      <c r="BB186" s="264"/>
      <c r="BC186" s="264"/>
      <c r="BD186" s="264"/>
      <c r="BE186" s="264"/>
      <c r="BF186" s="264"/>
      <c r="BG186" s="264"/>
      <c r="BH186" s="264"/>
      <c r="BI186" s="264"/>
      <c r="BJ186" s="264"/>
      <c r="BK186" s="264"/>
      <c r="BL186" s="264"/>
    </row>
    <row r="187" spans="1:64" ht="14.25" hidden="1" customHeight="1" x14ac:dyDescent="0.2">
      <c r="A187" s="1324"/>
      <c r="B187" s="1324"/>
      <c r="C187" s="1897" t="s">
        <v>424</v>
      </c>
      <c r="D187" s="1898"/>
      <c r="E187" s="1899"/>
      <c r="F187" s="1324"/>
      <c r="G187" s="1324"/>
      <c r="H187" s="33"/>
      <c r="I187" s="33"/>
      <c r="J187" s="33"/>
      <c r="K187" s="33"/>
      <c r="L187" s="33"/>
      <c r="M187" s="33"/>
      <c r="N187" s="33"/>
      <c r="O187" s="33"/>
      <c r="P187" s="33"/>
      <c r="Q187" s="33"/>
      <c r="R187" s="33"/>
      <c r="S187" s="33"/>
      <c r="T187" s="33"/>
      <c r="U187" s="33"/>
      <c r="V187" s="33"/>
      <c r="W187" s="33"/>
      <c r="X187" s="33"/>
      <c r="Y187" s="33"/>
      <c r="Z187" s="33"/>
      <c r="AA187" s="33"/>
      <c r="AB187" s="1923" t="str">
        <f>IF(AB186=$L185,$M186,"")</f>
        <v>Questa colonna esiste già !!!</v>
      </c>
      <c r="AC187" s="1760"/>
      <c r="AD187" s="1760"/>
      <c r="AE187" s="1760" t="str">
        <f>IF(AE186=$L185,$M186,"")</f>
        <v>Questa colonna esiste già !!!</v>
      </c>
      <c r="AF187" s="1760"/>
      <c r="AG187" s="1760"/>
      <c r="AH187" s="1760" t="str">
        <f>IF(AH186=$L185,$M186,"")</f>
        <v>Questa colonna esiste già !!!</v>
      </c>
      <c r="AI187" s="1760"/>
      <c r="AJ187" s="1761"/>
      <c r="AK187" s="33"/>
      <c r="AL187" s="33"/>
      <c r="AM187" s="33"/>
      <c r="AN187" s="33"/>
      <c r="AO187" s="33"/>
      <c r="AP187" s="33"/>
      <c r="AQ187" s="33"/>
      <c r="AR187" s="33"/>
      <c r="AS187" s="33"/>
      <c r="AT187" s="33"/>
      <c r="AU187" s="33"/>
      <c r="AV187" s="33"/>
      <c r="AW187" s="33"/>
      <c r="AX187" s="33"/>
      <c r="AY187" s="264"/>
      <c r="AZ187" s="264"/>
      <c r="BA187" s="264"/>
      <c r="BB187" s="264"/>
      <c r="BC187" s="264"/>
      <c r="BD187" s="264"/>
      <c r="BE187" s="264"/>
      <c r="BF187" s="264"/>
      <c r="BG187" s="264"/>
      <c r="BH187" s="264"/>
      <c r="BI187" s="264"/>
      <c r="BJ187" s="264"/>
      <c r="BK187" s="264"/>
      <c r="BL187" s="264"/>
    </row>
    <row r="188" spans="1:64" ht="14.25" hidden="1" customHeight="1" x14ac:dyDescent="0.2">
      <c r="A188" s="1324"/>
      <c r="B188" s="127"/>
      <c r="C188" s="127"/>
      <c r="D188" s="127"/>
      <c r="E188" s="127"/>
      <c r="F188" s="127"/>
      <c r="G188" s="127"/>
      <c r="H188" s="33"/>
      <c r="I188" s="33"/>
      <c r="J188" s="33"/>
      <c r="K188" s="33"/>
      <c r="L188" s="33"/>
      <c r="M188" s="33"/>
      <c r="N188" s="33"/>
      <c r="O188" s="33"/>
      <c r="P188" s="33"/>
      <c r="Q188" s="33"/>
      <c r="R188" s="33"/>
      <c r="S188" s="33"/>
      <c r="T188" s="33"/>
      <c r="U188" s="33"/>
      <c r="V188" s="33"/>
      <c r="W188" s="33"/>
      <c r="X188" s="33"/>
      <c r="Y188" s="33"/>
      <c r="Z188" s="33"/>
      <c r="AA188" s="33"/>
      <c r="AB188" s="807">
        <f>S98</f>
        <v>0</v>
      </c>
      <c r="AC188" s="33"/>
      <c r="AD188" s="33"/>
      <c r="AE188" s="807">
        <f>S106</f>
        <v>0</v>
      </c>
      <c r="AF188" s="33"/>
      <c r="AG188" s="33"/>
      <c r="AH188" s="807">
        <f>S114</f>
        <v>0</v>
      </c>
      <c r="AI188" s="33"/>
      <c r="AJ188" s="33"/>
      <c r="AK188" s="1324"/>
      <c r="AL188" s="1324"/>
      <c r="AM188" s="33"/>
      <c r="AN188" s="33"/>
      <c r="AO188" s="33"/>
      <c r="AP188" s="33"/>
      <c r="AQ188" s="33"/>
      <c r="AR188" s="33"/>
      <c r="AS188" s="33"/>
      <c r="AT188" s="33"/>
      <c r="AU188" s="33"/>
      <c r="AV188" s="33"/>
      <c r="AW188" s="33"/>
      <c r="AX188" s="33"/>
      <c r="AY188" s="33"/>
      <c r="AZ188" s="33"/>
      <c r="BA188" s="33"/>
      <c r="BB188" s="33"/>
      <c r="BC188" s="33"/>
      <c r="BD188" s="33"/>
      <c r="BE188" s="33"/>
      <c r="BF188" s="33"/>
      <c r="BG188" s="264"/>
      <c r="BH188" s="264"/>
      <c r="BI188" s="264"/>
      <c r="BJ188" s="264"/>
      <c r="BK188" s="264"/>
      <c r="BL188" s="264"/>
    </row>
    <row r="189" spans="1:64" ht="15" hidden="1" customHeight="1" x14ac:dyDescent="0.2">
      <c r="A189" s="1324"/>
      <c r="B189" s="127"/>
      <c r="C189" s="127"/>
      <c r="D189" s="127"/>
      <c r="E189" s="127"/>
      <c r="F189" s="693" t="str">
        <f>IF(AND(ISERROR(VLOOKUP(CONCATENATE("I",G189),$H181:$J183,1,FALSE)),ISERROR(VLOOKUP(CONCATENATE("II",G189),$H181:$J183,1,FALSE)),ISERROR(VLOOKUP(CONCATENATE("III",G189),$H181:$J183,1,FALSE))),"","!!!")</f>
        <v/>
      </c>
      <c r="G189" s="1560" t="str">
        <f>H22</f>
        <v>Colonna 1</v>
      </c>
      <c r="H189" s="1561"/>
      <c r="I189" s="1561"/>
      <c r="J189" s="1561"/>
      <c r="K189" s="693" t="str">
        <f>IF(AND(ISERROR(VLOOKUP(CONCATENATE("I",L189),$H181:$J183,1,FALSE)),ISERROR(VLOOKUP(CONCATENATE("II",L189),$H181:$J183,1,FALSE)),ISERROR(VLOOKUP(CONCATENATE("III",L189),$H181:$J183,1,FALSE))),"","!!!")</f>
        <v/>
      </c>
      <c r="L189" s="1560" t="str">
        <f>L22</f>
        <v>Colonna 2</v>
      </c>
      <c r="M189" s="1561"/>
      <c r="N189" s="1561"/>
      <c r="O189" s="1561"/>
      <c r="P189" s="693" t="str">
        <f>IF(AND(ISERROR(VLOOKUP(CONCATENATE("I",Q189),$H181:$J183,1,FALSE)),ISERROR(VLOOKUP(CONCATENATE("II",Q189),$H181:$J183,1,FALSE)),ISERROR(VLOOKUP(CONCATENATE("III",Q189),$H181:$J183,1,FALSE))),"","!!!")</f>
        <v/>
      </c>
      <c r="Q189" s="1560" t="str">
        <f>P22</f>
        <v>Colonna 3</v>
      </c>
      <c r="R189" s="1561"/>
      <c r="S189" s="1561"/>
      <c r="T189" s="1561"/>
      <c r="U189" s="693" t="str">
        <f>IF(AND(ISERROR(VLOOKUP(CONCATENATE("I",V189),$H181:$J183,1,FALSE)),ISERROR(VLOOKUP(CONCATENATE("II",V189),$H181:$J183,1,FALSE)),ISERROR(VLOOKUP(CONCATENATE("III",V189),$H181:$J183,1,FALSE))),"","!!!")</f>
        <v/>
      </c>
      <c r="V189" s="1560" t="str">
        <f>T22</f>
        <v>Colonna 4</v>
      </c>
      <c r="W189" s="1561"/>
      <c r="X189" s="1561"/>
      <c r="Y189" s="1561"/>
      <c r="Z189" s="693" t="str">
        <f>IF(AND(ISERROR(VLOOKUP(CONCATENATE("I",AA189),$H181:$J183,1,FALSE)),ISERROR(VLOOKUP(CONCATENATE("II",AA189),$H181:$J183,1,FALSE)),ISERROR(VLOOKUP(CONCATENATE("III",AA189),$H181:$J183,1,FALSE))),"","!!!")</f>
        <v/>
      </c>
      <c r="AA189" s="1560" t="str">
        <f>X22</f>
        <v>Colonna 5</v>
      </c>
      <c r="AB189" s="1561"/>
      <c r="AC189" s="1561"/>
      <c r="AD189" s="1561"/>
      <c r="AE189" s="693" t="str">
        <f>IF(AND(ISERROR(VLOOKUP(CONCATENATE("I",AF189),$H181:$J183,1,FALSE)),ISERROR(VLOOKUP(CONCATENATE("II",AF189),$H181:$J183,1,FALSE)),ISERROR(VLOOKUP(CONCATENATE("III",AF189),$H181:$J183,1,FALSE))),"","!!!")</f>
        <v/>
      </c>
      <c r="AF189" s="1560" t="str">
        <f>AB22</f>
        <v>Colonna 6</v>
      </c>
      <c r="AG189" s="1561"/>
      <c r="AH189" s="1561"/>
      <c r="AI189" s="1561"/>
      <c r="AJ189" s="693" t="str">
        <f>IF(AND(ISERROR(VLOOKUP(CONCATENATE("I",AK189),$H181:$J183,1,FALSE)),ISERROR(VLOOKUP(CONCATENATE("II",AK189),$H181:$J183,1,FALSE)),ISERROR(VLOOKUP(CONCATENATE("III",AK189),$H181:$J183,1,FALSE))),"","!!!")</f>
        <v/>
      </c>
      <c r="AK189" s="1560" t="str">
        <f>AF22</f>
        <v>Colonna 7</v>
      </c>
      <c r="AL189" s="1561"/>
      <c r="AM189" s="1561"/>
      <c r="AN189" s="1602"/>
      <c r="AO189" s="1324"/>
      <c r="AP189" s="1324"/>
      <c r="AQ189" s="459">
        <v>1</v>
      </c>
      <c r="AR189" s="459">
        <v>2</v>
      </c>
      <c r="AS189" s="459">
        <v>3</v>
      </c>
      <c r="AT189" s="459">
        <v>4</v>
      </c>
      <c r="AU189" s="459">
        <v>5</v>
      </c>
      <c r="AV189" s="459">
        <v>6</v>
      </c>
      <c r="AW189" s="459">
        <v>7</v>
      </c>
      <c r="AX189" s="1324"/>
      <c r="AY189" s="459">
        <v>1</v>
      </c>
      <c r="AZ189" s="459">
        <v>2</v>
      </c>
      <c r="BA189" s="459">
        <v>3</v>
      </c>
      <c r="BB189" s="459">
        <v>4</v>
      </c>
      <c r="BC189" s="459">
        <v>5</v>
      </c>
      <c r="BD189" s="459">
        <v>6</v>
      </c>
      <c r="BE189" s="459">
        <v>7</v>
      </c>
      <c r="BF189" s="33"/>
      <c r="BG189" s="264"/>
      <c r="BH189" s="264"/>
      <c r="BI189" s="264"/>
      <c r="BJ189" s="264"/>
      <c r="BK189" s="264"/>
      <c r="BL189" s="264"/>
    </row>
    <row r="190" spans="1:64" ht="15" hidden="1" customHeight="1" x14ac:dyDescent="0.2">
      <c r="A190" s="1324"/>
      <c r="B190" s="1599" t="str">
        <f>C154</f>
        <v>Gennaio</v>
      </c>
      <c r="C190" s="1546"/>
      <c r="D190" s="1600"/>
      <c r="E190" s="159">
        <f>O180</f>
        <v>1</v>
      </c>
      <c r="F190" s="164" t="str">
        <f>IF(OR(G190="",G190=0),"",VLOOKUP(G190,$K$8:$O$17,5,FALSE))</f>
        <v/>
      </c>
      <c r="G190" s="1537" t="str">
        <f>IF(F$189="",H$27,IF(AQ190=0,HLOOKUP(CONCATENATE("I",G$189),$AB$181:$AJ$184,$K$181,FALSE),IF(AQ191=0,HLOOKUP(CONCATENATE("II",G$189),$AB$181:$AJ$184,$K$181,FALSE),IF(AQ192=0,HLOOKUP(CONCATENATE("III",G$189),$AB$181:$AJ$184,$K$181,FALSE),H$27))))</f>
        <v/>
      </c>
      <c r="H190" s="1538"/>
      <c r="I190" s="1538"/>
      <c r="J190" s="1539"/>
      <c r="K190" s="164" t="str">
        <f>IF(OR(L190="",L190=0),"",VLOOKUP(L190,$K$8:$O$17,5,FALSE))</f>
        <v/>
      </c>
      <c r="L190" s="1537" t="str">
        <f>IF(K$189="",L$27,IF(AR190=0,HLOOKUP(CONCATENATE("I",L$189),$AB$181:$AJ$184,$K$181,FALSE),IF(AR191=0,HLOOKUP(CONCATENATE("II",L$189),$AB$181:$AJ$184,$K$181,FALSE),IF(AR192=0,HLOOKUP(CONCATENATE("III",L$189),$AB$181:$AJ$184,$K$181,FALSE),L$27))))</f>
        <v/>
      </c>
      <c r="M190" s="1538"/>
      <c r="N190" s="1538"/>
      <c r="O190" s="1539"/>
      <c r="P190" s="164" t="str">
        <f>IF(OR(Q190="",Q190=0),"",VLOOKUP(Q190,$K$8:$O$17,5,FALSE))</f>
        <v/>
      </c>
      <c r="Q190" s="1537" t="str">
        <f>IF(P$189="",P$27,IF(AS190=0,HLOOKUP(CONCATENATE("I",Q$189),$AB$181:$AJ$184,$K$181,FALSE),IF(AS191=0,HLOOKUP(CONCATENATE("II",Q$189),$AB$181:$AJ$184,$K$181,FALSE),IF(AS192=0,HLOOKUP(CONCATENATE("III",Q$189),$AB$181:$AJ$184,$K$181,FALSE),P$27))))</f>
        <v/>
      </c>
      <c r="R190" s="1538"/>
      <c r="S190" s="1538"/>
      <c r="T190" s="1539"/>
      <c r="U190" s="164" t="str">
        <f>IF(OR(V190="",V190=0),"",VLOOKUP(V190,$K$8:$O$17,5,FALSE))</f>
        <v/>
      </c>
      <c r="V190" s="1537" t="str">
        <f>IF(U$189="",T$27,IF(AT190=0,HLOOKUP(CONCATENATE("I",V$189),$AB$181:$AJ$184,$K$181,FALSE),IF(AT191=0,HLOOKUP(CONCATENATE("II",V$189),$AB$181:$AJ$184,$K$181,FALSE),IF(AT192=0,HLOOKUP(CONCATENATE("III",V$189),$AB$181:$AJ$184,$K$181,FALSE),T$27))))</f>
        <v/>
      </c>
      <c r="W190" s="1538"/>
      <c r="X190" s="1538"/>
      <c r="Y190" s="1539"/>
      <c r="Z190" s="164" t="str">
        <f>IF(OR(AA190="",AA190=0),"",VLOOKUP(AA190,$K$8:$O$17,5,FALSE))</f>
        <v/>
      </c>
      <c r="AA190" s="1537" t="str">
        <f>IF(Z$189="",X$27,IF(AU190=0,HLOOKUP(CONCATENATE("I",AA$189),$AB$181:$AJ$184,$K$181,FALSE),IF(AU191=0,HLOOKUP(CONCATENATE("II",AA$189),$AB$181:$AJ$184,$K$181,FALSE),IF(AU192=0,HLOOKUP(CONCATENATE("III",AA$189),$AB$181:$AJ$184,$K$181,FALSE),X$27))))</f>
        <v/>
      </c>
      <c r="AB190" s="1538"/>
      <c r="AC190" s="1538"/>
      <c r="AD190" s="1539"/>
      <c r="AE190" s="164" t="str">
        <f>IF(OR(AF190="",AF190=0),"",VLOOKUP(AF190,$K$8:$O$17,5,FALSE))</f>
        <v/>
      </c>
      <c r="AF190" s="1537" t="str">
        <f>IF(AE$189="",AB$27,IF(AV190=0,HLOOKUP(CONCATENATE("I",AF$189),$AB$181:$AJ$184,$K$181,FALSE),IF(AV191=0,HLOOKUP(CONCATENATE("II",AF$189),$AB$181:$AJ$184,$K$181,FALSE),IF(AV192=0,HLOOKUP(CONCATENATE("III",AF$189),$AB$181:$AJ$184,$K$181,FALSE),AB$27))))</f>
        <v/>
      </c>
      <c r="AG190" s="1538"/>
      <c r="AH190" s="1538"/>
      <c r="AI190" s="1539"/>
      <c r="AJ190" s="164" t="str">
        <f>IF(OR(AK190="",AK190=0),"",VLOOKUP(AK190,$K$8:$O$17,5,FALSE))</f>
        <v/>
      </c>
      <c r="AK190" s="1537" t="str">
        <f>IF(AJ$189="",AF$27,IF(AW190=0,HLOOKUP(CONCATENATE("I",AK$189),$AB$181:$AJ$184,$K$181,FALSE),IF(AW191=0,HLOOKUP(CONCATENATE("II",AK$189),$AB$181:$AJ$184,$K$181,FALSE),IF(AW192=0,HLOOKUP(CONCATENATE("III",AK$189),$AB$181:$AJ$184,$K$181,FALSE),AF$27))))</f>
        <v/>
      </c>
      <c r="AL190" s="1538"/>
      <c r="AM190" s="1538"/>
      <c r="AN190" s="1539"/>
      <c r="AO190" s="1324"/>
      <c r="AP190" s="576" t="s">
        <v>242</v>
      </c>
      <c r="AQ190" s="173" t="str">
        <f t="shared" ref="AQ190:AQ205" si="41">IF(ISERROR(AY190),"---",AY190)</f>
        <v>---</v>
      </c>
      <c r="AR190" s="173" t="str">
        <f t="shared" ref="AR190:AR205" si="42">IF(ISERROR(AZ190),"---",AZ190)</f>
        <v>---</v>
      </c>
      <c r="AS190" s="173" t="str">
        <f t="shared" ref="AS190:AS205" si="43">IF(ISERROR(BA190),"---",BA190)</f>
        <v>---</v>
      </c>
      <c r="AT190" s="173" t="str">
        <f t="shared" ref="AT190:AT205" si="44">IF(ISERROR(BB190),"---",BB190)</f>
        <v>---</v>
      </c>
      <c r="AU190" s="173" t="str">
        <f t="shared" ref="AU190:AU205" si="45">IF(ISERROR(BC190),"---",BC190)</f>
        <v>---</v>
      </c>
      <c r="AV190" s="173" t="str">
        <f t="shared" ref="AV190:AV205" si="46">IF(ISERROR(BD190),"---",BD190)</f>
        <v>---</v>
      </c>
      <c r="AW190" s="173" t="str">
        <f t="shared" ref="AW190:AW225" si="47">IF(ISERROR(BE190),"---",BE190)</f>
        <v>---</v>
      </c>
      <c r="AX190" s="33"/>
      <c r="AY190" s="173" t="e">
        <f>HLOOKUP($E190,$O$180:$Z$183,VLOOKUP(CONCATENATE("I",G$189),$H$181:$K$183,4,FALSE),FALSE)</f>
        <v>#N/A</v>
      </c>
      <c r="AZ190" s="173" t="e">
        <f>HLOOKUP($E190,$O$180:$Z$183,VLOOKUP(CONCATENATE("I",L$189),$H$181:$K$183,4,FALSE),FALSE)</f>
        <v>#N/A</v>
      </c>
      <c r="BA190" s="173" t="e">
        <f>HLOOKUP($E190,$O$180:$Z$183,VLOOKUP(CONCATENATE("I",Q$189),$H$181:$K$183,4,FALSE),FALSE)</f>
        <v>#N/A</v>
      </c>
      <c r="BB190" s="173" t="e">
        <f>HLOOKUP($E190,$O$180:$Z$183,VLOOKUP(CONCATENATE("I",V$189),$H$181:$K$183,4,FALSE),FALSE)</f>
        <v>#N/A</v>
      </c>
      <c r="BC190" s="173" t="e">
        <f>HLOOKUP($E190,$O$180:$Z$183,VLOOKUP(CONCATENATE("I",AA$189),$H$181:$K$183,4,FALSE),FALSE)</f>
        <v>#N/A</v>
      </c>
      <c r="BD190" s="173" t="e">
        <f>HLOOKUP($E190,$O$180:$Z$183,VLOOKUP(CONCATENATE("I",AF$189),$H$181:$K$183,4,FALSE),FALSE)</f>
        <v>#N/A</v>
      </c>
      <c r="BE190" s="173" t="e">
        <f>HLOOKUP($E190,$O$180:$Z$183,VLOOKUP(CONCATENATE("I",AK$189),$H$181:$K$183,4,FALSE),FALSE)</f>
        <v>#N/A</v>
      </c>
      <c r="BF190" s="33"/>
      <c r="BG190" s="264"/>
      <c r="BH190" s="264"/>
      <c r="BI190" s="264"/>
      <c r="BJ190" s="264"/>
      <c r="BK190" s="264"/>
      <c r="BL190" s="264"/>
    </row>
    <row r="191" spans="1:64" ht="15" hidden="1" customHeight="1" x14ac:dyDescent="0.2">
      <c r="A191" s="1324"/>
      <c r="B191" s="1596" t="str">
        <f>B190</f>
        <v>Gennaio</v>
      </c>
      <c r="C191" s="1597"/>
      <c r="D191" s="1598"/>
      <c r="E191" s="161">
        <f>E190</f>
        <v>1</v>
      </c>
      <c r="F191" s="165" t="str">
        <f>IF(OR(G191=0,G191="",G191="- - - - - - -"),"",VLOOKUP(G191,$Y$132:$AC$141,5,FALSE))</f>
        <v/>
      </c>
      <c r="G191" s="1540" t="str">
        <f>IF(F$189="",H$28,IF(AQ190=0,HLOOKUP(CONCATENATE("I",G$189),$AB$181:$AJ$184,$K$182,FALSE),IF(AQ191=0,HLOOKUP(CONCATENATE("II",G$189),$AB$181:$AJ$184,$K$182,FALSE),IF(AQ192=0,HLOOKUP(CONCATENATE("III",G$189),$AB$181:$AJ$184,$K$182,FALSE),H$28))))</f>
        <v>- - - - - - -</v>
      </c>
      <c r="H191" s="1541"/>
      <c r="I191" s="1541"/>
      <c r="J191" s="807">
        <f>IF(F$189="",H$24,IF(AQ190=0,HLOOKUP(CONCATENATE("I",G$189),$AB$181:$AH$188,8,FALSE),IF(AQ191=0,HLOOKUP(CONCATENATE("II",G$189),$AB$181:$AH$188,8,FALSE),IF(AQ192=0,HLOOKUP(CONCATENATE("III",G$189),$AB$181:$AH$188,8,FALSE),H$24))))</f>
        <v>0</v>
      </c>
      <c r="K191" s="165" t="str">
        <f>IF(OR(L191=0,L191="",L191="- - - - - - -"),"",VLOOKUP(L191,$Y$132:$AC$141,5,FALSE))</f>
        <v/>
      </c>
      <c r="L191" s="1540" t="str">
        <f>IF(K$189="",L$28,IF(AR190=0,HLOOKUP(CONCATENATE("I",L$189),$AB$181:$AJ$184,$K$182,FALSE),IF(AR191=0,HLOOKUP(CONCATENATE("II",L$189),$AB$181:$AJ$184,$K$182,FALSE),IF(AR192=0,HLOOKUP(CONCATENATE("III",L$189),$AB$181:$AJ$184,$K$182,FALSE),L$28))))</f>
        <v>- - - - - - -</v>
      </c>
      <c r="M191" s="1541"/>
      <c r="N191" s="1541"/>
      <c r="O191" s="807">
        <f>IF(K$189="",L$24,IF(AR190=0,HLOOKUP(CONCATENATE("I",L$189),$AB$181:$AH$188,8,FALSE),IF(AR191=0,HLOOKUP(CONCATENATE("II",L$189),$AB$181:$AH$188,8,FALSE),IF(AR192=0,HLOOKUP(CONCATENATE("III",L$189),$AB$181:$AH$188,8,FALSE),L$24))))</f>
        <v>0</v>
      </c>
      <c r="P191" s="165" t="str">
        <f>IF(OR(Q191=0,Q191="",Q191="- - - - - - -"),"",VLOOKUP(Q191,$Y$132:$AC$141,5,FALSE))</f>
        <v/>
      </c>
      <c r="Q191" s="1540" t="str">
        <f>IF(P$189="",P$28,IF(AS190=0,HLOOKUP(CONCATENATE("I",Q$189),$AB$181:$AJ$184,$K$182,FALSE),IF(AS191=0,HLOOKUP(CONCATENATE("II",Q$189),$AB$181:$AJ$184,$K$182,FALSE),IF(AS192=0,HLOOKUP(CONCATENATE("III",Q$189),$AB$181:$AJ$184,$K$182,FALSE),P$28))))</f>
        <v>- - - - - - -</v>
      </c>
      <c r="R191" s="1541"/>
      <c r="S191" s="1541"/>
      <c r="T191" s="807">
        <f>IF(P$189="",P$24,IF(AS190=0,HLOOKUP(CONCATENATE("I",Q$189),$AB$181:$AH$188,8,FALSE),IF(AS191=0,HLOOKUP(CONCATENATE("II",Q$189),$AB$181:$AH$188,8,FALSE),IF(AS192=0,HLOOKUP(CONCATENATE("III",Q$189),$AB$181:$AH$188,8,FALSE),P$24))))</f>
        <v>0</v>
      </c>
      <c r="U191" s="165" t="str">
        <f>IF(OR(V191=0,V191="",V191="- - - - - - -"),"",VLOOKUP(V191,$Y$132:$AC$141,5,FALSE))</f>
        <v/>
      </c>
      <c r="V191" s="1540" t="str">
        <f>IF(U$189="",T$28,IF(AT190=0,HLOOKUP(CONCATENATE("I",V$189),$AB$181:$AJ$184,$K$182,FALSE),IF(AT191=0,HLOOKUP(CONCATENATE("II",V$189),$AB$181:$AJ$184,$K$182,FALSE),IF(AT192=0,HLOOKUP(CONCATENATE("III",V$189),$AB$181:$AJ$184,$K$182,FALSE),T$28))))</f>
        <v>- - - - - - -</v>
      </c>
      <c r="W191" s="1541"/>
      <c r="X191" s="1541"/>
      <c r="Y191" s="807">
        <f>IF(U$189="",T$24,IF(AT190=0,HLOOKUP(CONCATENATE("I",V$189),$AB$181:$AH$188,8,FALSE),IF(AT191=0,HLOOKUP(CONCATENATE("II",V$189),$AB$181:$AH$188,8,FALSE),IF(AT192=0,HLOOKUP(CONCATENATE("III",V$189),$AB$181:$AH$188,8,FALSE),T$24))))</f>
        <v>0</v>
      </c>
      <c r="Z191" s="165" t="str">
        <f>IF(OR(AA191=0,AA191="",AA191="- - - - - - -"),"",VLOOKUP(AA191,$Y$132:$AC$141,5,FALSE))</f>
        <v/>
      </c>
      <c r="AA191" s="1540" t="str">
        <f>IF(Z$189="",X$28,IF(AU190=0,HLOOKUP(CONCATENATE("I",AA$189),$AB$181:$AJ$184,$K$182,FALSE),IF(AU191=0,HLOOKUP(CONCATENATE("II",AA$189),$AB$181:$AJ$184,$K$182,FALSE),IF(AU192=0,HLOOKUP(CONCATENATE("III",AA$189),$AB$181:$AJ$184,$K$182,FALSE),X$28))))</f>
        <v>- - - - - - -</v>
      </c>
      <c r="AB191" s="1541"/>
      <c r="AC191" s="1541"/>
      <c r="AD191" s="807">
        <f>IF(Z$189="",X$24,IF(AU190=0,HLOOKUP(CONCATENATE("I",AA$189),$AB$181:$AH$188,8,FALSE),IF(AU191=0,HLOOKUP(CONCATENATE("II",AA$189),$AB$181:$AH$188,8,FALSE),IF(AU192=0,HLOOKUP(CONCATENATE("III",AA$189),$AB$181:$AH$188,8,FALSE),X$24))))</f>
        <v>0</v>
      </c>
      <c r="AE191" s="165" t="str">
        <f>IF(OR(AF191=0,AF191="",AF191="- - - - - - -"),"",VLOOKUP(AF191,$Y$132:$AC$141,5,FALSE))</f>
        <v/>
      </c>
      <c r="AF191" s="1540" t="str">
        <f>IF(AE$189="",AB$28,IF(AV190=0,HLOOKUP(CONCATENATE("I",AF$189),$AB$181:$AJ$184,$K$182,FALSE),IF(AV191=0,HLOOKUP(CONCATENATE("II",AF$189),$AB$181:$AJ$184,$K$182,FALSE),IF(AV192=0,HLOOKUP(CONCATENATE("III",AF$189),$AB$181:$AJ$184,$K$182,FALSE),AB$28))))</f>
        <v>- - - - - - -</v>
      </c>
      <c r="AG191" s="1541"/>
      <c r="AH191" s="1541"/>
      <c r="AI191" s="807">
        <f>IF(AE$189="",AB$24,IF(AV190=0,HLOOKUP(CONCATENATE("I",AF$189),$AB$181:$AH$188,8,FALSE),IF(AV191=0,HLOOKUP(CONCATENATE("II",AF$189),$AB$181:$AH$188,8,FALSE),IF(AV192=0,HLOOKUP(CONCATENATE("III",AF$189),$AB$181:$AH$188,8,FALSE),AB$24))))</f>
        <v>0</v>
      </c>
      <c r="AJ191" s="165" t="str">
        <f>IF(OR(AK191=0,AK191="",AK191="- - - - - - -"),"",VLOOKUP(AK191,$Y$132:$AC$141,5,FALSE))</f>
        <v/>
      </c>
      <c r="AK191" s="1540" t="str">
        <f>IF(AJ$189="",AF$28,IF(AW190=0,HLOOKUP(CONCATENATE("I",AK$189),$AB$181:$AJ$184,$K$182,FALSE),IF(AW191=0,HLOOKUP(CONCATENATE("II",AK$189),$AB$181:$AJ$184,$K$182,FALSE),IF(AW192=0,HLOOKUP(CONCATENATE("III",AK$189),$AB$181:$AJ$184,$K$182,FALSE),AF$28))))</f>
        <v>- - - - - - -</v>
      </c>
      <c r="AL191" s="1541"/>
      <c r="AM191" s="1541"/>
      <c r="AN191" s="807">
        <f>IF(AJ$189="",AF$24,IF(AW190=0,HLOOKUP(CONCATENATE("I",AK$189),$AB$181:$AH$188,8,FALSE),IF(AW191=0,HLOOKUP(CONCATENATE("II",AK$189),$AB$181:$AH$188,8,FALSE),IF(AW192=0,HLOOKUP(CONCATENATE("III",AK$189),$AB$181:$AH$188,8,FALSE),AF$24))))</f>
        <v>0</v>
      </c>
      <c r="AO191" s="1324"/>
      <c r="AP191" s="310" t="s">
        <v>216</v>
      </c>
      <c r="AQ191" s="1335" t="str">
        <f t="shared" si="41"/>
        <v>---</v>
      </c>
      <c r="AR191" s="1335" t="str">
        <f t="shared" si="42"/>
        <v>---</v>
      </c>
      <c r="AS191" s="1335" t="str">
        <f t="shared" si="43"/>
        <v>---</v>
      </c>
      <c r="AT191" s="1335" t="str">
        <f t="shared" si="44"/>
        <v>---</v>
      </c>
      <c r="AU191" s="1335" t="str">
        <f t="shared" si="45"/>
        <v>---</v>
      </c>
      <c r="AV191" s="1335" t="str">
        <f t="shared" si="46"/>
        <v>---</v>
      </c>
      <c r="AW191" s="1335" t="str">
        <f t="shared" si="47"/>
        <v>---</v>
      </c>
      <c r="AX191" s="33"/>
      <c r="AY191" s="1335" t="e">
        <f>HLOOKUP($E190,$O$180:$Z$183,VLOOKUP(CONCATENATE("II",G$189),$H$181:$K$183,4,FALSE),FALSE)</f>
        <v>#N/A</v>
      </c>
      <c r="AZ191" s="1335" t="e">
        <f>HLOOKUP($E190,$O$180:$Z$183,VLOOKUP(CONCATENATE("II",L$189),$H$181:$K$183,4,FALSE),FALSE)</f>
        <v>#N/A</v>
      </c>
      <c r="BA191" s="1335" t="e">
        <f>HLOOKUP($E190,$O$180:$Z$183,VLOOKUP(CONCATENATE("II",Q$189),$H$181:$K$183,4,FALSE),FALSE)</f>
        <v>#N/A</v>
      </c>
      <c r="BB191" s="1335" t="e">
        <f>HLOOKUP($E190,$O$180:$Z$183,VLOOKUP(CONCATENATE("II",V$189),$H$181:$K$183,4,FALSE),FALSE)</f>
        <v>#N/A</v>
      </c>
      <c r="BC191" s="1335" t="e">
        <f>HLOOKUP($E190,$O$180:$Z$183,VLOOKUP(CONCATENATE("II",AA$189),$H$181:$K$183,4,FALSE),FALSE)</f>
        <v>#N/A</v>
      </c>
      <c r="BD191" s="1335" t="e">
        <f>HLOOKUP($E190,$O$180:$Z$183,VLOOKUP(CONCATENATE("II",AF$189),$H$181:$K$183,4,FALSE),FALSE)</f>
        <v>#N/A</v>
      </c>
      <c r="BE191" s="1335" t="e">
        <f>HLOOKUP($E190,$O$180:$Z$183,VLOOKUP(CONCATENATE("II",AK$189),$H$181:$K$183,4,FALSE),FALSE)</f>
        <v>#N/A</v>
      </c>
      <c r="BF191" s="33"/>
      <c r="BG191" s="264"/>
      <c r="BH191" s="264"/>
      <c r="BI191" s="264"/>
      <c r="BJ191" s="264"/>
      <c r="BK191" s="264"/>
      <c r="BL191" s="264"/>
    </row>
    <row r="192" spans="1:64" ht="15" hidden="1" customHeight="1" x14ac:dyDescent="0.2">
      <c r="A192" s="1324"/>
      <c r="B192" s="1565" t="str">
        <f>B190</f>
        <v>Gennaio</v>
      </c>
      <c r="C192" s="1566"/>
      <c r="D192" s="1567"/>
      <c r="E192" s="161">
        <f>E191</f>
        <v>1</v>
      </c>
      <c r="F192" s="806" t="str">
        <f>IF(OR(G192="",G192=0),"",VLOOKUP(G192,$AG$8:$AK$14,5,FALSE))</f>
        <v/>
      </c>
      <c r="G192" s="1578" t="str">
        <f>IF(F$189="",H$29,IF(AQ190=0,HLOOKUP(CONCATENATE("I",G$189),$AB$181:$AJ$184,$K$183,FALSE),IF(AQ191=0,HLOOKUP(CONCATENATE("II",G$189),$AB$181:$AJ$184,$K$183,FALSE),IF(AQ192=0,HLOOKUP(CONCATENATE("III",G$189),$AB$181:$AJ$184,$K$183,FALSE),H$29))))</f>
        <v/>
      </c>
      <c r="H192" s="1579"/>
      <c r="I192" s="1579"/>
      <c r="J192" s="1580"/>
      <c r="K192" s="806" t="str">
        <f>IF(OR(L192="",L192=0),"",VLOOKUP(L192,$AG$8:$AK$14,5,FALSE))</f>
        <v/>
      </c>
      <c r="L192" s="1578" t="str">
        <f>IF(K$189="",L$29,IF(AR190=0,HLOOKUP(CONCATENATE("I",L$189),$AB$181:$AJ$184,$K$183,FALSE),IF(AR191=0,HLOOKUP(CONCATENATE("II",L$189),$AB$181:$AJ$184,$K$183,FALSE),IF(AR192=0,HLOOKUP(CONCATENATE("III",L$189),$AB$181:$AJ$184,$K$183,FALSE),L$29))))</f>
        <v/>
      </c>
      <c r="M192" s="1579"/>
      <c r="N192" s="1579"/>
      <c r="O192" s="1580"/>
      <c r="P192" s="806" t="str">
        <f>IF(OR(Q192="",Q192=0),"",VLOOKUP(Q192,$AG$8:$AK$14,5,FALSE))</f>
        <v/>
      </c>
      <c r="Q192" s="1578" t="str">
        <f>IF(P$189="",P$29,IF(AS190=0,HLOOKUP(CONCATENATE("I",Q$189),$AB$181:$AJ$184,$K$183,FALSE),IF(AS191=0,HLOOKUP(CONCATENATE("II",Q$189),$AB$181:$AJ$184,$K$183,FALSE),IF(AS192=0,HLOOKUP(CONCATENATE("III",Q$189),$AB$181:$AJ$184,$K$183,FALSE),P$29))))</f>
        <v/>
      </c>
      <c r="R192" s="1579"/>
      <c r="S192" s="1579"/>
      <c r="T192" s="1580"/>
      <c r="U192" s="806" t="str">
        <f>IF(OR(V192="",V192=0),"",VLOOKUP(V192,$AG$8:$AK$14,5,FALSE))</f>
        <v/>
      </c>
      <c r="V192" s="1578" t="str">
        <f>IF(U$189="",T$29,IF(AT190=0,HLOOKUP(CONCATENATE("I",V$189),$AB$181:$AJ$184,$K$183,FALSE),IF(AT191=0,HLOOKUP(CONCATENATE("II",V$189),$AB$181:$AJ$184,$K$183,FALSE),IF(AT192=0,HLOOKUP(CONCATENATE("III",V$189),$AB$181:$AJ$184,$K$183,FALSE),T$29))))</f>
        <v/>
      </c>
      <c r="W192" s="1579"/>
      <c r="X192" s="1579"/>
      <c r="Y192" s="1580"/>
      <c r="Z192" s="806" t="str">
        <f>IF(OR(AA192="",AA192=0),"",VLOOKUP(AA192,$AG$8:$AK$14,5,FALSE))</f>
        <v/>
      </c>
      <c r="AA192" s="1578" t="str">
        <f>IF(Z$189="",X$29,IF(AU190=0,HLOOKUP(CONCATENATE("I",AA$189),$AB$181:$AJ$184,$K$183,FALSE),IF(AU191=0,HLOOKUP(CONCATENATE("II",AA$189),$AB$181:$AJ$184,$K$183,FALSE),IF(AU192=0,HLOOKUP(CONCATENATE("III",AA$189),$AB$181:$AJ$184,$K$183,FALSE),X$29))))</f>
        <v/>
      </c>
      <c r="AB192" s="1579"/>
      <c r="AC192" s="1579"/>
      <c r="AD192" s="1580"/>
      <c r="AE192" s="806" t="str">
        <f>IF(OR(AF192="",AF192=0),"",VLOOKUP(AF192,$AG$8:$AK$14,5,FALSE))</f>
        <v/>
      </c>
      <c r="AF192" s="1578" t="str">
        <f>IF(AE$189="",AB$29,IF(AV190=0,HLOOKUP(CONCATENATE("I",AF$189),$AB$181:$AJ$184,$K$183,FALSE),IF(AV191=0,HLOOKUP(CONCATENATE("II",AF$189),$AB$181:$AJ$184,$K$183,FALSE),IF(AV192=0,HLOOKUP(CONCATENATE("III",AF$189),$AB$181:$AJ$184,$K$183,FALSE),AB$29))))</f>
        <v/>
      </c>
      <c r="AG192" s="1579"/>
      <c r="AH192" s="1579"/>
      <c r="AI192" s="1580"/>
      <c r="AJ192" s="806" t="str">
        <f>IF(OR(AK192="",AK192=0),"",VLOOKUP(AK192,$AG$8:$AK$14,5,FALSE))</f>
        <v/>
      </c>
      <c r="AK192" s="1578" t="str">
        <f>IF(AJ$189="",AF$29,IF(AW190=0,HLOOKUP(CONCATENATE("I",AK$189),$AB$181:$AJ$184,$K$183,FALSE),IF(AW191=0,HLOOKUP(CONCATENATE("II",AK$189),$AB$181:$AJ$184,$K$183,FALSE),IF(AW192=0,HLOOKUP(CONCATENATE("III",AK$189),$AB$181:$AJ$184,$K$183,FALSE),AF$29))))</f>
        <v/>
      </c>
      <c r="AL192" s="1579"/>
      <c r="AM192" s="1579"/>
      <c r="AN192" s="1580"/>
      <c r="AO192" s="1324"/>
      <c r="AP192" s="577" t="s">
        <v>217</v>
      </c>
      <c r="AQ192" s="172" t="str">
        <f t="shared" si="41"/>
        <v>---</v>
      </c>
      <c r="AR192" s="172" t="str">
        <f t="shared" si="42"/>
        <v>---</v>
      </c>
      <c r="AS192" s="172" t="str">
        <f t="shared" si="43"/>
        <v>---</v>
      </c>
      <c r="AT192" s="172" t="str">
        <f t="shared" si="44"/>
        <v>---</v>
      </c>
      <c r="AU192" s="172" t="str">
        <f t="shared" si="45"/>
        <v>---</v>
      </c>
      <c r="AV192" s="172" t="str">
        <f t="shared" si="46"/>
        <v>---</v>
      </c>
      <c r="AW192" s="172" t="str">
        <f t="shared" si="47"/>
        <v>---</v>
      </c>
      <c r="AX192" s="33"/>
      <c r="AY192" s="172" t="e">
        <f>HLOOKUP($E190,$O$180:$Z$183,VLOOKUP(CONCATENATE("III",G$189),$H$181:$K$183,4,FALSE),FALSE)</f>
        <v>#N/A</v>
      </c>
      <c r="AZ192" s="172" t="e">
        <f>HLOOKUP($E190,$O$180:$Z$183,VLOOKUP(CONCATENATE("III",L$189),$H$181:$K$183,4,FALSE),FALSE)</f>
        <v>#N/A</v>
      </c>
      <c r="BA192" s="172" t="e">
        <f>HLOOKUP($E190,$O$180:$Z$183,VLOOKUP(CONCATENATE("III",Q$189),$H$181:$K$183,4,FALSE),FALSE)</f>
        <v>#N/A</v>
      </c>
      <c r="BB192" s="172" t="e">
        <f>HLOOKUP($E190,$O$180:$Z$183,VLOOKUP(CONCATENATE("III",V$189),$H$181:$K$183,4,FALSE),FALSE)</f>
        <v>#N/A</v>
      </c>
      <c r="BC192" s="172" t="e">
        <f>HLOOKUP($E190,$O$180:$Z$183,VLOOKUP(CONCATENATE("III",AA$189),$H$181:$K$183,4,FALSE),FALSE)</f>
        <v>#N/A</v>
      </c>
      <c r="BD192" s="172" t="e">
        <f>HLOOKUP($E190,$O$180:$Z$183,VLOOKUP(CONCATENATE("III",AF$189),$H$181:$K$183,4,FALSE),FALSE)</f>
        <v>#N/A</v>
      </c>
      <c r="BE192" s="172" t="e">
        <f>HLOOKUP($E190,$O$180:$Z$183,VLOOKUP(CONCATENATE("III",AK$189),$H$181:$K$183,4,FALSE),FALSE)</f>
        <v>#N/A</v>
      </c>
      <c r="BF192" s="33"/>
      <c r="BG192" s="264"/>
      <c r="BH192" s="264"/>
      <c r="BI192" s="264"/>
      <c r="BJ192" s="264"/>
      <c r="BK192" s="264"/>
      <c r="BL192" s="264"/>
    </row>
    <row r="193" spans="1:64" ht="15" hidden="1" customHeight="1" x14ac:dyDescent="0.2">
      <c r="A193" s="1324"/>
      <c r="B193" s="1599" t="str">
        <f>C155</f>
        <v>Febbraio</v>
      </c>
      <c r="C193" s="1546"/>
      <c r="D193" s="1600"/>
      <c r="E193" s="159">
        <f>P180</f>
        <v>2</v>
      </c>
      <c r="F193" s="164" t="str">
        <f>IF(OR(G193="",G193=0),"",VLOOKUP(G193,$K$8:$O$17,5,FALSE))</f>
        <v/>
      </c>
      <c r="G193" s="1537" t="str">
        <f>IF(F$189="",H$27,IF(AQ193=0,HLOOKUP(CONCATENATE("I",G$189),$AB$181:$AJ$184,$K$181,FALSE),IF(AQ194=0,HLOOKUP(CONCATENATE("II",G$189),$AB$181:$AJ$184,$K$181,FALSE),IF(AQ195=0,HLOOKUP(CONCATENATE("III",G$189),$AB$181:$AJ$184,$K$181,FALSE),H$27))))</f>
        <v/>
      </c>
      <c r="H193" s="1538"/>
      <c r="I193" s="1538"/>
      <c r="J193" s="1539"/>
      <c r="K193" s="164" t="str">
        <f>IF(OR(L193="",L193=0),"",VLOOKUP(L193,$K$8:$O$17,5,FALSE))</f>
        <v/>
      </c>
      <c r="L193" s="1537" t="str">
        <f>IF(K$189="",L$27,IF(AR193=0,HLOOKUP(CONCATENATE("I",L$189),$AB$181:$AJ$184,$K$181,FALSE),IF(AR194=0,HLOOKUP(CONCATENATE("II",L$189),$AB$181:$AJ$184,$K$181,FALSE),IF(AR195=0,HLOOKUP(CONCATENATE("III",L$189),$AB$181:$AJ$184,$K$181,FALSE),L$27))))</f>
        <v/>
      </c>
      <c r="M193" s="1538"/>
      <c r="N193" s="1538"/>
      <c r="O193" s="1539"/>
      <c r="P193" s="164" t="str">
        <f>IF(OR(Q193="",Q193=0),"",VLOOKUP(Q193,$K$8:$O$17,5,FALSE))</f>
        <v/>
      </c>
      <c r="Q193" s="1537" t="str">
        <f>IF(P$189="",P$27,IF(AS193=0,HLOOKUP(CONCATENATE("I",Q$189),$AB$181:$AJ$184,$K$181,FALSE),IF(AS194=0,HLOOKUP(CONCATENATE("II",Q$189),$AB$181:$AJ$184,$K$181,FALSE),IF(AS195=0,HLOOKUP(CONCATENATE("III",Q$189),$AB$181:$AJ$184,$K$181,FALSE),P$27))))</f>
        <v/>
      </c>
      <c r="R193" s="1538"/>
      <c r="S193" s="1538"/>
      <c r="T193" s="1539"/>
      <c r="U193" s="164" t="str">
        <f>IF(OR(V193="",V193=0),"",VLOOKUP(V193,$K$8:$O$17,5,FALSE))</f>
        <v/>
      </c>
      <c r="V193" s="1537" t="str">
        <f>IF(U$189="",T$27,IF(AT193=0,HLOOKUP(CONCATENATE("I",V$189),$AB$181:$AJ$184,$K$181,FALSE),IF(AT194=0,HLOOKUP(CONCATENATE("II",V$189),$AB$181:$AJ$184,$K$181,FALSE),IF(AT195=0,HLOOKUP(CONCATENATE("III",V$189),$AB$181:$AJ$184,$K$181,FALSE),T$27))))</f>
        <v/>
      </c>
      <c r="W193" s="1538"/>
      <c r="X193" s="1538"/>
      <c r="Y193" s="1539"/>
      <c r="Z193" s="164" t="str">
        <f>IF(OR(AA193="",AA193=0),"",VLOOKUP(AA193,$K$8:$O$17,5,FALSE))</f>
        <v/>
      </c>
      <c r="AA193" s="1537" t="str">
        <f>IF(Z$189="",X$27,IF(AU193=0,HLOOKUP(CONCATENATE("I",AA$189),$AB$181:$AJ$184,$K$181,FALSE),IF(AU194=0,HLOOKUP(CONCATENATE("II",AA$189),$AB$181:$AJ$184,$K$181,FALSE),IF(AU195=0,HLOOKUP(CONCATENATE("III",AA$189),$AB$181:$AJ$184,$K$181,FALSE),X$27))))</f>
        <v/>
      </c>
      <c r="AB193" s="1538"/>
      <c r="AC193" s="1538"/>
      <c r="AD193" s="1539"/>
      <c r="AE193" s="164" t="str">
        <f>IF(OR(AF193="",AF193=0),"",VLOOKUP(AF193,$K$8:$O$17,5,FALSE))</f>
        <v/>
      </c>
      <c r="AF193" s="1537" t="str">
        <f>IF(AE$189="",AB$27,IF(AV193=0,HLOOKUP(CONCATENATE("I",AF$189),$AB$181:$AJ$184,$K$181,FALSE),IF(AV194=0,HLOOKUP(CONCATENATE("II",AF$189),$AB$181:$AJ$184,$K$181,FALSE),IF(AV195=0,HLOOKUP(CONCATENATE("III",AF$189),$AB$181:$AJ$184,$K$181,FALSE),AB$27))))</f>
        <v/>
      </c>
      <c r="AG193" s="1538"/>
      <c r="AH193" s="1538"/>
      <c r="AI193" s="1539"/>
      <c r="AJ193" s="164" t="str">
        <f>IF(OR(AK193="",AK193=0),"",VLOOKUP(AK193,$K$8:$O$17,5,FALSE))</f>
        <v/>
      </c>
      <c r="AK193" s="1537" t="str">
        <f>IF(AJ$189="",AF$27,IF(AW193=0,HLOOKUP(CONCATENATE("I",AK$189),$AB$181:$AJ$184,$K$181,FALSE),IF(AW194=0,HLOOKUP(CONCATENATE("II",AK$189),$AB$181:$AJ$184,$K$181,FALSE),IF(AW195=0,HLOOKUP(CONCATENATE("III",AK$189),$AB$181:$AJ$184,$K$181,FALSE),AF$27))))</f>
        <v/>
      </c>
      <c r="AL193" s="1538"/>
      <c r="AM193" s="1538"/>
      <c r="AN193" s="1539"/>
      <c r="AO193" s="1324"/>
      <c r="AP193" s="576" t="s">
        <v>242</v>
      </c>
      <c r="AQ193" s="173" t="str">
        <f t="shared" si="41"/>
        <v>---</v>
      </c>
      <c r="AR193" s="173" t="str">
        <f t="shared" si="42"/>
        <v>---</v>
      </c>
      <c r="AS193" s="173" t="str">
        <f t="shared" si="43"/>
        <v>---</v>
      </c>
      <c r="AT193" s="173" t="str">
        <f t="shared" si="44"/>
        <v>---</v>
      </c>
      <c r="AU193" s="173" t="str">
        <f t="shared" si="45"/>
        <v>---</v>
      </c>
      <c r="AV193" s="173" t="str">
        <f t="shared" si="46"/>
        <v>---</v>
      </c>
      <c r="AW193" s="173" t="str">
        <f t="shared" si="47"/>
        <v>---</v>
      </c>
      <c r="AX193" s="33"/>
      <c r="AY193" s="173" t="e">
        <f>HLOOKUP($E193,$O$180:$Z$183,VLOOKUP(CONCATENATE("I",G$189),$H$181:$K$183,4,FALSE),FALSE)</f>
        <v>#N/A</v>
      </c>
      <c r="AZ193" s="173" t="e">
        <f>HLOOKUP($E193,$O$180:$Z$183,VLOOKUP(CONCATENATE("I",L$189),$H$181:$K$183,4,FALSE),FALSE)</f>
        <v>#N/A</v>
      </c>
      <c r="BA193" s="173" t="e">
        <f>HLOOKUP($E193,$O$180:$Z$183,VLOOKUP(CONCATENATE("I",Q$189),$H$181:$K$183,4,FALSE),FALSE)</f>
        <v>#N/A</v>
      </c>
      <c r="BB193" s="173" t="e">
        <f>HLOOKUP($E193,$O$180:$Z$183,VLOOKUP(CONCATENATE("I",V$189),$H$181:$K$183,4,FALSE),FALSE)</f>
        <v>#N/A</v>
      </c>
      <c r="BC193" s="173" t="e">
        <f>HLOOKUP($E193,$O$180:$Z$183,VLOOKUP(CONCATENATE("I",AA$189),$H$181:$K$183,4,FALSE),FALSE)</f>
        <v>#N/A</v>
      </c>
      <c r="BD193" s="173" t="e">
        <f>HLOOKUP($E193,$O$180:$Z$183,VLOOKUP(CONCATENATE("I",AF$189),$H$181:$K$183,4,FALSE),FALSE)</f>
        <v>#N/A</v>
      </c>
      <c r="BE193" s="173" t="e">
        <f>HLOOKUP($E193,$O$180:$Z$183,VLOOKUP(CONCATENATE("I",AK$189),$H$181:$K$183,4,FALSE),FALSE)</f>
        <v>#N/A</v>
      </c>
      <c r="BF193" s="33"/>
      <c r="BG193" s="264"/>
      <c r="BH193" s="264"/>
      <c r="BI193" s="264"/>
      <c r="BJ193" s="264"/>
      <c r="BK193" s="264"/>
      <c r="BL193" s="264"/>
    </row>
    <row r="194" spans="1:64" ht="15" hidden="1" customHeight="1" x14ac:dyDescent="0.2">
      <c r="A194" s="1324"/>
      <c r="B194" s="1596" t="str">
        <f>B193</f>
        <v>Febbraio</v>
      </c>
      <c r="C194" s="1597"/>
      <c r="D194" s="1598"/>
      <c r="E194" s="161">
        <f>E193</f>
        <v>2</v>
      </c>
      <c r="F194" s="165" t="str">
        <f>IF(OR(G194=0,G194="",G194="- - - - - - -"),"",VLOOKUP(G194,$Y$132:$AC$141,5,FALSE))</f>
        <v/>
      </c>
      <c r="G194" s="1540" t="str">
        <f>IF(F$189="",H$28,IF(AQ193=0,HLOOKUP(CONCATENATE("I",G$189),$AB$181:$AJ$184,$K$182,FALSE),IF(AQ194=0,HLOOKUP(CONCATENATE("II",G$189),$AB$181:$AJ$184,$K$182,FALSE),IF(AQ195=0,HLOOKUP(CONCATENATE("III",G$189),$AB$181:$AJ$184,$K$182,FALSE),H$28))))</f>
        <v>- - - - - - -</v>
      </c>
      <c r="H194" s="1541"/>
      <c r="I194" s="1541"/>
      <c r="J194" s="807">
        <f>IF(F$189="",H$24,IF(AQ193=0,HLOOKUP(CONCATENATE("I",G$189),$AB$181:$AH$188,8,FALSE),IF(AQ194=0,HLOOKUP(CONCATENATE("II",G$189),$AB$181:$AH$188,8,FALSE),IF(AQ195=0,HLOOKUP(CONCATENATE("III",G$189),$AB$181:$AH$188,8,FALSE),H$24))))</f>
        <v>0</v>
      </c>
      <c r="K194" s="165" t="str">
        <f>IF(OR(L194=0,L194="",L194="- - - - - - -"),"",VLOOKUP(L194,$Y$132:$AC$141,5,FALSE))</f>
        <v/>
      </c>
      <c r="L194" s="1540" t="str">
        <f>IF(K$189="",L$28,IF(AR193=0,HLOOKUP(CONCATENATE("I",L$189),$AB$181:$AJ$184,$K$182,FALSE),IF(AR194=0,HLOOKUP(CONCATENATE("II",L$189),$AB$181:$AJ$184,$K$182,FALSE),IF(AR195=0,HLOOKUP(CONCATENATE("III",L$189),$AB$181:$AJ$184,$K$182,FALSE),L$28))))</f>
        <v>- - - - - - -</v>
      </c>
      <c r="M194" s="1541"/>
      <c r="N194" s="1541"/>
      <c r="O194" s="807">
        <f>IF(K$189="",L$24,IF(AR193=0,HLOOKUP(CONCATENATE("I",L$189),$AB$181:$AH$188,8,FALSE),IF(AR194=0,HLOOKUP(CONCATENATE("II",L$189),$AB$181:$AH$188,8,FALSE),IF(AR195=0,HLOOKUP(CONCATENATE("III",L$189),$AB$181:$AH$188,8,FALSE),L$24))))</f>
        <v>0</v>
      </c>
      <c r="P194" s="165" t="str">
        <f>IF(OR(Q194=0,Q194="",Q194="- - - - - - -"),"",VLOOKUP(Q194,$Y$132:$AC$141,5,FALSE))</f>
        <v/>
      </c>
      <c r="Q194" s="1540" t="str">
        <f>IF(P$189="",P$28,IF(AS193=0,HLOOKUP(CONCATENATE("I",Q$189),$AB$181:$AJ$184,$K$182,FALSE),IF(AS194=0,HLOOKUP(CONCATENATE("II",Q$189),$AB$181:$AJ$184,$K$182,FALSE),IF(AS195=0,HLOOKUP(CONCATENATE("III",Q$189),$AB$181:$AJ$184,$K$182,FALSE),P$28))))</f>
        <v>- - - - - - -</v>
      </c>
      <c r="R194" s="1541"/>
      <c r="S194" s="1541"/>
      <c r="T194" s="807">
        <f>IF(P$189="",P$24,IF(AS193=0,HLOOKUP(CONCATENATE("I",Q$189),$AB$181:$AH$188,8,FALSE),IF(AS194=0,HLOOKUP(CONCATENATE("II",Q$189),$AB$181:$AH$188,8,FALSE),IF(AS195=0,HLOOKUP(CONCATENATE("III",Q$189),$AB$181:$AH$188,8,FALSE),P$24))))</f>
        <v>0</v>
      </c>
      <c r="U194" s="165" t="str">
        <f>IF(OR(V194=0,V194="",V194="- - - - - - -"),"",VLOOKUP(V194,$Y$132:$AC$141,5,FALSE))</f>
        <v/>
      </c>
      <c r="V194" s="1540" t="str">
        <f>IF(U$189="",T$28,IF(AT193=0,HLOOKUP(CONCATENATE("I",V$189),$AB$181:$AJ$184,$K$182,FALSE),IF(AT194=0,HLOOKUP(CONCATENATE("II",V$189),$AB$181:$AJ$184,$K$182,FALSE),IF(AT195=0,HLOOKUP(CONCATENATE("III",V$189),$AB$181:$AJ$184,$K$182,FALSE),T$28))))</f>
        <v>- - - - - - -</v>
      </c>
      <c r="W194" s="1541"/>
      <c r="X194" s="1541"/>
      <c r="Y194" s="807">
        <f>IF(U$189="",T$24,IF(AT193=0,HLOOKUP(CONCATENATE("I",V$189),$AB$181:$AH$188,8,FALSE),IF(AT194=0,HLOOKUP(CONCATENATE("II",V$189),$AB$181:$AH$188,8,FALSE),IF(AT195=0,HLOOKUP(CONCATENATE("III",V$189),$AB$181:$AH$188,8,FALSE),T$24))))</f>
        <v>0</v>
      </c>
      <c r="Z194" s="165" t="str">
        <f>IF(OR(AA194=0,AA194="",AA194="- - - - - - -"),"",VLOOKUP(AA194,$Y$132:$AC$141,5,FALSE))</f>
        <v/>
      </c>
      <c r="AA194" s="1540" t="str">
        <f>IF(Z$189="",X$28,IF(AU193=0,HLOOKUP(CONCATENATE("I",AA$189),$AB$181:$AJ$184,$K$182,FALSE),IF(AU194=0,HLOOKUP(CONCATENATE("II",AA$189),$AB$181:$AJ$184,$K$182,FALSE),IF(AU195=0,HLOOKUP(CONCATENATE("III",AA$189),$AB$181:$AJ$184,$K$182,FALSE),X$28))))</f>
        <v>- - - - - - -</v>
      </c>
      <c r="AB194" s="1541"/>
      <c r="AC194" s="1541"/>
      <c r="AD194" s="807">
        <f>IF(Z$189="",X$24,IF(AU193=0,HLOOKUP(CONCATENATE("I",AA$189),$AB$181:$AH$188,8,FALSE),IF(AU194=0,HLOOKUP(CONCATENATE("II",AA$189),$AB$181:$AH$188,8,FALSE),IF(AU195=0,HLOOKUP(CONCATENATE("III",AA$189),$AB$181:$AH$188,8,FALSE),X$24))))</f>
        <v>0</v>
      </c>
      <c r="AE194" s="165" t="str">
        <f>IF(OR(AF194=0,AF194="",AF194="- - - - - - -"),"",VLOOKUP(AF194,$Y$132:$AC$141,5,FALSE))</f>
        <v/>
      </c>
      <c r="AF194" s="1540" t="str">
        <f>IF(AE$189="",AB$28,IF(AV193=0,HLOOKUP(CONCATENATE("I",AF$189),$AB$181:$AJ$184,$K$182,FALSE),IF(AV194=0,HLOOKUP(CONCATENATE("II",AF$189),$AB$181:$AJ$184,$K$182,FALSE),IF(AV195=0,HLOOKUP(CONCATENATE("III",AF$189),$AB$181:$AJ$184,$K$182,FALSE),AB$28))))</f>
        <v>- - - - - - -</v>
      </c>
      <c r="AG194" s="1541"/>
      <c r="AH194" s="1541"/>
      <c r="AI194" s="807">
        <f>IF(AE$189="",AB$24,IF(AV193=0,HLOOKUP(CONCATENATE("I",AF$189),$AB$181:$AH$188,8,FALSE),IF(AV194=0,HLOOKUP(CONCATENATE("II",AF$189),$AB$181:$AH$188,8,FALSE),IF(AV195=0,HLOOKUP(CONCATENATE("III",AF$189),$AB$181:$AH$188,8,FALSE),AB$24))))</f>
        <v>0</v>
      </c>
      <c r="AJ194" s="165" t="str">
        <f>IF(OR(AK194=0,AK194="",AK194="- - - - - - -"),"",VLOOKUP(AK194,$Y$132:$AC$141,5,FALSE))</f>
        <v/>
      </c>
      <c r="AK194" s="1540" t="str">
        <f>IF(AJ$189="",AF$28,IF(AW193=0,HLOOKUP(CONCATENATE("I",AK$189),$AB$181:$AJ$184,$K$182,FALSE),IF(AW194=0,HLOOKUP(CONCATENATE("II",AK$189),$AB$181:$AJ$184,$K$182,FALSE),IF(AW195=0,HLOOKUP(CONCATENATE("III",AK$189),$AB$181:$AJ$184,$K$182,FALSE),AF$28))))</f>
        <v>- - - - - - -</v>
      </c>
      <c r="AL194" s="1541"/>
      <c r="AM194" s="1541"/>
      <c r="AN194" s="807">
        <f>IF(AJ$189="",AF$24,IF(AW193=0,HLOOKUP(CONCATENATE("I",AK$189),$AB$181:$AH$188,8,FALSE),IF(AW194=0,HLOOKUP(CONCATENATE("II",AK$189),$AB$181:$AH$188,8,FALSE),IF(AW195=0,HLOOKUP(CONCATENATE("III",AK$189),$AB$181:$AH$188,8,FALSE),AF$24))))</f>
        <v>0</v>
      </c>
      <c r="AO194" s="1324"/>
      <c r="AP194" s="310" t="s">
        <v>216</v>
      </c>
      <c r="AQ194" s="1335" t="str">
        <f t="shared" si="41"/>
        <v>---</v>
      </c>
      <c r="AR194" s="1335" t="str">
        <f t="shared" si="42"/>
        <v>---</v>
      </c>
      <c r="AS194" s="1335" t="str">
        <f t="shared" si="43"/>
        <v>---</v>
      </c>
      <c r="AT194" s="1335" t="str">
        <f t="shared" si="44"/>
        <v>---</v>
      </c>
      <c r="AU194" s="1335" t="str">
        <f t="shared" si="45"/>
        <v>---</v>
      </c>
      <c r="AV194" s="1335" t="str">
        <f t="shared" si="46"/>
        <v>---</v>
      </c>
      <c r="AW194" s="1335" t="str">
        <f t="shared" si="47"/>
        <v>---</v>
      </c>
      <c r="AX194" s="33"/>
      <c r="AY194" s="1335" t="e">
        <f>HLOOKUP($E193,$O$180:$Z$183,VLOOKUP(CONCATENATE("II",G$189),$H$181:$K$183,4,FALSE),FALSE)</f>
        <v>#N/A</v>
      </c>
      <c r="AZ194" s="1335" t="e">
        <f>HLOOKUP($E193,$O$180:$Z$183,VLOOKUP(CONCATENATE("II",L$189),$H$181:$K$183,4,FALSE),FALSE)</f>
        <v>#N/A</v>
      </c>
      <c r="BA194" s="1335" t="e">
        <f>HLOOKUP($E193,$O$180:$Z$183,VLOOKUP(CONCATENATE("II",Q$189),$H$181:$K$183,4,FALSE),FALSE)</f>
        <v>#N/A</v>
      </c>
      <c r="BB194" s="1335" t="e">
        <f>HLOOKUP($E193,$O$180:$Z$183,VLOOKUP(CONCATENATE("II",V$189),$H$181:$K$183,4,FALSE),FALSE)</f>
        <v>#N/A</v>
      </c>
      <c r="BC194" s="1335" t="e">
        <f>HLOOKUP($E193,$O$180:$Z$183,VLOOKUP(CONCATENATE("II",AA$189),$H$181:$K$183,4,FALSE),FALSE)</f>
        <v>#N/A</v>
      </c>
      <c r="BD194" s="1335" t="e">
        <f>HLOOKUP($E193,$O$180:$Z$183,VLOOKUP(CONCATENATE("II",AF$189),$H$181:$K$183,4,FALSE),FALSE)</f>
        <v>#N/A</v>
      </c>
      <c r="BE194" s="1335" t="e">
        <f>HLOOKUP($E193,$O$180:$Z$183,VLOOKUP(CONCATENATE("II",AK$189),$H$181:$K$183,4,FALSE),FALSE)</f>
        <v>#N/A</v>
      </c>
      <c r="BF194" s="33"/>
      <c r="BG194" s="264"/>
      <c r="BH194" s="264"/>
      <c r="BI194" s="264"/>
      <c r="BJ194" s="264"/>
      <c r="BK194" s="264"/>
      <c r="BL194" s="264"/>
    </row>
    <row r="195" spans="1:64" ht="15" hidden="1" customHeight="1" x14ac:dyDescent="0.2">
      <c r="A195" s="1324"/>
      <c r="B195" s="1565" t="str">
        <f>B193</f>
        <v>Febbraio</v>
      </c>
      <c r="C195" s="1566"/>
      <c r="D195" s="1567"/>
      <c r="E195" s="161">
        <f>E194</f>
        <v>2</v>
      </c>
      <c r="F195" s="806" t="str">
        <f>IF(OR(G195="",G195=0),"",VLOOKUP(G195,$AG$8:$AK$14,5,FALSE))</f>
        <v/>
      </c>
      <c r="G195" s="1578" t="str">
        <f>IF(F$189="",H$29,IF(AQ193=0,HLOOKUP(CONCATENATE("I",G$189),$AB$181:$AJ$184,$K$183,FALSE),IF(AQ194=0,HLOOKUP(CONCATENATE("II",G$189),$AB$181:$AJ$184,$K$183,FALSE),IF(AQ195=0,HLOOKUP(CONCATENATE("III",G$189),$AB$181:$AJ$184,$K$183,FALSE),H$29))))</f>
        <v/>
      </c>
      <c r="H195" s="1579"/>
      <c r="I195" s="1579"/>
      <c r="J195" s="1580"/>
      <c r="K195" s="806" t="str">
        <f>IF(OR(L195="",L195=0),"",VLOOKUP(L195,$AG$8:$AK$14,5,FALSE))</f>
        <v/>
      </c>
      <c r="L195" s="1578" t="str">
        <f>IF(K$189="",L$29,IF(AR193=0,HLOOKUP(CONCATENATE("I",L$189),$AB$181:$AJ$184,$K$183,FALSE),IF(AR194=0,HLOOKUP(CONCATENATE("II",L$189),$AB$181:$AJ$184,$K$183,FALSE),IF(AR195=0,HLOOKUP(CONCATENATE("III",L$189),$AB$181:$AJ$184,$K$183,FALSE),L$29))))</f>
        <v/>
      </c>
      <c r="M195" s="1579"/>
      <c r="N195" s="1579"/>
      <c r="O195" s="1580"/>
      <c r="P195" s="806" t="str">
        <f>IF(OR(Q195="",Q195=0),"",VLOOKUP(Q195,$AG$8:$AK$14,5,FALSE))</f>
        <v/>
      </c>
      <c r="Q195" s="1578" t="str">
        <f>IF(P$189="",P$29,IF(AS193=0,HLOOKUP(CONCATENATE("I",Q$189),$AB$181:$AJ$184,$K$183,FALSE),IF(AS194=0,HLOOKUP(CONCATENATE("II",Q$189),$AB$181:$AJ$184,$K$183,FALSE),IF(AS195=0,HLOOKUP(CONCATENATE("III",Q$189),$AB$181:$AJ$184,$K$183,FALSE),P$29))))</f>
        <v/>
      </c>
      <c r="R195" s="1579"/>
      <c r="S195" s="1579"/>
      <c r="T195" s="1580"/>
      <c r="U195" s="806" t="str">
        <f>IF(OR(V195="",V195=0),"",VLOOKUP(V195,$AG$8:$AK$14,5,FALSE))</f>
        <v/>
      </c>
      <c r="V195" s="1578" t="str">
        <f>IF(U$189="",T$29,IF(AT193=0,HLOOKUP(CONCATENATE("I",V$189),$AB$181:$AJ$184,$K$183,FALSE),IF(AT194=0,HLOOKUP(CONCATENATE("II",V$189),$AB$181:$AJ$184,$K$183,FALSE),IF(AT195=0,HLOOKUP(CONCATENATE("III",V$189),$AB$181:$AJ$184,$K$183,FALSE),T$29))))</f>
        <v/>
      </c>
      <c r="W195" s="1579"/>
      <c r="X195" s="1579"/>
      <c r="Y195" s="1580"/>
      <c r="Z195" s="806" t="str">
        <f>IF(OR(AA195="",AA195=0),"",VLOOKUP(AA195,$AG$8:$AK$14,5,FALSE))</f>
        <v/>
      </c>
      <c r="AA195" s="1578" t="str">
        <f>IF(Z$189="",X$29,IF(AU193=0,HLOOKUP(CONCATENATE("I",AA$189),$AB$181:$AJ$184,$K$183,FALSE),IF(AU194=0,HLOOKUP(CONCATENATE("II",AA$189),$AB$181:$AJ$184,$K$183,FALSE),IF(AU195=0,HLOOKUP(CONCATENATE("III",AA$189),$AB$181:$AJ$184,$K$183,FALSE),X$29))))</f>
        <v/>
      </c>
      <c r="AB195" s="1579"/>
      <c r="AC195" s="1579"/>
      <c r="AD195" s="1580"/>
      <c r="AE195" s="806" t="str">
        <f>IF(OR(AF195="",AF195=0),"",VLOOKUP(AF195,$AG$8:$AK$14,5,FALSE))</f>
        <v/>
      </c>
      <c r="AF195" s="1578" t="str">
        <f>IF(AE$189="",AB$29,IF(AV193=0,HLOOKUP(CONCATENATE("I",AF$189),$AB$181:$AJ$184,$K$183,FALSE),IF(AV194=0,HLOOKUP(CONCATENATE("II",AF$189),$AB$181:$AJ$184,$K$183,FALSE),IF(AV195=0,HLOOKUP(CONCATENATE("III",AF$189),$AB$181:$AJ$184,$K$183,FALSE),AB$29))))</f>
        <v/>
      </c>
      <c r="AG195" s="1579"/>
      <c r="AH195" s="1579"/>
      <c r="AI195" s="1580"/>
      <c r="AJ195" s="806" t="str">
        <f>IF(OR(AK195="",AK195=0),"",VLOOKUP(AK195,$AG$8:$AK$14,5,FALSE))</f>
        <v/>
      </c>
      <c r="AK195" s="1578" t="str">
        <f>IF(AJ$189="",AF$29,IF(AW193=0,HLOOKUP(CONCATENATE("I",AK$189),$AB$181:$AJ$184,$K$183,FALSE),IF(AW194=0,HLOOKUP(CONCATENATE("II",AK$189),$AB$181:$AJ$184,$K$183,FALSE),IF(AW195=0,HLOOKUP(CONCATENATE("III",AK$189),$AB$181:$AJ$184,$K$183,FALSE),AF$29))))</f>
        <v/>
      </c>
      <c r="AL195" s="1579"/>
      <c r="AM195" s="1579"/>
      <c r="AN195" s="1580"/>
      <c r="AO195" s="1324"/>
      <c r="AP195" s="577" t="s">
        <v>217</v>
      </c>
      <c r="AQ195" s="172" t="str">
        <f t="shared" si="41"/>
        <v>---</v>
      </c>
      <c r="AR195" s="172" t="str">
        <f t="shared" si="42"/>
        <v>---</v>
      </c>
      <c r="AS195" s="172" t="str">
        <f t="shared" si="43"/>
        <v>---</v>
      </c>
      <c r="AT195" s="172" t="str">
        <f t="shared" si="44"/>
        <v>---</v>
      </c>
      <c r="AU195" s="172" t="str">
        <f t="shared" si="45"/>
        <v>---</v>
      </c>
      <c r="AV195" s="172" t="str">
        <f t="shared" si="46"/>
        <v>---</v>
      </c>
      <c r="AW195" s="172" t="str">
        <f t="shared" si="47"/>
        <v>---</v>
      </c>
      <c r="AX195" s="33"/>
      <c r="AY195" s="172" t="e">
        <f>HLOOKUP($E193,$O$180:$Z$183,VLOOKUP(CONCATENATE("III",G$189),$H$181:$K$183,4,FALSE),FALSE)</f>
        <v>#N/A</v>
      </c>
      <c r="AZ195" s="172" t="e">
        <f>HLOOKUP($E193,$O$180:$Z$183,VLOOKUP(CONCATENATE("III",L$189),$H$181:$K$183,4,FALSE),FALSE)</f>
        <v>#N/A</v>
      </c>
      <c r="BA195" s="172" t="e">
        <f>HLOOKUP($E193,$O$180:$Z$183,VLOOKUP(CONCATENATE("III",Q$189),$H$181:$K$183,4,FALSE),FALSE)</f>
        <v>#N/A</v>
      </c>
      <c r="BB195" s="172" t="e">
        <f>HLOOKUP($E193,$O$180:$Z$183,VLOOKUP(CONCATENATE("III",V$189),$H$181:$K$183,4,FALSE),FALSE)</f>
        <v>#N/A</v>
      </c>
      <c r="BC195" s="172" t="e">
        <f>HLOOKUP($E193,$O$180:$Z$183,VLOOKUP(CONCATENATE("III",AA$189),$H$181:$K$183,4,FALSE),FALSE)</f>
        <v>#N/A</v>
      </c>
      <c r="BD195" s="172" t="e">
        <f>HLOOKUP($E193,$O$180:$Z$183,VLOOKUP(CONCATENATE("III",AF$189),$H$181:$K$183,4,FALSE),FALSE)</f>
        <v>#N/A</v>
      </c>
      <c r="BE195" s="172" t="e">
        <f>HLOOKUP($E193,$O$180:$Z$183,VLOOKUP(CONCATENATE("III",AK$189),$H$181:$K$183,4,FALSE),FALSE)</f>
        <v>#N/A</v>
      </c>
      <c r="BF195" s="33"/>
      <c r="BG195" s="264"/>
      <c r="BH195" s="264"/>
      <c r="BI195" s="264"/>
      <c r="BJ195" s="264"/>
      <c r="BK195" s="264"/>
      <c r="BL195" s="264"/>
    </row>
    <row r="196" spans="1:64" ht="15" hidden="1" customHeight="1" x14ac:dyDescent="0.2">
      <c r="A196" s="1324"/>
      <c r="B196" s="1599" t="str">
        <f>C156</f>
        <v>Marzo</v>
      </c>
      <c r="C196" s="1546"/>
      <c r="D196" s="1600"/>
      <c r="E196" s="159">
        <f>Q180</f>
        <v>3</v>
      </c>
      <c r="F196" s="164" t="str">
        <f>IF(OR(G196="",G196=0),"",VLOOKUP(G196,$K$8:$O$17,5,FALSE))</f>
        <v/>
      </c>
      <c r="G196" s="1537" t="str">
        <f>IF(F$189="",H$27,IF(AQ196=0,HLOOKUP(CONCATENATE("I",G$189),$AB$181:$AJ$184,$K$181,FALSE),IF(AQ197=0,HLOOKUP(CONCATENATE("II",G$189),$AB$181:$AJ$184,$K$181,FALSE),IF(AQ198=0,HLOOKUP(CONCATENATE("III",G$189),$AB$181:$AJ$184,$K$181,FALSE),H$27))))</f>
        <v/>
      </c>
      <c r="H196" s="1538"/>
      <c r="I196" s="1538"/>
      <c r="J196" s="1539"/>
      <c r="K196" s="164" t="str">
        <f>IF(OR(L196="",L196=0),"",VLOOKUP(L196,$K$8:$O$17,5,FALSE))</f>
        <v/>
      </c>
      <c r="L196" s="1537" t="str">
        <f>IF(K$189="",L$27,IF(AR196=0,HLOOKUP(CONCATENATE("I",L$189),$AB$181:$AJ$184,$K$181,FALSE),IF(AR197=0,HLOOKUP(CONCATENATE("II",L$189),$AB$181:$AJ$184,$K$181,FALSE),IF(AR198=0,HLOOKUP(CONCATENATE("III",L$189),$AB$181:$AJ$184,$K$181,FALSE),L$27))))</f>
        <v/>
      </c>
      <c r="M196" s="1538"/>
      <c r="N196" s="1538"/>
      <c r="O196" s="1539"/>
      <c r="P196" s="164" t="str">
        <f>IF(OR(Q196="",Q196=0),"",VLOOKUP(Q196,$K$8:$O$17,5,FALSE))</f>
        <v/>
      </c>
      <c r="Q196" s="1537" t="str">
        <f>IF(P$189="",P$27,IF(AS196=0,HLOOKUP(CONCATENATE("I",Q$189),$AB$181:$AJ$184,$K$181,FALSE),IF(AS197=0,HLOOKUP(CONCATENATE("II",Q$189),$AB$181:$AJ$184,$K$181,FALSE),IF(AS198=0,HLOOKUP(CONCATENATE("III",Q$189),$AB$181:$AJ$184,$K$181,FALSE),P$27))))</f>
        <v/>
      </c>
      <c r="R196" s="1538"/>
      <c r="S196" s="1538"/>
      <c r="T196" s="1539"/>
      <c r="U196" s="164" t="str">
        <f>IF(OR(V196="",V196=0),"",VLOOKUP(V196,$K$8:$O$17,5,FALSE))</f>
        <v/>
      </c>
      <c r="V196" s="1537" t="str">
        <f>IF(U$189="",T$27,IF(AT196=0,HLOOKUP(CONCATENATE("I",V$189),$AB$181:$AJ$184,$K$181,FALSE),IF(AT197=0,HLOOKUP(CONCATENATE("II",V$189),$AB$181:$AJ$184,$K$181,FALSE),IF(AT198=0,HLOOKUP(CONCATENATE("III",V$189),$AB$181:$AJ$184,$K$181,FALSE),T$27))))</f>
        <v/>
      </c>
      <c r="W196" s="1538"/>
      <c r="X196" s="1538"/>
      <c r="Y196" s="1539"/>
      <c r="Z196" s="164" t="str">
        <f>IF(OR(AA196="",AA196=0),"",VLOOKUP(AA196,$K$8:$O$17,5,FALSE))</f>
        <v/>
      </c>
      <c r="AA196" s="1537" t="str">
        <f>IF(Z$189="",X$27,IF(AU196=0,HLOOKUP(CONCATENATE("I",AA$189),$AB$181:$AJ$184,$K$181,FALSE),IF(AU197=0,HLOOKUP(CONCATENATE("II",AA$189),$AB$181:$AJ$184,$K$181,FALSE),IF(AU198=0,HLOOKUP(CONCATENATE("III",AA$189),$AB$181:$AJ$184,$K$181,FALSE),X$27))))</f>
        <v/>
      </c>
      <c r="AB196" s="1538"/>
      <c r="AC196" s="1538"/>
      <c r="AD196" s="1539"/>
      <c r="AE196" s="164" t="str">
        <f>IF(OR(AF196="",AF196=0),"",VLOOKUP(AF196,$K$8:$O$17,5,FALSE))</f>
        <v/>
      </c>
      <c r="AF196" s="1537" t="str">
        <f>IF(AE$189="",AB$27,IF(AV196=0,HLOOKUP(CONCATENATE("I",AF$189),$AB$181:$AJ$184,$K$181,FALSE),IF(AV197=0,HLOOKUP(CONCATENATE("II",AF$189),$AB$181:$AJ$184,$K$181,FALSE),IF(AV198=0,HLOOKUP(CONCATENATE("III",AF$189),$AB$181:$AJ$184,$K$181,FALSE),AB$27))))</f>
        <v/>
      </c>
      <c r="AG196" s="1538"/>
      <c r="AH196" s="1538"/>
      <c r="AI196" s="1539"/>
      <c r="AJ196" s="164" t="str">
        <f>IF(OR(AK196="",AK196=0),"",VLOOKUP(AK196,$K$8:$O$17,5,FALSE))</f>
        <v/>
      </c>
      <c r="AK196" s="1537" t="str">
        <f>IF(AJ$189="",AF$27,IF(AW196=0,HLOOKUP(CONCATENATE("I",AK$189),$AB$181:$AJ$184,$K$181,FALSE),IF(AW197=0,HLOOKUP(CONCATENATE("II",AK$189),$AB$181:$AJ$184,$K$181,FALSE),IF(AW198=0,HLOOKUP(CONCATENATE("III",AK$189),$AB$181:$AJ$184,$K$181,FALSE),AF$27))))</f>
        <v/>
      </c>
      <c r="AL196" s="1538"/>
      <c r="AM196" s="1538"/>
      <c r="AN196" s="1539"/>
      <c r="AO196" s="1324"/>
      <c r="AP196" s="576" t="s">
        <v>242</v>
      </c>
      <c r="AQ196" s="173" t="str">
        <f t="shared" si="41"/>
        <v>---</v>
      </c>
      <c r="AR196" s="173" t="str">
        <f t="shared" si="42"/>
        <v>---</v>
      </c>
      <c r="AS196" s="173" t="str">
        <f t="shared" si="43"/>
        <v>---</v>
      </c>
      <c r="AT196" s="173" t="str">
        <f t="shared" si="44"/>
        <v>---</v>
      </c>
      <c r="AU196" s="173" t="str">
        <f t="shared" si="45"/>
        <v>---</v>
      </c>
      <c r="AV196" s="173" t="str">
        <f t="shared" si="46"/>
        <v>---</v>
      </c>
      <c r="AW196" s="173" t="str">
        <f t="shared" si="47"/>
        <v>---</v>
      </c>
      <c r="AX196" s="33"/>
      <c r="AY196" s="173" t="e">
        <f>HLOOKUP($E196,$O$180:$Z$183,VLOOKUP(CONCATENATE("I",G$189),$H$181:$K$183,4,FALSE),FALSE)</f>
        <v>#N/A</v>
      </c>
      <c r="AZ196" s="173" t="e">
        <f>HLOOKUP($E196,$O$180:$Z$183,VLOOKUP(CONCATENATE("I",L$189),$H$181:$K$183,4,FALSE),FALSE)</f>
        <v>#N/A</v>
      </c>
      <c r="BA196" s="173" t="e">
        <f>HLOOKUP($E196,$O$180:$Z$183,VLOOKUP(CONCATENATE("I",Q$189),$H$181:$K$183,4,FALSE),FALSE)</f>
        <v>#N/A</v>
      </c>
      <c r="BB196" s="173" t="e">
        <f>HLOOKUP($E196,$O$180:$Z$183,VLOOKUP(CONCATENATE("I",V$189),$H$181:$K$183,4,FALSE),FALSE)</f>
        <v>#N/A</v>
      </c>
      <c r="BC196" s="173" t="e">
        <f>HLOOKUP($E196,$O$180:$Z$183,VLOOKUP(CONCATENATE("I",AA$189),$H$181:$K$183,4,FALSE),FALSE)</f>
        <v>#N/A</v>
      </c>
      <c r="BD196" s="173" t="e">
        <f>HLOOKUP($E196,$O$180:$Z$183,VLOOKUP(CONCATENATE("I",AF$189),$H$181:$K$183,4,FALSE),FALSE)</f>
        <v>#N/A</v>
      </c>
      <c r="BE196" s="173" t="e">
        <f>HLOOKUP($E196,$O$180:$Z$183,VLOOKUP(CONCATENATE("I",AK$189),$H$181:$K$183,4,FALSE),FALSE)</f>
        <v>#N/A</v>
      </c>
      <c r="BF196" s="33"/>
      <c r="BG196" s="264"/>
      <c r="BH196" s="264"/>
      <c r="BI196" s="264"/>
      <c r="BJ196" s="264"/>
      <c r="BK196" s="264"/>
      <c r="BL196" s="264"/>
    </row>
    <row r="197" spans="1:64" ht="15" hidden="1" customHeight="1" x14ac:dyDescent="0.2">
      <c r="A197" s="1324"/>
      <c r="B197" s="1596" t="str">
        <f>B196</f>
        <v>Marzo</v>
      </c>
      <c r="C197" s="1597"/>
      <c r="D197" s="1598"/>
      <c r="E197" s="161">
        <f>E196</f>
        <v>3</v>
      </c>
      <c r="F197" s="165" t="str">
        <f>IF(OR(G197=0,G197="",G197="- - - - - - -"),"",VLOOKUP(G197,$Y$132:$AC$141,5,FALSE))</f>
        <v/>
      </c>
      <c r="G197" s="1540" t="str">
        <f>IF(F$189="",H$28,IF(AQ196=0,HLOOKUP(CONCATENATE("I",G$189),$AB$181:$AJ$184,$K$182,FALSE),IF(AQ197=0,HLOOKUP(CONCATENATE("II",G$189),$AB$181:$AJ$184,$K$182,FALSE),IF(AQ198=0,HLOOKUP(CONCATENATE("III",G$189),$AB$181:$AJ$184,$K$182,FALSE),H$28))))</f>
        <v>- - - - - - -</v>
      </c>
      <c r="H197" s="1541"/>
      <c r="I197" s="1541"/>
      <c r="J197" s="807">
        <f>IF(F$189="",H$24,IF(AQ196=0,HLOOKUP(CONCATENATE("I",G$189),$AB$181:$AH$188,8,FALSE),IF(AQ197=0,HLOOKUP(CONCATENATE("II",G$189),$AB$181:$AH$188,8,FALSE),IF(AQ198=0,HLOOKUP(CONCATENATE("III",G$189),$AB$181:$AH$188,8,FALSE),H$24))))</f>
        <v>0</v>
      </c>
      <c r="K197" s="165" t="str">
        <f>IF(OR(L197=0,L197="",L197="- - - - - - -"),"",VLOOKUP(L197,$Y$132:$AC$141,5,FALSE))</f>
        <v/>
      </c>
      <c r="L197" s="1540" t="str">
        <f>IF(K$189="",L$28,IF(AR196=0,HLOOKUP(CONCATENATE("I",L$189),$AB$181:$AJ$184,$K$182,FALSE),IF(AR197=0,HLOOKUP(CONCATENATE("II",L$189),$AB$181:$AJ$184,$K$182,FALSE),IF(AR198=0,HLOOKUP(CONCATENATE("III",L$189),$AB$181:$AJ$184,$K$182,FALSE),L$28))))</f>
        <v>- - - - - - -</v>
      </c>
      <c r="M197" s="1541"/>
      <c r="N197" s="1541"/>
      <c r="O197" s="807">
        <f>IF(K$189="",L$24,IF(AR196=0,HLOOKUP(CONCATENATE("I",L$189),$AB$181:$AH$188,8,FALSE),IF(AR197=0,HLOOKUP(CONCATENATE("II",L$189),$AB$181:$AH$188,8,FALSE),IF(AR198=0,HLOOKUP(CONCATENATE("III",L$189),$AB$181:$AH$188,8,FALSE),L$24))))</f>
        <v>0</v>
      </c>
      <c r="P197" s="165" t="str">
        <f>IF(OR(Q197=0,Q197="",Q197="- - - - - - -"),"",VLOOKUP(Q197,$Y$132:$AC$141,5,FALSE))</f>
        <v/>
      </c>
      <c r="Q197" s="1540" t="str">
        <f>IF(P$189="",P$28,IF(AS196=0,HLOOKUP(CONCATENATE("I",Q$189),$AB$181:$AJ$184,$K$182,FALSE),IF(AS197=0,HLOOKUP(CONCATENATE("II",Q$189),$AB$181:$AJ$184,$K$182,FALSE),IF(AS198=0,HLOOKUP(CONCATENATE("III",Q$189),$AB$181:$AJ$184,$K$182,FALSE),P$28))))</f>
        <v>- - - - - - -</v>
      </c>
      <c r="R197" s="1541"/>
      <c r="S197" s="1541"/>
      <c r="T197" s="807">
        <f>IF(P$189="",P$24,IF(AS196=0,HLOOKUP(CONCATENATE("I",Q$189),$AB$181:$AH$188,8,FALSE),IF(AS197=0,HLOOKUP(CONCATENATE("II",Q$189),$AB$181:$AH$188,8,FALSE),IF(AS198=0,HLOOKUP(CONCATENATE("III",Q$189),$AB$181:$AH$188,8,FALSE),P$24))))</f>
        <v>0</v>
      </c>
      <c r="U197" s="165" t="str">
        <f>IF(OR(V197=0,V197="",V197="- - - - - - -"),"",VLOOKUP(V197,$Y$132:$AC$141,5,FALSE))</f>
        <v/>
      </c>
      <c r="V197" s="1540" t="str">
        <f>IF(U$189="",T$28,IF(AT196=0,HLOOKUP(CONCATENATE("I",V$189),$AB$181:$AJ$184,$K$182,FALSE),IF(AT197=0,HLOOKUP(CONCATENATE("II",V$189),$AB$181:$AJ$184,$K$182,FALSE),IF(AT198=0,HLOOKUP(CONCATENATE("III",V$189),$AB$181:$AJ$184,$K$182,FALSE),T$28))))</f>
        <v>- - - - - - -</v>
      </c>
      <c r="W197" s="1541"/>
      <c r="X197" s="1541"/>
      <c r="Y197" s="807">
        <f>IF(U$189="",T$24,IF(AT196=0,HLOOKUP(CONCATENATE("I",V$189),$AB$181:$AH$188,8,FALSE),IF(AT197=0,HLOOKUP(CONCATENATE("II",V$189),$AB$181:$AH$188,8,FALSE),IF(AT198=0,HLOOKUP(CONCATENATE("III",V$189),$AB$181:$AH$188,8,FALSE),T$24))))</f>
        <v>0</v>
      </c>
      <c r="Z197" s="165" t="str">
        <f>IF(OR(AA197=0,AA197="",AA197="- - - - - - -"),"",VLOOKUP(AA197,$Y$132:$AC$141,5,FALSE))</f>
        <v/>
      </c>
      <c r="AA197" s="1540" t="str">
        <f>IF(Z$189="",X$28,IF(AU196=0,HLOOKUP(CONCATENATE("I",AA$189),$AB$181:$AJ$184,$K$182,FALSE),IF(AU197=0,HLOOKUP(CONCATENATE("II",AA$189),$AB$181:$AJ$184,$K$182,FALSE),IF(AU198=0,HLOOKUP(CONCATENATE("III",AA$189),$AB$181:$AJ$184,$K$182,FALSE),X$28))))</f>
        <v>- - - - - - -</v>
      </c>
      <c r="AB197" s="1541"/>
      <c r="AC197" s="1541"/>
      <c r="AD197" s="807">
        <f>IF(Z$189="",X$24,IF(AU196=0,HLOOKUP(CONCATENATE("I",AA$189),$AB$181:$AH$188,8,FALSE),IF(AU197=0,HLOOKUP(CONCATENATE("II",AA$189),$AB$181:$AH$188,8,FALSE),IF(AU198=0,HLOOKUP(CONCATENATE("III",AA$189),$AB$181:$AH$188,8,FALSE),X$24))))</f>
        <v>0</v>
      </c>
      <c r="AE197" s="165" t="str">
        <f>IF(OR(AF197=0,AF197="",AF197="- - - - - - -"),"",VLOOKUP(AF197,$Y$132:$AC$141,5,FALSE))</f>
        <v/>
      </c>
      <c r="AF197" s="1540" t="str">
        <f>IF(AE$189="",AB$28,IF(AV196=0,HLOOKUP(CONCATENATE("I",AF$189),$AB$181:$AJ$184,$K$182,FALSE),IF(AV197=0,HLOOKUP(CONCATENATE("II",AF$189),$AB$181:$AJ$184,$K$182,FALSE),IF(AV198=0,HLOOKUP(CONCATENATE("III",AF$189),$AB$181:$AJ$184,$K$182,FALSE),AB$28))))</f>
        <v>- - - - - - -</v>
      </c>
      <c r="AG197" s="1541"/>
      <c r="AH197" s="1541"/>
      <c r="AI197" s="807">
        <f>IF(AE$189="",AB$24,IF(AV196=0,HLOOKUP(CONCATENATE("I",AF$189),$AB$181:$AH$188,8,FALSE),IF(AV197=0,HLOOKUP(CONCATENATE("II",AF$189),$AB$181:$AH$188,8,FALSE),IF(AV198=0,HLOOKUP(CONCATENATE("III",AF$189),$AB$181:$AH$188,8,FALSE),AB$24))))</f>
        <v>0</v>
      </c>
      <c r="AJ197" s="165" t="str">
        <f>IF(OR(AK197=0,AK197="",AK197="- - - - - - -"),"",VLOOKUP(AK197,$Y$132:$AC$141,5,FALSE))</f>
        <v/>
      </c>
      <c r="AK197" s="1540" t="str">
        <f>IF(AJ$189="",AF$28,IF(AW196=0,HLOOKUP(CONCATENATE("I",AK$189),$AB$181:$AJ$184,$K$182,FALSE),IF(AW197=0,HLOOKUP(CONCATENATE("II",AK$189),$AB$181:$AJ$184,$K$182,FALSE),IF(AW198=0,HLOOKUP(CONCATENATE("III",AK$189),$AB$181:$AJ$184,$K$182,FALSE),AF$28))))</f>
        <v>- - - - - - -</v>
      </c>
      <c r="AL197" s="1541"/>
      <c r="AM197" s="1541"/>
      <c r="AN197" s="807">
        <f>IF(AJ$189="",AF$24,IF(AW196=0,HLOOKUP(CONCATENATE("I",AK$189),$AB$181:$AH$188,8,FALSE),IF(AW197=0,HLOOKUP(CONCATENATE("II",AK$189),$AB$181:$AH$188,8,FALSE),IF(AW198=0,HLOOKUP(CONCATENATE("III",AK$189),$AB$181:$AH$188,8,FALSE),AF$24))))</f>
        <v>0</v>
      </c>
      <c r="AO197" s="1324"/>
      <c r="AP197" s="310" t="s">
        <v>216</v>
      </c>
      <c r="AQ197" s="1335" t="str">
        <f t="shared" si="41"/>
        <v>---</v>
      </c>
      <c r="AR197" s="1335" t="str">
        <f t="shared" si="42"/>
        <v>---</v>
      </c>
      <c r="AS197" s="1335" t="str">
        <f t="shared" si="43"/>
        <v>---</v>
      </c>
      <c r="AT197" s="1335" t="str">
        <f t="shared" si="44"/>
        <v>---</v>
      </c>
      <c r="AU197" s="1335" t="str">
        <f t="shared" si="45"/>
        <v>---</v>
      </c>
      <c r="AV197" s="1335" t="str">
        <f t="shared" si="46"/>
        <v>---</v>
      </c>
      <c r="AW197" s="1335" t="str">
        <f t="shared" si="47"/>
        <v>---</v>
      </c>
      <c r="AX197" s="33"/>
      <c r="AY197" s="1335" t="e">
        <f>HLOOKUP($E196,$O$180:$Z$183,VLOOKUP(CONCATENATE("II",G$189),$H$181:$K$183,4,FALSE),FALSE)</f>
        <v>#N/A</v>
      </c>
      <c r="AZ197" s="1335" t="e">
        <f>HLOOKUP($E196,$O$180:$Z$183,VLOOKUP(CONCATENATE("II",L$189),$H$181:$K$183,4,FALSE),FALSE)</f>
        <v>#N/A</v>
      </c>
      <c r="BA197" s="1335" t="e">
        <f>HLOOKUP($E196,$O$180:$Z$183,VLOOKUP(CONCATENATE("II",Q$189),$H$181:$K$183,4,FALSE),FALSE)</f>
        <v>#N/A</v>
      </c>
      <c r="BB197" s="1335" t="e">
        <f>HLOOKUP($E196,$O$180:$Z$183,VLOOKUP(CONCATENATE("II",V$189),$H$181:$K$183,4,FALSE),FALSE)</f>
        <v>#N/A</v>
      </c>
      <c r="BC197" s="1335" t="e">
        <f>HLOOKUP($E196,$O$180:$Z$183,VLOOKUP(CONCATENATE("II",AA$189),$H$181:$K$183,4,FALSE),FALSE)</f>
        <v>#N/A</v>
      </c>
      <c r="BD197" s="1335" t="e">
        <f>HLOOKUP($E196,$O$180:$Z$183,VLOOKUP(CONCATENATE("II",AF$189),$H$181:$K$183,4,FALSE),FALSE)</f>
        <v>#N/A</v>
      </c>
      <c r="BE197" s="1335" t="e">
        <f>HLOOKUP($E196,$O$180:$Z$183,VLOOKUP(CONCATENATE("II",AK$189),$H$181:$K$183,4,FALSE),FALSE)</f>
        <v>#N/A</v>
      </c>
      <c r="BF197" s="33"/>
      <c r="BG197" s="264"/>
      <c r="BH197" s="264"/>
      <c r="BI197" s="264"/>
      <c r="BJ197" s="264"/>
      <c r="BK197" s="264"/>
      <c r="BL197" s="264"/>
    </row>
    <row r="198" spans="1:64" ht="15" hidden="1" customHeight="1" x14ac:dyDescent="0.2">
      <c r="A198" s="1324"/>
      <c r="B198" s="1565" t="str">
        <f>B196</f>
        <v>Marzo</v>
      </c>
      <c r="C198" s="1566"/>
      <c r="D198" s="1567"/>
      <c r="E198" s="161">
        <f>E197</f>
        <v>3</v>
      </c>
      <c r="F198" s="806" t="str">
        <f>IF(OR(G198="",G198=0),"",VLOOKUP(G198,$AG$8:$AK$14,5,FALSE))</f>
        <v/>
      </c>
      <c r="G198" s="1578" t="str">
        <f>IF(F$189="",H$29,IF(AQ196=0,HLOOKUP(CONCATENATE("I",G$189),$AB$181:$AJ$184,$K$183,FALSE),IF(AQ197=0,HLOOKUP(CONCATENATE("II",G$189),$AB$181:$AJ$184,$K$183,FALSE),IF(AQ198=0,HLOOKUP(CONCATENATE("III",G$189),$AB$181:$AJ$184,$K$183,FALSE),H$29))))</f>
        <v/>
      </c>
      <c r="H198" s="1579"/>
      <c r="I198" s="1579"/>
      <c r="J198" s="1580"/>
      <c r="K198" s="806" t="str">
        <f>IF(OR(L198="",L198=0),"",VLOOKUP(L198,$AG$8:$AK$14,5,FALSE))</f>
        <v/>
      </c>
      <c r="L198" s="1578" t="str">
        <f>IF(K$189="",L$29,IF(AR196=0,HLOOKUP(CONCATENATE("I",L$189),$AB$181:$AJ$184,$K$183,FALSE),IF(AR197=0,HLOOKUP(CONCATENATE("II",L$189),$AB$181:$AJ$184,$K$183,FALSE),IF(AR198=0,HLOOKUP(CONCATENATE("III",L$189),$AB$181:$AJ$184,$K$183,FALSE),L$29))))</f>
        <v/>
      </c>
      <c r="M198" s="1579"/>
      <c r="N198" s="1579"/>
      <c r="O198" s="1580"/>
      <c r="P198" s="806" t="str">
        <f>IF(OR(Q198="",Q198=0),"",VLOOKUP(Q198,$AG$8:$AK$14,5,FALSE))</f>
        <v/>
      </c>
      <c r="Q198" s="1578" t="str">
        <f>IF(P$189="",P$29,IF(AS196=0,HLOOKUP(CONCATENATE("I",Q$189),$AB$181:$AJ$184,$K$183,FALSE),IF(AS197=0,HLOOKUP(CONCATENATE("II",Q$189),$AB$181:$AJ$184,$K$183,FALSE),IF(AS198=0,HLOOKUP(CONCATENATE("III",Q$189),$AB$181:$AJ$184,$K$183,FALSE),P$29))))</f>
        <v/>
      </c>
      <c r="R198" s="1579"/>
      <c r="S198" s="1579"/>
      <c r="T198" s="1580"/>
      <c r="U198" s="806" t="str">
        <f>IF(OR(V198="",V198=0),"",VLOOKUP(V198,$AG$8:$AK$14,5,FALSE))</f>
        <v/>
      </c>
      <c r="V198" s="1578" t="str">
        <f>IF(U$189="",T$29,IF(AT196=0,HLOOKUP(CONCATENATE("I",V$189),$AB$181:$AJ$184,$K$183,FALSE),IF(AT197=0,HLOOKUP(CONCATENATE("II",V$189),$AB$181:$AJ$184,$K$183,FALSE),IF(AT198=0,HLOOKUP(CONCATENATE("III",V$189),$AB$181:$AJ$184,$K$183,FALSE),T$29))))</f>
        <v/>
      </c>
      <c r="W198" s="1579"/>
      <c r="X198" s="1579"/>
      <c r="Y198" s="1580"/>
      <c r="Z198" s="806" t="str">
        <f>IF(OR(AA198="",AA198=0),"",VLOOKUP(AA198,$AG$8:$AK$14,5,FALSE))</f>
        <v/>
      </c>
      <c r="AA198" s="1578" t="str">
        <f>IF(Z$189="",X$29,IF(AU196=0,HLOOKUP(CONCATENATE("I",AA$189),$AB$181:$AJ$184,$K$183,FALSE),IF(AU197=0,HLOOKUP(CONCATENATE("II",AA$189),$AB$181:$AJ$184,$K$183,FALSE),IF(AU198=0,HLOOKUP(CONCATENATE("III",AA$189),$AB$181:$AJ$184,$K$183,FALSE),X$29))))</f>
        <v/>
      </c>
      <c r="AB198" s="1579"/>
      <c r="AC198" s="1579"/>
      <c r="AD198" s="1580"/>
      <c r="AE198" s="806" t="str">
        <f>IF(OR(AF198="",AF198=0),"",VLOOKUP(AF198,$AG$8:$AK$14,5,FALSE))</f>
        <v/>
      </c>
      <c r="AF198" s="1578" t="str">
        <f>IF(AE$189="",AB$29,IF(AV196=0,HLOOKUP(CONCATENATE("I",AF$189),$AB$181:$AJ$184,$K$183,FALSE),IF(AV197=0,HLOOKUP(CONCATENATE("II",AF$189),$AB$181:$AJ$184,$K$183,FALSE),IF(AV198=0,HLOOKUP(CONCATENATE("III",AF$189),$AB$181:$AJ$184,$K$183,FALSE),AB$29))))</f>
        <v/>
      </c>
      <c r="AG198" s="1579"/>
      <c r="AH198" s="1579"/>
      <c r="AI198" s="1580"/>
      <c r="AJ198" s="806" t="str">
        <f>IF(OR(AK198="",AK198=0),"",VLOOKUP(AK198,$AG$8:$AK$14,5,FALSE))</f>
        <v/>
      </c>
      <c r="AK198" s="1578" t="str">
        <f>IF(AJ$189="",AF$29,IF(AW196=0,HLOOKUP(CONCATENATE("I",AK$189),$AB$181:$AJ$184,$K$183,FALSE),IF(AW197=0,HLOOKUP(CONCATENATE("II",AK$189),$AB$181:$AJ$184,$K$183,FALSE),IF(AW198=0,HLOOKUP(CONCATENATE("III",AK$189),$AB$181:$AJ$184,$K$183,FALSE),AF$29))))</f>
        <v/>
      </c>
      <c r="AL198" s="1579"/>
      <c r="AM198" s="1579"/>
      <c r="AN198" s="1580"/>
      <c r="AO198" s="1324"/>
      <c r="AP198" s="577" t="s">
        <v>217</v>
      </c>
      <c r="AQ198" s="172" t="str">
        <f t="shared" si="41"/>
        <v>---</v>
      </c>
      <c r="AR198" s="172" t="str">
        <f t="shared" si="42"/>
        <v>---</v>
      </c>
      <c r="AS198" s="172" t="str">
        <f t="shared" si="43"/>
        <v>---</v>
      </c>
      <c r="AT198" s="172" t="str">
        <f t="shared" si="44"/>
        <v>---</v>
      </c>
      <c r="AU198" s="172" t="str">
        <f t="shared" si="45"/>
        <v>---</v>
      </c>
      <c r="AV198" s="172" t="str">
        <f t="shared" si="46"/>
        <v>---</v>
      </c>
      <c r="AW198" s="172" t="str">
        <f t="shared" si="47"/>
        <v>---</v>
      </c>
      <c r="AX198" s="33"/>
      <c r="AY198" s="172" t="e">
        <f>HLOOKUP($E196,$O$180:$Z$183,VLOOKUP(CONCATENATE("III",G$189),$H$181:$K$183,4,FALSE),FALSE)</f>
        <v>#N/A</v>
      </c>
      <c r="AZ198" s="172" t="e">
        <f>HLOOKUP($E196,$O$180:$Z$183,VLOOKUP(CONCATENATE("III",L$189),$H$181:$K$183,4,FALSE),FALSE)</f>
        <v>#N/A</v>
      </c>
      <c r="BA198" s="172" t="e">
        <f>HLOOKUP($E196,$O$180:$Z$183,VLOOKUP(CONCATENATE("III",Q$189),$H$181:$K$183,4,FALSE),FALSE)</f>
        <v>#N/A</v>
      </c>
      <c r="BB198" s="172" t="e">
        <f>HLOOKUP($E196,$O$180:$Z$183,VLOOKUP(CONCATENATE("III",V$189),$H$181:$K$183,4,FALSE),FALSE)</f>
        <v>#N/A</v>
      </c>
      <c r="BC198" s="172" t="e">
        <f>HLOOKUP($E196,$O$180:$Z$183,VLOOKUP(CONCATENATE("III",AA$189),$H$181:$K$183,4,FALSE),FALSE)</f>
        <v>#N/A</v>
      </c>
      <c r="BD198" s="172" t="e">
        <f>HLOOKUP($E196,$O$180:$Z$183,VLOOKUP(CONCATENATE("III",AF$189),$H$181:$K$183,4,FALSE),FALSE)</f>
        <v>#N/A</v>
      </c>
      <c r="BE198" s="172" t="e">
        <f>HLOOKUP($E196,$O$180:$Z$183,VLOOKUP(CONCATENATE("III",AK$189),$H$181:$K$183,4,FALSE),FALSE)</f>
        <v>#N/A</v>
      </c>
      <c r="BF198" s="33"/>
      <c r="BG198" s="264"/>
      <c r="BH198" s="264"/>
      <c r="BI198" s="264"/>
      <c r="BJ198" s="264"/>
      <c r="BK198" s="264"/>
      <c r="BL198" s="264"/>
    </row>
    <row r="199" spans="1:64" ht="15" hidden="1" customHeight="1" x14ac:dyDescent="0.2">
      <c r="A199" s="1324"/>
      <c r="B199" s="1599" t="str">
        <f>C157</f>
        <v>Aprile</v>
      </c>
      <c r="C199" s="1546"/>
      <c r="D199" s="1600"/>
      <c r="E199" s="159">
        <f>R180</f>
        <v>4</v>
      </c>
      <c r="F199" s="164" t="str">
        <f>IF(OR(G199="",G199=0),"",VLOOKUP(G199,$K$8:$O$17,5,FALSE))</f>
        <v/>
      </c>
      <c r="G199" s="1537" t="str">
        <f>IF(F$189="",H$27,IF(AQ199=0,HLOOKUP(CONCATENATE("I",G$189),$AB$181:$AJ$184,$K$181,FALSE),IF(AQ200=0,HLOOKUP(CONCATENATE("II",G$189),$AB$181:$AJ$184,$K$181,FALSE),IF(AQ201=0,HLOOKUP(CONCATENATE("III",G$189),$AB$181:$AJ$184,$K$181,FALSE),H$27))))</f>
        <v/>
      </c>
      <c r="H199" s="1538"/>
      <c r="I199" s="1538"/>
      <c r="J199" s="1539"/>
      <c r="K199" s="164" t="str">
        <f>IF(OR(L199="",L199=0),"",VLOOKUP(L199,$K$8:$O$17,5,FALSE))</f>
        <v/>
      </c>
      <c r="L199" s="1537" t="str">
        <f>IF(K$189="",L$27,IF(AR199=0,HLOOKUP(CONCATENATE("I",L$189),$AB$181:$AJ$184,$K$181,FALSE),IF(AR200=0,HLOOKUP(CONCATENATE("II",L$189),$AB$181:$AJ$184,$K$181,FALSE),IF(AR201=0,HLOOKUP(CONCATENATE("III",L$189),$AB$181:$AJ$184,$K$181,FALSE),L$27))))</f>
        <v/>
      </c>
      <c r="M199" s="1538"/>
      <c r="N199" s="1538"/>
      <c r="O199" s="1539"/>
      <c r="P199" s="164" t="str">
        <f>IF(OR(Q199="",Q199=0),"",VLOOKUP(Q199,$K$8:$O$17,5,FALSE))</f>
        <v/>
      </c>
      <c r="Q199" s="1537" t="str">
        <f>IF(P$189="",P$27,IF(AS199=0,HLOOKUP(CONCATENATE("I",Q$189),$AB$181:$AJ$184,$K$181,FALSE),IF(AS200=0,HLOOKUP(CONCATENATE("II",Q$189),$AB$181:$AJ$184,$K$181,FALSE),IF(AS201=0,HLOOKUP(CONCATENATE("III",Q$189),$AB$181:$AJ$184,$K$181,FALSE),P$27))))</f>
        <v/>
      </c>
      <c r="R199" s="1538"/>
      <c r="S199" s="1538"/>
      <c r="T199" s="1539"/>
      <c r="U199" s="164" t="str">
        <f>IF(OR(V199="",V199=0),"",VLOOKUP(V199,$K$8:$O$17,5,FALSE))</f>
        <v/>
      </c>
      <c r="V199" s="1537" t="str">
        <f>IF(U$189="",T$27,IF(AT199=0,HLOOKUP(CONCATENATE("I",V$189),$AB$181:$AJ$184,$K$181,FALSE),IF(AT200=0,HLOOKUP(CONCATENATE("II",V$189),$AB$181:$AJ$184,$K$181,FALSE),IF(AT201=0,HLOOKUP(CONCATENATE("III",V$189),$AB$181:$AJ$184,$K$181,FALSE),T$27))))</f>
        <v/>
      </c>
      <c r="W199" s="1538"/>
      <c r="X199" s="1538"/>
      <c r="Y199" s="1539"/>
      <c r="Z199" s="164" t="str">
        <f>IF(OR(AA199="",AA199=0),"",VLOOKUP(AA199,$K$8:$O$17,5,FALSE))</f>
        <v/>
      </c>
      <c r="AA199" s="1537" t="str">
        <f>IF(Z$189="",X$27,IF(AU199=0,HLOOKUP(CONCATENATE("I",AA$189),$AB$181:$AJ$184,$K$181,FALSE),IF(AU200=0,HLOOKUP(CONCATENATE("II",AA$189),$AB$181:$AJ$184,$K$181,FALSE),IF(AU201=0,HLOOKUP(CONCATENATE("III",AA$189),$AB$181:$AJ$184,$K$181,FALSE),X$27))))</f>
        <v/>
      </c>
      <c r="AB199" s="1538"/>
      <c r="AC199" s="1538"/>
      <c r="AD199" s="1539"/>
      <c r="AE199" s="164" t="str">
        <f>IF(OR(AF199="",AF199=0),"",VLOOKUP(AF199,$K$8:$O$17,5,FALSE))</f>
        <v/>
      </c>
      <c r="AF199" s="1537" t="str">
        <f>IF(AE$189="",AB$27,IF(AV199=0,HLOOKUP(CONCATENATE("I",AF$189),$AB$181:$AJ$184,$K$181,FALSE),IF(AV200=0,HLOOKUP(CONCATENATE("II",AF$189),$AB$181:$AJ$184,$K$181,FALSE),IF(AV201=0,HLOOKUP(CONCATENATE("III",AF$189),$AB$181:$AJ$184,$K$181,FALSE),AB$27))))</f>
        <v/>
      </c>
      <c r="AG199" s="1538"/>
      <c r="AH199" s="1538"/>
      <c r="AI199" s="1539"/>
      <c r="AJ199" s="164" t="str">
        <f>IF(OR(AK199="",AK199=0),"",VLOOKUP(AK199,$K$8:$O$17,5,FALSE))</f>
        <v/>
      </c>
      <c r="AK199" s="1537" t="str">
        <f>IF(AJ$189="",AF$27,IF(AW199=0,HLOOKUP(CONCATENATE("I",AK$189),$AB$181:$AJ$184,$K$181,FALSE),IF(AW200=0,HLOOKUP(CONCATENATE("II",AK$189),$AB$181:$AJ$184,$K$181,FALSE),IF(AW201=0,HLOOKUP(CONCATENATE("III",AK$189),$AB$181:$AJ$184,$K$181,FALSE),AF$27))))</f>
        <v/>
      </c>
      <c r="AL199" s="1538"/>
      <c r="AM199" s="1538"/>
      <c r="AN199" s="1539"/>
      <c r="AO199" s="1324"/>
      <c r="AP199" s="576" t="s">
        <v>242</v>
      </c>
      <c r="AQ199" s="173" t="str">
        <f t="shared" si="41"/>
        <v>---</v>
      </c>
      <c r="AR199" s="173" t="str">
        <f t="shared" si="42"/>
        <v>---</v>
      </c>
      <c r="AS199" s="173" t="str">
        <f t="shared" si="43"/>
        <v>---</v>
      </c>
      <c r="AT199" s="173" t="str">
        <f t="shared" si="44"/>
        <v>---</v>
      </c>
      <c r="AU199" s="173" t="str">
        <f t="shared" si="45"/>
        <v>---</v>
      </c>
      <c r="AV199" s="173" t="str">
        <f t="shared" si="46"/>
        <v>---</v>
      </c>
      <c r="AW199" s="173" t="str">
        <f t="shared" si="47"/>
        <v>---</v>
      </c>
      <c r="AX199" s="33"/>
      <c r="AY199" s="173" t="e">
        <f>HLOOKUP($E199,$O$180:$Z$183,VLOOKUP(CONCATENATE("I",G$189),$H$181:$K$183,4,FALSE),FALSE)</f>
        <v>#N/A</v>
      </c>
      <c r="AZ199" s="173" t="e">
        <f>HLOOKUP($E199,$O$180:$Z$183,VLOOKUP(CONCATENATE("I",L$189),$H$181:$K$183,4,FALSE),FALSE)</f>
        <v>#N/A</v>
      </c>
      <c r="BA199" s="173" t="e">
        <f>HLOOKUP($E199,$O$180:$Z$183,VLOOKUP(CONCATENATE("I",Q$189),$H$181:$K$183,4,FALSE),FALSE)</f>
        <v>#N/A</v>
      </c>
      <c r="BB199" s="173" t="e">
        <f>HLOOKUP($E199,$O$180:$Z$183,VLOOKUP(CONCATENATE("I",V$189),$H$181:$K$183,4,FALSE),FALSE)</f>
        <v>#N/A</v>
      </c>
      <c r="BC199" s="173" t="e">
        <f>HLOOKUP($E199,$O$180:$Z$183,VLOOKUP(CONCATENATE("I",AA$189),$H$181:$K$183,4,FALSE),FALSE)</f>
        <v>#N/A</v>
      </c>
      <c r="BD199" s="173" t="e">
        <f>HLOOKUP($E199,$O$180:$Z$183,VLOOKUP(CONCATENATE("I",AF$189),$H$181:$K$183,4,FALSE),FALSE)</f>
        <v>#N/A</v>
      </c>
      <c r="BE199" s="173" t="e">
        <f>HLOOKUP($E199,$O$180:$Z$183,VLOOKUP(CONCATENATE("I",AK$189),$H$181:$K$183,4,FALSE),FALSE)</f>
        <v>#N/A</v>
      </c>
      <c r="BF199" s="33"/>
      <c r="BG199" s="264"/>
      <c r="BH199" s="264"/>
      <c r="BI199" s="264"/>
      <c r="BJ199" s="264"/>
      <c r="BK199" s="264"/>
      <c r="BL199" s="264"/>
    </row>
    <row r="200" spans="1:64" ht="15" hidden="1" customHeight="1" x14ac:dyDescent="0.2">
      <c r="A200" s="1324"/>
      <c r="B200" s="1596" t="str">
        <f>B199</f>
        <v>Aprile</v>
      </c>
      <c r="C200" s="1597"/>
      <c r="D200" s="1598"/>
      <c r="E200" s="161">
        <f>E199</f>
        <v>4</v>
      </c>
      <c r="F200" s="165" t="str">
        <f>IF(OR(G200=0,G200="",G200="- - - - - - -"),"",VLOOKUP(G200,$Y$132:$AC$141,5,FALSE))</f>
        <v/>
      </c>
      <c r="G200" s="1540" t="str">
        <f>IF(F$189="",H$28,IF(AQ199=0,HLOOKUP(CONCATENATE("I",G$189),$AB$181:$AJ$184,$K$182,FALSE),IF(AQ200=0,HLOOKUP(CONCATENATE("II",G$189),$AB$181:$AJ$184,$K$182,FALSE),IF(AQ201=0,HLOOKUP(CONCATENATE("III",G$189),$AB$181:$AJ$184,$K$182,FALSE),H$28))))</f>
        <v>- - - - - - -</v>
      </c>
      <c r="H200" s="1541"/>
      <c r="I200" s="1541"/>
      <c r="J200" s="807">
        <f>IF(F$189="",H$24,IF(AQ199=0,HLOOKUP(CONCATENATE("I",G$189),$AB$181:$AH$188,8,FALSE),IF(AQ200=0,HLOOKUP(CONCATENATE("II",G$189),$AB$181:$AH$188,8,FALSE),IF(AQ201=0,HLOOKUP(CONCATENATE("III",G$189),$AB$181:$AH$188,8,FALSE),H$24))))</f>
        <v>0</v>
      </c>
      <c r="K200" s="165" t="str">
        <f>IF(OR(L200=0,L200="",L200="- - - - - - -"),"",VLOOKUP(L200,$Y$132:$AC$141,5,FALSE))</f>
        <v/>
      </c>
      <c r="L200" s="1540" t="str">
        <f>IF(K$189="",L$28,IF(AR199=0,HLOOKUP(CONCATENATE("I",L$189),$AB$181:$AJ$184,$K$182,FALSE),IF(AR200=0,HLOOKUP(CONCATENATE("II",L$189),$AB$181:$AJ$184,$K$182,FALSE),IF(AR201=0,HLOOKUP(CONCATENATE("III",L$189),$AB$181:$AJ$184,$K$182,FALSE),L$28))))</f>
        <v>- - - - - - -</v>
      </c>
      <c r="M200" s="1541"/>
      <c r="N200" s="1541"/>
      <c r="O200" s="807">
        <f>IF(K$189="",L$24,IF(AR199=0,HLOOKUP(CONCATENATE("I",L$189),$AB$181:$AH$188,8,FALSE),IF(AR200=0,HLOOKUP(CONCATENATE("II",L$189),$AB$181:$AH$188,8,FALSE),IF(AR201=0,HLOOKUP(CONCATENATE("III",L$189),$AB$181:$AH$188,8,FALSE),L$24))))</f>
        <v>0</v>
      </c>
      <c r="P200" s="165" t="str">
        <f>IF(OR(Q200=0,Q200="",Q200="- - - - - - -"),"",VLOOKUP(Q200,$Y$132:$AC$141,5,FALSE))</f>
        <v/>
      </c>
      <c r="Q200" s="1540" t="str">
        <f>IF(P$189="",P$28,IF(AS199=0,HLOOKUP(CONCATENATE("I",Q$189),$AB$181:$AJ$184,$K$182,FALSE),IF(AS200=0,HLOOKUP(CONCATENATE("II",Q$189),$AB$181:$AJ$184,$K$182,FALSE),IF(AS201=0,HLOOKUP(CONCATENATE("III",Q$189),$AB$181:$AJ$184,$K$182,FALSE),P$28))))</f>
        <v>- - - - - - -</v>
      </c>
      <c r="R200" s="1541"/>
      <c r="S200" s="1541"/>
      <c r="T200" s="807">
        <f>IF(P$189="",P$24,IF(AS199=0,HLOOKUP(CONCATENATE("I",Q$189),$AB$181:$AH$188,8,FALSE),IF(AS200=0,HLOOKUP(CONCATENATE("II",Q$189),$AB$181:$AH$188,8,FALSE),IF(AS201=0,HLOOKUP(CONCATENATE("III",Q$189),$AB$181:$AH$188,8,FALSE),P$24))))</f>
        <v>0</v>
      </c>
      <c r="U200" s="165" t="str">
        <f>IF(OR(V200=0,V200="",V200="- - - - - - -"),"",VLOOKUP(V200,$Y$132:$AC$141,5,FALSE))</f>
        <v/>
      </c>
      <c r="V200" s="1540" t="str">
        <f>IF(U$189="",T$28,IF(AT199=0,HLOOKUP(CONCATENATE("I",V$189),$AB$181:$AJ$184,$K$182,FALSE),IF(AT200=0,HLOOKUP(CONCATENATE("II",V$189),$AB$181:$AJ$184,$K$182,FALSE),IF(AT201=0,HLOOKUP(CONCATENATE("III",V$189),$AB$181:$AJ$184,$K$182,FALSE),T$28))))</f>
        <v>- - - - - - -</v>
      </c>
      <c r="W200" s="1541"/>
      <c r="X200" s="1541"/>
      <c r="Y200" s="807">
        <f>IF(U$189="",T$24,IF(AT199=0,HLOOKUP(CONCATENATE("I",V$189),$AB$181:$AH$188,8,FALSE),IF(AT200=0,HLOOKUP(CONCATENATE("II",V$189),$AB$181:$AH$188,8,FALSE),IF(AT201=0,HLOOKUP(CONCATENATE("III",V$189),$AB$181:$AH$188,8,FALSE),T$24))))</f>
        <v>0</v>
      </c>
      <c r="Z200" s="165" t="str">
        <f>IF(OR(AA200=0,AA200="",AA200="- - - - - - -"),"",VLOOKUP(AA200,$Y$132:$AC$141,5,FALSE))</f>
        <v/>
      </c>
      <c r="AA200" s="1540" t="str">
        <f>IF(Z$189="",X$28,IF(AU199=0,HLOOKUP(CONCATENATE("I",AA$189),$AB$181:$AJ$184,$K$182,FALSE),IF(AU200=0,HLOOKUP(CONCATENATE("II",AA$189),$AB$181:$AJ$184,$K$182,FALSE),IF(AU201=0,HLOOKUP(CONCATENATE("III",AA$189),$AB$181:$AJ$184,$K$182,FALSE),X$28))))</f>
        <v>- - - - - - -</v>
      </c>
      <c r="AB200" s="1541"/>
      <c r="AC200" s="1541"/>
      <c r="AD200" s="807">
        <f>IF(Z$189="",X$24,IF(AU199=0,HLOOKUP(CONCATENATE("I",AA$189),$AB$181:$AH$188,8,FALSE),IF(AU200=0,HLOOKUP(CONCATENATE("II",AA$189),$AB$181:$AH$188,8,FALSE),IF(AU201=0,HLOOKUP(CONCATENATE("III",AA$189),$AB$181:$AH$188,8,FALSE),X$24))))</f>
        <v>0</v>
      </c>
      <c r="AE200" s="165" t="str">
        <f>IF(OR(AF200=0,AF200="",AF200="- - - - - - -"),"",VLOOKUP(AF200,$Y$132:$AC$141,5,FALSE))</f>
        <v/>
      </c>
      <c r="AF200" s="1540" t="str">
        <f>IF(AE$189="",AB$28,IF(AV199=0,HLOOKUP(CONCATENATE("I",AF$189),$AB$181:$AJ$184,$K$182,FALSE),IF(AV200=0,HLOOKUP(CONCATENATE("II",AF$189),$AB$181:$AJ$184,$K$182,FALSE),IF(AV201=0,HLOOKUP(CONCATENATE("III",AF$189),$AB$181:$AJ$184,$K$182,FALSE),AB$28))))</f>
        <v>- - - - - - -</v>
      </c>
      <c r="AG200" s="1541"/>
      <c r="AH200" s="1541"/>
      <c r="AI200" s="807">
        <f>IF(AE$189="",AB$24,IF(AV199=0,HLOOKUP(CONCATENATE("I",AF$189),$AB$181:$AH$188,8,FALSE),IF(AV200=0,HLOOKUP(CONCATENATE("II",AF$189),$AB$181:$AH$188,8,FALSE),IF(AV201=0,HLOOKUP(CONCATENATE("III",AF$189),$AB$181:$AH$188,8,FALSE),AB$24))))</f>
        <v>0</v>
      </c>
      <c r="AJ200" s="165" t="str">
        <f>IF(OR(AK200=0,AK200="",AK200="- - - - - - -"),"",VLOOKUP(AK200,$Y$132:$AC$141,5,FALSE))</f>
        <v/>
      </c>
      <c r="AK200" s="1540" t="str">
        <f>IF(AJ$189="",AF$28,IF(AW199=0,HLOOKUP(CONCATENATE("I",AK$189),$AB$181:$AJ$184,$K$182,FALSE),IF(AW200=0,HLOOKUP(CONCATENATE("II",AK$189),$AB$181:$AJ$184,$K$182,FALSE),IF(AW201=0,HLOOKUP(CONCATENATE("III",AK$189),$AB$181:$AJ$184,$K$182,FALSE),AF$28))))</f>
        <v>- - - - - - -</v>
      </c>
      <c r="AL200" s="1541"/>
      <c r="AM200" s="1541"/>
      <c r="AN200" s="807">
        <f>IF(AJ$189="",AF$24,IF(AW199=0,HLOOKUP(CONCATENATE("I",AK$189),$AB$181:$AH$188,8,FALSE),IF(AW200=0,HLOOKUP(CONCATENATE("II",AK$189),$AB$181:$AH$188,8,FALSE),IF(AW201=0,HLOOKUP(CONCATENATE("III",AK$189),$AB$181:$AH$188,8,FALSE),AF$24))))</f>
        <v>0</v>
      </c>
      <c r="AO200" s="1324"/>
      <c r="AP200" s="310" t="s">
        <v>216</v>
      </c>
      <c r="AQ200" s="1335" t="str">
        <f t="shared" si="41"/>
        <v>---</v>
      </c>
      <c r="AR200" s="1335" t="str">
        <f t="shared" si="42"/>
        <v>---</v>
      </c>
      <c r="AS200" s="1335" t="str">
        <f t="shared" si="43"/>
        <v>---</v>
      </c>
      <c r="AT200" s="1335" t="str">
        <f t="shared" si="44"/>
        <v>---</v>
      </c>
      <c r="AU200" s="1335" t="str">
        <f t="shared" si="45"/>
        <v>---</v>
      </c>
      <c r="AV200" s="1335" t="str">
        <f t="shared" si="46"/>
        <v>---</v>
      </c>
      <c r="AW200" s="1335" t="str">
        <f t="shared" si="47"/>
        <v>---</v>
      </c>
      <c r="AX200" s="33"/>
      <c r="AY200" s="1335" t="e">
        <f>HLOOKUP($E199,$O$180:$Z$183,VLOOKUP(CONCATENATE("II",G$189),$H$181:$K$183,4,FALSE),FALSE)</f>
        <v>#N/A</v>
      </c>
      <c r="AZ200" s="1335" t="e">
        <f>HLOOKUP($E199,$O$180:$Z$183,VLOOKUP(CONCATENATE("II",L$189),$H$181:$K$183,4,FALSE),FALSE)</f>
        <v>#N/A</v>
      </c>
      <c r="BA200" s="1335" t="e">
        <f>HLOOKUP($E199,$O$180:$Z$183,VLOOKUP(CONCATENATE("II",Q$189),$H$181:$K$183,4,FALSE),FALSE)</f>
        <v>#N/A</v>
      </c>
      <c r="BB200" s="1335" t="e">
        <f>HLOOKUP($E199,$O$180:$Z$183,VLOOKUP(CONCATENATE("II",V$189),$H$181:$K$183,4,FALSE),FALSE)</f>
        <v>#N/A</v>
      </c>
      <c r="BC200" s="1335" t="e">
        <f>HLOOKUP($E199,$O$180:$Z$183,VLOOKUP(CONCATENATE("II",AA$189),$H$181:$K$183,4,FALSE),FALSE)</f>
        <v>#N/A</v>
      </c>
      <c r="BD200" s="1335" t="e">
        <f>HLOOKUP($E199,$O$180:$Z$183,VLOOKUP(CONCATENATE("II",AF$189),$H$181:$K$183,4,FALSE),FALSE)</f>
        <v>#N/A</v>
      </c>
      <c r="BE200" s="1335" t="e">
        <f>HLOOKUP($E199,$O$180:$Z$183,VLOOKUP(CONCATENATE("II",AK$189),$H$181:$K$183,4,FALSE),FALSE)</f>
        <v>#N/A</v>
      </c>
      <c r="BF200" s="33"/>
      <c r="BG200" s="264"/>
      <c r="BH200" s="264"/>
      <c r="BI200" s="264"/>
      <c r="BJ200" s="264"/>
      <c r="BK200" s="264"/>
      <c r="BL200" s="264"/>
    </row>
    <row r="201" spans="1:64" ht="15" hidden="1" customHeight="1" x14ac:dyDescent="0.2">
      <c r="A201" s="1324"/>
      <c r="B201" s="1565" t="str">
        <f>B199</f>
        <v>Aprile</v>
      </c>
      <c r="C201" s="1566"/>
      <c r="D201" s="1567"/>
      <c r="E201" s="161">
        <f>E200</f>
        <v>4</v>
      </c>
      <c r="F201" s="806" t="str">
        <f>IF(OR(G201="",G201=0),"",VLOOKUP(G201,$AG$8:$AK$14,5,FALSE))</f>
        <v/>
      </c>
      <c r="G201" s="1578" t="str">
        <f>IF(F$189="",H$29,IF(AQ199=0,HLOOKUP(CONCATENATE("I",G$189),$AB$181:$AJ$184,$K$183,FALSE),IF(AQ200=0,HLOOKUP(CONCATENATE("II",G$189),$AB$181:$AJ$184,$K$183,FALSE),IF(AQ201=0,HLOOKUP(CONCATENATE("III",G$189),$AB$181:$AJ$184,$K$183,FALSE),H$29))))</f>
        <v/>
      </c>
      <c r="H201" s="1579"/>
      <c r="I201" s="1579"/>
      <c r="J201" s="1580"/>
      <c r="K201" s="806" t="str">
        <f>IF(OR(L201="",L201=0),"",VLOOKUP(L201,$AG$8:$AK$14,5,FALSE))</f>
        <v/>
      </c>
      <c r="L201" s="1578" t="str">
        <f>IF(K$189="",L$29,IF(AR199=0,HLOOKUP(CONCATENATE("I",L$189),$AB$181:$AJ$184,$K$183,FALSE),IF(AR200=0,HLOOKUP(CONCATENATE("II",L$189),$AB$181:$AJ$184,$K$183,FALSE),IF(AR201=0,HLOOKUP(CONCATENATE("III",L$189),$AB$181:$AJ$184,$K$183,FALSE),L$29))))</f>
        <v/>
      </c>
      <c r="M201" s="1579"/>
      <c r="N201" s="1579"/>
      <c r="O201" s="1580"/>
      <c r="P201" s="806" t="str">
        <f>IF(OR(Q201="",Q201=0),"",VLOOKUP(Q201,$AG$8:$AK$14,5,FALSE))</f>
        <v/>
      </c>
      <c r="Q201" s="1578" t="str">
        <f>IF(P$189="",P$29,IF(AS199=0,HLOOKUP(CONCATENATE("I",Q$189),$AB$181:$AJ$184,$K$183,FALSE),IF(AS200=0,HLOOKUP(CONCATENATE("II",Q$189),$AB$181:$AJ$184,$K$183,FALSE),IF(AS201=0,HLOOKUP(CONCATENATE("III",Q$189),$AB$181:$AJ$184,$K$183,FALSE),P$29))))</f>
        <v/>
      </c>
      <c r="R201" s="1579"/>
      <c r="S201" s="1579"/>
      <c r="T201" s="1580"/>
      <c r="U201" s="806" t="str">
        <f>IF(OR(V201="",V201=0),"",VLOOKUP(V201,$AG$8:$AK$14,5,FALSE))</f>
        <v/>
      </c>
      <c r="V201" s="1578" t="str">
        <f>IF(U$189="",T$29,IF(AT199=0,HLOOKUP(CONCATENATE("I",V$189),$AB$181:$AJ$184,$K$183,FALSE),IF(AT200=0,HLOOKUP(CONCATENATE("II",V$189),$AB$181:$AJ$184,$K$183,FALSE),IF(AT201=0,HLOOKUP(CONCATENATE("III",V$189),$AB$181:$AJ$184,$K$183,FALSE),T$29))))</f>
        <v/>
      </c>
      <c r="W201" s="1579"/>
      <c r="X201" s="1579"/>
      <c r="Y201" s="1580"/>
      <c r="Z201" s="806" t="str">
        <f>IF(OR(AA201="",AA201=0),"",VLOOKUP(AA201,$AG$8:$AK$14,5,FALSE))</f>
        <v/>
      </c>
      <c r="AA201" s="1578" t="str">
        <f>IF(Z$189="",X$29,IF(AU199=0,HLOOKUP(CONCATENATE("I",AA$189),$AB$181:$AJ$184,$K$183,FALSE),IF(AU200=0,HLOOKUP(CONCATENATE("II",AA$189),$AB$181:$AJ$184,$K$183,FALSE),IF(AU201=0,HLOOKUP(CONCATENATE("III",AA$189),$AB$181:$AJ$184,$K$183,FALSE),X$29))))</f>
        <v/>
      </c>
      <c r="AB201" s="1579"/>
      <c r="AC201" s="1579"/>
      <c r="AD201" s="1580"/>
      <c r="AE201" s="806" t="str">
        <f>IF(OR(AF201="",AF201=0),"",VLOOKUP(AF201,$AG$8:$AK$14,5,FALSE))</f>
        <v/>
      </c>
      <c r="AF201" s="1578" t="str">
        <f>IF(AE$189="",AB$29,IF(AV199=0,HLOOKUP(CONCATENATE("I",AF$189),$AB$181:$AJ$184,$K$183,FALSE),IF(AV200=0,HLOOKUP(CONCATENATE("II",AF$189),$AB$181:$AJ$184,$K$183,FALSE),IF(AV201=0,HLOOKUP(CONCATENATE("III",AF$189),$AB$181:$AJ$184,$K$183,FALSE),AB$29))))</f>
        <v/>
      </c>
      <c r="AG201" s="1579"/>
      <c r="AH201" s="1579"/>
      <c r="AI201" s="1580"/>
      <c r="AJ201" s="806" t="str">
        <f>IF(OR(AK201="",AK201=0),"",VLOOKUP(AK201,$AG$8:$AK$14,5,FALSE))</f>
        <v/>
      </c>
      <c r="AK201" s="1578" t="str">
        <f>IF(AJ$189="",AF$29,IF(AW199=0,HLOOKUP(CONCATENATE("I",AK$189),$AB$181:$AJ$184,$K$183,FALSE),IF(AW200=0,HLOOKUP(CONCATENATE("II",AK$189),$AB$181:$AJ$184,$K$183,FALSE),IF(AW201=0,HLOOKUP(CONCATENATE("III",AK$189),$AB$181:$AJ$184,$K$183,FALSE),AF$29))))</f>
        <v/>
      </c>
      <c r="AL201" s="1579"/>
      <c r="AM201" s="1579"/>
      <c r="AN201" s="1580"/>
      <c r="AO201" s="1324"/>
      <c r="AP201" s="577" t="s">
        <v>217</v>
      </c>
      <c r="AQ201" s="172" t="str">
        <f t="shared" si="41"/>
        <v>---</v>
      </c>
      <c r="AR201" s="172" t="str">
        <f t="shared" si="42"/>
        <v>---</v>
      </c>
      <c r="AS201" s="172" t="str">
        <f t="shared" si="43"/>
        <v>---</v>
      </c>
      <c r="AT201" s="172" t="str">
        <f t="shared" si="44"/>
        <v>---</v>
      </c>
      <c r="AU201" s="172" t="str">
        <f t="shared" si="45"/>
        <v>---</v>
      </c>
      <c r="AV201" s="172" t="str">
        <f t="shared" si="46"/>
        <v>---</v>
      </c>
      <c r="AW201" s="172" t="str">
        <f t="shared" si="47"/>
        <v>---</v>
      </c>
      <c r="AX201" s="33"/>
      <c r="AY201" s="172" t="e">
        <f>HLOOKUP($E199,$O$180:$Z$183,VLOOKUP(CONCATENATE("III",G$189),$H$181:$K$183,4,FALSE),FALSE)</f>
        <v>#N/A</v>
      </c>
      <c r="AZ201" s="172" t="e">
        <f>HLOOKUP($E199,$O$180:$Z$183,VLOOKUP(CONCATENATE("III",L$189),$H$181:$K$183,4,FALSE),FALSE)</f>
        <v>#N/A</v>
      </c>
      <c r="BA201" s="172" t="e">
        <f>HLOOKUP($E199,$O$180:$Z$183,VLOOKUP(CONCATENATE("III",Q$189),$H$181:$K$183,4,FALSE),FALSE)</f>
        <v>#N/A</v>
      </c>
      <c r="BB201" s="172" t="e">
        <f>HLOOKUP($E199,$O$180:$Z$183,VLOOKUP(CONCATENATE("III",V$189),$H$181:$K$183,4,FALSE),FALSE)</f>
        <v>#N/A</v>
      </c>
      <c r="BC201" s="172" t="e">
        <f>HLOOKUP($E199,$O$180:$Z$183,VLOOKUP(CONCATENATE("III",AA$189),$H$181:$K$183,4,FALSE),FALSE)</f>
        <v>#N/A</v>
      </c>
      <c r="BD201" s="172" t="e">
        <f>HLOOKUP($E199,$O$180:$Z$183,VLOOKUP(CONCATENATE("III",AF$189),$H$181:$K$183,4,FALSE),FALSE)</f>
        <v>#N/A</v>
      </c>
      <c r="BE201" s="172" t="e">
        <f>HLOOKUP($E199,$O$180:$Z$183,VLOOKUP(CONCATENATE("III",AK$189),$H$181:$K$183,4,FALSE),FALSE)</f>
        <v>#N/A</v>
      </c>
      <c r="BF201" s="33"/>
      <c r="BG201" s="264"/>
      <c r="BH201" s="264"/>
      <c r="BI201" s="264"/>
      <c r="BJ201" s="264"/>
      <c r="BK201" s="264"/>
      <c r="BL201" s="264"/>
    </row>
    <row r="202" spans="1:64" ht="15" hidden="1" customHeight="1" x14ac:dyDescent="0.2">
      <c r="A202" s="1324"/>
      <c r="B202" s="1599" t="str">
        <f>C158</f>
        <v>Maggio</v>
      </c>
      <c r="C202" s="1546"/>
      <c r="D202" s="1600"/>
      <c r="E202" s="159">
        <f>S180</f>
        <v>5</v>
      </c>
      <c r="F202" s="164" t="str">
        <f>IF(OR(G202="",G202=0),"",VLOOKUP(G202,$K$8:$O$17,5,FALSE))</f>
        <v/>
      </c>
      <c r="G202" s="1537" t="str">
        <f>IF(F$189="",H$27,IF(AQ202=0,HLOOKUP(CONCATENATE("I",G$189),$AB$181:$AJ$184,$K$181,FALSE),IF(AQ203=0,HLOOKUP(CONCATENATE("II",G$189),$AB$181:$AJ$184,$K$181,FALSE),IF(AQ204=0,HLOOKUP(CONCATENATE("III",G$189),$AB$181:$AJ$184,$K$181,FALSE),H$27))))</f>
        <v/>
      </c>
      <c r="H202" s="1538"/>
      <c r="I202" s="1538"/>
      <c r="J202" s="1539"/>
      <c r="K202" s="164" t="str">
        <f>IF(OR(L202="",L202=0),"",VLOOKUP(L202,$K$8:$O$17,5,FALSE))</f>
        <v/>
      </c>
      <c r="L202" s="1537" t="str">
        <f>IF(K$189="",L$27,IF(AR202=0,HLOOKUP(CONCATENATE("I",L$189),$AB$181:$AJ$184,$K$181,FALSE),IF(AR203=0,HLOOKUP(CONCATENATE("II",L$189),$AB$181:$AJ$184,$K$181,FALSE),IF(AR204=0,HLOOKUP(CONCATENATE("III",L$189),$AB$181:$AJ$184,$K$181,FALSE),L$27))))</f>
        <v/>
      </c>
      <c r="M202" s="1538"/>
      <c r="N202" s="1538"/>
      <c r="O202" s="1539"/>
      <c r="P202" s="164" t="str">
        <f>IF(OR(Q202="",Q202=0),"",VLOOKUP(Q202,$K$8:$O$17,5,FALSE))</f>
        <v/>
      </c>
      <c r="Q202" s="1537" t="str">
        <f>IF(P$189="",P$27,IF(AS202=0,HLOOKUP(CONCATENATE("I",Q$189),$AB$181:$AJ$184,$K$181,FALSE),IF(AS203=0,HLOOKUP(CONCATENATE("II",Q$189),$AB$181:$AJ$184,$K$181,FALSE),IF(AS204=0,HLOOKUP(CONCATENATE("III",Q$189),$AB$181:$AJ$184,$K$181,FALSE),P$27))))</f>
        <v/>
      </c>
      <c r="R202" s="1538"/>
      <c r="S202" s="1538"/>
      <c r="T202" s="1539"/>
      <c r="U202" s="164" t="str">
        <f>IF(OR(V202="",V202=0),"",VLOOKUP(V202,$K$8:$O$17,5,FALSE))</f>
        <v/>
      </c>
      <c r="V202" s="1537" t="str">
        <f>IF(U$189="",T$27,IF(AT202=0,HLOOKUP(CONCATENATE("I",V$189),$AB$181:$AJ$184,$K$181,FALSE),IF(AT203=0,HLOOKUP(CONCATENATE("II",V$189),$AB$181:$AJ$184,$K$181,FALSE),IF(AT204=0,HLOOKUP(CONCATENATE("III",V$189),$AB$181:$AJ$184,$K$181,FALSE),T$27))))</f>
        <v/>
      </c>
      <c r="W202" s="1538"/>
      <c r="X202" s="1538"/>
      <c r="Y202" s="1539"/>
      <c r="Z202" s="164" t="str">
        <f>IF(OR(AA202="",AA202=0),"",VLOOKUP(AA202,$K$8:$O$17,5,FALSE))</f>
        <v/>
      </c>
      <c r="AA202" s="1537" t="str">
        <f>IF(Z$189="",X$27,IF(AU202=0,HLOOKUP(CONCATENATE("I",AA$189),$AB$181:$AJ$184,$K$181,FALSE),IF(AU203=0,HLOOKUP(CONCATENATE("II",AA$189),$AB$181:$AJ$184,$K$181,FALSE),IF(AU204=0,HLOOKUP(CONCATENATE("III",AA$189),$AB$181:$AJ$184,$K$181,FALSE),X$27))))</f>
        <v/>
      </c>
      <c r="AB202" s="1538"/>
      <c r="AC202" s="1538"/>
      <c r="AD202" s="1539"/>
      <c r="AE202" s="164" t="str">
        <f>IF(OR(AF202="",AF202=0),"",VLOOKUP(AF202,$K$8:$O$17,5,FALSE))</f>
        <v/>
      </c>
      <c r="AF202" s="1537" t="str">
        <f>IF(AE$189="",AB$27,IF(AV202=0,HLOOKUP(CONCATENATE("I",AF$189),$AB$181:$AJ$184,$K$181,FALSE),IF(AV203=0,HLOOKUP(CONCATENATE("II",AF$189),$AB$181:$AJ$184,$K$181,FALSE),IF(AV204=0,HLOOKUP(CONCATENATE("III",AF$189),$AB$181:$AJ$184,$K$181,FALSE),AB$27))))</f>
        <v/>
      </c>
      <c r="AG202" s="1538"/>
      <c r="AH202" s="1538"/>
      <c r="AI202" s="1539"/>
      <c r="AJ202" s="164" t="str">
        <f>IF(OR(AK202="",AK202=0),"",VLOOKUP(AK202,$K$8:$O$17,5,FALSE))</f>
        <v/>
      </c>
      <c r="AK202" s="1537" t="str">
        <f>IF(AJ$189="",AF$27,IF(AW202=0,HLOOKUP(CONCATENATE("I",AK$189),$AB$181:$AJ$184,$K$181,FALSE),IF(AW203=0,HLOOKUP(CONCATENATE("II",AK$189),$AB$181:$AJ$184,$K$181,FALSE),IF(AW204=0,HLOOKUP(CONCATENATE("III",AK$189),$AB$181:$AJ$184,$K$181,FALSE),AF$27))))</f>
        <v/>
      </c>
      <c r="AL202" s="1538"/>
      <c r="AM202" s="1538"/>
      <c r="AN202" s="1539"/>
      <c r="AO202" s="1324"/>
      <c r="AP202" s="576" t="s">
        <v>242</v>
      </c>
      <c r="AQ202" s="173" t="str">
        <f t="shared" si="41"/>
        <v>---</v>
      </c>
      <c r="AR202" s="173" t="str">
        <f t="shared" si="42"/>
        <v>---</v>
      </c>
      <c r="AS202" s="173" t="str">
        <f t="shared" si="43"/>
        <v>---</v>
      </c>
      <c r="AT202" s="173" t="str">
        <f t="shared" si="44"/>
        <v>---</v>
      </c>
      <c r="AU202" s="173" t="str">
        <f t="shared" si="45"/>
        <v>---</v>
      </c>
      <c r="AV202" s="173" t="str">
        <f t="shared" si="46"/>
        <v>---</v>
      </c>
      <c r="AW202" s="173" t="str">
        <f t="shared" si="47"/>
        <v>---</v>
      </c>
      <c r="AX202" s="33"/>
      <c r="AY202" s="173" t="e">
        <f>HLOOKUP($E202,$O$180:$Z$183,VLOOKUP(CONCATENATE("I",G$189),$H$181:$K$183,4,FALSE),FALSE)</f>
        <v>#N/A</v>
      </c>
      <c r="AZ202" s="173" t="e">
        <f>HLOOKUP($E202,$O$180:$Z$183,VLOOKUP(CONCATENATE("I",L$189),$H$181:$K$183,4,FALSE),FALSE)</f>
        <v>#N/A</v>
      </c>
      <c r="BA202" s="173" t="e">
        <f>HLOOKUP($E202,$O$180:$Z$183,VLOOKUP(CONCATENATE("I",Q$189),$H$181:$K$183,4,FALSE),FALSE)</f>
        <v>#N/A</v>
      </c>
      <c r="BB202" s="173" t="e">
        <f>HLOOKUP($E202,$O$180:$Z$183,VLOOKUP(CONCATENATE("I",V$189),$H$181:$K$183,4,FALSE),FALSE)</f>
        <v>#N/A</v>
      </c>
      <c r="BC202" s="173" t="e">
        <f>HLOOKUP($E202,$O$180:$Z$183,VLOOKUP(CONCATENATE("I",AA$189),$H$181:$K$183,4,FALSE),FALSE)</f>
        <v>#N/A</v>
      </c>
      <c r="BD202" s="173" t="e">
        <f>HLOOKUP($E202,$O$180:$Z$183,VLOOKUP(CONCATENATE("I",AF$189),$H$181:$K$183,4,FALSE),FALSE)</f>
        <v>#N/A</v>
      </c>
      <c r="BE202" s="173" t="e">
        <f>HLOOKUP($E202,$O$180:$Z$183,VLOOKUP(CONCATENATE("I",AK$189),$H$181:$K$183,4,FALSE),FALSE)</f>
        <v>#N/A</v>
      </c>
      <c r="BF202" s="33"/>
      <c r="BG202" s="264"/>
      <c r="BH202" s="264"/>
      <c r="BI202" s="264"/>
      <c r="BJ202" s="264"/>
      <c r="BK202" s="264"/>
      <c r="BL202" s="264"/>
    </row>
    <row r="203" spans="1:64" ht="15" hidden="1" customHeight="1" x14ac:dyDescent="0.2">
      <c r="A203" s="1324"/>
      <c r="B203" s="1596" t="str">
        <f>B202</f>
        <v>Maggio</v>
      </c>
      <c r="C203" s="1597"/>
      <c r="D203" s="1598"/>
      <c r="E203" s="161">
        <f>E202</f>
        <v>5</v>
      </c>
      <c r="F203" s="165" t="str">
        <f>IF(OR(G203=0,G203="",G203="- - - - - - -"),"",VLOOKUP(G203,$Y$132:$AC$141,5,FALSE))</f>
        <v/>
      </c>
      <c r="G203" s="1540" t="str">
        <f>IF(F$189="",H$28,IF(AQ202=0,HLOOKUP(CONCATENATE("I",G$189),$AB$181:$AJ$184,$K$182,FALSE),IF(AQ203=0,HLOOKUP(CONCATENATE("II",G$189),$AB$181:$AJ$184,$K$182,FALSE),IF(AQ204=0,HLOOKUP(CONCATENATE("III",G$189),$AB$181:$AJ$184,$K$182,FALSE),H$28))))</f>
        <v>- - - - - - -</v>
      </c>
      <c r="H203" s="1541"/>
      <c r="I203" s="1541"/>
      <c r="J203" s="807">
        <f>IF(F$189="",H$24,IF(AQ202=0,HLOOKUP(CONCATENATE("I",G$189),$AB$181:$AH$188,8,FALSE),IF(AQ203=0,HLOOKUP(CONCATENATE("II",G$189),$AB$181:$AH$188,8,FALSE),IF(AQ204=0,HLOOKUP(CONCATENATE("III",G$189),$AB$181:$AH$188,8,FALSE),H$24))))</f>
        <v>0</v>
      </c>
      <c r="K203" s="165" t="str">
        <f>IF(OR(L203=0,L203="",L203="- - - - - - -"),"",VLOOKUP(L203,$Y$132:$AC$141,5,FALSE))</f>
        <v/>
      </c>
      <c r="L203" s="1540" t="str">
        <f>IF(K$189="",L$28,IF(AR202=0,HLOOKUP(CONCATENATE("I",L$189),$AB$181:$AJ$184,$K$182,FALSE),IF(AR203=0,HLOOKUP(CONCATENATE("II",L$189),$AB$181:$AJ$184,$K$182,FALSE),IF(AR204=0,HLOOKUP(CONCATENATE("III",L$189),$AB$181:$AJ$184,$K$182,FALSE),L$28))))</f>
        <v>- - - - - - -</v>
      </c>
      <c r="M203" s="1541"/>
      <c r="N203" s="1541"/>
      <c r="O203" s="807">
        <f>IF(K$189="",L$24,IF(AR202=0,HLOOKUP(CONCATENATE("I",L$189),$AB$181:$AH$188,8,FALSE),IF(AR203=0,HLOOKUP(CONCATENATE("II",L$189),$AB$181:$AH$188,8,FALSE),IF(AR204=0,HLOOKUP(CONCATENATE("III",L$189),$AB$181:$AH$188,8,FALSE),L$24))))</f>
        <v>0</v>
      </c>
      <c r="P203" s="165" t="str">
        <f>IF(OR(Q203=0,Q203="",Q203="- - - - - - -"),"",VLOOKUP(Q203,$Y$132:$AC$141,5,FALSE))</f>
        <v/>
      </c>
      <c r="Q203" s="1540" t="str">
        <f>IF(P$189="",P$28,IF(AS202=0,HLOOKUP(CONCATENATE("I",Q$189),$AB$181:$AJ$184,$K$182,FALSE),IF(AS203=0,HLOOKUP(CONCATENATE("II",Q$189),$AB$181:$AJ$184,$K$182,FALSE),IF(AS204=0,HLOOKUP(CONCATENATE("III",Q$189),$AB$181:$AJ$184,$K$182,FALSE),P$28))))</f>
        <v>- - - - - - -</v>
      </c>
      <c r="R203" s="1541"/>
      <c r="S203" s="1541"/>
      <c r="T203" s="807">
        <f>IF(P$189="",P$24,IF(AS202=0,HLOOKUP(CONCATENATE("I",Q$189),$AB$181:$AH$188,8,FALSE),IF(AS203=0,HLOOKUP(CONCATENATE("II",Q$189),$AB$181:$AH$188,8,FALSE),IF(AS204=0,HLOOKUP(CONCATENATE("III",Q$189),$AB$181:$AH$188,8,FALSE),P$24))))</f>
        <v>0</v>
      </c>
      <c r="U203" s="165" t="str">
        <f>IF(OR(V203=0,V203="",V203="- - - - - - -"),"",VLOOKUP(V203,$Y$132:$AC$141,5,FALSE))</f>
        <v/>
      </c>
      <c r="V203" s="1540" t="str">
        <f>IF(U$189="",T$28,IF(AT202=0,HLOOKUP(CONCATENATE("I",V$189),$AB$181:$AJ$184,$K$182,FALSE),IF(AT203=0,HLOOKUP(CONCATENATE("II",V$189),$AB$181:$AJ$184,$K$182,FALSE),IF(AT204=0,HLOOKUP(CONCATENATE("III",V$189),$AB$181:$AJ$184,$K$182,FALSE),T$28))))</f>
        <v>- - - - - - -</v>
      </c>
      <c r="W203" s="1541"/>
      <c r="X203" s="1541"/>
      <c r="Y203" s="807">
        <f>IF(U$189="",T$24,IF(AT202=0,HLOOKUP(CONCATENATE("I",V$189),$AB$181:$AH$188,8,FALSE),IF(AT203=0,HLOOKUP(CONCATENATE("II",V$189),$AB$181:$AH$188,8,FALSE),IF(AT204=0,HLOOKUP(CONCATENATE("III",V$189),$AB$181:$AH$188,8,FALSE),T$24))))</f>
        <v>0</v>
      </c>
      <c r="Z203" s="165" t="str">
        <f>IF(OR(AA203=0,AA203="",AA203="- - - - - - -"),"",VLOOKUP(AA203,$Y$132:$AC$141,5,FALSE))</f>
        <v/>
      </c>
      <c r="AA203" s="1540" t="str">
        <f>IF(Z$189="",X$28,IF(AU202=0,HLOOKUP(CONCATENATE("I",AA$189),$AB$181:$AJ$184,$K$182,FALSE),IF(AU203=0,HLOOKUP(CONCATENATE("II",AA$189),$AB$181:$AJ$184,$K$182,FALSE),IF(AU204=0,HLOOKUP(CONCATENATE("III",AA$189),$AB$181:$AJ$184,$K$182,FALSE),X$28))))</f>
        <v>- - - - - - -</v>
      </c>
      <c r="AB203" s="1541"/>
      <c r="AC203" s="1541"/>
      <c r="AD203" s="807">
        <f>IF(Z$189="",X$24,IF(AU202=0,HLOOKUP(CONCATENATE("I",AA$189),$AB$181:$AH$188,8,FALSE),IF(AU203=0,HLOOKUP(CONCATENATE("II",AA$189),$AB$181:$AH$188,8,FALSE),IF(AU204=0,HLOOKUP(CONCATENATE("III",AA$189),$AB$181:$AH$188,8,FALSE),X$24))))</f>
        <v>0</v>
      </c>
      <c r="AE203" s="165" t="str">
        <f>IF(OR(AF203=0,AF203="",AF203="- - - - - - -"),"",VLOOKUP(AF203,$Y$132:$AC$141,5,FALSE))</f>
        <v/>
      </c>
      <c r="AF203" s="1540" t="str">
        <f>IF(AE$189="",AB$28,IF(AV202=0,HLOOKUP(CONCATENATE("I",AF$189),$AB$181:$AJ$184,$K$182,FALSE),IF(AV203=0,HLOOKUP(CONCATENATE("II",AF$189),$AB$181:$AJ$184,$K$182,FALSE),IF(AV204=0,HLOOKUP(CONCATENATE("III",AF$189),$AB$181:$AJ$184,$K$182,FALSE),AB$28))))</f>
        <v>- - - - - - -</v>
      </c>
      <c r="AG203" s="1541"/>
      <c r="AH203" s="1541"/>
      <c r="AI203" s="807">
        <f>IF(AE$189="",AB$24,IF(AV202=0,HLOOKUP(CONCATENATE("I",AF$189),$AB$181:$AH$188,8,FALSE),IF(AV203=0,HLOOKUP(CONCATENATE("II",AF$189),$AB$181:$AH$188,8,FALSE),IF(AV204=0,HLOOKUP(CONCATENATE("III",AF$189),$AB$181:$AH$188,8,FALSE),AB$24))))</f>
        <v>0</v>
      </c>
      <c r="AJ203" s="165" t="str">
        <f>IF(OR(AK203=0,AK203="",AK203="- - - - - - -"),"",VLOOKUP(AK203,$Y$132:$AC$141,5,FALSE))</f>
        <v/>
      </c>
      <c r="AK203" s="1540" t="str">
        <f>IF(AJ$189="",AF$28,IF(AW202=0,HLOOKUP(CONCATENATE("I",AK$189),$AB$181:$AJ$184,$K$182,FALSE),IF(AW203=0,HLOOKUP(CONCATENATE("II",AK$189),$AB$181:$AJ$184,$K$182,FALSE),IF(AW204=0,HLOOKUP(CONCATENATE("III",AK$189),$AB$181:$AJ$184,$K$182,FALSE),AF$28))))</f>
        <v>- - - - - - -</v>
      </c>
      <c r="AL203" s="1541"/>
      <c r="AM203" s="1541"/>
      <c r="AN203" s="807">
        <f>IF(AJ$189="",AF$24,IF(AW202=0,HLOOKUP(CONCATENATE("I",AK$189),$AB$181:$AH$188,8,FALSE),IF(AW203=0,HLOOKUP(CONCATENATE("II",AK$189),$AB$181:$AH$188,8,FALSE),IF(AW204=0,HLOOKUP(CONCATENATE("III",AK$189),$AB$181:$AH$188,8,FALSE),AF$24))))</f>
        <v>0</v>
      </c>
      <c r="AO203" s="1324"/>
      <c r="AP203" s="310" t="s">
        <v>216</v>
      </c>
      <c r="AQ203" s="1335" t="str">
        <f t="shared" si="41"/>
        <v>---</v>
      </c>
      <c r="AR203" s="1335" t="str">
        <f t="shared" si="42"/>
        <v>---</v>
      </c>
      <c r="AS203" s="1335" t="str">
        <f t="shared" si="43"/>
        <v>---</v>
      </c>
      <c r="AT203" s="1335" t="str">
        <f t="shared" si="44"/>
        <v>---</v>
      </c>
      <c r="AU203" s="1335" t="str">
        <f t="shared" si="45"/>
        <v>---</v>
      </c>
      <c r="AV203" s="1335" t="str">
        <f t="shared" si="46"/>
        <v>---</v>
      </c>
      <c r="AW203" s="1335" t="str">
        <f t="shared" si="47"/>
        <v>---</v>
      </c>
      <c r="AX203" s="33"/>
      <c r="AY203" s="1335" t="e">
        <f>HLOOKUP($E202,$O$180:$Z$183,VLOOKUP(CONCATENATE("II",G$189),$H$181:$K$183,4,FALSE),FALSE)</f>
        <v>#N/A</v>
      </c>
      <c r="AZ203" s="1335" t="e">
        <f>HLOOKUP($E202,$O$180:$Z$183,VLOOKUP(CONCATENATE("II",L$189),$H$181:$K$183,4,FALSE),FALSE)</f>
        <v>#N/A</v>
      </c>
      <c r="BA203" s="1335" t="e">
        <f>HLOOKUP($E202,$O$180:$Z$183,VLOOKUP(CONCATENATE("II",Q$189),$H$181:$K$183,4,FALSE),FALSE)</f>
        <v>#N/A</v>
      </c>
      <c r="BB203" s="1335" t="e">
        <f>HLOOKUP($E202,$O$180:$Z$183,VLOOKUP(CONCATENATE("II",V$189),$H$181:$K$183,4,FALSE),FALSE)</f>
        <v>#N/A</v>
      </c>
      <c r="BC203" s="1335" t="e">
        <f>HLOOKUP($E202,$O$180:$Z$183,VLOOKUP(CONCATENATE("II",AA$189),$H$181:$K$183,4,FALSE),FALSE)</f>
        <v>#N/A</v>
      </c>
      <c r="BD203" s="1335" t="e">
        <f>HLOOKUP($E202,$O$180:$Z$183,VLOOKUP(CONCATENATE("II",AF$189),$H$181:$K$183,4,FALSE),FALSE)</f>
        <v>#N/A</v>
      </c>
      <c r="BE203" s="1335" t="e">
        <f>HLOOKUP($E202,$O$180:$Z$183,VLOOKUP(CONCATENATE("II",AK$189),$H$181:$K$183,4,FALSE),FALSE)</f>
        <v>#N/A</v>
      </c>
      <c r="BF203" s="33"/>
      <c r="BG203" s="264"/>
      <c r="BH203" s="264"/>
      <c r="BI203" s="264"/>
      <c r="BJ203" s="264"/>
      <c r="BK203" s="264"/>
      <c r="BL203" s="264"/>
    </row>
    <row r="204" spans="1:64" ht="15" hidden="1" customHeight="1" x14ac:dyDescent="0.2">
      <c r="A204" s="1324"/>
      <c r="B204" s="1565" t="str">
        <f>B202</f>
        <v>Maggio</v>
      </c>
      <c r="C204" s="1566"/>
      <c r="D204" s="1567"/>
      <c r="E204" s="161">
        <f>E203</f>
        <v>5</v>
      </c>
      <c r="F204" s="806" t="str">
        <f>IF(OR(G204="",G204=0),"",VLOOKUP(G204,$AG$8:$AK$14,5,FALSE))</f>
        <v/>
      </c>
      <c r="G204" s="1578" t="str">
        <f>IF(F$189="",H$29,IF(AQ202=0,HLOOKUP(CONCATENATE("I",G$189),$AB$181:$AJ$184,$K$183,FALSE),IF(AQ203=0,HLOOKUP(CONCATENATE("II",G$189),$AB$181:$AJ$184,$K$183,FALSE),IF(AQ204=0,HLOOKUP(CONCATENATE("III",G$189),$AB$181:$AJ$184,$K$183,FALSE),H$29))))</f>
        <v/>
      </c>
      <c r="H204" s="1579"/>
      <c r="I204" s="1579"/>
      <c r="J204" s="1580"/>
      <c r="K204" s="806" t="str">
        <f>IF(OR(L204="",L204=0),"",VLOOKUP(L204,$AG$8:$AK$14,5,FALSE))</f>
        <v/>
      </c>
      <c r="L204" s="1578" t="str">
        <f>IF(K$189="",L$29,IF(AR202=0,HLOOKUP(CONCATENATE("I",L$189),$AB$181:$AJ$184,$K$183,FALSE),IF(AR203=0,HLOOKUP(CONCATENATE("II",L$189),$AB$181:$AJ$184,$K$183,FALSE),IF(AR204=0,HLOOKUP(CONCATENATE("III",L$189),$AB$181:$AJ$184,$K$183,FALSE),L$29))))</f>
        <v/>
      </c>
      <c r="M204" s="1579"/>
      <c r="N204" s="1579"/>
      <c r="O204" s="1580"/>
      <c r="P204" s="806" t="str">
        <f>IF(OR(Q204="",Q204=0),"",VLOOKUP(Q204,$AG$8:$AK$14,5,FALSE))</f>
        <v/>
      </c>
      <c r="Q204" s="1578" t="str">
        <f>IF(P$189="",P$29,IF(AS202=0,HLOOKUP(CONCATENATE("I",Q$189),$AB$181:$AJ$184,$K$183,FALSE),IF(AS203=0,HLOOKUP(CONCATENATE("II",Q$189),$AB$181:$AJ$184,$K$183,FALSE),IF(AS204=0,HLOOKUP(CONCATENATE("III",Q$189),$AB$181:$AJ$184,$K$183,FALSE),P$29))))</f>
        <v/>
      </c>
      <c r="R204" s="1579"/>
      <c r="S204" s="1579"/>
      <c r="T204" s="1580"/>
      <c r="U204" s="806" t="str">
        <f>IF(OR(V204="",V204=0),"",VLOOKUP(V204,$AG$8:$AK$14,5,FALSE))</f>
        <v/>
      </c>
      <c r="V204" s="1578" t="str">
        <f>IF(U$189="",T$29,IF(AT202=0,HLOOKUP(CONCATENATE("I",V$189),$AB$181:$AJ$184,$K$183,FALSE),IF(AT203=0,HLOOKUP(CONCATENATE("II",V$189),$AB$181:$AJ$184,$K$183,FALSE),IF(AT204=0,HLOOKUP(CONCATENATE("III",V$189),$AB$181:$AJ$184,$K$183,FALSE),T$29))))</f>
        <v/>
      </c>
      <c r="W204" s="1579"/>
      <c r="X204" s="1579"/>
      <c r="Y204" s="1580"/>
      <c r="Z204" s="806" t="str">
        <f>IF(OR(AA204="",AA204=0),"",VLOOKUP(AA204,$AG$8:$AK$14,5,FALSE))</f>
        <v/>
      </c>
      <c r="AA204" s="1578" t="str">
        <f>IF(Z$189="",X$29,IF(AU202=0,HLOOKUP(CONCATENATE("I",AA$189),$AB$181:$AJ$184,$K$183,FALSE),IF(AU203=0,HLOOKUP(CONCATENATE("II",AA$189),$AB$181:$AJ$184,$K$183,FALSE),IF(AU204=0,HLOOKUP(CONCATENATE("III",AA$189),$AB$181:$AJ$184,$K$183,FALSE),X$29))))</f>
        <v/>
      </c>
      <c r="AB204" s="1579"/>
      <c r="AC204" s="1579"/>
      <c r="AD204" s="1580"/>
      <c r="AE204" s="806" t="str">
        <f>IF(OR(AF204="",AF204=0),"",VLOOKUP(AF204,$AG$8:$AK$14,5,FALSE))</f>
        <v/>
      </c>
      <c r="AF204" s="1578" t="str">
        <f>IF(AE$189="",AB$29,IF(AV202=0,HLOOKUP(CONCATENATE("I",AF$189),$AB$181:$AJ$184,$K$183,FALSE),IF(AV203=0,HLOOKUP(CONCATENATE("II",AF$189),$AB$181:$AJ$184,$K$183,FALSE),IF(AV204=0,HLOOKUP(CONCATENATE("III",AF$189),$AB$181:$AJ$184,$K$183,FALSE),AB$29))))</f>
        <v/>
      </c>
      <c r="AG204" s="1579"/>
      <c r="AH204" s="1579"/>
      <c r="AI204" s="1580"/>
      <c r="AJ204" s="806" t="str">
        <f>IF(OR(AK204="",AK204=0),"",VLOOKUP(AK204,$AG$8:$AK$14,5,FALSE))</f>
        <v/>
      </c>
      <c r="AK204" s="1578" t="str">
        <f>IF(AJ$189="",AF$29,IF(AW202=0,HLOOKUP(CONCATENATE("I",AK$189),$AB$181:$AJ$184,$K$183,FALSE),IF(AW203=0,HLOOKUP(CONCATENATE("II",AK$189),$AB$181:$AJ$184,$K$183,FALSE),IF(AW204=0,HLOOKUP(CONCATENATE("III",AK$189),$AB$181:$AJ$184,$K$183,FALSE),AF$29))))</f>
        <v/>
      </c>
      <c r="AL204" s="1579"/>
      <c r="AM204" s="1579"/>
      <c r="AN204" s="1580"/>
      <c r="AO204" s="1324"/>
      <c r="AP204" s="577" t="s">
        <v>217</v>
      </c>
      <c r="AQ204" s="172" t="str">
        <f t="shared" si="41"/>
        <v>---</v>
      </c>
      <c r="AR204" s="172" t="str">
        <f t="shared" si="42"/>
        <v>---</v>
      </c>
      <c r="AS204" s="172" t="str">
        <f t="shared" si="43"/>
        <v>---</v>
      </c>
      <c r="AT204" s="172" t="str">
        <f t="shared" si="44"/>
        <v>---</v>
      </c>
      <c r="AU204" s="172" t="str">
        <f t="shared" si="45"/>
        <v>---</v>
      </c>
      <c r="AV204" s="172" t="str">
        <f t="shared" si="46"/>
        <v>---</v>
      </c>
      <c r="AW204" s="172" t="str">
        <f t="shared" si="47"/>
        <v>---</v>
      </c>
      <c r="AX204" s="33"/>
      <c r="AY204" s="172" t="e">
        <f>HLOOKUP($E202,$O$180:$Z$183,VLOOKUP(CONCATENATE("III",G$189),$H$181:$K$183,4,FALSE),FALSE)</f>
        <v>#N/A</v>
      </c>
      <c r="AZ204" s="172" t="e">
        <f>HLOOKUP($E202,$O$180:$Z$183,VLOOKUP(CONCATENATE("III",L$189),$H$181:$K$183,4,FALSE),FALSE)</f>
        <v>#N/A</v>
      </c>
      <c r="BA204" s="172" t="e">
        <f>HLOOKUP($E202,$O$180:$Z$183,VLOOKUP(CONCATENATE("III",Q$189),$H$181:$K$183,4,FALSE),FALSE)</f>
        <v>#N/A</v>
      </c>
      <c r="BB204" s="172" t="e">
        <f>HLOOKUP($E202,$O$180:$Z$183,VLOOKUP(CONCATENATE("III",V$189),$H$181:$K$183,4,FALSE),FALSE)</f>
        <v>#N/A</v>
      </c>
      <c r="BC204" s="172" t="e">
        <f>HLOOKUP($E202,$O$180:$Z$183,VLOOKUP(CONCATENATE("III",AA$189),$H$181:$K$183,4,FALSE),FALSE)</f>
        <v>#N/A</v>
      </c>
      <c r="BD204" s="172" t="e">
        <f>HLOOKUP($E202,$O$180:$Z$183,VLOOKUP(CONCATENATE("III",AF$189),$H$181:$K$183,4,FALSE),FALSE)</f>
        <v>#N/A</v>
      </c>
      <c r="BE204" s="172" t="e">
        <f>HLOOKUP($E202,$O$180:$Z$183,VLOOKUP(CONCATENATE("III",AK$189),$H$181:$K$183,4,FALSE),FALSE)</f>
        <v>#N/A</v>
      </c>
      <c r="BF204" s="33"/>
      <c r="BG204" s="264"/>
      <c r="BH204" s="264"/>
      <c r="BI204" s="264"/>
      <c r="BJ204" s="264"/>
      <c r="BK204" s="264"/>
      <c r="BL204" s="264"/>
    </row>
    <row r="205" spans="1:64" ht="15" hidden="1" customHeight="1" x14ac:dyDescent="0.2">
      <c r="A205" s="1324"/>
      <c r="B205" s="1599" t="str">
        <f>C159</f>
        <v>Giugno</v>
      </c>
      <c r="C205" s="1546"/>
      <c r="D205" s="1600"/>
      <c r="E205" s="159">
        <f>T180</f>
        <v>6</v>
      </c>
      <c r="F205" s="164" t="str">
        <f>IF(OR(G205="",G205=0),"",VLOOKUP(G205,$K$8:$O$17,5,FALSE))</f>
        <v/>
      </c>
      <c r="G205" s="1537" t="str">
        <f>IF(F$189="",H$27,IF(AQ205=0,HLOOKUP(CONCATENATE("I",G$189),$AB$181:$AJ$184,$K$181,FALSE),IF(AQ206=0,HLOOKUP(CONCATENATE("II",G$189),$AB$181:$AJ$184,$K$181,FALSE),IF(AQ207=0,HLOOKUP(CONCATENATE("III",G$189),$AB$181:$AJ$184,$K$181,FALSE),H$27))))</f>
        <v/>
      </c>
      <c r="H205" s="1538"/>
      <c r="I205" s="1538"/>
      <c r="J205" s="1539"/>
      <c r="K205" s="164" t="str">
        <f>IF(OR(L205="",L205=0),"",VLOOKUP(L205,$K$8:$O$17,5,FALSE))</f>
        <v/>
      </c>
      <c r="L205" s="1537" t="str">
        <f>IF(K$189="",L$27,IF(AR205=0,HLOOKUP(CONCATENATE("I",L$189),$AB$181:$AJ$184,$K$181,FALSE),IF(AR206=0,HLOOKUP(CONCATENATE("II",L$189),$AB$181:$AJ$184,$K$181,FALSE),IF(AR207=0,HLOOKUP(CONCATENATE("III",L$189),$AB$181:$AJ$184,$K$181,FALSE),L$27))))</f>
        <v/>
      </c>
      <c r="M205" s="1538"/>
      <c r="N205" s="1538"/>
      <c r="O205" s="1539"/>
      <c r="P205" s="164" t="str">
        <f>IF(OR(Q205="",Q205=0),"",VLOOKUP(Q205,$K$8:$O$17,5,FALSE))</f>
        <v/>
      </c>
      <c r="Q205" s="1537" t="str">
        <f>IF(P$189="",P$27,IF(AS205=0,HLOOKUP(CONCATENATE("I",Q$189),$AB$181:$AJ$184,$K$181,FALSE),IF(AS206=0,HLOOKUP(CONCATENATE("II",Q$189),$AB$181:$AJ$184,$K$181,FALSE),IF(AS207=0,HLOOKUP(CONCATENATE("III",Q$189),$AB$181:$AJ$184,$K$181,FALSE),P$27))))</f>
        <v/>
      </c>
      <c r="R205" s="1538"/>
      <c r="S205" s="1538"/>
      <c r="T205" s="1539"/>
      <c r="U205" s="164" t="str">
        <f>IF(OR(V205="",V205=0),"",VLOOKUP(V205,$K$8:$O$17,5,FALSE))</f>
        <v/>
      </c>
      <c r="V205" s="1537" t="str">
        <f>IF(U$189="",T$27,IF(AT205=0,HLOOKUP(CONCATENATE("I",V$189),$AB$181:$AJ$184,$K$181,FALSE),IF(AT206=0,HLOOKUP(CONCATENATE("II",V$189),$AB$181:$AJ$184,$K$181,FALSE),IF(AT207=0,HLOOKUP(CONCATENATE("III",V$189),$AB$181:$AJ$184,$K$181,FALSE),T$27))))</f>
        <v/>
      </c>
      <c r="W205" s="1538"/>
      <c r="X205" s="1538"/>
      <c r="Y205" s="1539"/>
      <c r="Z205" s="164" t="str">
        <f>IF(OR(AA205="",AA205=0),"",VLOOKUP(AA205,$K$8:$O$17,5,FALSE))</f>
        <v/>
      </c>
      <c r="AA205" s="1537" t="str">
        <f>IF(Z$189="",X$27,IF(AU205=0,HLOOKUP(CONCATENATE("I",AA$189),$AB$181:$AJ$184,$K$181,FALSE),IF(AU206=0,HLOOKUP(CONCATENATE("II",AA$189),$AB$181:$AJ$184,$K$181,FALSE),IF(AU207=0,HLOOKUP(CONCATENATE("III",AA$189),$AB$181:$AJ$184,$K$181,FALSE),X$27))))</f>
        <v/>
      </c>
      <c r="AB205" s="1538"/>
      <c r="AC205" s="1538"/>
      <c r="AD205" s="1539"/>
      <c r="AE205" s="164" t="str">
        <f>IF(OR(AF205="",AF205=0),"",VLOOKUP(AF205,$K$8:$O$17,5,FALSE))</f>
        <v/>
      </c>
      <c r="AF205" s="1537" t="str">
        <f>IF(AE$189="",AB$27,IF(AV205=0,HLOOKUP(CONCATENATE("I",AF$189),$AB$181:$AJ$184,$K$181,FALSE),IF(AV206=0,HLOOKUP(CONCATENATE("II",AF$189),$AB$181:$AJ$184,$K$181,FALSE),IF(AV207=0,HLOOKUP(CONCATENATE("III",AF$189),$AB$181:$AJ$184,$K$181,FALSE),AB$27))))</f>
        <v/>
      </c>
      <c r="AG205" s="1538"/>
      <c r="AH205" s="1538"/>
      <c r="AI205" s="1539"/>
      <c r="AJ205" s="164" t="str">
        <f>IF(OR(AK205="",AK205=0),"",VLOOKUP(AK205,$K$8:$O$17,5,FALSE))</f>
        <v/>
      </c>
      <c r="AK205" s="1537" t="str">
        <f>IF(AJ$189="",AF$27,IF(AW205=0,HLOOKUP(CONCATENATE("I",AK$189),$AB$181:$AJ$184,$K$181,FALSE),IF(AW206=0,HLOOKUP(CONCATENATE("II",AK$189),$AB$181:$AJ$184,$K$181,FALSE),IF(AW207=0,HLOOKUP(CONCATENATE("III",AK$189),$AB$181:$AJ$184,$K$181,FALSE),AF$27))))</f>
        <v/>
      </c>
      <c r="AL205" s="1538"/>
      <c r="AM205" s="1538"/>
      <c r="AN205" s="1539"/>
      <c r="AO205" s="1324"/>
      <c r="AP205" s="576" t="s">
        <v>242</v>
      </c>
      <c r="AQ205" s="173" t="str">
        <f t="shared" si="41"/>
        <v>---</v>
      </c>
      <c r="AR205" s="173" t="str">
        <f t="shared" si="42"/>
        <v>---</v>
      </c>
      <c r="AS205" s="173" t="str">
        <f t="shared" si="43"/>
        <v>---</v>
      </c>
      <c r="AT205" s="173" t="str">
        <f t="shared" si="44"/>
        <v>---</v>
      </c>
      <c r="AU205" s="173" t="str">
        <f t="shared" si="45"/>
        <v>---</v>
      </c>
      <c r="AV205" s="173" t="str">
        <f t="shared" si="46"/>
        <v>---</v>
      </c>
      <c r="AW205" s="173" t="str">
        <f t="shared" si="47"/>
        <v>---</v>
      </c>
      <c r="AX205" s="33"/>
      <c r="AY205" s="173" t="e">
        <f>HLOOKUP($E205,$O$180:$Z$183,VLOOKUP(CONCATENATE("I",G$189),$H$181:$K$183,4,FALSE),FALSE)</f>
        <v>#N/A</v>
      </c>
      <c r="AZ205" s="173" t="e">
        <f>HLOOKUP($E205,$O$180:$Z$183,VLOOKUP(CONCATENATE("I",L$189),$H$181:$K$183,4,FALSE),FALSE)</f>
        <v>#N/A</v>
      </c>
      <c r="BA205" s="173" t="e">
        <f>HLOOKUP($E205,$O$180:$Z$183,VLOOKUP(CONCATENATE("I",Q$189),$H$181:$K$183,4,FALSE),FALSE)</f>
        <v>#N/A</v>
      </c>
      <c r="BB205" s="173" t="e">
        <f>HLOOKUP($E205,$O$180:$Z$183,VLOOKUP(CONCATENATE("I",V$189),$H$181:$K$183,4,FALSE),FALSE)</f>
        <v>#N/A</v>
      </c>
      <c r="BC205" s="173" t="e">
        <f>HLOOKUP($E205,$O$180:$Z$183,VLOOKUP(CONCATENATE("I",AA$189),$H$181:$K$183,4,FALSE),FALSE)</f>
        <v>#N/A</v>
      </c>
      <c r="BD205" s="173" t="e">
        <f>HLOOKUP($E205,$O$180:$Z$183,VLOOKUP(CONCATENATE("I",AF$189),$H$181:$K$183,4,FALSE),FALSE)</f>
        <v>#N/A</v>
      </c>
      <c r="BE205" s="173" t="e">
        <f>HLOOKUP($E205,$O$180:$Z$183,VLOOKUP(CONCATENATE("I",AK$189),$H$181:$K$183,4,FALSE),FALSE)</f>
        <v>#N/A</v>
      </c>
      <c r="BF205" s="33"/>
      <c r="BG205" s="264"/>
      <c r="BH205" s="264"/>
      <c r="BI205" s="264"/>
      <c r="BJ205" s="264"/>
      <c r="BK205" s="264"/>
      <c r="BL205" s="264"/>
    </row>
    <row r="206" spans="1:64" ht="15" hidden="1" customHeight="1" x14ac:dyDescent="0.2">
      <c r="A206" s="1324"/>
      <c r="B206" s="1596" t="str">
        <f>B205</f>
        <v>Giugno</v>
      </c>
      <c r="C206" s="1597"/>
      <c r="D206" s="1598"/>
      <c r="E206" s="161">
        <f>E205</f>
        <v>6</v>
      </c>
      <c r="F206" s="165" t="str">
        <f>IF(OR(G206=0,G206="",G206="- - - - - - -"),"",VLOOKUP(G206,$Y$132:$AC$141,5,FALSE))</f>
        <v/>
      </c>
      <c r="G206" s="1540" t="str">
        <f>IF(F$189="",H$28,IF(AQ205=0,HLOOKUP(CONCATENATE("I",G$189),$AB$181:$AJ$184,$K$182,FALSE),IF(AQ206=0,HLOOKUP(CONCATENATE("II",G$189),$AB$181:$AJ$184,$K$182,FALSE),IF(AQ207=0,HLOOKUP(CONCATENATE("III",G$189),$AB$181:$AJ$184,$K$182,FALSE),H$28))))</f>
        <v>- - - - - - -</v>
      </c>
      <c r="H206" s="1541"/>
      <c r="I206" s="1541"/>
      <c r="J206" s="807">
        <f>IF(F$189="",H$24,IF(AQ205=0,HLOOKUP(CONCATENATE("I",G$189),$AB$181:$AH$188,8,FALSE),IF(AQ206=0,HLOOKUP(CONCATENATE("II",G$189),$AB$181:$AH$188,8,FALSE),IF(AQ207=0,HLOOKUP(CONCATENATE("III",G$189),$AB$181:$AH$188,8,FALSE),H$24))))</f>
        <v>0</v>
      </c>
      <c r="K206" s="165" t="str">
        <f>IF(OR(L206=0,L206="",L206="- - - - - - -"),"",VLOOKUP(L206,$Y$132:$AC$141,5,FALSE))</f>
        <v/>
      </c>
      <c r="L206" s="1540" t="str">
        <f>IF(K$189="",L$28,IF(AR205=0,HLOOKUP(CONCATENATE("I",L$189),$AB$181:$AJ$184,$K$182,FALSE),IF(AR206=0,HLOOKUP(CONCATENATE("II",L$189),$AB$181:$AJ$184,$K$182,FALSE),IF(AR207=0,HLOOKUP(CONCATENATE("III",L$189),$AB$181:$AJ$184,$K$182,FALSE),L$28))))</f>
        <v>- - - - - - -</v>
      </c>
      <c r="M206" s="1541"/>
      <c r="N206" s="1541"/>
      <c r="O206" s="807">
        <f>IF(K$189="",L$24,IF(AR205=0,HLOOKUP(CONCATENATE("I",L$189),$AB$181:$AH$188,8,FALSE),IF(AR206=0,HLOOKUP(CONCATENATE("II",L$189),$AB$181:$AH$188,8,FALSE),IF(AR207=0,HLOOKUP(CONCATENATE("III",L$189),$AB$181:$AH$188,8,FALSE),L$24))))</f>
        <v>0</v>
      </c>
      <c r="P206" s="165" t="str">
        <f>IF(OR(Q206=0,Q206="",Q206="- - - - - - -"),"",VLOOKUP(Q206,$Y$132:$AC$141,5,FALSE))</f>
        <v/>
      </c>
      <c r="Q206" s="1540" t="str">
        <f>IF(P$189="",P$28,IF(AS205=0,HLOOKUP(CONCATENATE("I",Q$189),$AB$181:$AJ$184,$K$182,FALSE),IF(AS206=0,HLOOKUP(CONCATENATE("II",Q$189),$AB$181:$AJ$184,$K$182,FALSE),IF(AS207=0,HLOOKUP(CONCATENATE("III",Q$189),$AB$181:$AJ$184,$K$182,FALSE),P$28))))</f>
        <v>- - - - - - -</v>
      </c>
      <c r="R206" s="1541"/>
      <c r="S206" s="1541"/>
      <c r="T206" s="807">
        <f>IF(P$189="",P$24,IF(AS205=0,HLOOKUP(CONCATENATE("I",Q$189),$AB$181:$AH$188,8,FALSE),IF(AS206=0,HLOOKUP(CONCATENATE("II",Q$189),$AB$181:$AH$188,8,FALSE),IF(AS207=0,HLOOKUP(CONCATENATE("III",Q$189),$AB$181:$AH$188,8,FALSE),P$24))))</f>
        <v>0</v>
      </c>
      <c r="U206" s="165" t="str">
        <f>IF(OR(V206=0,V206="",V206="- - - - - - -"),"",VLOOKUP(V206,$Y$132:$AC$141,5,FALSE))</f>
        <v/>
      </c>
      <c r="V206" s="1540" t="str">
        <f>IF(U$189="",T$28,IF(AT205=0,HLOOKUP(CONCATENATE("I",V$189),$AB$181:$AJ$184,$K$182,FALSE),IF(AT206=0,HLOOKUP(CONCATENATE("II",V$189),$AB$181:$AJ$184,$K$182,FALSE),IF(AT207=0,HLOOKUP(CONCATENATE("III",V$189),$AB$181:$AJ$184,$K$182,FALSE),T$28))))</f>
        <v>- - - - - - -</v>
      </c>
      <c r="W206" s="1541"/>
      <c r="X206" s="1541"/>
      <c r="Y206" s="807">
        <f>IF(U$189="",T$24,IF(AT205=0,HLOOKUP(CONCATENATE("I",V$189),$AB$181:$AH$188,8,FALSE),IF(AT206=0,HLOOKUP(CONCATENATE("II",V$189),$AB$181:$AH$188,8,FALSE),IF(AT207=0,HLOOKUP(CONCATENATE("III",V$189),$AB$181:$AH$188,8,FALSE),T$24))))</f>
        <v>0</v>
      </c>
      <c r="Z206" s="165" t="str">
        <f>IF(OR(AA206=0,AA206="",AA206="- - - - - - -"),"",VLOOKUP(AA206,$Y$132:$AC$141,5,FALSE))</f>
        <v/>
      </c>
      <c r="AA206" s="1540" t="str">
        <f>IF(Z$189="",X$28,IF(AU205=0,HLOOKUP(CONCATENATE("I",AA$189),$AB$181:$AJ$184,$K$182,FALSE),IF(AU206=0,HLOOKUP(CONCATENATE("II",AA$189),$AB$181:$AJ$184,$K$182,FALSE),IF(AU207=0,HLOOKUP(CONCATENATE("III",AA$189),$AB$181:$AJ$184,$K$182,FALSE),X$28))))</f>
        <v>- - - - - - -</v>
      </c>
      <c r="AB206" s="1541"/>
      <c r="AC206" s="1541"/>
      <c r="AD206" s="807">
        <f>IF(Z$189="",X$24,IF(AU205=0,HLOOKUP(CONCATENATE("I",AA$189),$AB$181:$AH$188,8,FALSE),IF(AU206=0,HLOOKUP(CONCATENATE("II",AA$189),$AB$181:$AH$188,8,FALSE),IF(AU207=0,HLOOKUP(CONCATENATE("III",AA$189),$AB$181:$AH$188,8,FALSE),X$24))))</f>
        <v>0</v>
      </c>
      <c r="AE206" s="165" t="str">
        <f>IF(OR(AF206=0,AF206="",AF206="- - - - - - -"),"",VLOOKUP(AF206,$Y$132:$AC$141,5,FALSE))</f>
        <v/>
      </c>
      <c r="AF206" s="1540" t="str">
        <f>IF(AE$189="",AB$28,IF(AV205=0,HLOOKUP(CONCATENATE("I",AF$189),$AB$181:$AJ$184,$K$182,FALSE),IF(AV206=0,HLOOKUP(CONCATENATE("II",AF$189),$AB$181:$AJ$184,$K$182,FALSE),IF(AV207=0,HLOOKUP(CONCATENATE("III",AF$189),$AB$181:$AJ$184,$K$182,FALSE),AB$28))))</f>
        <v>- - - - - - -</v>
      </c>
      <c r="AG206" s="1541"/>
      <c r="AH206" s="1541"/>
      <c r="AI206" s="807">
        <f>IF(AE$189="",AB$24,IF(AV205=0,HLOOKUP(CONCATENATE("I",AF$189),$AB$181:$AH$188,8,FALSE),IF(AV206=0,HLOOKUP(CONCATENATE("II",AF$189),$AB$181:$AH$188,8,FALSE),IF(AV207=0,HLOOKUP(CONCATENATE("III",AF$189),$AB$181:$AH$188,8,FALSE),AB$24))))</f>
        <v>0</v>
      </c>
      <c r="AJ206" s="165" t="str">
        <f>IF(OR(AK206=0,AK206="",AK206="- - - - - - -"),"",VLOOKUP(AK206,$Y$132:$AC$141,5,FALSE))</f>
        <v/>
      </c>
      <c r="AK206" s="1540" t="str">
        <f>IF(AJ$189="",AF$28,IF(AW205=0,HLOOKUP(CONCATENATE("I",AK$189),$AB$181:$AJ$184,$K$182,FALSE),IF(AW206=0,HLOOKUP(CONCATENATE("II",AK$189),$AB$181:$AJ$184,$K$182,FALSE),IF(AW207=0,HLOOKUP(CONCATENATE("III",AK$189),$AB$181:$AJ$184,$K$182,FALSE),AF$28))))</f>
        <v>- - - - - - -</v>
      </c>
      <c r="AL206" s="1541"/>
      <c r="AM206" s="1541"/>
      <c r="AN206" s="807">
        <f>IF(AJ$189="",AF$24,IF(AW205=0,HLOOKUP(CONCATENATE("I",AK$189),$AB$181:$AH$188,8,FALSE),IF(AW206=0,HLOOKUP(CONCATENATE("II",AK$189),$AB$181:$AH$188,8,FALSE),IF(AW207=0,HLOOKUP(CONCATENATE("III",AK$189),$AB$181:$AH$188,8,FALSE),AF$24))))</f>
        <v>0</v>
      </c>
      <c r="AO206" s="1324"/>
      <c r="AP206" s="310" t="s">
        <v>216</v>
      </c>
      <c r="AQ206" s="1335" t="str">
        <f>IF(ISERROR(AY206),"---",AY206)</f>
        <v>---</v>
      </c>
      <c r="AR206" s="1335" t="str">
        <f t="shared" ref="AR206:AR225" si="48">IF(ISERROR(AZ206),"---",AZ206)</f>
        <v>---</v>
      </c>
      <c r="AS206" s="1335" t="str">
        <f t="shared" ref="AS206:AS225" si="49">IF(ISERROR(BA206),"---",BA206)</f>
        <v>---</v>
      </c>
      <c r="AT206" s="1335" t="str">
        <f t="shared" ref="AT206:AT225" si="50">IF(ISERROR(BB206),"---",BB206)</f>
        <v>---</v>
      </c>
      <c r="AU206" s="1335" t="str">
        <f t="shared" ref="AU206:AU225" si="51">IF(ISERROR(BC206),"---",BC206)</f>
        <v>---</v>
      </c>
      <c r="AV206" s="1335" t="str">
        <f t="shared" ref="AV206:AV225" si="52">IF(ISERROR(BD206),"---",BD206)</f>
        <v>---</v>
      </c>
      <c r="AW206" s="1335" t="str">
        <f t="shared" si="47"/>
        <v>---</v>
      </c>
      <c r="AX206" s="33"/>
      <c r="AY206" s="1335" t="e">
        <f>HLOOKUP($E205,$O$180:$Z$183,VLOOKUP(CONCATENATE("II",G$189),$H$181:$K$183,4,FALSE),FALSE)</f>
        <v>#N/A</v>
      </c>
      <c r="AZ206" s="1335" t="e">
        <f>HLOOKUP($E205,$O$180:$Z$183,VLOOKUP(CONCATENATE("II",L$189),$H$181:$K$183,4,FALSE),FALSE)</f>
        <v>#N/A</v>
      </c>
      <c r="BA206" s="1335" t="e">
        <f>HLOOKUP($E205,$O$180:$Z$183,VLOOKUP(CONCATENATE("II",Q$189),$H$181:$K$183,4,FALSE),FALSE)</f>
        <v>#N/A</v>
      </c>
      <c r="BB206" s="1335" t="e">
        <f>HLOOKUP($E205,$O$180:$Z$183,VLOOKUP(CONCATENATE("II",V$189),$H$181:$K$183,4,FALSE),FALSE)</f>
        <v>#N/A</v>
      </c>
      <c r="BC206" s="1335" t="e">
        <f>HLOOKUP($E205,$O$180:$Z$183,VLOOKUP(CONCATENATE("II",AA$189),$H$181:$K$183,4,FALSE),FALSE)</f>
        <v>#N/A</v>
      </c>
      <c r="BD206" s="1335" t="e">
        <f>HLOOKUP($E205,$O$180:$Z$183,VLOOKUP(CONCATENATE("II",AF$189),$H$181:$K$183,4,FALSE),FALSE)</f>
        <v>#N/A</v>
      </c>
      <c r="BE206" s="1335" t="e">
        <f>HLOOKUP($E205,$O$180:$Z$183,VLOOKUP(CONCATENATE("II",AK$189),$H$181:$K$183,4,FALSE),FALSE)</f>
        <v>#N/A</v>
      </c>
      <c r="BF206" s="33"/>
      <c r="BG206" s="264"/>
      <c r="BH206" s="264"/>
      <c r="BI206" s="264"/>
      <c r="BJ206" s="264"/>
      <c r="BK206" s="264"/>
      <c r="BL206" s="264"/>
    </row>
    <row r="207" spans="1:64" ht="15" hidden="1" customHeight="1" x14ac:dyDescent="0.2">
      <c r="A207" s="1324"/>
      <c r="B207" s="1565" t="str">
        <f>B205</f>
        <v>Giugno</v>
      </c>
      <c r="C207" s="1566"/>
      <c r="D207" s="1567"/>
      <c r="E207" s="161">
        <f>E206</f>
        <v>6</v>
      </c>
      <c r="F207" s="806" t="str">
        <f>IF(OR(G207="",G207=0),"",VLOOKUP(G207,$AG$8:$AK$14,5,FALSE))</f>
        <v/>
      </c>
      <c r="G207" s="1578" t="str">
        <f>IF(F$189="",H$29,IF(AQ205=0,HLOOKUP(CONCATENATE("I",G$189),$AB$181:$AJ$184,$K$183,FALSE),IF(AQ206=0,HLOOKUP(CONCATENATE("II",G$189),$AB$181:$AJ$184,$K$183,FALSE),IF(AQ207=0,HLOOKUP(CONCATENATE("III",G$189),$AB$181:$AJ$184,$K$183,FALSE),H$29))))</f>
        <v/>
      </c>
      <c r="H207" s="1579"/>
      <c r="I207" s="1579"/>
      <c r="J207" s="1580"/>
      <c r="K207" s="806" t="str">
        <f>IF(OR(L207="",L207=0),"",VLOOKUP(L207,$AG$8:$AK$14,5,FALSE))</f>
        <v/>
      </c>
      <c r="L207" s="1578" t="str">
        <f>IF(K$189="",L$29,IF(AR205=0,HLOOKUP(CONCATENATE("I",L$189),$AB$181:$AJ$184,$K$183,FALSE),IF(AR206=0,HLOOKUP(CONCATENATE("II",L$189),$AB$181:$AJ$184,$K$183,FALSE),IF(AR207=0,HLOOKUP(CONCATENATE("III",L$189),$AB$181:$AJ$184,$K$183,FALSE),L$29))))</f>
        <v/>
      </c>
      <c r="M207" s="1579"/>
      <c r="N207" s="1579"/>
      <c r="O207" s="1580"/>
      <c r="P207" s="806" t="str">
        <f>IF(OR(Q207="",Q207=0),"",VLOOKUP(Q207,$AG$8:$AK$14,5,FALSE))</f>
        <v/>
      </c>
      <c r="Q207" s="1578" t="str">
        <f>IF(P$189="",P$29,IF(AS205=0,HLOOKUP(CONCATENATE("I",Q$189),$AB$181:$AJ$184,$K$183,FALSE),IF(AS206=0,HLOOKUP(CONCATENATE("II",Q$189),$AB$181:$AJ$184,$K$183,FALSE),IF(AS207=0,HLOOKUP(CONCATENATE("III",Q$189),$AB$181:$AJ$184,$K$183,FALSE),P$29))))</f>
        <v/>
      </c>
      <c r="R207" s="1579"/>
      <c r="S207" s="1579"/>
      <c r="T207" s="1580"/>
      <c r="U207" s="806" t="str">
        <f>IF(OR(V207="",V207=0),"",VLOOKUP(V207,$AG$8:$AK$14,5,FALSE))</f>
        <v/>
      </c>
      <c r="V207" s="1578" t="str">
        <f>IF(U$189="",T$29,IF(AT205=0,HLOOKUP(CONCATENATE("I",V$189),$AB$181:$AJ$184,$K$183,FALSE),IF(AT206=0,HLOOKUP(CONCATENATE("II",V$189),$AB$181:$AJ$184,$K$183,FALSE),IF(AT207=0,HLOOKUP(CONCATENATE("III",V$189),$AB$181:$AJ$184,$K$183,FALSE),T$29))))</f>
        <v/>
      </c>
      <c r="W207" s="1579"/>
      <c r="X207" s="1579"/>
      <c r="Y207" s="1580"/>
      <c r="Z207" s="806" t="str">
        <f>IF(OR(AA207="",AA207=0),"",VLOOKUP(AA207,$AG$8:$AK$14,5,FALSE))</f>
        <v/>
      </c>
      <c r="AA207" s="1578" t="str">
        <f>IF(Z$189="",X$29,IF(AU205=0,HLOOKUP(CONCATENATE("I",AA$189),$AB$181:$AJ$184,$K$183,FALSE),IF(AU206=0,HLOOKUP(CONCATENATE("II",AA$189),$AB$181:$AJ$184,$K$183,FALSE),IF(AU207=0,HLOOKUP(CONCATENATE("III",AA$189),$AB$181:$AJ$184,$K$183,FALSE),X$29))))</f>
        <v/>
      </c>
      <c r="AB207" s="1579"/>
      <c r="AC207" s="1579"/>
      <c r="AD207" s="1580"/>
      <c r="AE207" s="806" t="str">
        <f>IF(OR(AF207="",AF207=0),"",VLOOKUP(AF207,$AG$8:$AK$14,5,FALSE))</f>
        <v/>
      </c>
      <c r="AF207" s="1578" t="str">
        <f>IF(AE$189="",AB$29,IF(AV205=0,HLOOKUP(CONCATENATE("I",AF$189),$AB$181:$AJ$184,$K$183,FALSE),IF(AV206=0,HLOOKUP(CONCATENATE("II",AF$189),$AB$181:$AJ$184,$K$183,FALSE),IF(AV207=0,HLOOKUP(CONCATENATE("III",AF$189),$AB$181:$AJ$184,$K$183,FALSE),AB$29))))</f>
        <v/>
      </c>
      <c r="AG207" s="1579"/>
      <c r="AH207" s="1579"/>
      <c r="AI207" s="1580"/>
      <c r="AJ207" s="806" t="str">
        <f>IF(OR(AK207="",AK207=0),"",VLOOKUP(AK207,$AG$8:$AK$14,5,FALSE))</f>
        <v/>
      </c>
      <c r="AK207" s="1578" t="str">
        <f>IF(AJ$189="",AF$29,IF(AW205=0,HLOOKUP(CONCATENATE("I",AK$189),$AB$181:$AJ$184,$K$183,FALSE),IF(AW206=0,HLOOKUP(CONCATENATE("II",AK$189),$AB$181:$AJ$184,$K$183,FALSE),IF(AW207=0,HLOOKUP(CONCATENATE("III",AK$189),$AB$181:$AJ$184,$K$183,FALSE),AF$29))))</f>
        <v/>
      </c>
      <c r="AL207" s="1579"/>
      <c r="AM207" s="1579"/>
      <c r="AN207" s="1580"/>
      <c r="AO207" s="1324"/>
      <c r="AP207" s="577" t="s">
        <v>217</v>
      </c>
      <c r="AQ207" s="172" t="str">
        <f t="shared" ref="AQ207:AQ225" si="53">IF(ISERROR(AY207),"---",AY207)</f>
        <v>---</v>
      </c>
      <c r="AR207" s="172" t="str">
        <f t="shared" si="48"/>
        <v>---</v>
      </c>
      <c r="AS207" s="172" t="str">
        <f t="shared" si="49"/>
        <v>---</v>
      </c>
      <c r="AT207" s="172" t="str">
        <f t="shared" si="50"/>
        <v>---</v>
      </c>
      <c r="AU207" s="172" t="str">
        <f t="shared" si="51"/>
        <v>---</v>
      </c>
      <c r="AV207" s="172" t="str">
        <f t="shared" si="52"/>
        <v>---</v>
      </c>
      <c r="AW207" s="172" t="str">
        <f t="shared" si="47"/>
        <v>---</v>
      </c>
      <c r="AX207" s="33"/>
      <c r="AY207" s="172" t="e">
        <f>HLOOKUP($E205,$O$180:$Z$183,VLOOKUP(CONCATENATE("III",G$189),$H$181:$K$183,4,FALSE),FALSE)</f>
        <v>#N/A</v>
      </c>
      <c r="AZ207" s="172" t="e">
        <f>HLOOKUP($E205,$O$180:$Z$183,VLOOKUP(CONCATENATE("III",L$189),$H$181:$K$183,4,FALSE),FALSE)</f>
        <v>#N/A</v>
      </c>
      <c r="BA207" s="172" t="e">
        <f>HLOOKUP($E205,$O$180:$Z$183,VLOOKUP(CONCATENATE("III",Q$189),$H$181:$K$183,4,FALSE),FALSE)</f>
        <v>#N/A</v>
      </c>
      <c r="BB207" s="172" t="e">
        <f>HLOOKUP($E205,$O$180:$Z$183,VLOOKUP(CONCATENATE("III",V$189),$H$181:$K$183,4,FALSE),FALSE)</f>
        <v>#N/A</v>
      </c>
      <c r="BC207" s="172" t="e">
        <f>HLOOKUP($E205,$O$180:$Z$183,VLOOKUP(CONCATENATE("III",AA$189),$H$181:$K$183,4,FALSE),FALSE)</f>
        <v>#N/A</v>
      </c>
      <c r="BD207" s="172" t="e">
        <f>HLOOKUP($E205,$O$180:$Z$183,VLOOKUP(CONCATENATE("III",AF$189),$H$181:$K$183,4,FALSE),FALSE)</f>
        <v>#N/A</v>
      </c>
      <c r="BE207" s="172" t="e">
        <f>HLOOKUP($E205,$O$180:$Z$183,VLOOKUP(CONCATENATE("III",AK$189),$H$181:$K$183,4,FALSE),FALSE)</f>
        <v>#N/A</v>
      </c>
      <c r="BF207" s="33"/>
      <c r="BG207" s="264"/>
      <c r="BH207" s="264"/>
      <c r="BI207" s="264"/>
      <c r="BJ207" s="264"/>
      <c r="BK207" s="264"/>
      <c r="BL207" s="264"/>
    </row>
    <row r="208" spans="1:64" ht="15" hidden="1" customHeight="1" x14ac:dyDescent="0.2">
      <c r="A208" s="1324"/>
      <c r="B208" s="1599" t="str">
        <f>C160</f>
        <v>Luglio</v>
      </c>
      <c r="C208" s="1546"/>
      <c r="D208" s="1600"/>
      <c r="E208" s="159">
        <f>U180</f>
        <v>7</v>
      </c>
      <c r="F208" s="164" t="str">
        <f>IF(OR(G208="",G208=0),"",VLOOKUP(G208,$K$8:$O$17,5,FALSE))</f>
        <v/>
      </c>
      <c r="G208" s="1537" t="str">
        <f>IF(F$189="",H$27,IF(AQ208=0,HLOOKUP(CONCATENATE("I",G$189),$AB$181:$AJ$184,$K$181,FALSE),IF(AQ209=0,HLOOKUP(CONCATENATE("II",G$189),$AB$181:$AJ$184,$K$181,FALSE),IF(AQ210=0,HLOOKUP(CONCATENATE("III",G$189),$AB$181:$AJ$184,$K$181,FALSE),H$27))))</f>
        <v/>
      </c>
      <c r="H208" s="1538"/>
      <c r="I208" s="1538"/>
      <c r="J208" s="1539"/>
      <c r="K208" s="164" t="str">
        <f>IF(OR(L208="",L208=0),"",VLOOKUP(L208,$K$8:$O$17,5,FALSE))</f>
        <v/>
      </c>
      <c r="L208" s="1537" t="str">
        <f>IF(K$189="",L$27,IF(AR208=0,HLOOKUP(CONCATENATE("I",L$189),$AB$181:$AJ$184,$K$181,FALSE),IF(AR209=0,HLOOKUP(CONCATENATE("II",L$189),$AB$181:$AJ$184,$K$181,FALSE),IF(AR210=0,HLOOKUP(CONCATENATE("III",L$189),$AB$181:$AJ$184,$K$181,FALSE),L$27))))</f>
        <v/>
      </c>
      <c r="M208" s="1538"/>
      <c r="N208" s="1538"/>
      <c r="O208" s="1539"/>
      <c r="P208" s="164" t="str">
        <f>IF(OR(Q208="",Q208=0),"",VLOOKUP(Q208,$K$8:$O$17,5,FALSE))</f>
        <v/>
      </c>
      <c r="Q208" s="1537" t="str">
        <f>IF(P$189="",P$27,IF(AS208=0,HLOOKUP(CONCATENATE("I",Q$189),$AB$181:$AJ$184,$K$181,FALSE),IF(AS209=0,HLOOKUP(CONCATENATE("II",Q$189),$AB$181:$AJ$184,$K$181,FALSE),IF(AS210=0,HLOOKUP(CONCATENATE("III",Q$189),$AB$181:$AJ$184,$K$181,FALSE),P$27))))</f>
        <v/>
      </c>
      <c r="R208" s="1538"/>
      <c r="S208" s="1538"/>
      <c r="T208" s="1539"/>
      <c r="U208" s="164" t="str">
        <f>IF(OR(V208="",V208=0),"",VLOOKUP(V208,$K$8:$O$17,5,FALSE))</f>
        <v/>
      </c>
      <c r="V208" s="1537" t="str">
        <f>IF(U$189="",T$27,IF(AT208=0,HLOOKUP(CONCATENATE("I",V$189),$AB$181:$AJ$184,$K$181,FALSE),IF(AT209=0,HLOOKUP(CONCATENATE("II",V$189),$AB$181:$AJ$184,$K$181,FALSE),IF(AT210=0,HLOOKUP(CONCATENATE("III",V$189),$AB$181:$AJ$184,$K$181,FALSE),T$27))))</f>
        <v/>
      </c>
      <c r="W208" s="1538"/>
      <c r="X208" s="1538"/>
      <c r="Y208" s="1539"/>
      <c r="Z208" s="164" t="str">
        <f>IF(OR(AA208="",AA208=0),"",VLOOKUP(AA208,$K$8:$O$17,5,FALSE))</f>
        <v/>
      </c>
      <c r="AA208" s="1537" t="str">
        <f>IF(Z$189="",X$27,IF(AU208=0,HLOOKUP(CONCATENATE("I",AA$189),$AB$181:$AJ$184,$K$181,FALSE),IF(AU209=0,HLOOKUP(CONCATENATE("II",AA$189),$AB$181:$AJ$184,$K$181,FALSE),IF(AU210=0,HLOOKUP(CONCATENATE("III",AA$189),$AB$181:$AJ$184,$K$181,FALSE),X$27))))</f>
        <v/>
      </c>
      <c r="AB208" s="1538"/>
      <c r="AC208" s="1538"/>
      <c r="AD208" s="1539"/>
      <c r="AE208" s="164" t="str">
        <f>IF(OR(AF208="",AF208=0),"",VLOOKUP(AF208,$K$8:$O$17,5,FALSE))</f>
        <v/>
      </c>
      <c r="AF208" s="1537" t="str">
        <f>IF(AE$189="",AB$27,IF(AV208=0,HLOOKUP(CONCATENATE("I",AF$189),$AB$181:$AJ$184,$K$181,FALSE),IF(AV209=0,HLOOKUP(CONCATENATE("II",AF$189),$AB$181:$AJ$184,$K$181,FALSE),IF(AV210=0,HLOOKUP(CONCATENATE("III",AF$189),$AB$181:$AJ$184,$K$181,FALSE),AB$27))))</f>
        <v/>
      </c>
      <c r="AG208" s="1538"/>
      <c r="AH208" s="1538"/>
      <c r="AI208" s="1539"/>
      <c r="AJ208" s="164" t="str">
        <f>IF(OR(AK208="",AK208=0),"",VLOOKUP(AK208,$K$8:$O$17,5,FALSE))</f>
        <v/>
      </c>
      <c r="AK208" s="1537" t="str">
        <f>IF(AJ$189="",AF$27,IF(AW208=0,HLOOKUP(CONCATENATE("I",AK$189),$AB$181:$AJ$184,$K$181,FALSE),IF(AW209=0,HLOOKUP(CONCATENATE("II",AK$189),$AB$181:$AJ$184,$K$181,FALSE),IF(AW210=0,HLOOKUP(CONCATENATE("III",AK$189),$AB$181:$AJ$184,$K$181,FALSE),AF$27))))</f>
        <v/>
      </c>
      <c r="AL208" s="1538"/>
      <c r="AM208" s="1538"/>
      <c r="AN208" s="1539"/>
      <c r="AO208" s="1324"/>
      <c r="AP208" s="576" t="s">
        <v>242</v>
      </c>
      <c r="AQ208" s="173" t="str">
        <f t="shared" si="53"/>
        <v>---</v>
      </c>
      <c r="AR208" s="173" t="str">
        <f t="shared" si="48"/>
        <v>---</v>
      </c>
      <c r="AS208" s="173" t="str">
        <f t="shared" si="49"/>
        <v>---</v>
      </c>
      <c r="AT208" s="173" t="str">
        <f t="shared" si="50"/>
        <v>---</v>
      </c>
      <c r="AU208" s="173" t="str">
        <f t="shared" si="51"/>
        <v>---</v>
      </c>
      <c r="AV208" s="173" t="str">
        <f t="shared" si="52"/>
        <v>---</v>
      </c>
      <c r="AW208" s="173" t="str">
        <f t="shared" si="47"/>
        <v>---</v>
      </c>
      <c r="AX208" s="33"/>
      <c r="AY208" s="173" t="e">
        <f>HLOOKUP($E208,$O$180:$Z$183,VLOOKUP(CONCATENATE("I",G$189),$H$181:$K$183,4,FALSE),FALSE)</f>
        <v>#N/A</v>
      </c>
      <c r="AZ208" s="173" t="e">
        <f>HLOOKUP($E208,$O$180:$Z$183,VLOOKUP(CONCATENATE("I",L$189),$H$181:$K$183,4,FALSE),FALSE)</f>
        <v>#N/A</v>
      </c>
      <c r="BA208" s="173" t="e">
        <f>HLOOKUP($E208,$O$180:$Z$183,VLOOKUP(CONCATENATE("I",Q$189),$H$181:$K$183,4,FALSE),FALSE)</f>
        <v>#N/A</v>
      </c>
      <c r="BB208" s="173" t="e">
        <f>HLOOKUP($E208,$O$180:$Z$183,VLOOKUP(CONCATENATE("I",V$189),$H$181:$K$183,4,FALSE),FALSE)</f>
        <v>#N/A</v>
      </c>
      <c r="BC208" s="173" t="e">
        <f>HLOOKUP($E208,$O$180:$Z$183,VLOOKUP(CONCATENATE("I",AA$189),$H$181:$K$183,4,FALSE),FALSE)</f>
        <v>#N/A</v>
      </c>
      <c r="BD208" s="173" t="e">
        <f>HLOOKUP($E208,$O$180:$Z$183,VLOOKUP(CONCATENATE("I",AF$189),$H$181:$K$183,4,FALSE),FALSE)</f>
        <v>#N/A</v>
      </c>
      <c r="BE208" s="173" t="e">
        <f>HLOOKUP($E208,$O$180:$Z$183,VLOOKUP(CONCATENATE("I",AK$189),$H$181:$K$183,4,FALSE),FALSE)</f>
        <v>#N/A</v>
      </c>
      <c r="BF208" s="33"/>
      <c r="BG208" s="264"/>
      <c r="BH208" s="264"/>
      <c r="BI208" s="264"/>
      <c r="BJ208" s="264"/>
      <c r="BK208" s="264"/>
      <c r="BL208" s="264"/>
    </row>
    <row r="209" spans="1:64" ht="15" hidden="1" customHeight="1" x14ac:dyDescent="0.2">
      <c r="A209" s="1324"/>
      <c r="B209" s="1596" t="str">
        <f>B208</f>
        <v>Luglio</v>
      </c>
      <c r="C209" s="1597"/>
      <c r="D209" s="1598"/>
      <c r="E209" s="161">
        <f>E208</f>
        <v>7</v>
      </c>
      <c r="F209" s="165" t="str">
        <f>IF(OR(G209=0,G209="",G209="- - - - - - -"),"",VLOOKUP(G209,$Y$132:$AC$141,5,FALSE))</f>
        <v/>
      </c>
      <c r="G209" s="1540" t="str">
        <f>IF(F$189="",H$28,IF(AQ208=0,HLOOKUP(CONCATENATE("I",G$189),$AB$181:$AJ$184,$K$182,FALSE),IF(AQ209=0,HLOOKUP(CONCATENATE("II",G$189),$AB$181:$AJ$184,$K$182,FALSE),IF(AQ210=0,HLOOKUP(CONCATENATE("III",G$189),$AB$181:$AJ$184,$K$182,FALSE),H$28))))</f>
        <v>- - - - - - -</v>
      </c>
      <c r="H209" s="1541"/>
      <c r="I209" s="1541"/>
      <c r="J209" s="807">
        <f>IF(F$189="",H$24,IF(AQ208=0,HLOOKUP(CONCATENATE("I",G$189),$AB$181:$AH$188,8,FALSE),IF(AQ209=0,HLOOKUP(CONCATENATE("II",G$189),$AB$181:$AH$188,8,FALSE),IF(AQ210=0,HLOOKUP(CONCATENATE("III",G$189),$AB$181:$AH$188,8,FALSE),H$24))))</f>
        <v>0</v>
      </c>
      <c r="K209" s="165" t="str">
        <f>IF(OR(L209=0,L209="",L209="- - - - - - -"),"",VLOOKUP(L209,$Y$132:$AC$141,5,FALSE))</f>
        <v/>
      </c>
      <c r="L209" s="1540" t="str">
        <f>IF(K$189="",L$28,IF(AR208=0,HLOOKUP(CONCATENATE("I",L$189),$AB$181:$AJ$184,$K$182,FALSE),IF(AR209=0,HLOOKUP(CONCATENATE("II",L$189),$AB$181:$AJ$184,$K$182,FALSE),IF(AR210=0,HLOOKUP(CONCATENATE("III",L$189),$AB$181:$AJ$184,$K$182,FALSE),L$28))))</f>
        <v>- - - - - - -</v>
      </c>
      <c r="M209" s="1541"/>
      <c r="N209" s="1541"/>
      <c r="O209" s="807">
        <f>IF(K$189="",L$24,IF(AR208=0,HLOOKUP(CONCATENATE("I",L$189),$AB$181:$AH$188,8,FALSE),IF(AR209=0,HLOOKUP(CONCATENATE("II",L$189),$AB$181:$AH$188,8,FALSE),IF(AR210=0,HLOOKUP(CONCATENATE("III",L$189),$AB$181:$AH$188,8,FALSE),L$24))))</f>
        <v>0</v>
      </c>
      <c r="P209" s="165" t="str">
        <f>IF(OR(Q209=0,Q209="",Q209="- - - - - - -"),"",VLOOKUP(Q209,$Y$132:$AC$141,5,FALSE))</f>
        <v/>
      </c>
      <c r="Q209" s="1540" t="str">
        <f>IF(P$189="",P$28,IF(AS208=0,HLOOKUP(CONCATENATE("I",Q$189),$AB$181:$AJ$184,$K$182,FALSE),IF(AS209=0,HLOOKUP(CONCATENATE("II",Q$189),$AB$181:$AJ$184,$K$182,FALSE),IF(AS210=0,HLOOKUP(CONCATENATE("III",Q$189),$AB$181:$AJ$184,$K$182,FALSE),P$28))))</f>
        <v>- - - - - - -</v>
      </c>
      <c r="R209" s="1541"/>
      <c r="S209" s="1541"/>
      <c r="T209" s="807">
        <f>IF(P$189="",P$24,IF(AS208=0,HLOOKUP(CONCATENATE("I",Q$189),$AB$181:$AH$188,8,FALSE),IF(AS209=0,HLOOKUP(CONCATENATE("II",Q$189),$AB$181:$AH$188,8,FALSE),IF(AS210=0,HLOOKUP(CONCATENATE("III",Q$189),$AB$181:$AH$188,8,FALSE),P$24))))</f>
        <v>0</v>
      </c>
      <c r="U209" s="165" t="str">
        <f>IF(OR(V209=0,V209="",V209="- - - - - - -"),"",VLOOKUP(V209,$Y$132:$AC$141,5,FALSE))</f>
        <v/>
      </c>
      <c r="V209" s="1540" t="str">
        <f>IF(U$189="",T$28,IF(AT208=0,HLOOKUP(CONCATENATE("I",V$189),$AB$181:$AJ$184,$K$182,FALSE),IF(AT209=0,HLOOKUP(CONCATENATE("II",V$189),$AB$181:$AJ$184,$K$182,FALSE),IF(AT210=0,HLOOKUP(CONCATENATE("III",V$189),$AB$181:$AJ$184,$K$182,FALSE),T$28))))</f>
        <v>- - - - - - -</v>
      </c>
      <c r="W209" s="1541"/>
      <c r="X209" s="1541"/>
      <c r="Y209" s="807">
        <f>IF(U$189="",T$24,IF(AT208=0,HLOOKUP(CONCATENATE("I",V$189),$AB$181:$AH$188,8,FALSE),IF(AT209=0,HLOOKUP(CONCATENATE("II",V$189),$AB$181:$AH$188,8,FALSE),IF(AT210=0,HLOOKUP(CONCATENATE("III",V$189),$AB$181:$AH$188,8,FALSE),T$24))))</f>
        <v>0</v>
      </c>
      <c r="Z209" s="165" t="str">
        <f>IF(OR(AA209=0,AA209="",AA209="- - - - - - -"),"",VLOOKUP(AA209,$Y$132:$AC$141,5,FALSE))</f>
        <v/>
      </c>
      <c r="AA209" s="1540" t="str">
        <f>IF(Z$189="",X$28,IF(AU208=0,HLOOKUP(CONCATENATE("I",AA$189),$AB$181:$AJ$184,$K$182,FALSE),IF(AU209=0,HLOOKUP(CONCATENATE("II",AA$189),$AB$181:$AJ$184,$K$182,FALSE),IF(AU210=0,HLOOKUP(CONCATENATE("III",AA$189),$AB$181:$AJ$184,$K$182,FALSE),X$28))))</f>
        <v>- - - - - - -</v>
      </c>
      <c r="AB209" s="1541"/>
      <c r="AC209" s="1541"/>
      <c r="AD209" s="807">
        <f>IF(Z$189="",X$24,IF(AU208=0,HLOOKUP(CONCATENATE("I",AA$189),$AB$181:$AH$188,8,FALSE),IF(AU209=0,HLOOKUP(CONCATENATE("II",AA$189),$AB$181:$AH$188,8,FALSE),IF(AU210=0,HLOOKUP(CONCATENATE("III",AA$189),$AB$181:$AH$188,8,FALSE),X$24))))</f>
        <v>0</v>
      </c>
      <c r="AE209" s="165" t="str">
        <f>IF(OR(AF209=0,AF209="",AF209="- - - - - - -"),"",VLOOKUP(AF209,$Y$132:$AC$141,5,FALSE))</f>
        <v/>
      </c>
      <c r="AF209" s="1540" t="str">
        <f>IF(AE$189="",AB$28,IF(AV208=0,HLOOKUP(CONCATENATE("I",AF$189),$AB$181:$AJ$184,$K$182,FALSE),IF(AV209=0,HLOOKUP(CONCATENATE("II",AF$189),$AB$181:$AJ$184,$K$182,FALSE),IF(AV210=0,HLOOKUP(CONCATENATE("III",AF$189),$AB$181:$AJ$184,$K$182,FALSE),AB$28))))</f>
        <v>- - - - - - -</v>
      </c>
      <c r="AG209" s="1541"/>
      <c r="AH209" s="1541"/>
      <c r="AI209" s="807">
        <f>IF(AE$189="",AB$24,IF(AV208=0,HLOOKUP(CONCATENATE("I",AF$189),$AB$181:$AH$188,8,FALSE),IF(AV209=0,HLOOKUP(CONCATENATE("II",AF$189),$AB$181:$AH$188,8,FALSE),IF(AV210=0,HLOOKUP(CONCATENATE("III",AF$189),$AB$181:$AH$188,8,FALSE),AB$24))))</f>
        <v>0</v>
      </c>
      <c r="AJ209" s="165" t="str">
        <f>IF(OR(AK209=0,AK209="",AK209="- - - - - - -"),"",VLOOKUP(AK209,$Y$132:$AC$141,5,FALSE))</f>
        <v/>
      </c>
      <c r="AK209" s="1540" t="str">
        <f>IF(AJ$189="",AF$28,IF(AW208=0,HLOOKUP(CONCATENATE("I",AK$189),$AB$181:$AJ$184,$K$182,FALSE),IF(AW209=0,HLOOKUP(CONCATENATE("II",AK$189),$AB$181:$AJ$184,$K$182,FALSE),IF(AW210=0,HLOOKUP(CONCATENATE("III",AK$189),$AB$181:$AJ$184,$K$182,FALSE),AF$28))))</f>
        <v>- - - - - - -</v>
      </c>
      <c r="AL209" s="1541"/>
      <c r="AM209" s="1541"/>
      <c r="AN209" s="807">
        <f>IF(AJ$189="",AF$24,IF(AW208=0,HLOOKUP(CONCATENATE("I",AK$189),$AB$181:$AH$188,8,FALSE),IF(AW209=0,HLOOKUP(CONCATENATE("II",AK$189),$AB$181:$AH$188,8,FALSE),IF(AW210=0,HLOOKUP(CONCATENATE("III",AK$189),$AB$181:$AH$188,8,FALSE),AF$24))))</f>
        <v>0</v>
      </c>
      <c r="AO209" s="1324"/>
      <c r="AP209" s="310" t="s">
        <v>216</v>
      </c>
      <c r="AQ209" s="1335" t="str">
        <f t="shared" si="53"/>
        <v>---</v>
      </c>
      <c r="AR209" s="1335" t="str">
        <f t="shared" si="48"/>
        <v>---</v>
      </c>
      <c r="AS209" s="1335" t="str">
        <f t="shared" si="49"/>
        <v>---</v>
      </c>
      <c r="AT209" s="1335" t="str">
        <f t="shared" si="50"/>
        <v>---</v>
      </c>
      <c r="AU209" s="1335" t="str">
        <f t="shared" si="51"/>
        <v>---</v>
      </c>
      <c r="AV209" s="1335" t="str">
        <f t="shared" si="52"/>
        <v>---</v>
      </c>
      <c r="AW209" s="1335" t="str">
        <f t="shared" si="47"/>
        <v>---</v>
      </c>
      <c r="AX209" s="33"/>
      <c r="AY209" s="1335" t="e">
        <f>HLOOKUP($E208,$O$180:$Z$183,VLOOKUP(CONCATENATE("II",G$189),$H$181:$K$183,4,FALSE),FALSE)</f>
        <v>#N/A</v>
      </c>
      <c r="AZ209" s="1335" t="e">
        <f>HLOOKUP($E208,$O$180:$Z$183,VLOOKUP(CONCATENATE("II",L$189),$H$181:$K$183,4,FALSE),FALSE)</f>
        <v>#N/A</v>
      </c>
      <c r="BA209" s="1335" t="e">
        <f>HLOOKUP($E208,$O$180:$Z$183,VLOOKUP(CONCATENATE("II",Q$189),$H$181:$K$183,4,FALSE),FALSE)</f>
        <v>#N/A</v>
      </c>
      <c r="BB209" s="1335" t="e">
        <f>HLOOKUP($E208,$O$180:$Z$183,VLOOKUP(CONCATENATE("II",V$189),$H$181:$K$183,4,FALSE),FALSE)</f>
        <v>#N/A</v>
      </c>
      <c r="BC209" s="1335" t="e">
        <f>HLOOKUP($E208,$O$180:$Z$183,VLOOKUP(CONCATENATE("II",AA$189),$H$181:$K$183,4,FALSE),FALSE)</f>
        <v>#N/A</v>
      </c>
      <c r="BD209" s="1335" t="e">
        <f>HLOOKUP($E208,$O$180:$Z$183,VLOOKUP(CONCATENATE("II",AF$189),$H$181:$K$183,4,FALSE),FALSE)</f>
        <v>#N/A</v>
      </c>
      <c r="BE209" s="1335" t="e">
        <f>HLOOKUP($E208,$O$180:$Z$183,VLOOKUP(CONCATENATE("II",AK$189),$H$181:$K$183,4,FALSE),FALSE)</f>
        <v>#N/A</v>
      </c>
      <c r="BF209" s="33"/>
      <c r="BG209" s="264"/>
      <c r="BH209" s="264"/>
      <c r="BI209" s="264"/>
      <c r="BJ209" s="264"/>
      <c r="BK209" s="264"/>
      <c r="BL209" s="264"/>
    </row>
    <row r="210" spans="1:64" ht="15" hidden="1" customHeight="1" x14ac:dyDescent="0.2">
      <c r="A210" s="1324"/>
      <c r="B210" s="1565" t="str">
        <f>B208</f>
        <v>Luglio</v>
      </c>
      <c r="C210" s="1566"/>
      <c r="D210" s="1567"/>
      <c r="E210" s="161">
        <f>E209</f>
        <v>7</v>
      </c>
      <c r="F210" s="806" t="str">
        <f>IF(OR(G210="",G210=0),"",VLOOKUP(G210,$AG$8:$AK$14,5,FALSE))</f>
        <v/>
      </c>
      <c r="G210" s="1578" t="str">
        <f>IF(F$189="",H$29,IF(AQ208=0,HLOOKUP(CONCATENATE("I",G$189),$AB$181:$AJ$184,$K$183,FALSE),IF(AQ209=0,HLOOKUP(CONCATENATE("II",G$189),$AB$181:$AJ$184,$K$183,FALSE),IF(AQ210=0,HLOOKUP(CONCATENATE("III",G$189),$AB$181:$AJ$184,$K$183,FALSE),H$29))))</f>
        <v/>
      </c>
      <c r="H210" s="1579"/>
      <c r="I210" s="1579"/>
      <c r="J210" s="1580"/>
      <c r="K210" s="806" t="str">
        <f>IF(OR(L210="",L210=0),"",VLOOKUP(L210,$AG$8:$AK$14,5,FALSE))</f>
        <v/>
      </c>
      <c r="L210" s="1578" t="str">
        <f>IF(K$189="",L$29,IF(AR208=0,HLOOKUP(CONCATENATE("I",L$189),$AB$181:$AJ$184,$K$183,FALSE),IF(AR209=0,HLOOKUP(CONCATENATE("II",L$189),$AB$181:$AJ$184,$K$183,FALSE),IF(AR210=0,HLOOKUP(CONCATENATE("III",L$189),$AB$181:$AJ$184,$K$183,FALSE),L$29))))</f>
        <v/>
      </c>
      <c r="M210" s="1579"/>
      <c r="N210" s="1579"/>
      <c r="O210" s="1580"/>
      <c r="P210" s="806" t="str">
        <f>IF(OR(Q210="",Q210=0),"",VLOOKUP(Q210,$AG$8:$AK$14,5,FALSE))</f>
        <v/>
      </c>
      <c r="Q210" s="1578" t="str">
        <f>IF(P$189="",P$29,IF(AS208=0,HLOOKUP(CONCATENATE("I",Q$189),$AB$181:$AJ$184,$K$183,FALSE),IF(AS209=0,HLOOKUP(CONCATENATE("II",Q$189),$AB$181:$AJ$184,$K$183,FALSE),IF(AS210=0,HLOOKUP(CONCATENATE("III",Q$189),$AB$181:$AJ$184,$K$183,FALSE),P$29))))</f>
        <v/>
      </c>
      <c r="R210" s="1579"/>
      <c r="S210" s="1579"/>
      <c r="T210" s="1580"/>
      <c r="U210" s="806" t="str">
        <f>IF(OR(V210="",V210=0),"",VLOOKUP(V210,$AG$8:$AK$14,5,FALSE))</f>
        <v/>
      </c>
      <c r="V210" s="1578" t="str">
        <f>IF(U$189="",T$29,IF(AT208=0,HLOOKUP(CONCATENATE("I",V$189),$AB$181:$AJ$184,$K$183,FALSE),IF(AT209=0,HLOOKUP(CONCATENATE("II",V$189),$AB$181:$AJ$184,$K$183,FALSE),IF(AT210=0,HLOOKUP(CONCATENATE("III",V$189),$AB$181:$AJ$184,$K$183,FALSE),T$29))))</f>
        <v/>
      </c>
      <c r="W210" s="1579"/>
      <c r="X210" s="1579"/>
      <c r="Y210" s="1580"/>
      <c r="Z210" s="806" t="str">
        <f>IF(OR(AA210="",AA210=0),"",VLOOKUP(AA210,$AG$8:$AK$14,5,FALSE))</f>
        <v/>
      </c>
      <c r="AA210" s="1578" t="str">
        <f>IF(Z$189="",X$29,IF(AU208=0,HLOOKUP(CONCATENATE("I",AA$189),$AB$181:$AJ$184,$K$183,FALSE),IF(AU209=0,HLOOKUP(CONCATENATE("II",AA$189),$AB$181:$AJ$184,$K$183,FALSE),IF(AU210=0,HLOOKUP(CONCATENATE("III",AA$189),$AB$181:$AJ$184,$K$183,FALSE),X$29))))</f>
        <v/>
      </c>
      <c r="AB210" s="1579"/>
      <c r="AC210" s="1579"/>
      <c r="AD210" s="1580"/>
      <c r="AE210" s="806" t="str">
        <f>IF(OR(AF210="",AF210=0),"",VLOOKUP(AF210,$AG$8:$AK$14,5,FALSE))</f>
        <v/>
      </c>
      <c r="AF210" s="1578" t="str">
        <f>IF(AE$189="",AB$29,IF(AV208=0,HLOOKUP(CONCATENATE("I",AF$189),$AB$181:$AJ$184,$K$183,FALSE),IF(AV209=0,HLOOKUP(CONCATENATE("II",AF$189),$AB$181:$AJ$184,$K$183,FALSE),IF(AV210=0,HLOOKUP(CONCATENATE("III",AF$189),$AB$181:$AJ$184,$K$183,FALSE),AB$29))))</f>
        <v/>
      </c>
      <c r="AG210" s="1579"/>
      <c r="AH210" s="1579"/>
      <c r="AI210" s="1580"/>
      <c r="AJ210" s="806" t="str">
        <f>IF(OR(AK210="",AK210=0),"",VLOOKUP(AK210,$AG$8:$AK$14,5,FALSE))</f>
        <v/>
      </c>
      <c r="AK210" s="1578" t="str">
        <f>IF(AJ$189="",AF$29,IF(AW208=0,HLOOKUP(CONCATENATE("I",AK$189),$AB$181:$AJ$184,$K$183,FALSE),IF(AW209=0,HLOOKUP(CONCATENATE("II",AK$189),$AB$181:$AJ$184,$K$183,FALSE),IF(AW210=0,HLOOKUP(CONCATENATE("III",AK$189),$AB$181:$AJ$184,$K$183,FALSE),AF$29))))</f>
        <v/>
      </c>
      <c r="AL210" s="1579"/>
      <c r="AM210" s="1579"/>
      <c r="AN210" s="1580"/>
      <c r="AO210" s="1324"/>
      <c r="AP210" s="577" t="s">
        <v>217</v>
      </c>
      <c r="AQ210" s="172" t="str">
        <f t="shared" si="53"/>
        <v>---</v>
      </c>
      <c r="AR210" s="172" t="str">
        <f t="shared" si="48"/>
        <v>---</v>
      </c>
      <c r="AS210" s="172" t="str">
        <f t="shared" si="49"/>
        <v>---</v>
      </c>
      <c r="AT210" s="172" t="str">
        <f t="shared" si="50"/>
        <v>---</v>
      </c>
      <c r="AU210" s="172" t="str">
        <f t="shared" si="51"/>
        <v>---</v>
      </c>
      <c r="AV210" s="172" t="str">
        <f t="shared" si="52"/>
        <v>---</v>
      </c>
      <c r="AW210" s="172" t="str">
        <f t="shared" si="47"/>
        <v>---</v>
      </c>
      <c r="AX210" s="33"/>
      <c r="AY210" s="172" t="e">
        <f>HLOOKUP($E208,$O$180:$Z$183,VLOOKUP(CONCATENATE("III",G$189),$H$181:$K$183,4,FALSE),FALSE)</f>
        <v>#N/A</v>
      </c>
      <c r="AZ210" s="172" t="e">
        <f>HLOOKUP($E208,$O$180:$Z$183,VLOOKUP(CONCATENATE("III",L$189),$H$181:$K$183,4,FALSE),FALSE)</f>
        <v>#N/A</v>
      </c>
      <c r="BA210" s="172" t="e">
        <f>HLOOKUP($E208,$O$180:$Z$183,VLOOKUP(CONCATENATE("III",Q$189),$H$181:$K$183,4,FALSE),FALSE)</f>
        <v>#N/A</v>
      </c>
      <c r="BB210" s="172" t="e">
        <f>HLOOKUP($E208,$O$180:$Z$183,VLOOKUP(CONCATENATE("III",V$189),$H$181:$K$183,4,FALSE),FALSE)</f>
        <v>#N/A</v>
      </c>
      <c r="BC210" s="172" t="e">
        <f>HLOOKUP($E208,$O$180:$Z$183,VLOOKUP(CONCATENATE("III",AA$189),$H$181:$K$183,4,FALSE),FALSE)</f>
        <v>#N/A</v>
      </c>
      <c r="BD210" s="172" t="e">
        <f>HLOOKUP($E208,$O$180:$Z$183,VLOOKUP(CONCATENATE("III",AF$189),$H$181:$K$183,4,FALSE),FALSE)</f>
        <v>#N/A</v>
      </c>
      <c r="BE210" s="172" t="e">
        <f>HLOOKUP($E208,$O$180:$Z$183,VLOOKUP(CONCATENATE("III",AK$189),$H$181:$K$183,4,FALSE),FALSE)</f>
        <v>#N/A</v>
      </c>
      <c r="BF210" s="33"/>
      <c r="BG210" s="264"/>
      <c r="BH210" s="264"/>
      <c r="BI210" s="264"/>
      <c r="BJ210" s="264"/>
      <c r="BK210" s="264"/>
      <c r="BL210" s="264"/>
    </row>
    <row r="211" spans="1:64" ht="15" hidden="1" customHeight="1" x14ac:dyDescent="0.2">
      <c r="A211" s="1324"/>
      <c r="B211" s="1599" t="str">
        <f>C161</f>
        <v>Agosto</v>
      </c>
      <c r="C211" s="1546"/>
      <c r="D211" s="1600"/>
      <c r="E211" s="159">
        <f>V180</f>
        <v>8</v>
      </c>
      <c r="F211" s="164" t="str">
        <f>IF(OR(G211="",G211=0),"",VLOOKUP(G211,$K$8:$O$17,5,FALSE))</f>
        <v/>
      </c>
      <c r="G211" s="1537" t="str">
        <f>IF(F$189="",H$27,IF(AQ211=0,HLOOKUP(CONCATENATE("I",G$189),$AB$181:$AJ$184,$K$181,FALSE),IF(AQ212=0,HLOOKUP(CONCATENATE("II",G$189),$AB$181:$AJ$184,$K$181,FALSE),IF(AQ213=0,HLOOKUP(CONCATENATE("III",G$189),$AB$181:$AJ$184,$K$181,FALSE),H$27))))</f>
        <v/>
      </c>
      <c r="H211" s="1538"/>
      <c r="I211" s="1538"/>
      <c r="J211" s="1539"/>
      <c r="K211" s="164" t="str">
        <f>IF(OR(L211="",L211=0),"",VLOOKUP(L211,$K$8:$O$17,5,FALSE))</f>
        <v/>
      </c>
      <c r="L211" s="1537" t="str">
        <f>IF(K$189="",L$27,IF(AR211=0,HLOOKUP(CONCATENATE("I",L$189),$AB$181:$AJ$184,$K$181,FALSE),IF(AR212=0,HLOOKUP(CONCATENATE("II",L$189),$AB$181:$AJ$184,$K$181,FALSE),IF(AR213=0,HLOOKUP(CONCATENATE("III",L$189),$AB$181:$AJ$184,$K$181,FALSE),L$27))))</f>
        <v/>
      </c>
      <c r="M211" s="1538"/>
      <c r="N211" s="1538"/>
      <c r="O211" s="1539"/>
      <c r="P211" s="164" t="str">
        <f>IF(OR(Q211="",Q211=0),"",VLOOKUP(Q211,$K$8:$O$17,5,FALSE))</f>
        <v/>
      </c>
      <c r="Q211" s="1537" t="str">
        <f>IF(P$189="",P$27,IF(AS211=0,HLOOKUP(CONCATENATE("I",Q$189),$AB$181:$AJ$184,$K$181,FALSE),IF(AS212=0,HLOOKUP(CONCATENATE("II",Q$189),$AB$181:$AJ$184,$K$181,FALSE),IF(AS213=0,HLOOKUP(CONCATENATE("III",Q$189),$AB$181:$AJ$184,$K$181,FALSE),P$27))))</f>
        <v/>
      </c>
      <c r="R211" s="1538"/>
      <c r="S211" s="1538"/>
      <c r="T211" s="1539"/>
      <c r="U211" s="164" t="str">
        <f>IF(OR(V211="",V211=0),"",VLOOKUP(V211,$K$8:$O$17,5,FALSE))</f>
        <v/>
      </c>
      <c r="V211" s="1537" t="str">
        <f>IF(U$189="",T$27,IF(AT211=0,HLOOKUP(CONCATENATE("I",V$189),$AB$181:$AJ$184,$K$181,FALSE),IF(AT212=0,HLOOKUP(CONCATENATE("II",V$189),$AB$181:$AJ$184,$K$181,FALSE),IF(AT213=0,HLOOKUP(CONCATENATE("III",V$189),$AB$181:$AJ$184,$K$181,FALSE),T$27))))</f>
        <v/>
      </c>
      <c r="W211" s="1538"/>
      <c r="X211" s="1538"/>
      <c r="Y211" s="1539"/>
      <c r="Z211" s="164" t="str">
        <f>IF(OR(AA211="",AA211=0),"",VLOOKUP(AA211,$K$8:$O$17,5,FALSE))</f>
        <v/>
      </c>
      <c r="AA211" s="1537" t="str">
        <f>IF(Z$189="",X$27,IF(AU211=0,HLOOKUP(CONCATENATE("I",AA$189),$AB$181:$AJ$184,$K$181,FALSE),IF(AU212=0,HLOOKUP(CONCATENATE("II",AA$189),$AB$181:$AJ$184,$K$181,FALSE),IF(AU213=0,HLOOKUP(CONCATENATE("III",AA$189),$AB$181:$AJ$184,$K$181,FALSE),X$27))))</f>
        <v/>
      </c>
      <c r="AB211" s="1538"/>
      <c r="AC211" s="1538"/>
      <c r="AD211" s="1539"/>
      <c r="AE211" s="164" t="str">
        <f>IF(OR(AF211="",AF211=0),"",VLOOKUP(AF211,$K$8:$O$17,5,FALSE))</f>
        <v/>
      </c>
      <c r="AF211" s="1537" t="str">
        <f>IF(AE$189="",AB$27,IF(AV211=0,HLOOKUP(CONCATENATE("I",AF$189),$AB$181:$AJ$184,$K$181,FALSE),IF(AV212=0,HLOOKUP(CONCATENATE("II",AF$189),$AB$181:$AJ$184,$K$181,FALSE),IF(AV213=0,HLOOKUP(CONCATENATE("III",AF$189),$AB$181:$AJ$184,$K$181,FALSE),AB$27))))</f>
        <v/>
      </c>
      <c r="AG211" s="1538"/>
      <c r="AH211" s="1538"/>
      <c r="AI211" s="1539"/>
      <c r="AJ211" s="164" t="str">
        <f>IF(OR(AK211="",AK211=0),"",VLOOKUP(AK211,$K$8:$O$17,5,FALSE))</f>
        <v/>
      </c>
      <c r="AK211" s="1537" t="str">
        <f>IF(AJ$189="",AF$27,IF(AW211=0,HLOOKUP(CONCATENATE("I",AK$189),$AB$181:$AJ$184,$K$181,FALSE),IF(AW212=0,HLOOKUP(CONCATENATE("II",AK$189),$AB$181:$AJ$184,$K$181,FALSE),IF(AW213=0,HLOOKUP(CONCATENATE("III",AK$189),$AB$181:$AJ$184,$K$181,FALSE),AF$27))))</f>
        <v/>
      </c>
      <c r="AL211" s="1538"/>
      <c r="AM211" s="1538"/>
      <c r="AN211" s="1539"/>
      <c r="AO211" s="1324"/>
      <c r="AP211" s="576" t="s">
        <v>242</v>
      </c>
      <c r="AQ211" s="173" t="str">
        <f t="shared" si="53"/>
        <v>---</v>
      </c>
      <c r="AR211" s="173" t="str">
        <f t="shared" si="48"/>
        <v>---</v>
      </c>
      <c r="AS211" s="173" t="str">
        <f t="shared" si="49"/>
        <v>---</v>
      </c>
      <c r="AT211" s="173" t="str">
        <f t="shared" si="50"/>
        <v>---</v>
      </c>
      <c r="AU211" s="173" t="str">
        <f t="shared" si="51"/>
        <v>---</v>
      </c>
      <c r="AV211" s="173" t="str">
        <f t="shared" si="52"/>
        <v>---</v>
      </c>
      <c r="AW211" s="173" t="str">
        <f t="shared" si="47"/>
        <v>---</v>
      </c>
      <c r="AX211" s="33"/>
      <c r="AY211" s="173" t="e">
        <f>HLOOKUP($E211,$O$180:$Z$183,VLOOKUP(CONCATENATE("I",G$189),$H$181:$K$183,4,FALSE),FALSE)</f>
        <v>#N/A</v>
      </c>
      <c r="AZ211" s="173" t="e">
        <f>HLOOKUP($E211,$O$180:$Z$183,VLOOKUP(CONCATENATE("I",L$189),$H$181:$K$183,4,FALSE),FALSE)</f>
        <v>#N/A</v>
      </c>
      <c r="BA211" s="173" t="e">
        <f>HLOOKUP($E211,$O$180:$Z$183,VLOOKUP(CONCATENATE("I",Q$189),$H$181:$K$183,4,FALSE),FALSE)</f>
        <v>#N/A</v>
      </c>
      <c r="BB211" s="173" t="e">
        <f>HLOOKUP($E211,$O$180:$Z$183,VLOOKUP(CONCATENATE("I",V$189),$H$181:$K$183,4,FALSE),FALSE)</f>
        <v>#N/A</v>
      </c>
      <c r="BC211" s="173" t="e">
        <f>HLOOKUP($E211,$O$180:$Z$183,VLOOKUP(CONCATENATE("I",AA$189),$H$181:$K$183,4,FALSE),FALSE)</f>
        <v>#N/A</v>
      </c>
      <c r="BD211" s="173" t="e">
        <f>HLOOKUP($E211,$O$180:$Z$183,VLOOKUP(CONCATENATE("I",AF$189),$H$181:$K$183,4,FALSE),FALSE)</f>
        <v>#N/A</v>
      </c>
      <c r="BE211" s="173" t="e">
        <f>HLOOKUP($E211,$O$180:$Z$183,VLOOKUP(CONCATENATE("I",AK$189),$H$181:$K$183,4,FALSE),FALSE)</f>
        <v>#N/A</v>
      </c>
      <c r="BF211" s="33"/>
      <c r="BG211" s="264"/>
      <c r="BH211" s="264"/>
      <c r="BI211" s="264"/>
      <c r="BJ211" s="264"/>
      <c r="BK211" s="264"/>
      <c r="BL211" s="264"/>
    </row>
    <row r="212" spans="1:64" ht="15" hidden="1" customHeight="1" x14ac:dyDescent="0.2">
      <c r="A212" s="1324"/>
      <c r="B212" s="1596" t="str">
        <f>B211</f>
        <v>Agosto</v>
      </c>
      <c r="C212" s="1597"/>
      <c r="D212" s="1598"/>
      <c r="E212" s="161">
        <f>E211</f>
        <v>8</v>
      </c>
      <c r="F212" s="165" t="str">
        <f>IF(OR(G212=0,G212="",G212="- - - - - - -"),"",VLOOKUP(G212,$Y$132:$AC$141,5,FALSE))</f>
        <v/>
      </c>
      <c r="G212" s="1540" t="str">
        <f>IF(F$189="",H$28,IF(AQ211=0,HLOOKUP(CONCATENATE("I",G$189),$AB$181:$AJ$184,$K$182,FALSE),IF(AQ212=0,HLOOKUP(CONCATENATE("II",G$189),$AB$181:$AJ$184,$K$182,FALSE),IF(AQ213=0,HLOOKUP(CONCATENATE("III",G$189),$AB$181:$AJ$184,$K$182,FALSE),H$28))))</f>
        <v>- - - - - - -</v>
      </c>
      <c r="H212" s="1541"/>
      <c r="I212" s="1541"/>
      <c r="J212" s="807">
        <f>IF(F$189="",H$24,IF(AQ211=0,HLOOKUP(CONCATENATE("I",G$189),$AB$181:$AH$188,8,FALSE),IF(AQ212=0,HLOOKUP(CONCATENATE("II",G$189),$AB$181:$AH$188,8,FALSE),IF(AQ213=0,HLOOKUP(CONCATENATE("III",G$189),$AB$181:$AH$188,8,FALSE),H$24))))</f>
        <v>0</v>
      </c>
      <c r="K212" s="165" t="str">
        <f>IF(OR(L212=0,L212="",L212="- - - - - - -"),"",VLOOKUP(L212,$Y$132:$AC$141,5,FALSE))</f>
        <v/>
      </c>
      <c r="L212" s="1540" t="str">
        <f>IF(K$189="",L$28,IF(AR211=0,HLOOKUP(CONCATENATE("I",L$189),$AB$181:$AJ$184,$K$182,FALSE),IF(AR212=0,HLOOKUP(CONCATENATE("II",L$189),$AB$181:$AJ$184,$K$182,FALSE),IF(AR213=0,HLOOKUP(CONCATENATE("III",L$189),$AB$181:$AJ$184,$K$182,FALSE),L$28))))</f>
        <v>- - - - - - -</v>
      </c>
      <c r="M212" s="1541"/>
      <c r="N212" s="1541"/>
      <c r="O212" s="807">
        <f>IF(K$189="",L$24,IF(AR211=0,HLOOKUP(CONCATENATE("I",L$189),$AB$181:$AH$188,8,FALSE),IF(AR212=0,HLOOKUP(CONCATENATE("II",L$189),$AB$181:$AH$188,8,FALSE),IF(AR213=0,HLOOKUP(CONCATENATE("III",L$189),$AB$181:$AH$188,8,FALSE),L$24))))</f>
        <v>0</v>
      </c>
      <c r="P212" s="165" t="str">
        <f>IF(OR(Q212=0,Q212="",Q212="- - - - - - -"),"",VLOOKUP(Q212,$Y$132:$AC$141,5,FALSE))</f>
        <v/>
      </c>
      <c r="Q212" s="1540" t="str">
        <f>IF(P$189="",P$28,IF(AS211=0,HLOOKUP(CONCATENATE("I",Q$189),$AB$181:$AJ$184,$K$182,FALSE),IF(AS212=0,HLOOKUP(CONCATENATE("II",Q$189),$AB$181:$AJ$184,$K$182,FALSE),IF(AS213=0,HLOOKUP(CONCATENATE("III",Q$189),$AB$181:$AJ$184,$K$182,FALSE),P$28))))</f>
        <v>- - - - - - -</v>
      </c>
      <c r="R212" s="1541"/>
      <c r="S212" s="1541"/>
      <c r="T212" s="807">
        <f>IF(P$189="",P$24,IF(AS211=0,HLOOKUP(CONCATENATE("I",Q$189),$AB$181:$AH$188,8,FALSE),IF(AS212=0,HLOOKUP(CONCATENATE("II",Q$189),$AB$181:$AH$188,8,FALSE),IF(AS213=0,HLOOKUP(CONCATENATE("III",Q$189),$AB$181:$AH$188,8,FALSE),P$24))))</f>
        <v>0</v>
      </c>
      <c r="U212" s="165" t="str">
        <f>IF(OR(V212=0,V212="",V212="- - - - - - -"),"",VLOOKUP(V212,$Y$132:$AC$141,5,FALSE))</f>
        <v/>
      </c>
      <c r="V212" s="1540" t="str">
        <f>IF(U$189="",T$28,IF(AT211=0,HLOOKUP(CONCATENATE("I",V$189),$AB$181:$AJ$184,$K$182,FALSE),IF(AT212=0,HLOOKUP(CONCATENATE("II",V$189),$AB$181:$AJ$184,$K$182,FALSE),IF(AT213=0,HLOOKUP(CONCATENATE("III",V$189),$AB$181:$AJ$184,$K$182,FALSE),T$28))))</f>
        <v>- - - - - - -</v>
      </c>
      <c r="W212" s="1541"/>
      <c r="X212" s="1541"/>
      <c r="Y212" s="807">
        <f>IF(U$189="",T$24,IF(AT211=0,HLOOKUP(CONCATENATE("I",V$189),$AB$181:$AH$188,8,FALSE),IF(AT212=0,HLOOKUP(CONCATENATE("II",V$189),$AB$181:$AH$188,8,FALSE),IF(AT213=0,HLOOKUP(CONCATENATE("III",V$189),$AB$181:$AH$188,8,FALSE),T$24))))</f>
        <v>0</v>
      </c>
      <c r="Z212" s="165" t="str">
        <f>IF(OR(AA212=0,AA212="",AA212="- - - - - - -"),"",VLOOKUP(AA212,$Y$132:$AC$141,5,FALSE))</f>
        <v/>
      </c>
      <c r="AA212" s="1540" t="str">
        <f>IF(Z$189="",X$28,IF(AU211=0,HLOOKUP(CONCATENATE("I",AA$189),$AB$181:$AJ$184,$K$182,FALSE),IF(AU212=0,HLOOKUP(CONCATENATE("II",AA$189),$AB$181:$AJ$184,$K$182,FALSE),IF(AU213=0,HLOOKUP(CONCATENATE("III",AA$189),$AB$181:$AJ$184,$K$182,FALSE),X$28))))</f>
        <v>- - - - - - -</v>
      </c>
      <c r="AB212" s="1541"/>
      <c r="AC212" s="1541"/>
      <c r="AD212" s="807">
        <f>IF(Z$189="",X$24,IF(AU211=0,HLOOKUP(CONCATENATE("I",AA$189),$AB$181:$AH$188,8,FALSE),IF(AU212=0,HLOOKUP(CONCATENATE("II",AA$189),$AB$181:$AH$188,8,FALSE),IF(AU213=0,HLOOKUP(CONCATENATE("III",AA$189),$AB$181:$AH$188,8,FALSE),X$24))))</f>
        <v>0</v>
      </c>
      <c r="AE212" s="165" t="str">
        <f>IF(OR(AF212=0,AF212="",AF212="- - - - - - -"),"",VLOOKUP(AF212,$Y$132:$AC$141,5,FALSE))</f>
        <v/>
      </c>
      <c r="AF212" s="1540" t="str">
        <f>IF(AE$189="",AB$28,IF(AV211=0,HLOOKUP(CONCATENATE("I",AF$189),$AB$181:$AJ$184,$K$182,FALSE),IF(AV212=0,HLOOKUP(CONCATENATE("II",AF$189),$AB$181:$AJ$184,$K$182,FALSE),IF(AV213=0,HLOOKUP(CONCATENATE("III",AF$189),$AB$181:$AJ$184,$K$182,FALSE),AB$28))))</f>
        <v>- - - - - - -</v>
      </c>
      <c r="AG212" s="1541"/>
      <c r="AH212" s="1541"/>
      <c r="AI212" s="807">
        <f>IF(AE$189="",AB$24,IF(AV211=0,HLOOKUP(CONCATENATE("I",AF$189),$AB$181:$AH$188,8,FALSE),IF(AV212=0,HLOOKUP(CONCATENATE("II",AF$189),$AB$181:$AH$188,8,FALSE),IF(AV213=0,HLOOKUP(CONCATENATE("III",AF$189),$AB$181:$AH$188,8,FALSE),AB$24))))</f>
        <v>0</v>
      </c>
      <c r="AJ212" s="165" t="str">
        <f>IF(OR(AK212=0,AK212="",AK212="- - - - - - -"),"",VLOOKUP(AK212,$Y$132:$AC$141,5,FALSE))</f>
        <v/>
      </c>
      <c r="AK212" s="1540" t="str">
        <f>IF(AJ$189="",AF$28,IF(AW211=0,HLOOKUP(CONCATENATE("I",AK$189),$AB$181:$AJ$184,$K$182,FALSE),IF(AW212=0,HLOOKUP(CONCATENATE("II",AK$189),$AB$181:$AJ$184,$K$182,FALSE),IF(AW213=0,HLOOKUP(CONCATENATE("III",AK$189),$AB$181:$AJ$184,$K$182,FALSE),AF$28))))</f>
        <v>- - - - - - -</v>
      </c>
      <c r="AL212" s="1541"/>
      <c r="AM212" s="1541"/>
      <c r="AN212" s="807">
        <f>IF(AJ$189="",AF$24,IF(AW211=0,HLOOKUP(CONCATENATE("I",AK$189),$AB$181:$AH$188,8,FALSE),IF(AW212=0,HLOOKUP(CONCATENATE("II",AK$189),$AB$181:$AH$188,8,FALSE),IF(AW213=0,HLOOKUP(CONCATENATE("III",AK$189),$AB$181:$AH$188,8,FALSE),AF$24))))</f>
        <v>0</v>
      </c>
      <c r="AO212" s="1324"/>
      <c r="AP212" s="310" t="s">
        <v>216</v>
      </c>
      <c r="AQ212" s="1335" t="str">
        <f t="shared" si="53"/>
        <v>---</v>
      </c>
      <c r="AR212" s="1335" t="str">
        <f t="shared" si="48"/>
        <v>---</v>
      </c>
      <c r="AS212" s="1335" t="str">
        <f t="shared" si="49"/>
        <v>---</v>
      </c>
      <c r="AT212" s="1335" t="str">
        <f t="shared" si="50"/>
        <v>---</v>
      </c>
      <c r="AU212" s="1335" t="str">
        <f t="shared" si="51"/>
        <v>---</v>
      </c>
      <c r="AV212" s="1335" t="str">
        <f t="shared" si="52"/>
        <v>---</v>
      </c>
      <c r="AW212" s="1335" t="str">
        <f t="shared" si="47"/>
        <v>---</v>
      </c>
      <c r="AX212" s="33"/>
      <c r="AY212" s="1335" t="e">
        <f>HLOOKUP($E211,$O$180:$Z$183,VLOOKUP(CONCATENATE("II",G$189),$H$181:$K$183,4,FALSE),FALSE)</f>
        <v>#N/A</v>
      </c>
      <c r="AZ212" s="1335" t="e">
        <f>HLOOKUP($E211,$O$180:$Z$183,VLOOKUP(CONCATENATE("II",L$189),$H$181:$K$183,4,FALSE),FALSE)</f>
        <v>#N/A</v>
      </c>
      <c r="BA212" s="1335" t="e">
        <f>HLOOKUP($E211,$O$180:$Z$183,VLOOKUP(CONCATENATE("II",Q$189),$H$181:$K$183,4,FALSE),FALSE)</f>
        <v>#N/A</v>
      </c>
      <c r="BB212" s="1335" t="e">
        <f>HLOOKUP($E211,$O$180:$Z$183,VLOOKUP(CONCATENATE("II",V$189),$H$181:$K$183,4,FALSE),FALSE)</f>
        <v>#N/A</v>
      </c>
      <c r="BC212" s="1335" t="e">
        <f>HLOOKUP($E211,$O$180:$Z$183,VLOOKUP(CONCATENATE("II",AA$189),$H$181:$K$183,4,FALSE),FALSE)</f>
        <v>#N/A</v>
      </c>
      <c r="BD212" s="1335" t="e">
        <f>HLOOKUP($E211,$O$180:$Z$183,VLOOKUP(CONCATENATE("II",AF$189),$H$181:$K$183,4,FALSE),FALSE)</f>
        <v>#N/A</v>
      </c>
      <c r="BE212" s="1335" t="e">
        <f>HLOOKUP($E211,$O$180:$Z$183,VLOOKUP(CONCATENATE("II",AK$189),$H$181:$K$183,4,FALSE),FALSE)</f>
        <v>#N/A</v>
      </c>
      <c r="BF212" s="33"/>
      <c r="BG212" s="264"/>
      <c r="BH212" s="264"/>
      <c r="BI212" s="264"/>
      <c r="BJ212" s="264"/>
      <c r="BK212" s="264"/>
      <c r="BL212" s="264"/>
    </row>
    <row r="213" spans="1:64" ht="15" hidden="1" customHeight="1" x14ac:dyDescent="0.2">
      <c r="A213" s="1324"/>
      <c r="B213" s="1565" t="str">
        <f>B211</f>
        <v>Agosto</v>
      </c>
      <c r="C213" s="1566"/>
      <c r="D213" s="1567"/>
      <c r="E213" s="161">
        <f>E212</f>
        <v>8</v>
      </c>
      <c r="F213" s="806" t="str">
        <f>IF(OR(G213="",G213=0),"",VLOOKUP(G213,$AG$8:$AK$14,5,FALSE))</f>
        <v/>
      </c>
      <c r="G213" s="1578" t="str">
        <f>IF(F$189="",H$29,IF(AQ211=0,HLOOKUP(CONCATENATE("I",G$189),$AB$181:$AJ$184,$K$183,FALSE),IF(AQ212=0,HLOOKUP(CONCATENATE("II",G$189),$AB$181:$AJ$184,$K$183,FALSE),IF(AQ213=0,HLOOKUP(CONCATENATE("III",G$189),$AB$181:$AJ$184,$K$183,FALSE),H$29))))</f>
        <v/>
      </c>
      <c r="H213" s="1579"/>
      <c r="I213" s="1579"/>
      <c r="J213" s="1580"/>
      <c r="K213" s="806" t="str">
        <f>IF(OR(L213="",L213=0),"",VLOOKUP(L213,$AG$8:$AK$14,5,FALSE))</f>
        <v/>
      </c>
      <c r="L213" s="1578" t="str">
        <f>IF(K$189="",L$29,IF(AR211=0,HLOOKUP(CONCATENATE("I",L$189),$AB$181:$AJ$184,$K$183,FALSE),IF(AR212=0,HLOOKUP(CONCATENATE("II",L$189),$AB$181:$AJ$184,$K$183,FALSE),IF(AR213=0,HLOOKUP(CONCATENATE("III",L$189),$AB$181:$AJ$184,$K$183,FALSE),L$29))))</f>
        <v/>
      </c>
      <c r="M213" s="1579"/>
      <c r="N213" s="1579"/>
      <c r="O213" s="1580"/>
      <c r="P213" s="806" t="str">
        <f>IF(OR(Q213="",Q213=0),"",VLOOKUP(Q213,$AG$8:$AK$14,5,FALSE))</f>
        <v/>
      </c>
      <c r="Q213" s="1578" t="str">
        <f>IF(P$189="",P$29,IF(AS211=0,HLOOKUP(CONCATENATE("I",Q$189),$AB$181:$AJ$184,$K$183,FALSE),IF(AS212=0,HLOOKUP(CONCATENATE("II",Q$189),$AB$181:$AJ$184,$K$183,FALSE),IF(AS213=0,HLOOKUP(CONCATENATE("III",Q$189),$AB$181:$AJ$184,$K$183,FALSE),P$29))))</f>
        <v/>
      </c>
      <c r="R213" s="1579"/>
      <c r="S213" s="1579"/>
      <c r="T213" s="1580"/>
      <c r="U213" s="806" t="str">
        <f>IF(OR(V213="",V213=0),"",VLOOKUP(V213,$AG$8:$AK$14,5,FALSE))</f>
        <v/>
      </c>
      <c r="V213" s="1578" t="str">
        <f>IF(U$189="",T$29,IF(AT211=0,HLOOKUP(CONCATENATE("I",V$189),$AB$181:$AJ$184,$K$183,FALSE),IF(AT212=0,HLOOKUP(CONCATENATE("II",V$189),$AB$181:$AJ$184,$K$183,FALSE),IF(AT213=0,HLOOKUP(CONCATENATE("III",V$189),$AB$181:$AJ$184,$K$183,FALSE),T$29))))</f>
        <v/>
      </c>
      <c r="W213" s="1579"/>
      <c r="X213" s="1579"/>
      <c r="Y213" s="1580"/>
      <c r="Z213" s="806" t="str">
        <f>IF(OR(AA213="",AA213=0),"",VLOOKUP(AA213,$AG$8:$AK$14,5,FALSE))</f>
        <v/>
      </c>
      <c r="AA213" s="1578" t="str">
        <f>IF(Z$189="",X$29,IF(AU211=0,HLOOKUP(CONCATENATE("I",AA$189),$AB$181:$AJ$184,$K$183,FALSE),IF(AU212=0,HLOOKUP(CONCATENATE("II",AA$189),$AB$181:$AJ$184,$K$183,FALSE),IF(AU213=0,HLOOKUP(CONCATENATE("III",AA$189),$AB$181:$AJ$184,$K$183,FALSE),X$29))))</f>
        <v/>
      </c>
      <c r="AB213" s="1579"/>
      <c r="AC213" s="1579"/>
      <c r="AD213" s="1580"/>
      <c r="AE213" s="806" t="str">
        <f>IF(OR(AF213="",AF213=0),"",VLOOKUP(AF213,$AG$8:$AK$14,5,FALSE))</f>
        <v/>
      </c>
      <c r="AF213" s="1578" t="str">
        <f>IF(AE$189="",AB$29,IF(AV211=0,HLOOKUP(CONCATENATE("I",AF$189),$AB$181:$AJ$184,$K$183,FALSE),IF(AV212=0,HLOOKUP(CONCATENATE("II",AF$189),$AB$181:$AJ$184,$K$183,FALSE),IF(AV213=0,HLOOKUP(CONCATENATE("III",AF$189),$AB$181:$AJ$184,$K$183,FALSE),AB$29))))</f>
        <v/>
      </c>
      <c r="AG213" s="1579"/>
      <c r="AH213" s="1579"/>
      <c r="AI213" s="1580"/>
      <c r="AJ213" s="806" t="str">
        <f>IF(OR(AK213="",AK213=0),"",VLOOKUP(AK213,$AG$8:$AK$14,5,FALSE))</f>
        <v/>
      </c>
      <c r="AK213" s="1578" t="str">
        <f>IF(AJ$189="",AF$29,IF(AW211=0,HLOOKUP(CONCATENATE("I",AK$189),$AB$181:$AJ$184,$K$183,FALSE),IF(AW212=0,HLOOKUP(CONCATENATE("II",AK$189),$AB$181:$AJ$184,$K$183,FALSE),IF(AW213=0,HLOOKUP(CONCATENATE("III",AK$189),$AB$181:$AJ$184,$K$183,FALSE),AF$29))))</f>
        <v/>
      </c>
      <c r="AL213" s="1579"/>
      <c r="AM213" s="1579"/>
      <c r="AN213" s="1580"/>
      <c r="AO213" s="1324"/>
      <c r="AP213" s="577" t="s">
        <v>217</v>
      </c>
      <c r="AQ213" s="172" t="str">
        <f t="shared" si="53"/>
        <v>---</v>
      </c>
      <c r="AR213" s="172" t="str">
        <f t="shared" si="48"/>
        <v>---</v>
      </c>
      <c r="AS213" s="172" t="str">
        <f t="shared" si="49"/>
        <v>---</v>
      </c>
      <c r="AT213" s="172" t="str">
        <f t="shared" si="50"/>
        <v>---</v>
      </c>
      <c r="AU213" s="172" t="str">
        <f t="shared" si="51"/>
        <v>---</v>
      </c>
      <c r="AV213" s="172" t="str">
        <f t="shared" si="52"/>
        <v>---</v>
      </c>
      <c r="AW213" s="172" t="str">
        <f t="shared" si="47"/>
        <v>---</v>
      </c>
      <c r="AX213" s="33"/>
      <c r="AY213" s="172" t="e">
        <f>HLOOKUP($E211,$O$180:$Z$183,VLOOKUP(CONCATENATE("III",G$189),$H$181:$K$183,4,FALSE),FALSE)</f>
        <v>#N/A</v>
      </c>
      <c r="AZ213" s="172" t="e">
        <f>HLOOKUP($E211,$O$180:$Z$183,VLOOKUP(CONCATENATE("III",L$189),$H$181:$K$183,4,FALSE),FALSE)</f>
        <v>#N/A</v>
      </c>
      <c r="BA213" s="172" t="e">
        <f>HLOOKUP($E211,$O$180:$Z$183,VLOOKUP(CONCATENATE("III",Q$189),$H$181:$K$183,4,FALSE),FALSE)</f>
        <v>#N/A</v>
      </c>
      <c r="BB213" s="172" t="e">
        <f>HLOOKUP($E211,$O$180:$Z$183,VLOOKUP(CONCATENATE("III",V$189),$H$181:$K$183,4,FALSE),FALSE)</f>
        <v>#N/A</v>
      </c>
      <c r="BC213" s="172" t="e">
        <f>HLOOKUP($E211,$O$180:$Z$183,VLOOKUP(CONCATENATE("III",AA$189),$H$181:$K$183,4,FALSE),FALSE)</f>
        <v>#N/A</v>
      </c>
      <c r="BD213" s="172" t="e">
        <f>HLOOKUP($E211,$O$180:$Z$183,VLOOKUP(CONCATENATE("III",AF$189),$H$181:$K$183,4,FALSE),FALSE)</f>
        <v>#N/A</v>
      </c>
      <c r="BE213" s="172" t="e">
        <f>HLOOKUP($E211,$O$180:$Z$183,VLOOKUP(CONCATENATE("III",AK$189),$H$181:$K$183,4,FALSE),FALSE)</f>
        <v>#N/A</v>
      </c>
      <c r="BF213" s="33"/>
      <c r="BG213" s="264"/>
      <c r="BH213" s="264"/>
      <c r="BI213" s="264"/>
      <c r="BJ213" s="264"/>
      <c r="BK213" s="264"/>
      <c r="BL213" s="264"/>
    </row>
    <row r="214" spans="1:64" ht="15" hidden="1" customHeight="1" x14ac:dyDescent="0.2">
      <c r="A214" s="1324"/>
      <c r="B214" s="1599" t="str">
        <f>C162</f>
        <v>Settembre</v>
      </c>
      <c r="C214" s="1546"/>
      <c r="D214" s="1600"/>
      <c r="E214" s="159">
        <f>W180</f>
        <v>9</v>
      </c>
      <c r="F214" s="164" t="str">
        <f>IF(OR(G214="",G214=0),"",VLOOKUP(G214,$K$8:$O$17,5,FALSE))</f>
        <v/>
      </c>
      <c r="G214" s="1537" t="str">
        <f>IF(F$189="",H$27,IF(AQ214=0,HLOOKUP(CONCATENATE("I",G$189),$AB$181:$AJ$184,$K$181,FALSE),IF(AQ215=0,HLOOKUP(CONCATENATE("II",G$189),$AB$181:$AJ$184,$K$181,FALSE),IF(AQ216=0,HLOOKUP(CONCATENATE("III",G$189),$AB$181:$AJ$184,$K$181,FALSE),H$27))))</f>
        <v/>
      </c>
      <c r="H214" s="1538"/>
      <c r="I214" s="1538"/>
      <c r="J214" s="1539"/>
      <c r="K214" s="164" t="str">
        <f>IF(OR(L214="",L214=0),"",VLOOKUP(L214,$K$8:$O$17,5,FALSE))</f>
        <v/>
      </c>
      <c r="L214" s="1537" t="str">
        <f>IF(K$189="",L$27,IF(AR214=0,HLOOKUP(CONCATENATE("I",L$189),$AB$181:$AJ$184,$K$181,FALSE),IF(AR215=0,HLOOKUP(CONCATENATE("II",L$189),$AB$181:$AJ$184,$K$181,FALSE),IF(AR216=0,HLOOKUP(CONCATENATE("III",L$189),$AB$181:$AJ$184,$K$181,FALSE),L$27))))</f>
        <v/>
      </c>
      <c r="M214" s="1538"/>
      <c r="N214" s="1538"/>
      <c r="O214" s="1539"/>
      <c r="P214" s="164" t="str">
        <f>IF(OR(Q214="",Q214=0),"",VLOOKUP(Q214,$K$8:$O$17,5,FALSE))</f>
        <v/>
      </c>
      <c r="Q214" s="1537" t="str">
        <f>IF(P$189="",P$27,IF(AS214=0,HLOOKUP(CONCATENATE("I",Q$189),$AB$181:$AJ$184,$K$181,FALSE),IF(AS215=0,HLOOKUP(CONCATENATE("II",Q$189),$AB$181:$AJ$184,$K$181,FALSE),IF(AS216=0,HLOOKUP(CONCATENATE("III",Q$189),$AB$181:$AJ$184,$K$181,FALSE),P$27))))</f>
        <v/>
      </c>
      <c r="R214" s="1538"/>
      <c r="S214" s="1538"/>
      <c r="T214" s="1539"/>
      <c r="U214" s="164" t="str">
        <f>IF(OR(V214="",V214=0),"",VLOOKUP(V214,$K$8:$O$17,5,FALSE))</f>
        <v/>
      </c>
      <c r="V214" s="1537" t="str">
        <f>IF(U$189="",T$27,IF(AT214=0,HLOOKUP(CONCATENATE("I",V$189),$AB$181:$AJ$184,$K$181,FALSE),IF(AT215=0,HLOOKUP(CONCATENATE("II",V$189),$AB$181:$AJ$184,$K$181,FALSE),IF(AT216=0,HLOOKUP(CONCATENATE("III",V$189),$AB$181:$AJ$184,$K$181,FALSE),T$27))))</f>
        <v/>
      </c>
      <c r="W214" s="1538"/>
      <c r="X214" s="1538"/>
      <c r="Y214" s="1539"/>
      <c r="Z214" s="164" t="str">
        <f>IF(OR(AA214="",AA214=0),"",VLOOKUP(AA214,$K$8:$O$17,5,FALSE))</f>
        <v/>
      </c>
      <c r="AA214" s="1537" t="str">
        <f>IF(Z$189="",X$27,IF(AU214=0,HLOOKUP(CONCATENATE("I",AA$189),$AB$181:$AJ$184,$K$181,FALSE),IF(AU215=0,HLOOKUP(CONCATENATE("II",AA$189),$AB$181:$AJ$184,$K$181,FALSE),IF(AU216=0,HLOOKUP(CONCATENATE("III",AA$189),$AB$181:$AJ$184,$K$181,FALSE),X$27))))</f>
        <v/>
      </c>
      <c r="AB214" s="1538"/>
      <c r="AC214" s="1538"/>
      <c r="AD214" s="1539"/>
      <c r="AE214" s="164" t="str">
        <f>IF(OR(AF214="",AF214=0),"",VLOOKUP(AF214,$K$8:$O$17,5,FALSE))</f>
        <v/>
      </c>
      <c r="AF214" s="1537" t="str">
        <f>IF(AE$189="",AB$27,IF(AV214=0,HLOOKUP(CONCATENATE("I",AF$189),$AB$181:$AJ$184,$K$181,FALSE),IF(AV215=0,HLOOKUP(CONCATENATE("II",AF$189),$AB$181:$AJ$184,$K$181,FALSE),IF(AV216=0,HLOOKUP(CONCATENATE("III",AF$189),$AB$181:$AJ$184,$K$181,FALSE),AB$27))))</f>
        <v/>
      </c>
      <c r="AG214" s="1538"/>
      <c r="AH214" s="1538"/>
      <c r="AI214" s="1539"/>
      <c r="AJ214" s="164" t="str">
        <f>IF(OR(AK214="",AK214=0),"",VLOOKUP(AK214,$K$8:$O$17,5,FALSE))</f>
        <v/>
      </c>
      <c r="AK214" s="1537" t="str">
        <f>IF(AJ$189="",AF$27,IF(AW214=0,HLOOKUP(CONCATENATE("I",AK$189),$AB$181:$AJ$184,$K$181,FALSE),IF(AW215=0,HLOOKUP(CONCATENATE("II",AK$189),$AB$181:$AJ$184,$K$181,FALSE),IF(AW216=0,HLOOKUP(CONCATENATE("III",AK$189),$AB$181:$AJ$184,$K$181,FALSE),AF$27))))</f>
        <v/>
      </c>
      <c r="AL214" s="1538"/>
      <c r="AM214" s="1538"/>
      <c r="AN214" s="1539"/>
      <c r="AO214" s="1324"/>
      <c r="AP214" s="576" t="s">
        <v>242</v>
      </c>
      <c r="AQ214" s="173" t="str">
        <f t="shared" si="53"/>
        <v>---</v>
      </c>
      <c r="AR214" s="173" t="str">
        <f t="shared" si="48"/>
        <v>---</v>
      </c>
      <c r="AS214" s="173" t="str">
        <f t="shared" si="49"/>
        <v>---</v>
      </c>
      <c r="AT214" s="173" t="str">
        <f t="shared" si="50"/>
        <v>---</v>
      </c>
      <c r="AU214" s="173" t="str">
        <f t="shared" si="51"/>
        <v>---</v>
      </c>
      <c r="AV214" s="173" t="str">
        <f t="shared" si="52"/>
        <v>---</v>
      </c>
      <c r="AW214" s="173" t="str">
        <f t="shared" si="47"/>
        <v>---</v>
      </c>
      <c r="AX214" s="33"/>
      <c r="AY214" s="173" t="e">
        <f>HLOOKUP($E214,$O$180:$Z$183,VLOOKUP(CONCATENATE("I",G$189),$H$181:$K$183,4,FALSE),FALSE)</f>
        <v>#N/A</v>
      </c>
      <c r="AZ214" s="173" t="e">
        <f>HLOOKUP($E214,$O$180:$Z$183,VLOOKUP(CONCATENATE("I",L$189),$H$181:$K$183,4,FALSE),FALSE)</f>
        <v>#N/A</v>
      </c>
      <c r="BA214" s="173" t="e">
        <f>HLOOKUP($E214,$O$180:$Z$183,VLOOKUP(CONCATENATE("I",Q$189),$H$181:$K$183,4,FALSE),FALSE)</f>
        <v>#N/A</v>
      </c>
      <c r="BB214" s="173" t="e">
        <f>HLOOKUP($E214,$O$180:$Z$183,VLOOKUP(CONCATENATE("I",V$189),$H$181:$K$183,4,FALSE),FALSE)</f>
        <v>#N/A</v>
      </c>
      <c r="BC214" s="173" t="e">
        <f>HLOOKUP($E214,$O$180:$Z$183,VLOOKUP(CONCATENATE("I",AA$189),$H$181:$K$183,4,FALSE),FALSE)</f>
        <v>#N/A</v>
      </c>
      <c r="BD214" s="173" t="e">
        <f>HLOOKUP($E214,$O$180:$Z$183,VLOOKUP(CONCATENATE("I",AF$189),$H$181:$K$183,4,FALSE),FALSE)</f>
        <v>#N/A</v>
      </c>
      <c r="BE214" s="173" t="e">
        <f>HLOOKUP($E214,$O$180:$Z$183,VLOOKUP(CONCATENATE("I",AK$189),$H$181:$K$183,4,FALSE),FALSE)</f>
        <v>#N/A</v>
      </c>
      <c r="BF214" s="33"/>
      <c r="BG214" s="264"/>
      <c r="BH214" s="264"/>
      <c r="BI214" s="264"/>
      <c r="BJ214" s="264"/>
      <c r="BK214" s="264"/>
      <c r="BL214" s="264"/>
    </row>
    <row r="215" spans="1:64" ht="15" hidden="1" customHeight="1" x14ac:dyDescent="0.2">
      <c r="A215" s="1324"/>
      <c r="B215" s="1596" t="str">
        <f>B214</f>
        <v>Settembre</v>
      </c>
      <c r="C215" s="1597"/>
      <c r="D215" s="1598"/>
      <c r="E215" s="161">
        <f>E214</f>
        <v>9</v>
      </c>
      <c r="F215" s="165" t="str">
        <f>IF(OR(G215=0,G215="",G215="- - - - - - -"),"",VLOOKUP(G215,$Y$132:$AC$141,5,FALSE))</f>
        <v/>
      </c>
      <c r="G215" s="1540" t="str">
        <f>IF(F$189="",H$28,IF(AQ214=0,HLOOKUP(CONCATENATE("I",G$189),$AB$181:$AJ$184,$K$182,FALSE),IF(AQ215=0,HLOOKUP(CONCATENATE("II",G$189),$AB$181:$AJ$184,$K$182,FALSE),IF(AQ216=0,HLOOKUP(CONCATENATE("III",G$189),$AB$181:$AJ$184,$K$182,FALSE),H$28))))</f>
        <v>- - - - - - -</v>
      </c>
      <c r="H215" s="1541"/>
      <c r="I215" s="1541"/>
      <c r="J215" s="807">
        <f>IF(F$189="",H$24,IF(AQ214=0,HLOOKUP(CONCATENATE("I",G$189),$AB$181:$AH$188,8,FALSE),IF(AQ215=0,HLOOKUP(CONCATENATE("II",G$189),$AB$181:$AH$188,8,FALSE),IF(AQ216=0,HLOOKUP(CONCATENATE("III",G$189),$AB$181:$AH$188,8,FALSE),H$24))))</f>
        <v>0</v>
      </c>
      <c r="K215" s="165" t="str">
        <f>IF(OR(L215=0,L215="",L215="- - - - - - -"),"",VLOOKUP(L215,$Y$132:$AC$141,5,FALSE))</f>
        <v/>
      </c>
      <c r="L215" s="1540" t="str">
        <f>IF(K$189="",L$28,IF(AR214=0,HLOOKUP(CONCATENATE("I",L$189),$AB$181:$AJ$184,$K$182,FALSE),IF(AR215=0,HLOOKUP(CONCATENATE("II",L$189),$AB$181:$AJ$184,$K$182,FALSE),IF(AR216=0,HLOOKUP(CONCATENATE("III",L$189),$AB$181:$AJ$184,$K$182,FALSE),L$28))))</f>
        <v>- - - - - - -</v>
      </c>
      <c r="M215" s="1541"/>
      <c r="N215" s="1541"/>
      <c r="O215" s="807">
        <f>IF(K$189="",L$24,IF(AR214=0,HLOOKUP(CONCATENATE("I",L$189),$AB$181:$AH$188,8,FALSE),IF(AR215=0,HLOOKUP(CONCATENATE("II",L$189),$AB$181:$AH$188,8,FALSE),IF(AR216=0,HLOOKUP(CONCATENATE("III",L$189),$AB$181:$AH$188,8,FALSE),L$24))))</f>
        <v>0</v>
      </c>
      <c r="P215" s="165" t="str">
        <f>IF(OR(Q215=0,Q215="",Q215="- - - - - - -"),"",VLOOKUP(Q215,$Y$132:$AC$141,5,FALSE))</f>
        <v/>
      </c>
      <c r="Q215" s="1540" t="str">
        <f>IF(P$189="",P$28,IF(AS214=0,HLOOKUP(CONCATENATE("I",Q$189),$AB$181:$AJ$184,$K$182,FALSE),IF(AS215=0,HLOOKUP(CONCATENATE("II",Q$189),$AB$181:$AJ$184,$K$182,FALSE),IF(AS216=0,HLOOKUP(CONCATENATE("III",Q$189),$AB$181:$AJ$184,$K$182,FALSE),P$28))))</f>
        <v>- - - - - - -</v>
      </c>
      <c r="R215" s="1541"/>
      <c r="S215" s="1541"/>
      <c r="T215" s="807">
        <f>IF(P$189="",P$24,IF(AS214=0,HLOOKUP(CONCATENATE("I",Q$189),$AB$181:$AH$188,8,FALSE),IF(AS215=0,HLOOKUP(CONCATENATE("II",Q$189),$AB$181:$AH$188,8,FALSE),IF(AS216=0,HLOOKUP(CONCATENATE("III",Q$189),$AB$181:$AH$188,8,FALSE),P$24))))</f>
        <v>0</v>
      </c>
      <c r="U215" s="165" t="str">
        <f>IF(OR(V215=0,V215="",V215="- - - - - - -"),"",VLOOKUP(V215,$Y$132:$AC$141,5,FALSE))</f>
        <v/>
      </c>
      <c r="V215" s="1540" t="str">
        <f>IF(U$189="",T$28,IF(AT214=0,HLOOKUP(CONCATENATE("I",V$189),$AB$181:$AJ$184,$K$182,FALSE),IF(AT215=0,HLOOKUP(CONCATENATE("II",V$189),$AB$181:$AJ$184,$K$182,FALSE),IF(AT216=0,HLOOKUP(CONCATENATE("III",V$189),$AB$181:$AJ$184,$K$182,FALSE),T$28))))</f>
        <v>- - - - - - -</v>
      </c>
      <c r="W215" s="1541"/>
      <c r="X215" s="1541"/>
      <c r="Y215" s="807">
        <f>IF(U$189="",T$24,IF(AT214=0,HLOOKUP(CONCATENATE("I",V$189),$AB$181:$AH$188,8,FALSE),IF(AT215=0,HLOOKUP(CONCATENATE("II",V$189),$AB$181:$AH$188,8,FALSE),IF(AT216=0,HLOOKUP(CONCATENATE("III",V$189),$AB$181:$AH$188,8,FALSE),T$24))))</f>
        <v>0</v>
      </c>
      <c r="Z215" s="165" t="str">
        <f>IF(OR(AA215=0,AA215="",AA215="- - - - - - -"),"",VLOOKUP(AA215,$Y$132:$AC$141,5,FALSE))</f>
        <v/>
      </c>
      <c r="AA215" s="1540" t="str">
        <f>IF(Z$189="",X$28,IF(AU214=0,HLOOKUP(CONCATENATE("I",AA$189),$AB$181:$AJ$184,$K$182,FALSE),IF(AU215=0,HLOOKUP(CONCATENATE("II",AA$189),$AB$181:$AJ$184,$K$182,FALSE),IF(AU216=0,HLOOKUP(CONCATENATE("III",AA$189),$AB$181:$AJ$184,$K$182,FALSE),X$28))))</f>
        <v>- - - - - - -</v>
      </c>
      <c r="AB215" s="1541"/>
      <c r="AC215" s="1541"/>
      <c r="AD215" s="807">
        <f>IF(Z$189="",X$24,IF(AU214=0,HLOOKUP(CONCATENATE("I",AA$189),$AB$181:$AH$188,8,FALSE),IF(AU215=0,HLOOKUP(CONCATENATE("II",AA$189),$AB$181:$AH$188,8,FALSE),IF(AU216=0,HLOOKUP(CONCATENATE("III",AA$189),$AB$181:$AH$188,8,FALSE),X$24))))</f>
        <v>0</v>
      </c>
      <c r="AE215" s="165" t="str">
        <f>IF(OR(AF215=0,AF215="",AF215="- - - - - - -"),"",VLOOKUP(AF215,$Y$132:$AC$141,5,FALSE))</f>
        <v/>
      </c>
      <c r="AF215" s="1540" t="str">
        <f>IF(AE$189="",AB$28,IF(AV214=0,HLOOKUP(CONCATENATE("I",AF$189),$AB$181:$AJ$184,$K$182,FALSE),IF(AV215=0,HLOOKUP(CONCATENATE("II",AF$189),$AB$181:$AJ$184,$K$182,FALSE),IF(AV216=0,HLOOKUP(CONCATENATE("III",AF$189),$AB$181:$AJ$184,$K$182,FALSE),AB$28))))</f>
        <v>- - - - - - -</v>
      </c>
      <c r="AG215" s="1541"/>
      <c r="AH215" s="1541"/>
      <c r="AI215" s="807">
        <f>IF(AE$189="",AB$24,IF(AV214=0,HLOOKUP(CONCATENATE("I",AF$189),$AB$181:$AH$188,8,FALSE),IF(AV215=0,HLOOKUP(CONCATENATE("II",AF$189),$AB$181:$AH$188,8,FALSE),IF(AV216=0,HLOOKUP(CONCATENATE("III",AF$189),$AB$181:$AH$188,8,FALSE),AB$24))))</f>
        <v>0</v>
      </c>
      <c r="AJ215" s="165" t="str">
        <f>IF(OR(AK215=0,AK215="",AK215="- - - - - - -"),"",VLOOKUP(AK215,$Y$132:$AC$141,5,FALSE))</f>
        <v/>
      </c>
      <c r="AK215" s="1540" t="str">
        <f>IF(AJ$189="",AF$28,IF(AW214=0,HLOOKUP(CONCATENATE("I",AK$189),$AB$181:$AJ$184,$K$182,FALSE),IF(AW215=0,HLOOKUP(CONCATENATE("II",AK$189),$AB$181:$AJ$184,$K$182,FALSE),IF(AW216=0,HLOOKUP(CONCATENATE("III",AK$189),$AB$181:$AJ$184,$K$182,FALSE),AF$28))))</f>
        <v>- - - - - - -</v>
      </c>
      <c r="AL215" s="1541"/>
      <c r="AM215" s="1541"/>
      <c r="AN215" s="807">
        <f>IF(AJ$189="",AF$24,IF(AW214=0,HLOOKUP(CONCATENATE("I",AK$189),$AB$181:$AH$188,8,FALSE),IF(AW215=0,HLOOKUP(CONCATENATE("II",AK$189),$AB$181:$AH$188,8,FALSE),IF(AW216=0,HLOOKUP(CONCATENATE("III",AK$189),$AB$181:$AH$188,8,FALSE),AF$24))))</f>
        <v>0</v>
      </c>
      <c r="AO215" s="1324"/>
      <c r="AP215" s="310" t="s">
        <v>216</v>
      </c>
      <c r="AQ215" s="1335" t="str">
        <f t="shared" si="53"/>
        <v>---</v>
      </c>
      <c r="AR215" s="1335" t="str">
        <f t="shared" si="48"/>
        <v>---</v>
      </c>
      <c r="AS215" s="1335" t="str">
        <f t="shared" si="49"/>
        <v>---</v>
      </c>
      <c r="AT215" s="1335" t="str">
        <f t="shared" si="50"/>
        <v>---</v>
      </c>
      <c r="AU215" s="1335" t="str">
        <f t="shared" si="51"/>
        <v>---</v>
      </c>
      <c r="AV215" s="1335" t="str">
        <f t="shared" si="52"/>
        <v>---</v>
      </c>
      <c r="AW215" s="1335" t="str">
        <f t="shared" si="47"/>
        <v>---</v>
      </c>
      <c r="AX215" s="33"/>
      <c r="AY215" s="1335" t="e">
        <f>HLOOKUP($E214,$O$180:$Z$183,VLOOKUP(CONCATENATE("II",G$189),$H$181:$K$183,4,FALSE),FALSE)</f>
        <v>#N/A</v>
      </c>
      <c r="AZ215" s="1335" t="e">
        <f>HLOOKUP($E214,$O$180:$Z$183,VLOOKUP(CONCATENATE("II",L$189),$H$181:$K$183,4,FALSE),FALSE)</f>
        <v>#N/A</v>
      </c>
      <c r="BA215" s="1335" t="e">
        <f>HLOOKUP($E214,$O$180:$Z$183,VLOOKUP(CONCATENATE("II",Q$189),$H$181:$K$183,4,FALSE),FALSE)</f>
        <v>#N/A</v>
      </c>
      <c r="BB215" s="1335" t="e">
        <f>HLOOKUP($E214,$O$180:$Z$183,VLOOKUP(CONCATENATE("II",V$189),$H$181:$K$183,4,FALSE),FALSE)</f>
        <v>#N/A</v>
      </c>
      <c r="BC215" s="1335" t="e">
        <f>HLOOKUP($E214,$O$180:$Z$183,VLOOKUP(CONCATENATE("II",AA$189),$H$181:$K$183,4,FALSE),FALSE)</f>
        <v>#N/A</v>
      </c>
      <c r="BD215" s="1335" t="e">
        <f>HLOOKUP($E214,$O$180:$Z$183,VLOOKUP(CONCATENATE("II",AF$189),$H$181:$K$183,4,FALSE),FALSE)</f>
        <v>#N/A</v>
      </c>
      <c r="BE215" s="1335" t="e">
        <f>HLOOKUP($E214,$O$180:$Z$183,VLOOKUP(CONCATENATE("II",AK$189),$H$181:$K$183,4,FALSE),FALSE)</f>
        <v>#N/A</v>
      </c>
      <c r="BF215" s="33"/>
      <c r="BG215" s="264"/>
      <c r="BH215" s="264"/>
      <c r="BI215" s="264"/>
      <c r="BJ215" s="264"/>
      <c r="BK215" s="264"/>
      <c r="BL215" s="264"/>
    </row>
    <row r="216" spans="1:64" ht="15" hidden="1" customHeight="1" x14ac:dyDescent="0.2">
      <c r="A216" s="1324"/>
      <c r="B216" s="1565" t="str">
        <f>B214</f>
        <v>Settembre</v>
      </c>
      <c r="C216" s="1566"/>
      <c r="D216" s="1567"/>
      <c r="E216" s="161">
        <f>E215</f>
        <v>9</v>
      </c>
      <c r="F216" s="806" t="str">
        <f>IF(OR(G216="",G216=0),"",VLOOKUP(G216,$AG$8:$AK$14,5,FALSE))</f>
        <v/>
      </c>
      <c r="G216" s="1578" t="str">
        <f>IF(F$189="",H$29,IF(AQ214=0,HLOOKUP(CONCATENATE("I",G$189),$AB$181:$AJ$184,$K$183,FALSE),IF(AQ215=0,HLOOKUP(CONCATENATE("II",G$189),$AB$181:$AJ$184,$K$183,FALSE),IF(AQ216=0,HLOOKUP(CONCATENATE("III",G$189),$AB$181:$AJ$184,$K$183,FALSE),H$29))))</f>
        <v/>
      </c>
      <c r="H216" s="1579"/>
      <c r="I216" s="1579"/>
      <c r="J216" s="1580"/>
      <c r="K216" s="806" t="str">
        <f>IF(OR(L216="",L216=0),"",VLOOKUP(L216,$AG$8:$AK$14,5,FALSE))</f>
        <v/>
      </c>
      <c r="L216" s="1578" t="str">
        <f>IF(K$189="",L$29,IF(AR214=0,HLOOKUP(CONCATENATE("I",L$189),$AB$181:$AJ$184,$K$183,FALSE),IF(AR215=0,HLOOKUP(CONCATENATE("II",L$189),$AB$181:$AJ$184,$K$183,FALSE),IF(AR216=0,HLOOKUP(CONCATENATE("III",L$189),$AB$181:$AJ$184,$K$183,FALSE),L$29))))</f>
        <v/>
      </c>
      <c r="M216" s="1579"/>
      <c r="N216" s="1579"/>
      <c r="O216" s="1580"/>
      <c r="P216" s="806" t="str">
        <f>IF(OR(Q216="",Q216=0),"",VLOOKUP(Q216,$AG$8:$AK$14,5,FALSE))</f>
        <v/>
      </c>
      <c r="Q216" s="1578" t="str">
        <f>IF(P$189="",P$29,IF(AS214=0,HLOOKUP(CONCATENATE("I",Q$189),$AB$181:$AJ$184,$K$183,FALSE),IF(AS215=0,HLOOKUP(CONCATENATE("II",Q$189),$AB$181:$AJ$184,$K$183,FALSE),IF(AS216=0,HLOOKUP(CONCATENATE("III",Q$189),$AB$181:$AJ$184,$K$183,FALSE),P$29))))</f>
        <v/>
      </c>
      <c r="R216" s="1579"/>
      <c r="S216" s="1579"/>
      <c r="T216" s="1580"/>
      <c r="U216" s="806" t="str">
        <f>IF(OR(V216="",V216=0),"",VLOOKUP(V216,$AG$8:$AK$14,5,FALSE))</f>
        <v/>
      </c>
      <c r="V216" s="1578" t="str">
        <f>IF(U$189="",T$29,IF(AT214=0,HLOOKUP(CONCATENATE("I",V$189),$AB$181:$AJ$184,$K$183,FALSE),IF(AT215=0,HLOOKUP(CONCATENATE("II",V$189),$AB$181:$AJ$184,$K$183,FALSE),IF(AT216=0,HLOOKUP(CONCATENATE("III",V$189),$AB$181:$AJ$184,$K$183,FALSE),T$29))))</f>
        <v/>
      </c>
      <c r="W216" s="1579"/>
      <c r="X216" s="1579"/>
      <c r="Y216" s="1580"/>
      <c r="Z216" s="806" t="str">
        <f>IF(OR(AA216="",AA216=0),"",VLOOKUP(AA216,$AG$8:$AK$14,5,FALSE))</f>
        <v/>
      </c>
      <c r="AA216" s="1578" t="str">
        <f>IF(Z$189="",X$29,IF(AU214=0,HLOOKUP(CONCATENATE("I",AA$189),$AB$181:$AJ$184,$K$183,FALSE),IF(AU215=0,HLOOKUP(CONCATENATE("II",AA$189),$AB$181:$AJ$184,$K$183,FALSE),IF(AU216=0,HLOOKUP(CONCATENATE("III",AA$189),$AB$181:$AJ$184,$K$183,FALSE),X$29))))</f>
        <v/>
      </c>
      <c r="AB216" s="1579"/>
      <c r="AC216" s="1579"/>
      <c r="AD216" s="1580"/>
      <c r="AE216" s="806" t="str">
        <f>IF(OR(AF216="",AF216=0),"",VLOOKUP(AF216,$AG$8:$AK$14,5,FALSE))</f>
        <v/>
      </c>
      <c r="AF216" s="1578" t="str">
        <f>IF(AE$189="",AB$29,IF(AV214=0,HLOOKUP(CONCATENATE("I",AF$189),$AB$181:$AJ$184,$K$183,FALSE),IF(AV215=0,HLOOKUP(CONCATENATE("II",AF$189),$AB$181:$AJ$184,$K$183,FALSE),IF(AV216=0,HLOOKUP(CONCATENATE("III",AF$189),$AB$181:$AJ$184,$K$183,FALSE),AB$29))))</f>
        <v/>
      </c>
      <c r="AG216" s="1579"/>
      <c r="AH216" s="1579"/>
      <c r="AI216" s="1580"/>
      <c r="AJ216" s="806" t="str">
        <f>IF(OR(AK216="",AK216=0),"",VLOOKUP(AK216,$AG$8:$AK$14,5,FALSE))</f>
        <v/>
      </c>
      <c r="AK216" s="1578" t="str">
        <f>IF(AJ$189="",AF$29,IF(AW214=0,HLOOKUP(CONCATENATE("I",AK$189),$AB$181:$AJ$184,$K$183,FALSE),IF(AW215=0,HLOOKUP(CONCATENATE("II",AK$189),$AB$181:$AJ$184,$K$183,FALSE),IF(AW216=0,HLOOKUP(CONCATENATE("III",AK$189),$AB$181:$AJ$184,$K$183,FALSE),AF$29))))</f>
        <v/>
      </c>
      <c r="AL216" s="1579"/>
      <c r="AM216" s="1579"/>
      <c r="AN216" s="1580"/>
      <c r="AO216" s="1324"/>
      <c r="AP216" s="577" t="s">
        <v>217</v>
      </c>
      <c r="AQ216" s="172" t="str">
        <f t="shared" si="53"/>
        <v>---</v>
      </c>
      <c r="AR216" s="172" t="str">
        <f t="shared" si="48"/>
        <v>---</v>
      </c>
      <c r="AS216" s="172" t="str">
        <f t="shared" si="49"/>
        <v>---</v>
      </c>
      <c r="AT216" s="172" t="str">
        <f t="shared" si="50"/>
        <v>---</v>
      </c>
      <c r="AU216" s="172" t="str">
        <f t="shared" si="51"/>
        <v>---</v>
      </c>
      <c r="AV216" s="172" t="str">
        <f t="shared" si="52"/>
        <v>---</v>
      </c>
      <c r="AW216" s="172" t="str">
        <f t="shared" si="47"/>
        <v>---</v>
      </c>
      <c r="AX216" s="33"/>
      <c r="AY216" s="172" t="e">
        <f>HLOOKUP($E214,$O$180:$Z$183,VLOOKUP(CONCATENATE("III",G$189),$H$181:$K$183,4,FALSE),FALSE)</f>
        <v>#N/A</v>
      </c>
      <c r="AZ216" s="172" t="e">
        <f>HLOOKUP($E214,$O$180:$Z$183,VLOOKUP(CONCATENATE("III",L$189),$H$181:$K$183,4,FALSE),FALSE)</f>
        <v>#N/A</v>
      </c>
      <c r="BA216" s="172" t="e">
        <f>HLOOKUP($E214,$O$180:$Z$183,VLOOKUP(CONCATENATE("III",Q$189),$H$181:$K$183,4,FALSE),FALSE)</f>
        <v>#N/A</v>
      </c>
      <c r="BB216" s="172" t="e">
        <f>HLOOKUP($E214,$O$180:$Z$183,VLOOKUP(CONCATENATE("III",V$189),$H$181:$K$183,4,FALSE),FALSE)</f>
        <v>#N/A</v>
      </c>
      <c r="BC216" s="172" t="e">
        <f>HLOOKUP($E214,$O$180:$Z$183,VLOOKUP(CONCATENATE("III",AA$189),$H$181:$K$183,4,FALSE),FALSE)</f>
        <v>#N/A</v>
      </c>
      <c r="BD216" s="172" t="e">
        <f>HLOOKUP($E214,$O$180:$Z$183,VLOOKUP(CONCATENATE("III",AF$189),$H$181:$K$183,4,FALSE),FALSE)</f>
        <v>#N/A</v>
      </c>
      <c r="BE216" s="172" t="e">
        <f>HLOOKUP($E214,$O$180:$Z$183,VLOOKUP(CONCATENATE("III",AK$189),$H$181:$K$183,4,FALSE),FALSE)</f>
        <v>#N/A</v>
      </c>
      <c r="BF216" s="33"/>
      <c r="BG216" s="264"/>
      <c r="BH216" s="264"/>
      <c r="BI216" s="264"/>
      <c r="BJ216" s="264"/>
      <c r="BK216" s="264"/>
      <c r="BL216" s="264"/>
    </row>
    <row r="217" spans="1:64" ht="15" hidden="1" customHeight="1" x14ac:dyDescent="0.2">
      <c r="A217" s="1324"/>
      <c r="B217" s="1599" t="str">
        <f>C163</f>
        <v>Ottobre</v>
      </c>
      <c r="C217" s="1546"/>
      <c r="D217" s="1600"/>
      <c r="E217" s="159">
        <f>X180</f>
        <v>10</v>
      </c>
      <c r="F217" s="164" t="str">
        <f>IF(OR(G217="",G217=0),"",VLOOKUP(G217,$K$8:$O$17,5,FALSE))</f>
        <v/>
      </c>
      <c r="G217" s="1537" t="str">
        <f>IF(F$189="",H$27,IF(AQ217=0,HLOOKUP(CONCATENATE("I",G$189),$AB$181:$AJ$184,$K$181,FALSE),IF(AQ218=0,HLOOKUP(CONCATENATE("II",G$189),$AB$181:$AJ$184,$K$181,FALSE),IF(AQ219=0,HLOOKUP(CONCATENATE("III",G$189),$AB$181:$AJ$184,$K$181,FALSE),H$27))))</f>
        <v/>
      </c>
      <c r="H217" s="1538"/>
      <c r="I217" s="1538"/>
      <c r="J217" s="1539"/>
      <c r="K217" s="164" t="str">
        <f>IF(OR(L217="",L217=0),"",VLOOKUP(L217,$K$8:$O$17,5,FALSE))</f>
        <v/>
      </c>
      <c r="L217" s="1537" t="str">
        <f>IF(K$189="",L$27,IF(AR217=0,HLOOKUP(CONCATENATE("I",L$189),$AB$181:$AJ$184,$K$181,FALSE),IF(AR218=0,HLOOKUP(CONCATENATE("II",L$189),$AB$181:$AJ$184,$K$181,FALSE),IF(AR219=0,HLOOKUP(CONCATENATE("III",L$189),$AB$181:$AJ$184,$K$181,FALSE),L$27))))</f>
        <v/>
      </c>
      <c r="M217" s="1538"/>
      <c r="N217" s="1538"/>
      <c r="O217" s="1539"/>
      <c r="P217" s="164" t="str">
        <f>IF(OR(Q217="",Q217=0),"",VLOOKUP(Q217,$K$8:$O$17,5,FALSE))</f>
        <v/>
      </c>
      <c r="Q217" s="1537" t="str">
        <f>IF(P$189="",P$27,IF(AS217=0,HLOOKUP(CONCATENATE("I",Q$189),$AB$181:$AJ$184,$K$181,FALSE),IF(AS218=0,HLOOKUP(CONCATENATE("II",Q$189),$AB$181:$AJ$184,$K$181,FALSE),IF(AS219=0,HLOOKUP(CONCATENATE("III",Q$189),$AB$181:$AJ$184,$K$181,FALSE),P$27))))</f>
        <v/>
      </c>
      <c r="R217" s="1538"/>
      <c r="S217" s="1538"/>
      <c r="T217" s="1539"/>
      <c r="U217" s="164" t="str">
        <f>IF(OR(V217="",V217=0),"",VLOOKUP(V217,$K$8:$O$17,5,FALSE))</f>
        <v/>
      </c>
      <c r="V217" s="1537" t="str">
        <f>IF(U$189="",T$27,IF(AT217=0,HLOOKUP(CONCATENATE("I",V$189),$AB$181:$AJ$184,$K$181,FALSE),IF(AT218=0,HLOOKUP(CONCATENATE("II",V$189),$AB$181:$AJ$184,$K$181,FALSE),IF(AT219=0,HLOOKUP(CONCATENATE("III",V$189),$AB$181:$AJ$184,$K$181,FALSE),T$27))))</f>
        <v/>
      </c>
      <c r="W217" s="1538"/>
      <c r="X217" s="1538"/>
      <c r="Y217" s="1539"/>
      <c r="Z217" s="164" t="str">
        <f>IF(OR(AA217="",AA217=0),"",VLOOKUP(AA217,$K$8:$O$17,5,FALSE))</f>
        <v/>
      </c>
      <c r="AA217" s="1537" t="str">
        <f>IF(Z$189="",X$27,IF(AU217=0,HLOOKUP(CONCATENATE("I",AA$189),$AB$181:$AJ$184,$K$181,FALSE),IF(AU218=0,HLOOKUP(CONCATENATE("II",AA$189),$AB$181:$AJ$184,$K$181,FALSE),IF(AU219=0,HLOOKUP(CONCATENATE("III",AA$189),$AB$181:$AJ$184,$K$181,FALSE),X$27))))</f>
        <v/>
      </c>
      <c r="AB217" s="1538"/>
      <c r="AC217" s="1538"/>
      <c r="AD217" s="1539"/>
      <c r="AE217" s="164" t="str">
        <f>IF(OR(AF217="",AF217=0),"",VLOOKUP(AF217,$K$8:$O$17,5,FALSE))</f>
        <v/>
      </c>
      <c r="AF217" s="1537" t="str">
        <f>IF(AE$189="",AB$27,IF(AV217=0,HLOOKUP(CONCATENATE("I",AF$189),$AB$181:$AJ$184,$K$181,FALSE),IF(AV218=0,HLOOKUP(CONCATENATE("II",AF$189),$AB$181:$AJ$184,$K$181,FALSE),IF(AV219=0,HLOOKUP(CONCATENATE("III",AF$189),$AB$181:$AJ$184,$K$181,FALSE),AB$27))))</f>
        <v/>
      </c>
      <c r="AG217" s="1538"/>
      <c r="AH217" s="1538"/>
      <c r="AI217" s="1539"/>
      <c r="AJ217" s="164" t="str">
        <f>IF(OR(AK217="",AK217=0),"",VLOOKUP(AK217,$K$8:$O$17,5,FALSE))</f>
        <v/>
      </c>
      <c r="AK217" s="1537" t="str">
        <f>IF(AJ$189="",AF$27,IF(AW217=0,HLOOKUP(CONCATENATE("I",AK$189),$AB$181:$AJ$184,$K$181,FALSE),IF(AW218=0,HLOOKUP(CONCATENATE("II",AK$189),$AB$181:$AJ$184,$K$181,FALSE),IF(AW219=0,HLOOKUP(CONCATENATE("III",AK$189),$AB$181:$AJ$184,$K$181,FALSE),AF$27))))</f>
        <v/>
      </c>
      <c r="AL217" s="1538"/>
      <c r="AM217" s="1538"/>
      <c r="AN217" s="1539"/>
      <c r="AO217" s="1324"/>
      <c r="AP217" s="576" t="s">
        <v>242</v>
      </c>
      <c r="AQ217" s="173" t="str">
        <f t="shared" si="53"/>
        <v>---</v>
      </c>
      <c r="AR217" s="173" t="str">
        <f t="shared" si="48"/>
        <v>---</v>
      </c>
      <c r="AS217" s="173" t="str">
        <f t="shared" si="49"/>
        <v>---</v>
      </c>
      <c r="AT217" s="173" t="str">
        <f t="shared" si="50"/>
        <v>---</v>
      </c>
      <c r="AU217" s="173" t="str">
        <f t="shared" si="51"/>
        <v>---</v>
      </c>
      <c r="AV217" s="173" t="str">
        <f t="shared" si="52"/>
        <v>---</v>
      </c>
      <c r="AW217" s="173" t="str">
        <f t="shared" si="47"/>
        <v>---</v>
      </c>
      <c r="AX217" s="33"/>
      <c r="AY217" s="173" t="e">
        <f>HLOOKUP($E217,$O$180:$Z$183,VLOOKUP(CONCATENATE("I",G$189),$H$181:$K$183,4,FALSE),FALSE)</f>
        <v>#N/A</v>
      </c>
      <c r="AZ217" s="173" t="e">
        <f>HLOOKUP($E217,$O$180:$Z$183,VLOOKUP(CONCATENATE("I",L$189),$H$181:$K$183,4,FALSE),FALSE)</f>
        <v>#N/A</v>
      </c>
      <c r="BA217" s="173" t="e">
        <f>HLOOKUP($E217,$O$180:$Z$183,VLOOKUP(CONCATENATE("I",Q$189),$H$181:$K$183,4,FALSE),FALSE)</f>
        <v>#N/A</v>
      </c>
      <c r="BB217" s="173" t="e">
        <f>HLOOKUP($E217,$O$180:$Z$183,VLOOKUP(CONCATENATE("I",V$189),$H$181:$K$183,4,FALSE),FALSE)</f>
        <v>#N/A</v>
      </c>
      <c r="BC217" s="173" t="e">
        <f>HLOOKUP($E217,$O$180:$Z$183,VLOOKUP(CONCATENATE("I",AA$189),$H$181:$K$183,4,FALSE),FALSE)</f>
        <v>#N/A</v>
      </c>
      <c r="BD217" s="173" t="e">
        <f>HLOOKUP($E217,$O$180:$Z$183,VLOOKUP(CONCATENATE("I",AF$189),$H$181:$K$183,4,FALSE),FALSE)</f>
        <v>#N/A</v>
      </c>
      <c r="BE217" s="173" t="e">
        <f>HLOOKUP($E217,$O$180:$Z$183,VLOOKUP(CONCATENATE("I",AK$189),$H$181:$K$183,4,FALSE),FALSE)</f>
        <v>#N/A</v>
      </c>
      <c r="BF217" s="33"/>
      <c r="BG217" s="264"/>
      <c r="BH217" s="264"/>
      <c r="BI217" s="264"/>
      <c r="BJ217" s="264"/>
      <c r="BK217" s="264"/>
      <c r="BL217" s="264"/>
    </row>
    <row r="218" spans="1:64" ht="15" hidden="1" customHeight="1" x14ac:dyDescent="0.2">
      <c r="A218" s="1324"/>
      <c r="B218" s="1596" t="str">
        <f>B217</f>
        <v>Ottobre</v>
      </c>
      <c r="C218" s="1597"/>
      <c r="D218" s="1598"/>
      <c r="E218" s="161">
        <f>E217</f>
        <v>10</v>
      </c>
      <c r="F218" s="165" t="str">
        <f>IF(OR(G218=0,G218="",G218="- - - - - - -"),"",VLOOKUP(G218,$Y$132:$AC$141,5,FALSE))</f>
        <v/>
      </c>
      <c r="G218" s="1540" t="str">
        <f>IF(F$189="",H$28,IF(AQ217=0,HLOOKUP(CONCATENATE("I",G$189),$AB$181:$AJ$184,$K$182,FALSE),IF(AQ218=0,HLOOKUP(CONCATENATE("II",G$189),$AB$181:$AJ$184,$K$182,FALSE),IF(AQ219=0,HLOOKUP(CONCATENATE("III",G$189),$AB$181:$AJ$184,$K$182,FALSE),H$28))))</f>
        <v>- - - - - - -</v>
      </c>
      <c r="H218" s="1541"/>
      <c r="I218" s="1541"/>
      <c r="J218" s="807">
        <f>IF(F$189="",H$24,IF(AQ217=0,HLOOKUP(CONCATENATE("I",G$189),$AB$181:$AH$188,8,FALSE),IF(AQ218=0,HLOOKUP(CONCATENATE("II",G$189),$AB$181:$AH$188,8,FALSE),IF(AQ219=0,HLOOKUP(CONCATENATE("III",G$189),$AB$181:$AH$188,8,FALSE),H$24))))</f>
        <v>0</v>
      </c>
      <c r="K218" s="165" t="str">
        <f>IF(OR(L218=0,L218="",L218="- - - - - - -"),"",VLOOKUP(L218,$Y$132:$AC$141,5,FALSE))</f>
        <v/>
      </c>
      <c r="L218" s="1540" t="str">
        <f>IF(K$189="",L$28,IF(AR217=0,HLOOKUP(CONCATENATE("I",L$189),$AB$181:$AJ$184,$K$182,FALSE),IF(AR218=0,HLOOKUP(CONCATENATE("II",L$189),$AB$181:$AJ$184,$K$182,FALSE),IF(AR219=0,HLOOKUP(CONCATENATE("III",L$189),$AB$181:$AJ$184,$K$182,FALSE),L$28))))</f>
        <v>- - - - - - -</v>
      </c>
      <c r="M218" s="1541"/>
      <c r="N218" s="1541"/>
      <c r="O218" s="807">
        <f>IF(K$189="",L$24,IF(AR217=0,HLOOKUP(CONCATENATE("I",L$189),$AB$181:$AH$188,8,FALSE),IF(AR218=0,HLOOKUP(CONCATENATE("II",L$189),$AB$181:$AH$188,8,FALSE),IF(AR219=0,HLOOKUP(CONCATENATE("III",L$189),$AB$181:$AH$188,8,FALSE),L$24))))</f>
        <v>0</v>
      </c>
      <c r="P218" s="165" t="str">
        <f>IF(OR(Q218=0,Q218="",Q218="- - - - - - -"),"",VLOOKUP(Q218,$Y$132:$AC$141,5,FALSE))</f>
        <v/>
      </c>
      <c r="Q218" s="1540" t="str">
        <f>IF(P$189="",P$28,IF(AS217=0,HLOOKUP(CONCATENATE("I",Q$189),$AB$181:$AJ$184,$K$182,FALSE),IF(AS218=0,HLOOKUP(CONCATENATE("II",Q$189),$AB$181:$AJ$184,$K$182,FALSE),IF(AS219=0,HLOOKUP(CONCATENATE("III",Q$189),$AB$181:$AJ$184,$K$182,FALSE),P$28))))</f>
        <v>- - - - - - -</v>
      </c>
      <c r="R218" s="1541"/>
      <c r="S218" s="1541"/>
      <c r="T218" s="807">
        <f>IF(P$189="",P$24,IF(AS217=0,HLOOKUP(CONCATENATE("I",Q$189),$AB$181:$AH$188,8,FALSE),IF(AS218=0,HLOOKUP(CONCATENATE("II",Q$189),$AB$181:$AH$188,8,FALSE),IF(AS219=0,HLOOKUP(CONCATENATE("III",Q$189),$AB$181:$AH$188,8,FALSE),P$24))))</f>
        <v>0</v>
      </c>
      <c r="U218" s="165" t="str">
        <f>IF(OR(V218=0,V218="",V218="- - - - - - -"),"",VLOOKUP(V218,$Y$132:$AC$141,5,FALSE))</f>
        <v/>
      </c>
      <c r="V218" s="1540" t="str">
        <f>IF(U$189="",T$28,IF(AT217=0,HLOOKUP(CONCATENATE("I",V$189),$AB$181:$AJ$184,$K$182,FALSE),IF(AT218=0,HLOOKUP(CONCATENATE("II",V$189),$AB$181:$AJ$184,$K$182,FALSE),IF(AT219=0,HLOOKUP(CONCATENATE("III",V$189),$AB$181:$AJ$184,$K$182,FALSE),T$28))))</f>
        <v>- - - - - - -</v>
      </c>
      <c r="W218" s="1541"/>
      <c r="X218" s="1541"/>
      <c r="Y218" s="807">
        <f>IF(U$189="",T$24,IF(AT217=0,HLOOKUP(CONCATENATE("I",V$189),$AB$181:$AH$188,8,FALSE),IF(AT218=0,HLOOKUP(CONCATENATE("II",V$189),$AB$181:$AH$188,8,FALSE),IF(AT219=0,HLOOKUP(CONCATENATE("III",V$189),$AB$181:$AH$188,8,FALSE),T$24))))</f>
        <v>0</v>
      </c>
      <c r="Z218" s="165" t="str">
        <f>IF(OR(AA218=0,AA218="",AA218="- - - - - - -"),"",VLOOKUP(AA218,$Y$132:$AC$141,5,FALSE))</f>
        <v/>
      </c>
      <c r="AA218" s="1540" t="str">
        <f>IF(Z$189="",X$28,IF(AU217=0,HLOOKUP(CONCATENATE("I",AA$189),$AB$181:$AJ$184,$K$182,FALSE),IF(AU218=0,HLOOKUP(CONCATENATE("II",AA$189),$AB$181:$AJ$184,$K$182,FALSE),IF(AU219=0,HLOOKUP(CONCATENATE("III",AA$189),$AB$181:$AJ$184,$K$182,FALSE),X$28))))</f>
        <v>- - - - - - -</v>
      </c>
      <c r="AB218" s="1541"/>
      <c r="AC218" s="1541"/>
      <c r="AD218" s="807">
        <f>IF(Z$189="",X$24,IF(AU217=0,HLOOKUP(CONCATENATE("I",AA$189),$AB$181:$AH$188,8,FALSE),IF(AU218=0,HLOOKUP(CONCATENATE("II",AA$189),$AB$181:$AH$188,8,FALSE),IF(AU219=0,HLOOKUP(CONCATENATE("III",AA$189),$AB$181:$AH$188,8,FALSE),X$24))))</f>
        <v>0</v>
      </c>
      <c r="AE218" s="165" t="str">
        <f>IF(OR(AF218=0,AF218="",AF218="- - - - - - -"),"",VLOOKUP(AF218,$Y$132:$AC$141,5,FALSE))</f>
        <v/>
      </c>
      <c r="AF218" s="1540" t="str">
        <f>IF(AE$189="",AB$28,IF(AV217=0,HLOOKUP(CONCATENATE("I",AF$189),$AB$181:$AJ$184,$K$182,FALSE),IF(AV218=0,HLOOKUP(CONCATENATE("II",AF$189),$AB$181:$AJ$184,$K$182,FALSE),IF(AV219=0,HLOOKUP(CONCATENATE("III",AF$189),$AB$181:$AJ$184,$K$182,FALSE),AB$28))))</f>
        <v>- - - - - - -</v>
      </c>
      <c r="AG218" s="1541"/>
      <c r="AH218" s="1541"/>
      <c r="AI218" s="807">
        <f>IF(AE$189="",AB$24,IF(AV217=0,HLOOKUP(CONCATENATE("I",AF$189),$AB$181:$AH$188,8,FALSE),IF(AV218=0,HLOOKUP(CONCATENATE("II",AF$189),$AB$181:$AH$188,8,FALSE),IF(AV219=0,HLOOKUP(CONCATENATE("III",AF$189),$AB$181:$AH$188,8,FALSE),AB$24))))</f>
        <v>0</v>
      </c>
      <c r="AJ218" s="165" t="str">
        <f>IF(OR(AK218=0,AK218="",AK218="- - - - - - -"),"",VLOOKUP(AK218,$Y$132:$AC$141,5,FALSE))</f>
        <v/>
      </c>
      <c r="AK218" s="1540" t="str">
        <f>IF(AJ$189="",AF$28,IF(AW217=0,HLOOKUP(CONCATENATE("I",AK$189),$AB$181:$AJ$184,$K$182,FALSE),IF(AW218=0,HLOOKUP(CONCATENATE("II",AK$189),$AB$181:$AJ$184,$K$182,FALSE),IF(AW219=0,HLOOKUP(CONCATENATE("III",AK$189),$AB$181:$AJ$184,$K$182,FALSE),AF$28))))</f>
        <v>- - - - - - -</v>
      </c>
      <c r="AL218" s="1541"/>
      <c r="AM218" s="1541"/>
      <c r="AN218" s="807">
        <f>IF(AJ$189="",AF$24,IF(AW217=0,HLOOKUP(CONCATENATE("I",AK$189),$AB$181:$AH$188,8,FALSE),IF(AW218=0,HLOOKUP(CONCATENATE("II",AK$189),$AB$181:$AH$188,8,FALSE),IF(AW219=0,HLOOKUP(CONCATENATE("III",AK$189),$AB$181:$AH$188,8,FALSE),AF$24))))</f>
        <v>0</v>
      </c>
      <c r="AO218" s="1324"/>
      <c r="AP218" s="310" t="s">
        <v>216</v>
      </c>
      <c r="AQ218" s="1335" t="str">
        <f t="shared" si="53"/>
        <v>---</v>
      </c>
      <c r="AR218" s="1335" t="str">
        <f t="shared" si="48"/>
        <v>---</v>
      </c>
      <c r="AS218" s="1335" t="str">
        <f t="shared" si="49"/>
        <v>---</v>
      </c>
      <c r="AT218" s="1335" t="str">
        <f t="shared" si="50"/>
        <v>---</v>
      </c>
      <c r="AU218" s="1335" t="str">
        <f t="shared" si="51"/>
        <v>---</v>
      </c>
      <c r="AV218" s="1335" t="str">
        <f t="shared" si="52"/>
        <v>---</v>
      </c>
      <c r="AW218" s="1335" t="str">
        <f t="shared" si="47"/>
        <v>---</v>
      </c>
      <c r="AX218" s="33"/>
      <c r="AY218" s="1335" t="e">
        <f>HLOOKUP($E217,$O$180:$Z$183,VLOOKUP(CONCATENATE("II",G$189),$H$181:$K$183,4,FALSE),FALSE)</f>
        <v>#N/A</v>
      </c>
      <c r="AZ218" s="1335" t="e">
        <f>HLOOKUP($E217,$O$180:$Z$183,VLOOKUP(CONCATENATE("II",L$189),$H$181:$K$183,4,FALSE),FALSE)</f>
        <v>#N/A</v>
      </c>
      <c r="BA218" s="1335" t="e">
        <f>HLOOKUP($E217,$O$180:$Z$183,VLOOKUP(CONCATENATE("II",Q$189),$H$181:$K$183,4,FALSE),FALSE)</f>
        <v>#N/A</v>
      </c>
      <c r="BB218" s="1335" t="e">
        <f>HLOOKUP($E217,$O$180:$Z$183,VLOOKUP(CONCATENATE("II",V$189),$H$181:$K$183,4,FALSE),FALSE)</f>
        <v>#N/A</v>
      </c>
      <c r="BC218" s="1335" t="e">
        <f>HLOOKUP($E217,$O$180:$Z$183,VLOOKUP(CONCATENATE("II",AA$189),$H$181:$K$183,4,FALSE),FALSE)</f>
        <v>#N/A</v>
      </c>
      <c r="BD218" s="1335" t="e">
        <f>HLOOKUP($E217,$O$180:$Z$183,VLOOKUP(CONCATENATE("II",AF$189),$H$181:$K$183,4,FALSE),FALSE)</f>
        <v>#N/A</v>
      </c>
      <c r="BE218" s="1335" t="e">
        <f>HLOOKUP($E217,$O$180:$Z$183,VLOOKUP(CONCATENATE("II",AK$189),$H$181:$K$183,4,FALSE),FALSE)</f>
        <v>#N/A</v>
      </c>
      <c r="BF218" s="33"/>
      <c r="BG218" s="264"/>
      <c r="BH218" s="264"/>
      <c r="BI218" s="264"/>
      <c r="BJ218" s="264"/>
      <c r="BK218" s="264"/>
      <c r="BL218" s="264"/>
    </row>
    <row r="219" spans="1:64" ht="15" hidden="1" customHeight="1" x14ac:dyDescent="0.2">
      <c r="A219" s="1324"/>
      <c r="B219" s="1565" t="str">
        <f>B217</f>
        <v>Ottobre</v>
      </c>
      <c r="C219" s="1566"/>
      <c r="D219" s="1567"/>
      <c r="E219" s="161">
        <f>E218</f>
        <v>10</v>
      </c>
      <c r="F219" s="806" t="str">
        <f>IF(OR(G219="",G219=0),"",VLOOKUP(G219,$AG$8:$AK$14,5,FALSE))</f>
        <v/>
      </c>
      <c r="G219" s="1578" t="str">
        <f>IF(F$189="",H$29,IF(AQ217=0,HLOOKUP(CONCATENATE("I",G$189),$AB$181:$AJ$184,$K$183,FALSE),IF(AQ218=0,HLOOKUP(CONCATENATE("II",G$189),$AB$181:$AJ$184,$K$183,FALSE),IF(AQ219=0,HLOOKUP(CONCATENATE("III",G$189),$AB$181:$AJ$184,$K$183,FALSE),H$29))))</f>
        <v/>
      </c>
      <c r="H219" s="1579"/>
      <c r="I219" s="1579"/>
      <c r="J219" s="1580"/>
      <c r="K219" s="806" t="str">
        <f>IF(OR(L219="",L219=0),"",VLOOKUP(L219,$AG$8:$AK$14,5,FALSE))</f>
        <v/>
      </c>
      <c r="L219" s="1578" t="str">
        <f>IF(K$189="",L$29,IF(AR217=0,HLOOKUP(CONCATENATE("I",L$189),$AB$181:$AJ$184,$K$183,FALSE),IF(AR218=0,HLOOKUP(CONCATENATE("II",L$189),$AB$181:$AJ$184,$K$183,FALSE),IF(AR219=0,HLOOKUP(CONCATENATE("III",L$189),$AB$181:$AJ$184,$K$183,FALSE),L$29))))</f>
        <v/>
      </c>
      <c r="M219" s="1579"/>
      <c r="N219" s="1579"/>
      <c r="O219" s="1580"/>
      <c r="P219" s="806" t="str">
        <f>IF(OR(Q219="",Q219=0),"",VLOOKUP(Q219,$AG$8:$AK$14,5,FALSE))</f>
        <v/>
      </c>
      <c r="Q219" s="1578" t="str">
        <f>IF(P$189="",P$29,IF(AS217=0,HLOOKUP(CONCATENATE("I",Q$189),$AB$181:$AJ$184,$K$183,FALSE),IF(AS218=0,HLOOKUP(CONCATENATE("II",Q$189),$AB$181:$AJ$184,$K$183,FALSE),IF(AS219=0,HLOOKUP(CONCATENATE("III",Q$189),$AB$181:$AJ$184,$K$183,FALSE),P$29))))</f>
        <v/>
      </c>
      <c r="R219" s="1579"/>
      <c r="S219" s="1579"/>
      <c r="T219" s="1580"/>
      <c r="U219" s="806" t="str">
        <f>IF(OR(V219="",V219=0),"",VLOOKUP(V219,$AG$8:$AK$14,5,FALSE))</f>
        <v/>
      </c>
      <c r="V219" s="1578" t="str">
        <f>IF(U$189="",T$29,IF(AT217=0,HLOOKUP(CONCATENATE("I",V$189),$AB$181:$AJ$184,$K$183,FALSE),IF(AT218=0,HLOOKUP(CONCATENATE("II",V$189),$AB$181:$AJ$184,$K$183,FALSE),IF(AT219=0,HLOOKUP(CONCATENATE("III",V$189),$AB$181:$AJ$184,$K$183,FALSE),T$29))))</f>
        <v/>
      </c>
      <c r="W219" s="1579"/>
      <c r="X219" s="1579"/>
      <c r="Y219" s="1580"/>
      <c r="Z219" s="806" t="str">
        <f>IF(OR(AA219="",AA219=0),"",VLOOKUP(AA219,$AG$8:$AK$14,5,FALSE))</f>
        <v/>
      </c>
      <c r="AA219" s="1578" t="str">
        <f>IF(Z$189="",X$29,IF(AU217=0,HLOOKUP(CONCATENATE("I",AA$189),$AB$181:$AJ$184,$K$183,FALSE),IF(AU218=0,HLOOKUP(CONCATENATE("II",AA$189),$AB$181:$AJ$184,$K$183,FALSE),IF(AU219=0,HLOOKUP(CONCATENATE("III",AA$189),$AB$181:$AJ$184,$K$183,FALSE),X$29))))</f>
        <v/>
      </c>
      <c r="AB219" s="1579"/>
      <c r="AC219" s="1579"/>
      <c r="AD219" s="1580"/>
      <c r="AE219" s="806" t="str">
        <f>IF(OR(AF219="",AF219=0),"",VLOOKUP(AF219,$AG$8:$AK$14,5,FALSE))</f>
        <v/>
      </c>
      <c r="AF219" s="1578" t="str">
        <f>IF(AE$189="",AB$29,IF(AV217=0,HLOOKUP(CONCATENATE("I",AF$189),$AB$181:$AJ$184,$K$183,FALSE),IF(AV218=0,HLOOKUP(CONCATENATE("II",AF$189),$AB$181:$AJ$184,$K$183,FALSE),IF(AV219=0,HLOOKUP(CONCATENATE("III",AF$189),$AB$181:$AJ$184,$K$183,FALSE),AB$29))))</f>
        <v/>
      </c>
      <c r="AG219" s="1579"/>
      <c r="AH219" s="1579"/>
      <c r="AI219" s="1580"/>
      <c r="AJ219" s="806" t="str">
        <f>IF(OR(AK219="",AK219=0),"",VLOOKUP(AK219,$AG$8:$AK$14,5,FALSE))</f>
        <v/>
      </c>
      <c r="AK219" s="1578" t="str">
        <f>IF(AJ$189="",AF$29,IF(AW217=0,HLOOKUP(CONCATENATE("I",AK$189),$AB$181:$AJ$184,$K$183,FALSE),IF(AW218=0,HLOOKUP(CONCATENATE("II",AK$189),$AB$181:$AJ$184,$K$183,FALSE),IF(AW219=0,HLOOKUP(CONCATENATE("III",AK$189),$AB$181:$AJ$184,$K$183,FALSE),AF$29))))</f>
        <v/>
      </c>
      <c r="AL219" s="1579"/>
      <c r="AM219" s="1579"/>
      <c r="AN219" s="1580"/>
      <c r="AO219" s="1324"/>
      <c r="AP219" s="577" t="s">
        <v>217</v>
      </c>
      <c r="AQ219" s="172" t="str">
        <f t="shared" si="53"/>
        <v>---</v>
      </c>
      <c r="AR219" s="172" t="str">
        <f t="shared" si="48"/>
        <v>---</v>
      </c>
      <c r="AS219" s="172" t="str">
        <f t="shared" si="49"/>
        <v>---</v>
      </c>
      <c r="AT219" s="172" t="str">
        <f t="shared" si="50"/>
        <v>---</v>
      </c>
      <c r="AU219" s="172" t="str">
        <f t="shared" si="51"/>
        <v>---</v>
      </c>
      <c r="AV219" s="172" t="str">
        <f t="shared" si="52"/>
        <v>---</v>
      </c>
      <c r="AW219" s="172" t="str">
        <f t="shared" si="47"/>
        <v>---</v>
      </c>
      <c r="AX219" s="33"/>
      <c r="AY219" s="172" t="e">
        <f>HLOOKUP($E217,$O$180:$Z$183,VLOOKUP(CONCATENATE("III",G$189),$H$181:$K$183,4,FALSE),FALSE)</f>
        <v>#N/A</v>
      </c>
      <c r="AZ219" s="172" t="e">
        <f>HLOOKUP($E217,$O$180:$Z$183,VLOOKUP(CONCATENATE("III",L$189),$H$181:$K$183,4,FALSE),FALSE)</f>
        <v>#N/A</v>
      </c>
      <c r="BA219" s="172" t="e">
        <f>HLOOKUP($E217,$O$180:$Z$183,VLOOKUP(CONCATENATE("III",Q$189),$H$181:$K$183,4,FALSE),FALSE)</f>
        <v>#N/A</v>
      </c>
      <c r="BB219" s="172" t="e">
        <f>HLOOKUP($E217,$O$180:$Z$183,VLOOKUP(CONCATENATE("III",V$189),$H$181:$K$183,4,FALSE),FALSE)</f>
        <v>#N/A</v>
      </c>
      <c r="BC219" s="172" t="e">
        <f>HLOOKUP($E217,$O$180:$Z$183,VLOOKUP(CONCATENATE("III",AA$189),$H$181:$K$183,4,FALSE),FALSE)</f>
        <v>#N/A</v>
      </c>
      <c r="BD219" s="172" t="e">
        <f>HLOOKUP($E217,$O$180:$Z$183,VLOOKUP(CONCATENATE("III",AF$189),$H$181:$K$183,4,FALSE),FALSE)</f>
        <v>#N/A</v>
      </c>
      <c r="BE219" s="172" t="e">
        <f>HLOOKUP($E217,$O$180:$Z$183,VLOOKUP(CONCATENATE("III",AK$189),$H$181:$K$183,4,FALSE),FALSE)</f>
        <v>#N/A</v>
      </c>
      <c r="BF219" s="33"/>
      <c r="BG219" s="264"/>
      <c r="BH219" s="264"/>
      <c r="BI219" s="264"/>
      <c r="BJ219" s="264"/>
      <c r="BK219" s="264"/>
      <c r="BL219" s="264"/>
    </row>
    <row r="220" spans="1:64" ht="15" hidden="1" customHeight="1" x14ac:dyDescent="0.2">
      <c r="A220" s="1324"/>
      <c r="B220" s="1599" t="str">
        <f>C164</f>
        <v>Novembre</v>
      </c>
      <c r="C220" s="1546"/>
      <c r="D220" s="1600"/>
      <c r="E220" s="159">
        <f>Y180</f>
        <v>11</v>
      </c>
      <c r="F220" s="164" t="str">
        <f>IF(OR(G220="",G220=0),"",VLOOKUP(G220,$K$8:$O$17,5,FALSE))</f>
        <v/>
      </c>
      <c r="G220" s="1537" t="str">
        <f>IF(F$189="",H$27,IF(AQ220=0,HLOOKUP(CONCATENATE("I",G$189),$AB$181:$AJ$184,$K$181,FALSE),IF(AQ221=0,HLOOKUP(CONCATENATE("II",G$189),$AB$181:$AJ$184,$K$181,FALSE),IF(AQ222=0,HLOOKUP(CONCATENATE("III",G$189),$AB$181:$AJ$184,$K$181,FALSE),H$27))))</f>
        <v/>
      </c>
      <c r="H220" s="1538"/>
      <c r="I220" s="1538"/>
      <c r="J220" s="1539"/>
      <c r="K220" s="164" t="str">
        <f>IF(OR(L220="",L220=0),"",VLOOKUP(L220,$K$8:$O$17,5,FALSE))</f>
        <v/>
      </c>
      <c r="L220" s="1537" t="str">
        <f>IF(K$189="",L$27,IF(AR220=0,HLOOKUP(CONCATENATE("I",L$189),$AB$181:$AJ$184,$K$181,FALSE),IF(AR221=0,HLOOKUP(CONCATENATE("II",L$189),$AB$181:$AJ$184,$K$181,FALSE),IF(AR222=0,HLOOKUP(CONCATENATE("III",L$189),$AB$181:$AJ$184,$K$181,FALSE),L$27))))</f>
        <v/>
      </c>
      <c r="M220" s="1538"/>
      <c r="N220" s="1538"/>
      <c r="O220" s="1539"/>
      <c r="P220" s="164" t="str">
        <f>IF(OR(Q220="",Q220=0),"",VLOOKUP(Q220,$K$8:$O$17,5,FALSE))</f>
        <v/>
      </c>
      <c r="Q220" s="1537" t="str">
        <f>IF(P$189="",P$27,IF(AS220=0,HLOOKUP(CONCATENATE("I",Q$189),$AB$181:$AJ$184,$K$181,FALSE),IF(AS221=0,HLOOKUP(CONCATENATE("II",Q$189),$AB$181:$AJ$184,$K$181,FALSE),IF(AS222=0,HLOOKUP(CONCATENATE("III",Q$189),$AB$181:$AJ$184,$K$181,FALSE),P$27))))</f>
        <v/>
      </c>
      <c r="R220" s="1538"/>
      <c r="S220" s="1538"/>
      <c r="T220" s="1539"/>
      <c r="U220" s="164" t="str">
        <f>IF(OR(V220="",V220=0),"",VLOOKUP(V220,$K$8:$O$17,5,FALSE))</f>
        <v/>
      </c>
      <c r="V220" s="1537" t="str">
        <f>IF(U$189="",T$27,IF(AT220=0,HLOOKUP(CONCATENATE("I",V$189),$AB$181:$AJ$184,$K$181,FALSE),IF(AT221=0,HLOOKUP(CONCATENATE("II",V$189),$AB$181:$AJ$184,$K$181,FALSE),IF(AT222=0,HLOOKUP(CONCATENATE("III",V$189),$AB$181:$AJ$184,$K$181,FALSE),T$27))))</f>
        <v/>
      </c>
      <c r="W220" s="1538"/>
      <c r="X220" s="1538"/>
      <c r="Y220" s="1539"/>
      <c r="Z220" s="164" t="str">
        <f>IF(OR(AA220="",AA220=0),"",VLOOKUP(AA220,$K$8:$O$17,5,FALSE))</f>
        <v/>
      </c>
      <c r="AA220" s="1537" t="str">
        <f>IF(Z$189="",X$27,IF(AU220=0,HLOOKUP(CONCATENATE("I",AA$189),$AB$181:$AJ$184,$K$181,FALSE),IF(AU221=0,HLOOKUP(CONCATENATE("II",AA$189),$AB$181:$AJ$184,$K$181,FALSE),IF(AU222=0,HLOOKUP(CONCATENATE("III",AA$189),$AB$181:$AJ$184,$K$181,FALSE),X$27))))</f>
        <v/>
      </c>
      <c r="AB220" s="1538"/>
      <c r="AC220" s="1538"/>
      <c r="AD220" s="1539"/>
      <c r="AE220" s="164" t="str">
        <f>IF(OR(AF220="",AF220=0),"",VLOOKUP(AF220,$K$8:$O$17,5,FALSE))</f>
        <v/>
      </c>
      <c r="AF220" s="1537" t="str">
        <f>IF(AE$189="",AB$27,IF(AV220=0,HLOOKUP(CONCATENATE("I",AF$189),$AB$181:$AJ$184,$K$181,FALSE),IF(AV221=0,HLOOKUP(CONCATENATE("II",AF$189),$AB$181:$AJ$184,$K$181,FALSE),IF(AV222=0,HLOOKUP(CONCATENATE("III",AF$189),$AB$181:$AJ$184,$K$181,FALSE),AB$27))))</f>
        <v/>
      </c>
      <c r="AG220" s="1538"/>
      <c r="AH220" s="1538"/>
      <c r="AI220" s="1539"/>
      <c r="AJ220" s="164" t="str">
        <f>IF(OR(AK220="",AK220=0),"",VLOOKUP(AK220,$K$8:$O$17,5,FALSE))</f>
        <v/>
      </c>
      <c r="AK220" s="1537" t="str">
        <f>IF(AJ$189="",AF$27,IF(AW220=0,HLOOKUP(CONCATENATE("I",AK$189),$AB$181:$AJ$184,$K$181,FALSE),IF(AW221=0,HLOOKUP(CONCATENATE("II",AK$189),$AB$181:$AJ$184,$K$181,FALSE),IF(AW222=0,HLOOKUP(CONCATENATE("III",AK$189),$AB$181:$AJ$184,$K$181,FALSE),AF$27))))</f>
        <v/>
      </c>
      <c r="AL220" s="1538"/>
      <c r="AM220" s="1538"/>
      <c r="AN220" s="1539"/>
      <c r="AO220" s="1324"/>
      <c r="AP220" s="576" t="s">
        <v>242</v>
      </c>
      <c r="AQ220" s="173" t="str">
        <f t="shared" si="53"/>
        <v>---</v>
      </c>
      <c r="AR220" s="173" t="str">
        <f t="shared" si="48"/>
        <v>---</v>
      </c>
      <c r="AS220" s="173" t="str">
        <f t="shared" si="49"/>
        <v>---</v>
      </c>
      <c r="AT220" s="173" t="str">
        <f t="shared" si="50"/>
        <v>---</v>
      </c>
      <c r="AU220" s="173" t="str">
        <f t="shared" si="51"/>
        <v>---</v>
      </c>
      <c r="AV220" s="173" t="str">
        <f t="shared" si="52"/>
        <v>---</v>
      </c>
      <c r="AW220" s="173" t="str">
        <f t="shared" si="47"/>
        <v>---</v>
      </c>
      <c r="AX220" s="33"/>
      <c r="AY220" s="173" t="e">
        <f>HLOOKUP($E220,$O$180:$Z$183,VLOOKUP(CONCATENATE("I",G$189),$H$181:$K$183,4,FALSE),FALSE)</f>
        <v>#N/A</v>
      </c>
      <c r="AZ220" s="173" t="e">
        <f>HLOOKUP($E220,$O$180:$Z$183,VLOOKUP(CONCATENATE("I",L$189),$H$181:$K$183,4,FALSE),FALSE)</f>
        <v>#N/A</v>
      </c>
      <c r="BA220" s="173" t="e">
        <f>HLOOKUP($E220,$O$180:$Z$183,VLOOKUP(CONCATENATE("I",Q$189),$H$181:$K$183,4,FALSE),FALSE)</f>
        <v>#N/A</v>
      </c>
      <c r="BB220" s="173" t="e">
        <f>HLOOKUP($E220,$O$180:$Z$183,VLOOKUP(CONCATENATE("I",V$189),$H$181:$K$183,4,FALSE),FALSE)</f>
        <v>#N/A</v>
      </c>
      <c r="BC220" s="173" t="e">
        <f>HLOOKUP($E220,$O$180:$Z$183,VLOOKUP(CONCATENATE("I",AA$189),$H$181:$K$183,4,FALSE),FALSE)</f>
        <v>#N/A</v>
      </c>
      <c r="BD220" s="173" t="e">
        <f>HLOOKUP($E220,$O$180:$Z$183,VLOOKUP(CONCATENATE("I",AF$189),$H$181:$K$183,4,FALSE),FALSE)</f>
        <v>#N/A</v>
      </c>
      <c r="BE220" s="173" t="e">
        <f>HLOOKUP($E220,$O$180:$Z$183,VLOOKUP(CONCATENATE("I",AK$189),$H$181:$K$183,4,FALSE),FALSE)</f>
        <v>#N/A</v>
      </c>
      <c r="BF220" s="33"/>
      <c r="BG220" s="264"/>
      <c r="BH220" s="264"/>
      <c r="BI220" s="264"/>
      <c r="BJ220" s="264"/>
      <c r="BK220" s="264"/>
      <c r="BL220" s="264"/>
    </row>
    <row r="221" spans="1:64" ht="15" hidden="1" customHeight="1" x14ac:dyDescent="0.2">
      <c r="A221" s="1324"/>
      <c r="B221" s="1596" t="str">
        <f>B220</f>
        <v>Novembre</v>
      </c>
      <c r="C221" s="1597"/>
      <c r="D221" s="1598"/>
      <c r="E221" s="161">
        <f>E220</f>
        <v>11</v>
      </c>
      <c r="F221" s="165" t="str">
        <f>IF(OR(G221=0,G221="",G221="- - - - - - -"),"",VLOOKUP(G221,$Y$132:$AC$141,5,FALSE))</f>
        <v/>
      </c>
      <c r="G221" s="1540" t="str">
        <f>IF(F$189="",H$28,IF(AQ220=0,HLOOKUP(CONCATENATE("I",G$189),$AB$181:$AJ$184,$K$182,FALSE),IF(AQ221=0,HLOOKUP(CONCATENATE("II",G$189),$AB$181:$AJ$184,$K$182,FALSE),IF(AQ222=0,HLOOKUP(CONCATENATE("III",G$189),$AB$181:$AJ$184,$K$182,FALSE),H$28))))</f>
        <v>- - - - - - -</v>
      </c>
      <c r="H221" s="1541"/>
      <c r="I221" s="1541"/>
      <c r="J221" s="807">
        <f>IF(F$189="",H$24,IF(AQ220=0,HLOOKUP(CONCATENATE("I",G$189),$AB$181:$AH$188,8,FALSE),IF(AQ221=0,HLOOKUP(CONCATENATE("II",G$189),$AB$181:$AH$188,8,FALSE),IF(AQ222=0,HLOOKUP(CONCATENATE("III",G$189),$AB$181:$AH$188,8,FALSE),H$24))))</f>
        <v>0</v>
      </c>
      <c r="K221" s="165" t="str">
        <f>IF(OR(L221=0,L221="",L221="- - - - - - -"),"",VLOOKUP(L221,$Y$132:$AC$141,5,FALSE))</f>
        <v/>
      </c>
      <c r="L221" s="1540" t="str">
        <f>IF(K$189="",L$28,IF(AR220=0,HLOOKUP(CONCATENATE("I",L$189),$AB$181:$AJ$184,$K$182,FALSE),IF(AR221=0,HLOOKUP(CONCATENATE("II",L$189),$AB$181:$AJ$184,$K$182,FALSE),IF(AR222=0,HLOOKUP(CONCATENATE("III",L$189),$AB$181:$AJ$184,$K$182,FALSE),L$28))))</f>
        <v>- - - - - - -</v>
      </c>
      <c r="M221" s="1541"/>
      <c r="N221" s="1541"/>
      <c r="O221" s="807">
        <f>IF(K$189="",L$24,IF(AR220=0,HLOOKUP(CONCATENATE("I",L$189),$AB$181:$AH$188,8,FALSE),IF(AR221=0,HLOOKUP(CONCATENATE("II",L$189),$AB$181:$AH$188,8,FALSE),IF(AR222=0,HLOOKUP(CONCATENATE("III",L$189),$AB$181:$AH$188,8,FALSE),L$24))))</f>
        <v>0</v>
      </c>
      <c r="P221" s="165" t="str">
        <f>IF(OR(Q221=0,Q221="",Q221="- - - - - - -"),"",VLOOKUP(Q221,$Y$132:$AC$141,5,FALSE))</f>
        <v/>
      </c>
      <c r="Q221" s="1540" t="str">
        <f>IF(P$189="",P$28,IF(AS220=0,HLOOKUP(CONCATENATE("I",Q$189),$AB$181:$AJ$184,$K$182,FALSE),IF(AS221=0,HLOOKUP(CONCATENATE("II",Q$189),$AB$181:$AJ$184,$K$182,FALSE),IF(AS222=0,HLOOKUP(CONCATENATE("III",Q$189),$AB$181:$AJ$184,$K$182,FALSE),P$28))))</f>
        <v>- - - - - - -</v>
      </c>
      <c r="R221" s="1541"/>
      <c r="S221" s="1541"/>
      <c r="T221" s="807">
        <f>IF(P$189="",P$24,IF(AS220=0,HLOOKUP(CONCATENATE("I",Q$189),$AB$181:$AH$188,8,FALSE),IF(AS221=0,HLOOKUP(CONCATENATE("II",Q$189),$AB$181:$AH$188,8,FALSE),IF(AS222=0,HLOOKUP(CONCATENATE("III",Q$189),$AB$181:$AH$188,8,FALSE),P$24))))</f>
        <v>0</v>
      </c>
      <c r="U221" s="165" t="str">
        <f>IF(OR(V221=0,V221="",V221="- - - - - - -"),"",VLOOKUP(V221,$Y$132:$AC$141,5,FALSE))</f>
        <v/>
      </c>
      <c r="V221" s="1540" t="str">
        <f>IF(U$189="",T$28,IF(AT220=0,HLOOKUP(CONCATENATE("I",V$189),$AB$181:$AJ$184,$K$182,FALSE),IF(AT221=0,HLOOKUP(CONCATENATE("II",V$189),$AB$181:$AJ$184,$K$182,FALSE),IF(AT222=0,HLOOKUP(CONCATENATE("III",V$189),$AB$181:$AJ$184,$K$182,FALSE),T$28))))</f>
        <v>- - - - - - -</v>
      </c>
      <c r="W221" s="1541"/>
      <c r="X221" s="1541"/>
      <c r="Y221" s="807">
        <f>IF(U$189="",T$24,IF(AT220=0,HLOOKUP(CONCATENATE("I",V$189),$AB$181:$AH$188,8,FALSE),IF(AT221=0,HLOOKUP(CONCATENATE("II",V$189),$AB$181:$AH$188,8,FALSE),IF(AT222=0,HLOOKUP(CONCATENATE("III",V$189),$AB$181:$AH$188,8,FALSE),T$24))))</f>
        <v>0</v>
      </c>
      <c r="Z221" s="165" t="str">
        <f>IF(OR(AA221=0,AA221="",AA221="- - - - - - -"),"",VLOOKUP(AA221,$Y$132:$AC$141,5,FALSE))</f>
        <v/>
      </c>
      <c r="AA221" s="1540" t="str">
        <f>IF(Z$189="",X$28,IF(AU220=0,HLOOKUP(CONCATENATE("I",AA$189),$AB$181:$AJ$184,$K$182,FALSE),IF(AU221=0,HLOOKUP(CONCATENATE("II",AA$189),$AB$181:$AJ$184,$K$182,FALSE),IF(AU222=0,HLOOKUP(CONCATENATE("III",AA$189),$AB$181:$AJ$184,$K$182,FALSE),X$28))))</f>
        <v>- - - - - - -</v>
      </c>
      <c r="AB221" s="1541"/>
      <c r="AC221" s="1541"/>
      <c r="AD221" s="807">
        <f>IF(Z$189="",X$24,IF(AU220=0,HLOOKUP(CONCATENATE("I",AA$189),$AB$181:$AH$188,8,FALSE),IF(AU221=0,HLOOKUP(CONCATENATE("II",AA$189),$AB$181:$AH$188,8,FALSE),IF(AU222=0,HLOOKUP(CONCATENATE("III",AA$189),$AB$181:$AH$188,8,FALSE),X$24))))</f>
        <v>0</v>
      </c>
      <c r="AE221" s="165" t="str">
        <f>IF(OR(AF221=0,AF221="",AF221="- - - - - - -"),"",VLOOKUP(AF221,$Y$132:$AC$141,5,FALSE))</f>
        <v/>
      </c>
      <c r="AF221" s="1540" t="str">
        <f>IF(AE$189="",AB$28,IF(AV220=0,HLOOKUP(CONCATENATE("I",AF$189),$AB$181:$AJ$184,$K$182,FALSE),IF(AV221=0,HLOOKUP(CONCATENATE("II",AF$189),$AB$181:$AJ$184,$K$182,FALSE),IF(AV222=0,HLOOKUP(CONCATENATE("III",AF$189),$AB$181:$AJ$184,$K$182,FALSE),AB$28))))</f>
        <v>- - - - - - -</v>
      </c>
      <c r="AG221" s="1541"/>
      <c r="AH221" s="1541"/>
      <c r="AI221" s="807">
        <f>IF(AE$189="",AB$24,IF(AV220=0,HLOOKUP(CONCATENATE("I",AF$189),$AB$181:$AH$188,8,FALSE),IF(AV221=0,HLOOKUP(CONCATENATE("II",AF$189),$AB$181:$AH$188,8,FALSE),IF(AV222=0,HLOOKUP(CONCATENATE("III",AF$189),$AB$181:$AH$188,8,FALSE),AB$24))))</f>
        <v>0</v>
      </c>
      <c r="AJ221" s="165" t="str">
        <f>IF(OR(AK221=0,AK221="",AK221="- - - - - - -"),"",VLOOKUP(AK221,$Y$132:$AC$141,5,FALSE))</f>
        <v/>
      </c>
      <c r="AK221" s="1540" t="str">
        <f>IF(AJ$189="",AF$28,IF(AW220=0,HLOOKUP(CONCATENATE("I",AK$189),$AB$181:$AJ$184,$K$182,FALSE),IF(AW221=0,HLOOKUP(CONCATENATE("II",AK$189),$AB$181:$AJ$184,$K$182,FALSE),IF(AW222=0,HLOOKUP(CONCATENATE("III",AK$189),$AB$181:$AJ$184,$K$182,FALSE),AF$28))))</f>
        <v>- - - - - - -</v>
      </c>
      <c r="AL221" s="1541"/>
      <c r="AM221" s="1541"/>
      <c r="AN221" s="807">
        <f>IF(AJ$189="",AF$24,IF(AW220=0,HLOOKUP(CONCATENATE("I",AK$189),$AB$181:$AH$188,8,FALSE),IF(AW221=0,HLOOKUP(CONCATENATE("II",AK$189),$AB$181:$AH$188,8,FALSE),IF(AW222=0,HLOOKUP(CONCATENATE("III",AK$189),$AB$181:$AH$188,8,FALSE),AF$24))))</f>
        <v>0</v>
      </c>
      <c r="AO221" s="1324"/>
      <c r="AP221" s="310" t="s">
        <v>216</v>
      </c>
      <c r="AQ221" s="1335" t="str">
        <f t="shared" si="53"/>
        <v>---</v>
      </c>
      <c r="AR221" s="1335" t="str">
        <f t="shared" si="48"/>
        <v>---</v>
      </c>
      <c r="AS221" s="1335" t="str">
        <f t="shared" si="49"/>
        <v>---</v>
      </c>
      <c r="AT221" s="1335" t="str">
        <f t="shared" si="50"/>
        <v>---</v>
      </c>
      <c r="AU221" s="1335" t="str">
        <f t="shared" si="51"/>
        <v>---</v>
      </c>
      <c r="AV221" s="1335" t="str">
        <f t="shared" si="52"/>
        <v>---</v>
      </c>
      <c r="AW221" s="1335" t="str">
        <f t="shared" si="47"/>
        <v>---</v>
      </c>
      <c r="AX221" s="33"/>
      <c r="AY221" s="1335" t="e">
        <f>HLOOKUP($E220,$O$180:$Z$183,VLOOKUP(CONCATENATE("II",G$189),$H$181:$K$183,4,FALSE),FALSE)</f>
        <v>#N/A</v>
      </c>
      <c r="AZ221" s="1335" t="e">
        <f>HLOOKUP($E220,$O$180:$Z$183,VLOOKUP(CONCATENATE("II",L$189),$H$181:$K$183,4,FALSE),FALSE)</f>
        <v>#N/A</v>
      </c>
      <c r="BA221" s="1335" t="e">
        <f>HLOOKUP($E220,$O$180:$Z$183,VLOOKUP(CONCATENATE("II",Q$189),$H$181:$K$183,4,FALSE),FALSE)</f>
        <v>#N/A</v>
      </c>
      <c r="BB221" s="1335" t="e">
        <f>HLOOKUP($E220,$O$180:$Z$183,VLOOKUP(CONCATENATE("II",V$189),$H$181:$K$183,4,FALSE),FALSE)</f>
        <v>#N/A</v>
      </c>
      <c r="BC221" s="1335" t="e">
        <f>HLOOKUP($E220,$O$180:$Z$183,VLOOKUP(CONCATENATE("II",AA$189),$H$181:$K$183,4,FALSE),FALSE)</f>
        <v>#N/A</v>
      </c>
      <c r="BD221" s="1335" t="e">
        <f>HLOOKUP($E220,$O$180:$Z$183,VLOOKUP(CONCATENATE("II",AF$189),$H$181:$K$183,4,FALSE),FALSE)</f>
        <v>#N/A</v>
      </c>
      <c r="BE221" s="1335" t="e">
        <f>HLOOKUP($E220,$O$180:$Z$183,VLOOKUP(CONCATENATE("II",AK$189),$H$181:$K$183,4,FALSE),FALSE)</f>
        <v>#N/A</v>
      </c>
      <c r="BF221" s="33"/>
      <c r="BG221" s="264"/>
      <c r="BH221" s="264"/>
      <c r="BI221" s="264"/>
      <c r="BJ221" s="264"/>
      <c r="BK221" s="264"/>
      <c r="BL221" s="264"/>
    </row>
    <row r="222" spans="1:64" ht="15" hidden="1" customHeight="1" x14ac:dyDescent="0.2">
      <c r="A222" s="1324"/>
      <c r="B222" s="1565" t="str">
        <f>B220</f>
        <v>Novembre</v>
      </c>
      <c r="C222" s="1566"/>
      <c r="D222" s="1567"/>
      <c r="E222" s="161">
        <f>E221</f>
        <v>11</v>
      </c>
      <c r="F222" s="806" t="str">
        <f>IF(OR(G222="",G222=0),"",VLOOKUP(G222,$AG$8:$AK$14,5,FALSE))</f>
        <v/>
      </c>
      <c r="G222" s="1578" t="str">
        <f>IF(F$189="",H$29,IF(AQ220=0,HLOOKUP(CONCATENATE("I",G$189),$AB$181:$AJ$184,$K$183,FALSE),IF(AQ221=0,HLOOKUP(CONCATENATE("II",G$189),$AB$181:$AJ$184,$K$183,FALSE),IF(AQ222=0,HLOOKUP(CONCATENATE("III",G$189),$AB$181:$AJ$184,$K$183,FALSE),H$29))))</f>
        <v/>
      </c>
      <c r="H222" s="1579"/>
      <c r="I222" s="1579"/>
      <c r="J222" s="1580"/>
      <c r="K222" s="806" t="str">
        <f>IF(OR(L222="",L222=0),"",VLOOKUP(L222,$AG$8:$AK$14,5,FALSE))</f>
        <v/>
      </c>
      <c r="L222" s="1578" t="str">
        <f>IF(K$189="",L$29,IF(AR220=0,HLOOKUP(CONCATENATE("I",L$189),$AB$181:$AJ$184,$K$183,FALSE),IF(AR221=0,HLOOKUP(CONCATENATE("II",L$189),$AB$181:$AJ$184,$K$183,FALSE),IF(AR222=0,HLOOKUP(CONCATENATE("III",L$189),$AB$181:$AJ$184,$K$183,FALSE),L$29))))</f>
        <v/>
      </c>
      <c r="M222" s="1579"/>
      <c r="N222" s="1579"/>
      <c r="O222" s="1580"/>
      <c r="P222" s="806" t="str">
        <f>IF(OR(Q222="",Q222=0),"",VLOOKUP(Q222,$AG$8:$AK$14,5,FALSE))</f>
        <v/>
      </c>
      <c r="Q222" s="1578" t="str">
        <f>IF(P$189="",P$29,IF(AS220=0,HLOOKUP(CONCATENATE("I",Q$189),$AB$181:$AJ$184,$K$183,FALSE),IF(AS221=0,HLOOKUP(CONCATENATE("II",Q$189),$AB$181:$AJ$184,$K$183,FALSE),IF(AS222=0,HLOOKUP(CONCATENATE("III",Q$189),$AB$181:$AJ$184,$K$183,FALSE),P$29))))</f>
        <v/>
      </c>
      <c r="R222" s="1579"/>
      <c r="S222" s="1579"/>
      <c r="T222" s="1580"/>
      <c r="U222" s="806" t="str">
        <f>IF(OR(V222="",V222=0),"",VLOOKUP(V222,$AG$8:$AK$14,5,FALSE))</f>
        <v/>
      </c>
      <c r="V222" s="1578" t="str">
        <f>IF(U$189="",T$29,IF(AT220=0,HLOOKUP(CONCATENATE("I",V$189),$AB$181:$AJ$184,$K$183,FALSE),IF(AT221=0,HLOOKUP(CONCATENATE("II",V$189),$AB$181:$AJ$184,$K$183,FALSE),IF(AT222=0,HLOOKUP(CONCATENATE("III",V$189),$AB$181:$AJ$184,$K$183,FALSE),T$29))))</f>
        <v/>
      </c>
      <c r="W222" s="1579"/>
      <c r="X222" s="1579"/>
      <c r="Y222" s="1580"/>
      <c r="Z222" s="806" t="str">
        <f>IF(OR(AA222="",AA222=0),"",VLOOKUP(AA222,$AG$8:$AK$14,5,FALSE))</f>
        <v/>
      </c>
      <c r="AA222" s="1578" t="str">
        <f>IF(Z$189="",X$29,IF(AU220=0,HLOOKUP(CONCATENATE("I",AA$189),$AB$181:$AJ$184,$K$183,FALSE),IF(AU221=0,HLOOKUP(CONCATENATE("II",AA$189),$AB$181:$AJ$184,$K$183,FALSE),IF(AU222=0,HLOOKUP(CONCATENATE("III",AA$189),$AB$181:$AJ$184,$K$183,FALSE),X$29))))</f>
        <v/>
      </c>
      <c r="AB222" s="1579"/>
      <c r="AC222" s="1579"/>
      <c r="AD222" s="1580"/>
      <c r="AE222" s="806" t="str">
        <f>IF(OR(AF222="",AF222=0),"",VLOOKUP(AF222,$AG$8:$AK$14,5,FALSE))</f>
        <v/>
      </c>
      <c r="AF222" s="1578" t="str">
        <f>IF(AE$189="",AB$29,IF(AV220=0,HLOOKUP(CONCATENATE("I",AF$189),$AB$181:$AJ$184,$K$183,FALSE),IF(AV221=0,HLOOKUP(CONCATENATE("II",AF$189),$AB$181:$AJ$184,$K$183,FALSE),IF(AV222=0,HLOOKUP(CONCATENATE("III",AF$189),$AB$181:$AJ$184,$K$183,FALSE),AB$29))))</f>
        <v/>
      </c>
      <c r="AG222" s="1579"/>
      <c r="AH222" s="1579"/>
      <c r="AI222" s="1580"/>
      <c r="AJ222" s="806" t="str">
        <f>IF(OR(AK222="",AK222=0),"",VLOOKUP(AK222,$AG$8:$AK$14,5,FALSE))</f>
        <v/>
      </c>
      <c r="AK222" s="1578" t="str">
        <f>IF(AJ$189="",AF$29,IF(AW220=0,HLOOKUP(CONCATENATE("I",AK$189),$AB$181:$AJ$184,$K$183,FALSE),IF(AW221=0,HLOOKUP(CONCATENATE("II",AK$189),$AB$181:$AJ$184,$K$183,FALSE),IF(AW222=0,HLOOKUP(CONCATENATE("III",AK$189),$AB$181:$AJ$184,$K$183,FALSE),AF$29))))</f>
        <v/>
      </c>
      <c r="AL222" s="1579"/>
      <c r="AM222" s="1579"/>
      <c r="AN222" s="1580"/>
      <c r="AO222" s="1324"/>
      <c r="AP222" s="577" t="s">
        <v>217</v>
      </c>
      <c r="AQ222" s="172" t="str">
        <f t="shared" si="53"/>
        <v>---</v>
      </c>
      <c r="AR222" s="172" t="str">
        <f t="shared" si="48"/>
        <v>---</v>
      </c>
      <c r="AS222" s="172" t="str">
        <f t="shared" si="49"/>
        <v>---</v>
      </c>
      <c r="AT222" s="172" t="str">
        <f t="shared" si="50"/>
        <v>---</v>
      </c>
      <c r="AU222" s="172" t="str">
        <f t="shared" si="51"/>
        <v>---</v>
      </c>
      <c r="AV222" s="172" t="str">
        <f t="shared" si="52"/>
        <v>---</v>
      </c>
      <c r="AW222" s="172" t="str">
        <f t="shared" si="47"/>
        <v>---</v>
      </c>
      <c r="AX222" s="33"/>
      <c r="AY222" s="172" t="e">
        <f>HLOOKUP($E220,$O$180:$Z$183,VLOOKUP(CONCATENATE("III",G$189),$H$181:$K$183,4,FALSE),FALSE)</f>
        <v>#N/A</v>
      </c>
      <c r="AZ222" s="172" t="e">
        <f>HLOOKUP($E220,$O$180:$Z$183,VLOOKUP(CONCATENATE("III",L$189),$H$181:$K$183,4,FALSE),FALSE)</f>
        <v>#N/A</v>
      </c>
      <c r="BA222" s="172" t="e">
        <f>HLOOKUP($E220,$O$180:$Z$183,VLOOKUP(CONCATENATE("III",Q$189),$H$181:$K$183,4,FALSE),FALSE)</f>
        <v>#N/A</v>
      </c>
      <c r="BB222" s="172" t="e">
        <f>HLOOKUP($E220,$O$180:$Z$183,VLOOKUP(CONCATENATE("III",V$189),$H$181:$K$183,4,FALSE),FALSE)</f>
        <v>#N/A</v>
      </c>
      <c r="BC222" s="172" t="e">
        <f>HLOOKUP($E220,$O$180:$Z$183,VLOOKUP(CONCATENATE("III",AA$189),$H$181:$K$183,4,FALSE),FALSE)</f>
        <v>#N/A</v>
      </c>
      <c r="BD222" s="172" t="e">
        <f>HLOOKUP($E220,$O$180:$Z$183,VLOOKUP(CONCATENATE("III",AF$189),$H$181:$K$183,4,FALSE),FALSE)</f>
        <v>#N/A</v>
      </c>
      <c r="BE222" s="172" t="e">
        <f>HLOOKUP($E220,$O$180:$Z$183,VLOOKUP(CONCATENATE("III",AK$189),$H$181:$K$183,4,FALSE),FALSE)</f>
        <v>#N/A</v>
      </c>
      <c r="BF222" s="33"/>
      <c r="BG222" s="264"/>
      <c r="BH222" s="264"/>
      <c r="BI222" s="264"/>
      <c r="BJ222" s="264"/>
      <c r="BK222" s="264"/>
      <c r="BL222" s="264"/>
    </row>
    <row r="223" spans="1:64" ht="15" hidden="1" customHeight="1" x14ac:dyDescent="0.2">
      <c r="A223" s="1324"/>
      <c r="B223" s="1599" t="str">
        <f>C165</f>
        <v>Dicembre</v>
      </c>
      <c r="C223" s="1546"/>
      <c r="D223" s="1600"/>
      <c r="E223" s="159">
        <f>Z180</f>
        <v>12</v>
      </c>
      <c r="F223" s="164" t="str">
        <f>IF(OR(G223="",G223=0),"",VLOOKUP(G223,$K$8:$O$17,5,FALSE))</f>
        <v/>
      </c>
      <c r="G223" s="1537" t="str">
        <f>IF(F$189="",H$27,IF(AQ223=0,HLOOKUP(CONCATENATE("I",G$189),$AB$181:$AJ$184,$K$181,FALSE),IF(AQ224=0,HLOOKUP(CONCATENATE("II",G$189),$AB$181:$AJ$184,$K$181,FALSE),IF(AQ225=0,HLOOKUP(CONCATENATE("III",G$189),$AB$181:$AJ$184,$K$181,FALSE),H$27))))</f>
        <v/>
      </c>
      <c r="H223" s="1538"/>
      <c r="I223" s="1538"/>
      <c r="J223" s="1539"/>
      <c r="K223" s="164" t="str">
        <f>IF(OR(L223="",L223=0),"",VLOOKUP(L223,$K$8:$O$17,5,FALSE))</f>
        <v/>
      </c>
      <c r="L223" s="1537" t="str">
        <f>IF(K$189="",L$27,IF(AR223=0,HLOOKUP(CONCATENATE("I",L$189),$AB$181:$AJ$184,$K$181,FALSE),IF(AR224=0,HLOOKUP(CONCATENATE("II",L$189),$AB$181:$AJ$184,$K$181,FALSE),IF(AR225=0,HLOOKUP(CONCATENATE("III",L$189),$AB$181:$AJ$184,$K$181,FALSE),L$27))))</f>
        <v/>
      </c>
      <c r="M223" s="1538"/>
      <c r="N223" s="1538"/>
      <c r="O223" s="1539"/>
      <c r="P223" s="164" t="str">
        <f>IF(OR(Q223="",Q223=0),"",VLOOKUP(Q223,$K$8:$O$17,5,FALSE))</f>
        <v/>
      </c>
      <c r="Q223" s="1537" t="str">
        <f>IF(P$189="",P$27,IF(AS223=0,HLOOKUP(CONCATENATE("I",Q$189),$AB$181:$AJ$184,$K$181,FALSE),IF(AS224=0,HLOOKUP(CONCATENATE("II",Q$189),$AB$181:$AJ$184,$K$181,FALSE),IF(AS225=0,HLOOKUP(CONCATENATE("III",Q$189),$AB$181:$AJ$184,$K$181,FALSE),P$27))))</f>
        <v/>
      </c>
      <c r="R223" s="1538"/>
      <c r="S223" s="1538"/>
      <c r="T223" s="1539"/>
      <c r="U223" s="164" t="str">
        <f>IF(OR(V223="",V223=0),"",VLOOKUP(V223,$K$8:$O$17,5,FALSE))</f>
        <v/>
      </c>
      <c r="V223" s="1537" t="str">
        <f>IF(U$189="",T$27,IF(AT223=0,HLOOKUP(CONCATENATE("I",V$189),$AB$181:$AJ$184,$K$181,FALSE),IF(AT224=0,HLOOKUP(CONCATENATE("II",V$189),$AB$181:$AJ$184,$K$181,FALSE),IF(AT225=0,HLOOKUP(CONCATENATE("III",V$189),$AB$181:$AJ$184,$K$181,FALSE),T$27))))</f>
        <v/>
      </c>
      <c r="W223" s="1538"/>
      <c r="X223" s="1538"/>
      <c r="Y223" s="1539"/>
      <c r="Z223" s="164" t="str">
        <f>IF(OR(AA223="",AA223=0),"",VLOOKUP(AA223,$K$8:$O$17,5,FALSE))</f>
        <v/>
      </c>
      <c r="AA223" s="1537" t="str">
        <f>IF(Z$189="",X$27,IF(AU223=0,HLOOKUP(CONCATENATE("I",AA$189),$AB$181:$AJ$184,$K$181,FALSE),IF(AU224=0,HLOOKUP(CONCATENATE("II",AA$189),$AB$181:$AJ$184,$K$181,FALSE),IF(AU225=0,HLOOKUP(CONCATENATE("III",AA$189),$AB$181:$AJ$184,$K$181,FALSE),X$27))))</f>
        <v/>
      </c>
      <c r="AB223" s="1538"/>
      <c r="AC223" s="1538"/>
      <c r="AD223" s="1539"/>
      <c r="AE223" s="164" t="str">
        <f>IF(OR(AF223="",AF223=0),"",VLOOKUP(AF223,$K$8:$O$17,5,FALSE))</f>
        <v/>
      </c>
      <c r="AF223" s="1537" t="str">
        <f>IF(AE$189="",AB$27,IF(AV223=0,HLOOKUP(CONCATENATE("I",AF$189),$AB$181:$AJ$184,$K$181,FALSE),IF(AV224=0,HLOOKUP(CONCATENATE("II",AF$189),$AB$181:$AJ$184,$K$181,FALSE),IF(AV225=0,HLOOKUP(CONCATENATE("III",AF$189),$AB$181:$AJ$184,$K$181,FALSE),AB$27))))</f>
        <v/>
      </c>
      <c r="AG223" s="1538"/>
      <c r="AH223" s="1538"/>
      <c r="AI223" s="1539"/>
      <c r="AJ223" s="164" t="str">
        <f>IF(OR(AK223="",AK223=0),"",VLOOKUP(AK223,$K$8:$O$17,5,FALSE))</f>
        <v/>
      </c>
      <c r="AK223" s="1537" t="str">
        <f>IF(AJ$189="",AF$27,IF(AW223=0,HLOOKUP(CONCATENATE("I",AK$189),$AB$181:$AJ$184,$K$181,FALSE),IF(AW224=0,HLOOKUP(CONCATENATE("II",AK$189),$AB$181:$AJ$184,$K$181,FALSE),IF(AW225=0,HLOOKUP(CONCATENATE("III",AK$189),$AB$181:$AJ$184,$K$181,FALSE),AF$27))))</f>
        <v/>
      </c>
      <c r="AL223" s="1538"/>
      <c r="AM223" s="1538"/>
      <c r="AN223" s="1539"/>
      <c r="AO223" s="1324"/>
      <c r="AP223" s="576" t="s">
        <v>242</v>
      </c>
      <c r="AQ223" s="173" t="str">
        <f t="shared" si="53"/>
        <v>---</v>
      </c>
      <c r="AR223" s="173" t="str">
        <f t="shared" si="48"/>
        <v>---</v>
      </c>
      <c r="AS223" s="173" t="str">
        <f t="shared" si="49"/>
        <v>---</v>
      </c>
      <c r="AT223" s="173" t="str">
        <f t="shared" si="50"/>
        <v>---</v>
      </c>
      <c r="AU223" s="173" t="str">
        <f t="shared" si="51"/>
        <v>---</v>
      </c>
      <c r="AV223" s="173" t="str">
        <f t="shared" si="52"/>
        <v>---</v>
      </c>
      <c r="AW223" s="173" t="str">
        <f t="shared" si="47"/>
        <v>---</v>
      </c>
      <c r="AX223" s="33"/>
      <c r="AY223" s="173" t="e">
        <f>HLOOKUP($E223,$O$180:$Z$183,VLOOKUP(CONCATENATE("I",G$189),$H$181:$K$183,4,FALSE),FALSE)</f>
        <v>#N/A</v>
      </c>
      <c r="AZ223" s="173" t="e">
        <f>HLOOKUP($E223,$O$180:$Z$183,VLOOKUP(CONCATENATE("I",L$189),$H$181:$K$183,4,FALSE),FALSE)</f>
        <v>#N/A</v>
      </c>
      <c r="BA223" s="173" t="e">
        <f>HLOOKUP($E223,$O$180:$Z$183,VLOOKUP(CONCATENATE("I",Q$189),$H$181:$K$183,4,FALSE),FALSE)</f>
        <v>#N/A</v>
      </c>
      <c r="BB223" s="173" t="e">
        <f>HLOOKUP($E223,$O$180:$Z$183,VLOOKUP(CONCATENATE("I",V$189),$H$181:$K$183,4,FALSE),FALSE)</f>
        <v>#N/A</v>
      </c>
      <c r="BC223" s="173" t="e">
        <f>HLOOKUP($E223,$O$180:$Z$183,VLOOKUP(CONCATENATE("I",AA$189),$H$181:$K$183,4,FALSE),FALSE)</f>
        <v>#N/A</v>
      </c>
      <c r="BD223" s="173" t="e">
        <f>HLOOKUP($E223,$O$180:$Z$183,VLOOKUP(CONCATENATE("I",AF$189),$H$181:$K$183,4,FALSE),FALSE)</f>
        <v>#N/A</v>
      </c>
      <c r="BE223" s="173" t="e">
        <f>HLOOKUP($E223,$O$180:$Z$183,VLOOKUP(CONCATENATE("I",AK$189),$H$181:$K$183,4,FALSE),FALSE)</f>
        <v>#N/A</v>
      </c>
      <c r="BF223" s="33"/>
      <c r="BG223" s="264"/>
      <c r="BH223" s="264"/>
      <c r="BI223" s="264"/>
      <c r="BJ223" s="264"/>
      <c r="BK223" s="264"/>
      <c r="BL223" s="264"/>
    </row>
    <row r="224" spans="1:64" ht="15" hidden="1" customHeight="1" x14ac:dyDescent="0.2">
      <c r="A224" s="1324"/>
      <c r="B224" s="1596" t="str">
        <f>B223</f>
        <v>Dicembre</v>
      </c>
      <c r="C224" s="1597"/>
      <c r="D224" s="1598"/>
      <c r="E224" s="161">
        <f>E223</f>
        <v>12</v>
      </c>
      <c r="F224" s="165" t="str">
        <f>IF(OR(G224=0,G224="",G224="- - - - - - -"),"",VLOOKUP(G224,$Y$132:$AC$141,5,FALSE))</f>
        <v/>
      </c>
      <c r="G224" s="1540" t="str">
        <f>IF(F$189="",H$28,IF(AQ223=0,HLOOKUP(CONCATENATE("I",G$189),$AB$181:$AJ$184,$K$182,FALSE),IF(AQ224=0,HLOOKUP(CONCATENATE("II",G$189),$AB$181:$AJ$184,$K$182,FALSE),IF(AQ225=0,HLOOKUP(CONCATENATE("III",G$189),$AB$181:$AJ$184,$K$182,FALSE),H$28))))</f>
        <v>- - - - - - -</v>
      </c>
      <c r="H224" s="1541"/>
      <c r="I224" s="1541"/>
      <c r="J224" s="807">
        <f>IF(F$189="",H$24,IF(AQ223=0,HLOOKUP(CONCATENATE("I",G$189),$AB$181:$AH$188,8,FALSE),IF(AQ224=0,HLOOKUP(CONCATENATE("II",G$189),$AB$181:$AH$188,8,FALSE),IF(AQ225=0,HLOOKUP(CONCATENATE("III",G$189),$AB$181:$AH$188,8,FALSE),H$24))))</f>
        <v>0</v>
      </c>
      <c r="K224" s="165" t="str">
        <f>IF(OR(L224=0,L224="",L224="- - - - - - -"),"",VLOOKUP(L224,$Y$132:$AC$141,5,FALSE))</f>
        <v/>
      </c>
      <c r="L224" s="1540" t="str">
        <f>IF(K$189="",L$28,IF(AR223=0,HLOOKUP(CONCATENATE("I",L$189),$AB$181:$AJ$184,$K$182,FALSE),IF(AR224=0,HLOOKUP(CONCATENATE("II",L$189),$AB$181:$AJ$184,$K$182,FALSE),IF(AR225=0,HLOOKUP(CONCATENATE("III",L$189),$AB$181:$AJ$184,$K$182,FALSE),L$28))))</f>
        <v>- - - - - - -</v>
      </c>
      <c r="M224" s="1541"/>
      <c r="N224" s="1541"/>
      <c r="O224" s="807">
        <f>IF(K$189="",L$24,IF(AR223=0,HLOOKUP(CONCATENATE("I",L$189),$AB$181:$AH$188,8,FALSE),IF(AR224=0,HLOOKUP(CONCATENATE("II",L$189),$AB$181:$AH$188,8,FALSE),IF(AR225=0,HLOOKUP(CONCATENATE("III",L$189),$AB$181:$AH$188,8,FALSE),L$24))))</f>
        <v>0</v>
      </c>
      <c r="P224" s="165" t="str">
        <f>IF(OR(Q224=0,Q224="",Q224="- - - - - - -"),"",VLOOKUP(Q224,$Y$132:$AC$141,5,FALSE))</f>
        <v/>
      </c>
      <c r="Q224" s="1540" t="str">
        <f>IF(P$189="",P$28,IF(AS223=0,HLOOKUP(CONCATENATE("I",Q$189),$AB$181:$AJ$184,$K$182,FALSE),IF(AS224=0,HLOOKUP(CONCATENATE("II",Q$189),$AB$181:$AJ$184,$K$182,FALSE),IF(AS225=0,HLOOKUP(CONCATENATE("III",Q$189),$AB$181:$AJ$184,$K$182,FALSE),P$28))))</f>
        <v>- - - - - - -</v>
      </c>
      <c r="R224" s="1541"/>
      <c r="S224" s="1541"/>
      <c r="T224" s="807">
        <f>IF(P$189="",P$24,IF(AS223=0,HLOOKUP(CONCATENATE("I",Q$189),$AB$181:$AH$188,8,FALSE),IF(AS224=0,HLOOKUP(CONCATENATE("II",Q$189),$AB$181:$AH$188,8,FALSE),IF(AS225=0,HLOOKUP(CONCATENATE("III",Q$189),$AB$181:$AH$188,8,FALSE),P$24))))</f>
        <v>0</v>
      </c>
      <c r="U224" s="165" t="str">
        <f>IF(OR(V224=0,V224="",V224="- - - - - - -"),"",VLOOKUP(V224,$Y$132:$AC$141,5,FALSE))</f>
        <v/>
      </c>
      <c r="V224" s="1540" t="str">
        <f>IF(U$189="",T$28,IF(AT223=0,HLOOKUP(CONCATENATE("I",V$189),$AB$181:$AJ$184,$K$182,FALSE),IF(AT224=0,HLOOKUP(CONCATENATE("II",V$189),$AB$181:$AJ$184,$K$182,FALSE),IF(AT225=0,HLOOKUP(CONCATENATE("III",V$189),$AB$181:$AJ$184,$K$182,FALSE),T$28))))</f>
        <v>- - - - - - -</v>
      </c>
      <c r="W224" s="1541"/>
      <c r="X224" s="1541"/>
      <c r="Y224" s="807">
        <f>IF(U$189="",T$24,IF(AT223=0,HLOOKUP(CONCATENATE("I",V$189),$AB$181:$AH$188,8,FALSE),IF(AT224=0,HLOOKUP(CONCATENATE("II",V$189),$AB$181:$AH$188,8,FALSE),IF(AT225=0,HLOOKUP(CONCATENATE("III",V$189),$AB$181:$AH$188,8,FALSE),T$24))))</f>
        <v>0</v>
      </c>
      <c r="Z224" s="165" t="str">
        <f>IF(OR(AA224=0,AA224="",AA224="- - - - - - -"),"",VLOOKUP(AA224,$Y$132:$AC$141,5,FALSE))</f>
        <v/>
      </c>
      <c r="AA224" s="1540" t="str">
        <f>IF(Z$189="",X$28,IF(AU223=0,HLOOKUP(CONCATENATE("I",AA$189),$AB$181:$AJ$184,$K$182,FALSE),IF(AU224=0,HLOOKUP(CONCATENATE("II",AA$189),$AB$181:$AJ$184,$K$182,FALSE),IF(AU225=0,HLOOKUP(CONCATENATE("III",AA$189),$AB$181:$AJ$184,$K$182,FALSE),X$28))))</f>
        <v>- - - - - - -</v>
      </c>
      <c r="AB224" s="1541"/>
      <c r="AC224" s="1541"/>
      <c r="AD224" s="807">
        <f>IF(Z$189="",X$24,IF(AU223=0,HLOOKUP(CONCATENATE("I",AA$189),$AB$181:$AH$188,8,FALSE),IF(AU224=0,HLOOKUP(CONCATENATE("II",AA$189),$AB$181:$AH$188,8,FALSE),IF(AU225=0,HLOOKUP(CONCATENATE("III",AA$189),$AB$181:$AH$188,8,FALSE),X$24))))</f>
        <v>0</v>
      </c>
      <c r="AE224" s="165" t="str">
        <f>IF(OR(AF224=0,AF224="",AF224="- - - - - - -"),"",VLOOKUP(AF224,$Y$132:$AC$141,5,FALSE))</f>
        <v/>
      </c>
      <c r="AF224" s="1540" t="str">
        <f>IF(AE$189="",AB$28,IF(AV223=0,HLOOKUP(CONCATENATE("I",AF$189),$AB$181:$AJ$184,$K$182,FALSE),IF(AV224=0,HLOOKUP(CONCATENATE("II",AF$189),$AB$181:$AJ$184,$K$182,FALSE),IF(AV225=0,HLOOKUP(CONCATENATE("III",AF$189),$AB$181:$AJ$184,$K$182,FALSE),AB$28))))</f>
        <v>- - - - - - -</v>
      </c>
      <c r="AG224" s="1541"/>
      <c r="AH224" s="1541"/>
      <c r="AI224" s="807">
        <f>IF(AE$189="",AB$24,IF(AV223=0,HLOOKUP(CONCATENATE("I",AF$189),$AB$181:$AH$188,8,FALSE),IF(AV224=0,HLOOKUP(CONCATENATE("II",AF$189),$AB$181:$AH$188,8,FALSE),IF(AV225=0,HLOOKUP(CONCATENATE("III",AF$189),$AB$181:$AH$188,8,FALSE),AB$24))))</f>
        <v>0</v>
      </c>
      <c r="AJ224" s="165" t="str">
        <f>IF(OR(AK224=0,AK224="",AK224="- - - - - - -"),"",VLOOKUP(AK224,$Y$132:$AC$141,5,FALSE))</f>
        <v/>
      </c>
      <c r="AK224" s="1540" t="str">
        <f>IF(AJ$189="",AF$28,IF(AW223=0,HLOOKUP(CONCATENATE("I",AK$189),$AB$181:$AJ$184,$K$182,FALSE),IF(AW224=0,HLOOKUP(CONCATENATE("II",AK$189),$AB$181:$AJ$184,$K$182,FALSE),IF(AW225=0,HLOOKUP(CONCATENATE("III",AK$189),$AB$181:$AJ$184,$K$182,FALSE),AF$28))))</f>
        <v>- - - - - - -</v>
      </c>
      <c r="AL224" s="1541"/>
      <c r="AM224" s="1541"/>
      <c r="AN224" s="807">
        <f>IF(AJ$189="",AF$24,IF(AW223=0,HLOOKUP(CONCATENATE("I",AK$189),$AB$181:$AH$188,8,FALSE),IF(AW224=0,HLOOKUP(CONCATENATE("II",AK$189),$AB$181:$AH$188,8,FALSE),IF(AW225=0,HLOOKUP(CONCATENATE("III",AK$189),$AB$181:$AH$188,8,FALSE),AF$24))))</f>
        <v>0</v>
      </c>
      <c r="AO224" s="1324"/>
      <c r="AP224" s="310" t="s">
        <v>216</v>
      </c>
      <c r="AQ224" s="1335" t="str">
        <f t="shared" si="53"/>
        <v>---</v>
      </c>
      <c r="AR224" s="1335" t="str">
        <f t="shared" si="48"/>
        <v>---</v>
      </c>
      <c r="AS224" s="1335" t="str">
        <f t="shared" si="49"/>
        <v>---</v>
      </c>
      <c r="AT224" s="1335" t="str">
        <f t="shared" si="50"/>
        <v>---</v>
      </c>
      <c r="AU224" s="1335" t="str">
        <f t="shared" si="51"/>
        <v>---</v>
      </c>
      <c r="AV224" s="1335" t="str">
        <f t="shared" si="52"/>
        <v>---</v>
      </c>
      <c r="AW224" s="1335" t="str">
        <f t="shared" si="47"/>
        <v>---</v>
      </c>
      <c r="AX224" s="33"/>
      <c r="AY224" s="1335" t="e">
        <f>HLOOKUP($E223,$O$180:$Z$183,VLOOKUP(CONCATENATE("II",G$189),$H$181:$K$183,4,FALSE),FALSE)</f>
        <v>#N/A</v>
      </c>
      <c r="AZ224" s="1335" t="e">
        <f>HLOOKUP($E223,$O$180:$Z$183,VLOOKUP(CONCATENATE("II",L$189),$H$181:$K$183,4,FALSE),FALSE)</f>
        <v>#N/A</v>
      </c>
      <c r="BA224" s="1335" t="e">
        <f>HLOOKUP($E223,$O$180:$Z$183,VLOOKUP(CONCATENATE("II",Q$189),$H$181:$K$183,4,FALSE),FALSE)</f>
        <v>#N/A</v>
      </c>
      <c r="BB224" s="1335" t="e">
        <f>HLOOKUP($E223,$O$180:$Z$183,VLOOKUP(CONCATENATE("II",V$189),$H$181:$K$183,4,FALSE),FALSE)</f>
        <v>#N/A</v>
      </c>
      <c r="BC224" s="1335" t="e">
        <f>HLOOKUP($E223,$O$180:$Z$183,VLOOKUP(CONCATENATE("II",AA$189),$H$181:$K$183,4,FALSE),FALSE)</f>
        <v>#N/A</v>
      </c>
      <c r="BD224" s="1335" t="e">
        <f>HLOOKUP($E223,$O$180:$Z$183,VLOOKUP(CONCATENATE("II",AF$189),$H$181:$K$183,4,FALSE),FALSE)</f>
        <v>#N/A</v>
      </c>
      <c r="BE224" s="1335" t="e">
        <f>HLOOKUP($E223,$O$180:$Z$183,VLOOKUP(CONCATENATE("II",AK$189),$H$181:$K$183,4,FALSE),FALSE)</f>
        <v>#N/A</v>
      </c>
      <c r="BF224" s="33"/>
      <c r="BG224" s="264"/>
      <c r="BH224" s="264"/>
      <c r="BI224" s="264"/>
      <c r="BJ224" s="264"/>
      <c r="BK224" s="264"/>
      <c r="BL224" s="264"/>
    </row>
    <row r="225" spans="1:64" ht="15" hidden="1" customHeight="1" x14ac:dyDescent="0.2">
      <c r="A225" s="1324"/>
      <c r="B225" s="1565" t="str">
        <f>B223</f>
        <v>Dicembre</v>
      </c>
      <c r="C225" s="1566"/>
      <c r="D225" s="1567"/>
      <c r="E225" s="161">
        <f>E224</f>
        <v>12</v>
      </c>
      <c r="F225" s="806" t="str">
        <f>IF(OR(G225="",G225=0),"",VLOOKUP(G225,$AG$8:$AK$14,5,FALSE))</f>
        <v/>
      </c>
      <c r="G225" s="1578" t="str">
        <f>IF(F$189="",H$29,IF(AQ223=0,HLOOKUP(CONCATENATE("I",G$189),$AB$181:$AJ$184,$K$183,FALSE),IF(AQ224=0,HLOOKUP(CONCATENATE("II",G$189),$AB$181:$AJ$184,$K$183,FALSE),IF(AQ225=0,HLOOKUP(CONCATENATE("III",G$189),$AB$181:$AJ$184,$K$183,FALSE),H$29))))</f>
        <v/>
      </c>
      <c r="H225" s="1579"/>
      <c r="I225" s="1579"/>
      <c r="J225" s="1580"/>
      <c r="K225" s="806" t="str">
        <f>IF(OR(L225="",L225=0),"",VLOOKUP(L225,$AG$8:$AK$14,5,FALSE))</f>
        <v/>
      </c>
      <c r="L225" s="1578" t="str">
        <f>IF(K$189="",L$29,IF(AR223=0,HLOOKUP(CONCATENATE("I",L$189),$AB$181:$AJ$184,$K$183,FALSE),IF(AR224=0,HLOOKUP(CONCATENATE("II",L$189),$AB$181:$AJ$184,$K$183,FALSE),IF(AR225=0,HLOOKUP(CONCATENATE("III",L$189),$AB$181:$AJ$184,$K$183,FALSE),L$29))))</f>
        <v/>
      </c>
      <c r="M225" s="1579"/>
      <c r="N225" s="1579"/>
      <c r="O225" s="1580"/>
      <c r="P225" s="806" t="str">
        <f>IF(OR(Q225="",Q225=0),"",VLOOKUP(Q225,$AG$8:$AK$14,5,FALSE))</f>
        <v/>
      </c>
      <c r="Q225" s="1578" t="str">
        <f>IF(P$189="",P$29,IF(AS223=0,HLOOKUP(CONCATENATE("I",Q$189),$AB$181:$AJ$184,$K$183,FALSE),IF(AS224=0,HLOOKUP(CONCATENATE("II",Q$189),$AB$181:$AJ$184,$K$183,FALSE),IF(AS225=0,HLOOKUP(CONCATENATE("III",Q$189),$AB$181:$AJ$184,$K$183,FALSE),P$29))))</f>
        <v/>
      </c>
      <c r="R225" s="1579"/>
      <c r="S225" s="1579"/>
      <c r="T225" s="1580"/>
      <c r="U225" s="806" t="str">
        <f>IF(OR(V225="",V225=0),"",VLOOKUP(V225,$AG$8:$AK$14,5,FALSE))</f>
        <v/>
      </c>
      <c r="V225" s="1578" t="str">
        <f>IF(U$189="",T$29,IF(AT223=0,HLOOKUP(CONCATENATE("I",V$189),$AB$181:$AJ$184,$K$183,FALSE),IF(AT224=0,HLOOKUP(CONCATENATE("II",V$189),$AB$181:$AJ$184,$K$183,FALSE),IF(AT225=0,HLOOKUP(CONCATENATE("III",V$189),$AB$181:$AJ$184,$K$183,FALSE),T$29))))</f>
        <v/>
      </c>
      <c r="W225" s="1579"/>
      <c r="X225" s="1579"/>
      <c r="Y225" s="1580"/>
      <c r="Z225" s="806" t="str">
        <f>IF(OR(AA225="",AA225=0),"",VLOOKUP(AA225,$AG$8:$AK$14,5,FALSE))</f>
        <v/>
      </c>
      <c r="AA225" s="1578" t="str">
        <f>IF(Z$189="",X$29,IF(AU223=0,HLOOKUP(CONCATENATE("I",AA$189),$AB$181:$AJ$184,$K$183,FALSE),IF(AU224=0,HLOOKUP(CONCATENATE("II",AA$189),$AB$181:$AJ$184,$K$183,FALSE),IF(AU225=0,HLOOKUP(CONCATENATE("III",AA$189),$AB$181:$AJ$184,$K$183,FALSE),X$29))))</f>
        <v/>
      </c>
      <c r="AB225" s="1579"/>
      <c r="AC225" s="1579"/>
      <c r="AD225" s="1580"/>
      <c r="AE225" s="806" t="str">
        <f>IF(OR(AF225="",AF225=0),"",VLOOKUP(AF225,$AG$8:$AK$14,5,FALSE))</f>
        <v/>
      </c>
      <c r="AF225" s="1578" t="str">
        <f>IF(AE$189="",AB$29,IF(AV223=0,HLOOKUP(CONCATENATE("I",AF$189),$AB$181:$AJ$184,$K$183,FALSE),IF(AV224=0,HLOOKUP(CONCATENATE("II",AF$189),$AB$181:$AJ$184,$K$183,FALSE),IF(AV225=0,HLOOKUP(CONCATENATE("III",AF$189),$AB$181:$AJ$184,$K$183,FALSE),AB$29))))</f>
        <v/>
      </c>
      <c r="AG225" s="1579"/>
      <c r="AH225" s="1579"/>
      <c r="AI225" s="1580"/>
      <c r="AJ225" s="806" t="str">
        <f>IF(OR(AK225="",AK225=0),"",VLOOKUP(AK225,$AG$8:$AK$14,5,FALSE))</f>
        <v/>
      </c>
      <c r="AK225" s="1578" t="str">
        <f>IF(AJ$189="",AF$29,IF(AW223=0,HLOOKUP(CONCATENATE("I",AK$189),$AB$181:$AJ$184,$K$183,FALSE),IF(AW224=0,HLOOKUP(CONCATENATE("II",AK$189),$AB$181:$AJ$184,$K$183,FALSE),IF(AW225=0,HLOOKUP(CONCATENATE("III",AK$189),$AB$181:$AJ$184,$K$183,FALSE),AF$29))))</f>
        <v/>
      </c>
      <c r="AL225" s="1579"/>
      <c r="AM225" s="1579"/>
      <c r="AN225" s="1580"/>
      <c r="AO225" s="1324"/>
      <c r="AP225" s="577" t="s">
        <v>217</v>
      </c>
      <c r="AQ225" s="172" t="str">
        <f t="shared" si="53"/>
        <v>---</v>
      </c>
      <c r="AR225" s="172" t="str">
        <f t="shared" si="48"/>
        <v>---</v>
      </c>
      <c r="AS225" s="172" t="str">
        <f t="shared" si="49"/>
        <v>---</v>
      </c>
      <c r="AT225" s="172" t="str">
        <f t="shared" si="50"/>
        <v>---</v>
      </c>
      <c r="AU225" s="172" t="str">
        <f t="shared" si="51"/>
        <v>---</v>
      </c>
      <c r="AV225" s="172" t="str">
        <f t="shared" si="52"/>
        <v>---</v>
      </c>
      <c r="AW225" s="172" t="str">
        <f t="shared" si="47"/>
        <v>---</v>
      </c>
      <c r="AX225" s="33"/>
      <c r="AY225" s="172" t="e">
        <f>HLOOKUP($E223,$O$180:$Z$183,VLOOKUP(CONCATENATE("III",G$189),$H$181:$K$183,4,FALSE),FALSE)</f>
        <v>#N/A</v>
      </c>
      <c r="AZ225" s="172" t="e">
        <f>HLOOKUP($E223,$O$180:$Z$183,VLOOKUP(CONCATENATE("III",L$189),$H$181:$K$183,4,FALSE),FALSE)</f>
        <v>#N/A</v>
      </c>
      <c r="BA225" s="172" t="e">
        <f>HLOOKUP($E223,$O$180:$Z$183,VLOOKUP(CONCATENATE("III",Q$189),$H$181:$K$183,4,FALSE),FALSE)</f>
        <v>#N/A</v>
      </c>
      <c r="BB225" s="172" t="e">
        <f>HLOOKUP($E223,$O$180:$Z$183,VLOOKUP(CONCATENATE("III",V$189),$H$181:$K$183,4,FALSE),FALSE)</f>
        <v>#N/A</v>
      </c>
      <c r="BC225" s="172" t="e">
        <f>HLOOKUP($E223,$O$180:$Z$183,VLOOKUP(CONCATENATE("III",AA$189),$H$181:$K$183,4,FALSE),FALSE)</f>
        <v>#N/A</v>
      </c>
      <c r="BD225" s="172" t="e">
        <f>HLOOKUP($E223,$O$180:$Z$183,VLOOKUP(CONCATENATE("III",AF$189),$H$181:$K$183,4,FALSE),FALSE)</f>
        <v>#N/A</v>
      </c>
      <c r="BE225" s="172" t="e">
        <f>HLOOKUP($E223,$O$180:$Z$183,VLOOKUP(CONCATENATE("III",AK$189),$H$181:$K$183,4,FALSE),FALSE)</f>
        <v>#N/A</v>
      </c>
      <c r="BF225" s="33"/>
      <c r="BG225" s="264"/>
      <c r="BH225" s="264"/>
      <c r="BI225" s="264"/>
      <c r="BJ225" s="264"/>
      <c r="BK225" s="264"/>
      <c r="BL225" s="264"/>
    </row>
    <row r="226" spans="1:64" ht="18" hidden="1" customHeight="1" x14ac:dyDescent="0.2">
      <c r="A226" s="1324"/>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324"/>
      <c r="AD226" s="1324"/>
      <c r="AE226" s="1324"/>
      <c r="AF226" s="1324"/>
      <c r="AG226" s="1324"/>
      <c r="AH226" s="1324"/>
      <c r="AI226" s="1324"/>
      <c r="AJ226" s="1324"/>
      <c r="AK226" s="1324"/>
      <c r="AL226" s="1324"/>
      <c r="AM226" s="1324"/>
      <c r="AN226" s="33"/>
      <c r="AO226" s="33"/>
      <c r="AP226" s="33"/>
      <c r="AQ226" s="33"/>
      <c r="AR226" s="33"/>
      <c r="AS226" s="33"/>
      <c r="AT226" s="33"/>
      <c r="AU226" s="33"/>
      <c r="AV226" s="33"/>
      <c r="AW226" s="33"/>
      <c r="AX226" s="33"/>
      <c r="AY226" s="33"/>
      <c r="AZ226" s="33"/>
      <c r="BA226" s="33"/>
      <c r="BB226" s="33"/>
      <c r="BC226" s="33"/>
      <c r="BD226" s="33"/>
      <c r="BE226" s="33"/>
      <c r="BF226" s="33"/>
      <c r="BG226" s="264"/>
      <c r="BH226" s="264"/>
      <c r="BI226" s="264"/>
      <c r="BJ226" s="264"/>
      <c r="BK226" s="264"/>
      <c r="BL226" s="264"/>
    </row>
    <row r="227" spans="1:64" ht="18" hidden="1" customHeight="1" x14ac:dyDescent="0.2">
      <c r="A227" s="1324"/>
      <c r="B227" s="127"/>
      <c r="C227" s="127"/>
      <c r="D227" s="1588" t="str">
        <f>C154</f>
        <v>Gennaio</v>
      </c>
      <c r="E227" s="1589"/>
      <c r="F227" s="1589"/>
      <c r="G227" s="1588" t="str">
        <f>C155</f>
        <v>Febbraio</v>
      </c>
      <c r="H227" s="1589"/>
      <c r="I227" s="1590"/>
      <c r="J227" s="1588" t="str">
        <f>C156</f>
        <v>Marzo</v>
      </c>
      <c r="K227" s="1589"/>
      <c r="L227" s="1589"/>
      <c r="M227" s="1588" t="str">
        <f>C157</f>
        <v>Aprile</v>
      </c>
      <c r="N227" s="1589"/>
      <c r="O227" s="1589"/>
      <c r="P227" s="1588" t="str">
        <f>C158</f>
        <v>Maggio</v>
      </c>
      <c r="Q227" s="1589"/>
      <c r="R227" s="1589"/>
      <c r="S227" s="1588" t="str">
        <f>C159</f>
        <v>Giugno</v>
      </c>
      <c r="T227" s="1589"/>
      <c r="U227" s="1589"/>
      <c r="V227" s="1588" t="str">
        <f>C160</f>
        <v>Luglio</v>
      </c>
      <c r="W227" s="1589"/>
      <c r="X227" s="1589"/>
      <c r="Y227" s="1588" t="str">
        <f>C161</f>
        <v>Agosto</v>
      </c>
      <c r="Z227" s="1589"/>
      <c r="AA227" s="1589"/>
      <c r="AB227" s="1588" t="str">
        <f>C162</f>
        <v>Settembre</v>
      </c>
      <c r="AC227" s="1589"/>
      <c r="AD227" s="1589"/>
      <c r="AE227" s="1588" t="str">
        <f>C163</f>
        <v>Ottobre</v>
      </c>
      <c r="AF227" s="1589"/>
      <c r="AG227" s="1589"/>
      <c r="AH227" s="1588" t="str">
        <f>C164</f>
        <v>Novembre</v>
      </c>
      <c r="AI227" s="1589"/>
      <c r="AJ227" s="1589"/>
      <c r="AK227" s="1588" t="str">
        <f>C165</f>
        <v>Dicembre</v>
      </c>
      <c r="AL227" s="1589"/>
      <c r="AM227" s="1590"/>
      <c r="AN227" s="33"/>
      <c r="AO227" s="33"/>
      <c r="AP227" s="33"/>
      <c r="AQ227" s="33"/>
      <c r="AR227" s="264"/>
      <c r="AS227" s="264"/>
      <c r="AT227" s="264"/>
      <c r="AU227" s="264"/>
      <c r="AV227" s="264"/>
      <c r="AW227" s="264"/>
      <c r="AX227" s="264"/>
      <c r="AY227" s="264"/>
      <c r="AZ227" s="264"/>
      <c r="BA227" s="264"/>
      <c r="BB227" s="264"/>
      <c r="BC227" s="264"/>
      <c r="BD227" s="264"/>
      <c r="BE227" s="264"/>
      <c r="BF227" s="264"/>
      <c r="BG227" s="264"/>
      <c r="BH227" s="264"/>
      <c r="BI227" s="264"/>
      <c r="BJ227" s="264"/>
      <c r="BK227" s="264"/>
      <c r="BL227" s="264"/>
    </row>
    <row r="228" spans="1:64" ht="18" hidden="1" customHeight="1" x14ac:dyDescent="0.2">
      <c r="A228" s="1324"/>
      <c r="B228" s="1657"/>
      <c r="C228" s="1657"/>
      <c r="D228" s="33"/>
      <c r="E228" s="33"/>
      <c r="F228" s="33"/>
      <c r="G228" s="1587"/>
      <c r="H228" s="1587"/>
      <c r="I228" s="1587"/>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264"/>
      <c r="AS228" s="264"/>
      <c r="AT228" s="264"/>
      <c r="AU228" s="264"/>
      <c r="AV228" s="264"/>
      <c r="AW228" s="264"/>
      <c r="AX228" s="264"/>
      <c r="AY228" s="264"/>
      <c r="AZ228" s="264"/>
      <c r="BA228" s="264"/>
      <c r="BB228" s="264"/>
      <c r="BC228" s="264"/>
      <c r="BD228" s="264"/>
      <c r="BE228" s="264"/>
      <c r="BF228" s="264"/>
      <c r="BG228" s="264"/>
      <c r="BH228" s="264"/>
      <c r="BI228" s="264"/>
      <c r="BJ228" s="264"/>
      <c r="BK228" s="264"/>
      <c r="BL228" s="264"/>
    </row>
    <row r="229" spans="1:64" ht="18" hidden="1" customHeight="1" x14ac:dyDescent="0.2">
      <c r="A229" s="1324"/>
      <c r="B229" s="1897" t="str">
        <f>C181</f>
        <v>Colonna 1</v>
      </c>
      <c r="C229" s="1899"/>
      <c r="D229" s="1575">
        <v>0</v>
      </c>
      <c r="E229" s="1576"/>
      <c r="F229" s="1577"/>
      <c r="G229" s="1572" t="e">
        <f>HLOOKUP($B230,FEB!$G$1:$M$46,46,FALSE)</f>
        <v>#N/A</v>
      </c>
      <c r="H229" s="1573"/>
      <c r="I229" s="1574"/>
      <c r="J229" s="1572" t="e">
        <f>HLOOKUP($B230,MAR!$G$1:$M$46,46,FALSE)</f>
        <v>#N/A</v>
      </c>
      <c r="K229" s="1573"/>
      <c r="L229" s="1574"/>
      <c r="M229" s="1572" t="e">
        <f>HLOOKUP($B230,APR!$G$1:$M$46,46,FALSE)</f>
        <v>#N/A</v>
      </c>
      <c r="N229" s="1573"/>
      <c r="O229" s="1574"/>
      <c r="P229" s="1572" t="e">
        <f>HLOOKUP($B230,MAG!$G$1:$M$46,46,FALSE)</f>
        <v>#N/A</v>
      </c>
      <c r="Q229" s="1573"/>
      <c r="R229" s="1574"/>
      <c r="S229" s="1572" t="e">
        <f>HLOOKUP($B230,GIU!$G$1:$M$46,46,FALSE)</f>
        <v>#N/A</v>
      </c>
      <c r="T229" s="1573"/>
      <c r="U229" s="1574"/>
      <c r="V229" s="1572" t="e">
        <f>HLOOKUP($B230,LUG!$G$1:$M$46,46,FALSE)</f>
        <v>#N/A</v>
      </c>
      <c r="W229" s="1573"/>
      <c r="X229" s="1574"/>
      <c r="Y229" s="1572" t="e">
        <f>HLOOKUP($B230,AGO!$G$1:$M$46,46,FALSE)</f>
        <v>#N/A</v>
      </c>
      <c r="Z229" s="1573"/>
      <c r="AA229" s="1574"/>
      <c r="AB229" s="1572" t="e">
        <f>HLOOKUP($B230,SET!$G$1:$M$46,46,FALSE)</f>
        <v>#N/A</v>
      </c>
      <c r="AC229" s="1573"/>
      <c r="AD229" s="1574"/>
      <c r="AE229" s="1572" t="e">
        <f>HLOOKUP($B230,OTT!$G$1:$M$46,46,FALSE)</f>
        <v>#N/A</v>
      </c>
      <c r="AF229" s="1573"/>
      <c r="AG229" s="1574"/>
      <c r="AH229" s="1572" t="e">
        <f>HLOOKUP($B230,NOV!$G$1:$M$46,46,FALSE)</f>
        <v>#N/A</v>
      </c>
      <c r="AI229" s="1573"/>
      <c r="AJ229" s="1574"/>
      <c r="AK229" s="1572" t="e">
        <f>HLOOKUP($B230,DIC!$G$1:$M$46,46,FALSE)</f>
        <v>#N/A</v>
      </c>
      <c r="AL229" s="1573"/>
      <c r="AM229" s="1574"/>
      <c r="AN229" s="1603"/>
      <c r="AO229" s="1604"/>
      <c r="AP229" s="1604"/>
      <c r="AQ229" s="33"/>
      <c r="AR229" s="264"/>
      <c r="AS229" s="264"/>
      <c r="AT229" s="264"/>
      <c r="AU229" s="264"/>
      <c r="AV229" s="264"/>
      <c r="AW229" s="264"/>
      <c r="AX229" s="264"/>
      <c r="AY229" s="264"/>
      <c r="AZ229" s="264"/>
      <c r="BA229" s="264"/>
      <c r="BB229" s="264"/>
      <c r="BC229" s="264"/>
      <c r="BD229" s="264"/>
      <c r="BE229" s="264"/>
      <c r="BF229" s="264"/>
      <c r="BG229" s="264"/>
      <c r="BH229" s="264"/>
      <c r="BI229" s="264"/>
      <c r="BJ229" s="264"/>
      <c r="BK229" s="264"/>
      <c r="BL229" s="264"/>
    </row>
    <row r="230" spans="1:64" ht="18" hidden="1" customHeight="1" x14ac:dyDescent="0.2">
      <c r="B230" s="1658" t="str">
        <f>IF(H23=1,"",CONCATENATE(IF(I23="","..",I23),"-",IF(I24="","..",I24),"-",IF(I25="","..",I25)))</f>
        <v/>
      </c>
      <c r="C230" s="1659"/>
      <c r="D230" s="1572" t="e">
        <f>HLOOKUP($B230,GEN!$G$1:$M$46,46,FALSE)</f>
        <v>#N/A</v>
      </c>
      <c r="E230" s="1573"/>
      <c r="F230" s="1574"/>
      <c r="G230" s="1572" t="e">
        <f>HLOOKUP($B230,FEB!$G$1:$M$46,46,FALSE)</f>
        <v>#N/A</v>
      </c>
      <c r="H230" s="1573"/>
      <c r="I230" s="1574"/>
      <c r="J230" s="1572" t="e">
        <f>HLOOKUP($B230,MAR!$G$1:$M$46,46,FALSE)</f>
        <v>#N/A</v>
      </c>
      <c r="K230" s="1573"/>
      <c r="L230" s="1574"/>
      <c r="M230" s="1572" t="e">
        <f>HLOOKUP($B230,APR!$G$1:$M$46,46,FALSE)</f>
        <v>#N/A</v>
      </c>
      <c r="N230" s="1573"/>
      <c r="O230" s="1574"/>
      <c r="P230" s="1572" t="e">
        <f>HLOOKUP($B230,MAG!$G$1:$M$46,46,FALSE)</f>
        <v>#N/A</v>
      </c>
      <c r="Q230" s="1573"/>
      <c r="R230" s="1574"/>
      <c r="S230" s="1572" t="e">
        <f>HLOOKUP($B230,GIU!$G$1:$M$46,46,FALSE)</f>
        <v>#N/A</v>
      </c>
      <c r="T230" s="1573"/>
      <c r="U230" s="1574"/>
      <c r="V230" s="1572" t="e">
        <f>HLOOKUP($B230,LUG!$G$1:$M$46,46,FALSE)</f>
        <v>#N/A</v>
      </c>
      <c r="W230" s="1573"/>
      <c r="X230" s="1574"/>
      <c r="Y230" s="1572" t="e">
        <f>HLOOKUP($B230,AGO!$G$1:$M$46,46,FALSE)</f>
        <v>#N/A</v>
      </c>
      <c r="Z230" s="1573"/>
      <c r="AA230" s="1574"/>
      <c r="AB230" s="1572" t="e">
        <f>HLOOKUP($B230,SET!$G$1:$M$46,46,FALSE)</f>
        <v>#N/A</v>
      </c>
      <c r="AC230" s="1573"/>
      <c r="AD230" s="1574"/>
      <c r="AE230" s="1572" t="e">
        <f>HLOOKUP($B230,OTT!$G$1:$M$46,46,FALSE)</f>
        <v>#N/A</v>
      </c>
      <c r="AF230" s="1573"/>
      <c r="AG230" s="1574"/>
      <c r="AH230" s="1572" t="e">
        <f>HLOOKUP($B230,NOV!$G$1:$M$46,46,FALSE)</f>
        <v>#N/A</v>
      </c>
      <c r="AI230" s="1573"/>
      <c r="AJ230" s="1574"/>
      <c r="AK230" s="1572" t="e">
        <f>HLOOKUP($B230,DIC!$G$1:$M$46,46,FALSE)</f>
        <v>#N/A</v>
      </c>
      <c r="AL230" s="1573"/>
      <c r="AM230" s="1574"/>
      <c r="AN230" s="1603" t="str">
        <f>GEN!C46</f>
        <v>INSERITO</v>
      </c>
      <c r="AO230" s="1604"/>
      <c r="AP230" s="1604"/>
      <c r="AQ230" s="33"/>
      <c r="AR230" s="264"/>
      <c r="AS230" s="264"/>
      <c r="AT230" s="264"/>
      <c r="AU230" s="264"/>
      <c r="AV230" s="264"/>
      <c r="AW230" s="264"/>
      <c r="AX230" s="264"/>
      <c r="AY230" s="264"/>
      <c r="AZ230" s="264"/>
      <c r="BA230" s="264"/>
      <c r="BB230" s="264"/>
      <c r="BC230" s="264"/>
      <c r="BD230" s="264"/>
      <c r="BE230" s="264"/>
      <c r="BF230" s="264"/>
      <c r="BG230" s="264"/>
      <c r="BH230" s="264"/>
      <c r="BI230" s="264"/>
      <c r="BJ230" s="264"/>
      <c r="BK230" s="264"/>
      <c r="BL230" s="264"/>
    </row>
    <row r="231" spans="1:64" ht="18" hidden="1" customHeight="1" x14ac:dyDescent="0.2">
      <c r="A231" s="1324"/>
      <c r="B231" s="1657"/>
      <c r="C231" s="1657"/>
      <c r="D231" s="33"/>
      <c r="E231" s="33"/>
      <c r="F231" s="33"/>
      <c r="G231" s="1587"/>
      <c r="H231" s="1587"/>
      <c r="I231" s="1587"/>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264"/>
      <c r="AS231" s="264"/>
      <c r="AT231" s="264"/>
      <c r="AU231" s="264"/>
      <c r="AV231" s="264"/>
      <c r="AW231" s="264"/>
      <c r="AX231" s="264"/>
      <c r="AY231" s="264"/>
      <c r="AZ231" s="264"/>
      <c r="BA231" s="264"/>
      <c r="BB231" s="264"/>
      <c r="BC231" s="264"/>
      <c r="BD231" s="264"/>
      <c r="BE231" s="264"/>
      <c r="BF231" s="264"/>
      <c r="BG231" s="264"/>
      <c r="BH231" s="264"/>
      <c r="BI231" s="264"/>
      <c r="BJ231" s="264"/>
      <c r="BK231" s="264"/>
      <c r="BL231" s="264"/>
    </row>
    <row r="232" spans="1:64" ht="18" hidden="1" customHeight="1" x14ac:dyDescent="0.2">
      <c r="A232" s="1324"/>
      <c r="B232" s="1897" t="str">
        <f>C182</f>
        <v>Colonna 2</v>
      </c>
      <c r="C232" s="1899"/>
      <c r="D232" s="1575">
        <v>0</v>
      </c>
      <c r="E232" s="1576"/>
      <c r="F232" s="1577"/>
      <c r="G232" s="1572" t="e">
        <f>HLOOKUP($B233,FEB!$G$1:$M$46,46,FALSE)</f>
        <v>#N/A</v>
      </c>
      <c r="H232" s="1573"/>
      <c r="I232" s="1574"/>
      <c r="J232" s="1572" t="e">
        <f>HLOOKUP($B233,MAR!$G$1:$M$46,46,FALSE)</f>
        <v>#N/A</v>
      </c>
      <c r="K232" s="1573"/>
      <c r="L232" s="1574"/>
      <c r="M232" s="1572" t="e">
        <f>HLOOKUP($B233,APR!$G$1:$M$46,46,FALSE)</f>
        <v>#N/A</v>
      </c>
      <c r="N232" s="1573"/>
      <c r="O232" s="1574"/>
      <c r="P232" s="1572" t="e">
        <f>HLOOKUP($B233,MAG!$G$1:$M$46,46,FALSE)</f>
        <v>#N/A</v>
      </c>
      <c r="Q232" s="1573"/>
      <c r="R232" s="1574"/>
      <c r="S232" s="1572" t="e">
        <f>HLOOKUP($B233,GIU!$G$1:$M$46,46,FALSE)</f>
        <v>#N/A</v>
      </c>
      <c r="T232" s="1573"/>
      <c r="U232" s="1574"/>
      <c r="V232" s="1572" t="e">
        <f>HLOOKUP($B233,LUG!$G$1:$M$46,46,FALSE)</f>
        <v>#N/A</v>
      </c>
      <c r="W232" s="1573"/>
      <c r="X232" s="1574"/>
      <c r="Y232" s="1572" t="e">
        <f>HLOOKUP($B233,AGO!$G$1:$M$46,46,FALSE)</f>
        <v>#N/A</v>
      </c>
      <c r="Z232" s="1573"/>
      <c r="AA232" s="1574"/>
      <c r="AB232" s="1572" t="e">
        <f>HLOOKUP($B233,SET!$G$1:$M$46,46,FALSE)</f>
        <v>#N/A</v>
      </c>
      <c r="AC232" s="1573"/>
      <c r="AD232" s="1574"/>
      <c r="AE232" s="1572" t="e">
        <f>HLOOKUP($B233,OTT!$G$1:$M$46,46,FALSE)</f>
        <v>#N/A</v>
      </c>
      <c r="AF232" s="1573"/>
      <c r="AG232" s="1574"/>
      <c r="AH232" s="1572" t="e">
        <f>HLOOKUP($B233,NOV!$G$1:$M$46,46,FALSE)</f>
        <v>#N/A</v>
      </c>
      <c r="AI232" s="1573"/>
      <c r="AJ232" s="1574"/>
      <c r="AK232" s="1572" t="e">
        <f>HLOOKUP($B233,DIC!$G$1:$M$46,46,FALSE)</f>
        <v>#N/A</v>
      </c>
      <c r="AL232" s="1573"/>
      <c r="AM232" s="1574"/>
      <c r="AN232" s="1603"/>
      <c r="AO232" s="1604"/>
      <c r="AP232" s="1604"/>
      <c r="AQ232" s="33"/>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row>
    <row r="233" spans="1:64" ht="18" hidden="1" customHeight="1" x14ac:dyDescent="0.2">
      <c r="B233" s="1658" t="str">
        <f>IF(L23=1,"",CONCATENATE(IF(M23="","..",M23),"-",IF(M24="","..",M24),"-",IF(M25="","..",M25)))</f>
        <v/>
      </c>
      <c r="C233" s="1659"/>
      <c r="D233" s="1572" t="e">
        <f>HLOOKUP($B233,GEN!$G$1:$M$46,46,FALSE)</f>
        <v>#N/A</v>
      </c>
      <c r="E233" s="1573"/>
      <c r="F233" s="1574"/>
      <c r="G233" s="1572" t="e">
        <f>HLOOKUP($B233,FEB!$G$1:$M$46,46,FALSE)</f>
        <v>#N/A</v>
      </c>
      <c r="H233" s="1573"/>
      <c r="I233" s="1574"/>
      <c r="J233" s="1572" t="e">
        <f>HLOOKUP($B233,MAR!$G$1:$M$46,46,FALSE)</f>
        <v>#N/A</v>
      </c>
      <c r="K233" s="1573"/>
      <c r="L233" s="1574"/>
      <c r="M233" s="1572" t="e">
        <f>HLOOKUP($B233,APR!$G$1:$M$46,46,FALSE)</f>
        <v>#N/A</v>
      </c>
      <c r="N233" s="1573"/>
      <c r="O233" s="1574"/>
      <c r="P233" s="1572" t="e">
        <f>HLOOKUP($B233,MAG!$G$1:$M$46,46,FALSE)</f>
        <v>#N/A</v>
      </c>
      <c r="Q233" s="1573"/>
      <c r="R233" s="1574"/>
      <c r="S233" s="1572" t="e">
        <f>HLOOKUP($B233,GIU!$G$1:$M$46,46,FALSE)</f>
        <v>#N/A</v>
      </c>
      <c r="T233" s="1573"/>
      <c r="U233" s="1574"/>
      <c r="V233" s="1572" t="e">
        <f>HLOOKUP($B233,LUG!$G$1:$M$46,46,FALSE)</f>
        <v>#N/A</v>
      </c>
      <c r="W233" s="1573"/>
      <c r="X233" s="1574"/>
      <c r="Y233" s="1572" t="e">
        <f>HLOOKUP($B233,AGO!$G$1:$M$46,46,FALSE)</f>
        <v>#N/A</v>
      </c>
      <c r="Z233" s="1573"/>
      <c r="AA233" s="1574"/>
      <c r="AB233" s="1572" t="e">
        <f>HLOOKUP($B233,SET!$G$1:$M$46,46,FALSE)</f>
        <v>#N/A</v>
      </c>
      <c r="AC233" s="1573"/>
      <c r="AD233" s="1574"/>
      <c r="AE233" s="1572" t="e">
        <f>HLOOKUP($B233,OTT!$G$1:$M$46,46,FALSE)</f>
        <v>#N/A</v>
      </c>
      <c r="AF233" s="1573"/>
      <c r="AG233" s="1574"/>
      <c r="AH233" s="1572" t="e">
        <f>HLOOKUP($B233,NOV!$G$1:$M$46,46,FALSE)</f>
        <v>#N/A</v>
      </c>
      <c r="AI233" s="1573"/>
      <c r="AJ233" s="1574"/>
      <c r="AK233" s="1572" t="e">
        <f>HLOOKUP($B233,DIC!$G$1:$M$46,46,FALSE)</f>
        <v>#N/A</v>
      </c>
      <c r="AL233" s="1573"/>
      <c r="AM233" s="1574"/>
      <c r="AN233" s="1603" t="str">
        <f>AN230</f>
        <v>INSERITO</v>
      </c>
      <c r="AO233" s="1604"/>
      <c r="AP233" s="1604"/>
      <c r="AQ233" s="33"/>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row>
    <row r="234" spans="1:64" ht="18" hidden="1" customHeight="1" x14ac:dyDescent="0.2">
      <c r="A234" s="1324"/>
      <c r="B234" s="1657"/>
      <c r="C234" s="1657"/>
      <c r="D234" s="33"/>
      <c r="E234" s="33"/>
      <c r="F234" s="33"/>
      <c r="G234" s="1587"/>
      <c r="H234" s="1587"/>
      <c r="I234" s="1587"/>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row>
    <row r="235" spans="1:64" ht="18" hidden="1" customHeight="1" x14ac:dyDescent="0.2">
      <c r="A235" s="1324"/>
      <c r="B235" s="1897" t="str">
        <f>C183</f>
        <v>Colonna 3</v>
      </c>
      <c r="C235" s="1899"/>
      <c r="D235" s="1575">
        <v>0</v>
      </c>
      <c r="E235" s="1576"/>
      <c r="F235" s="1577"/>
      <c r="G235" s="1572" t="e">
        <f>HLOOKUP($B236,FEB!$G$1:$M$46,46,FALSE)</f>
        <v>#N/A</v>
      </c>
      <c r="H235" s="1573"/>
      <c r="I235" s="1574"/>
      <c r="J235" s="1572" t="e">
        <f>HLOOKUP($B236,MAR!$G$1:$M$46,46,FALSE)</f>
        <v>#N/A</v>
      </c>
      <c r="K235" s="1573"/>
      <c r="L235" s="1574"/>
      <c r="M235" s="1572" t="e">
        <f>HLOOKUP($B236,APR!$G$1:$M$46,46,FALSE)</f>
        <v>#N/A</v>
      </c>
      <c r="N235" s="1573"/>
      <c r="O235" s="1574"/>
      <c r="P235" s="1572" t="e">
        <f>HLOOKUP($B236,MAG!$G$1:$M$46,46,FALSE)</f>
        <v>#N/A</v>
      </c>
      <c r="Q235" s="1573"/>
      <c r="R235" s="1574"/>
      <c r="S235" s="1572" t="e">
        <f>HLOOKUP($B236,GIU!$G$1:$M$46,46,FALSE)</f>
        <v>#N/A</v>
      </c>
      <c r="T235" s="1573"/>
      <c r="U235" s="1574"/>
      <c r="V235" s="1572" t="e">
        <f>HLOOKUP($B236,LUG!$G$1:$M$46,46,FALSE)</f>
        <v>#N/A</v>
      </c>
      <c r="W235" s="1573"/>
      <c r="X235" s="1574"/>
      <c r="Y235" s="1572" t="e">
        <f>HLOOKUP($B236,AGO!$G$1:$M$46,46,FALSE)</f>
        <v>#N/A</v>
      </c>
      <c r="Z235" s="1573"/>
      <c r="AA235" s="1574"/>
      <c r="AB235" s="1572" t="e">
        <f>HLOOKUP($B236,SET!$G$1:$M$46,46,FALSE)</f>
        <v>#N/A</v>
      </c>
      <c r="AC235" s="1573"/>
      <c r="AD235" s="1574"/>
      <c r="AE235" s="1572" t="e">
        <f>HLOOKUP($B236,OTT!$G$1:$M$46,46,FALSE)</f>
        <v>#N/A</v>
      </c>
      <c r="AF235" s="1573"/>
      <c r="AG235" s="1574"/>
      <c r="AH235" s="1572" t="e">
        <f>HLOOKUP($B236,NOV!$G$1:$M$46,46,FALSE)</f>
        <v>#N/A</v>
      </c>
      <c r="AI235" s="1573"/>
      <c r="AJ235" s="1574"/>
      <c r="AK235" s="1572" t="e">
        <f>HLOOKUP($B236,DIC!$G$1:$M$46,46,FALSE)</f>
        <v>#N/A</v>
      </c>
      <c r="AL235" s="1573"/>
      <c r="AM235" s="1574"/>
      <c r="AN235" s="1603"/>
      <c r="AO235" s="1604"/>
      <c r="AP235" s="1604"/>
      <c r="AQ235" s="33"/>
      <c r="AR235" s="264"/>
      <c r="AS235" s="264"/>
      <c r="AT235" s="264"/>
      <c r="AU235" s="264"/>
      <c r="AV235" s="264"/>
      <c r="AW235" s="264"/>
      <c r="AX235" s="264"/>
      <c r="AY235" s="264"/>
      <c r="AZ235" s="264"/>
      <c r="BA235" s="264"/>
      <c r="BB235" s="264"/>
      <c r="BC235" s="264"/>
      <c r="BD235" s="264"/>
      <c r="BE235" s="264"/>
      <c r="BF235" s="264"/>
      <c r="BG235" s="264"/>
      <c r="BH235" s="264"/>
      <c r="BI235" s="264"/>
      <c r="BJ235" s="264"/>
      <c r="BK235" s="264"/>
      <c r="BL235" s="264"/>
    </row>
    <row r="236" spans="1:64" ht="18" hidden="1" customHeight="1" x14ac:dyDescent="0.2">
      <c r="B236" s="1658" t="str">
        <f>IF(P23=1,"",CONCATENATE(IF(Q23="","..",Q23),"-",IF(Q24="","..",Q24),"-",IF(Q25="","..",Q25)))</f>
        <v/>
      </c>
      <c r="C236" s="1659"/>
      <c r="D236" s="1572" t="e">
        <f>HLOOKUP($B236,GEN!$G$1:$M$46,46,FALSE)</f>
        <v>#N/A</v>
      </c>
      <c r="E236" s="1573"/>
      <c r="F236" s="1574"/>
      <c r="G236" s="1572" t="e">
        <f>HLOOKUP($B236,FEB!$G$1:$M$46,46,FALSE)</f>
        <v>#N/A</v>
      </c>
      <c r="H236" s="1573"/>
      <c r="I236" s="1574"/>
      <c r="J236" s="1572" t="e">
        <f>HLOOKUP($B236,MAR!$G$1:$M$46,46,FALSE)</f>
        <v>#N/A</v>
      </c>
      <c r="K236" s="1573"/>
      <c r="L236" s="1574"/>
      <c r="M236" s="1572" t="e">
        <f>HLOOKUP($B236,APR!$G$1:$M$46,46,FALSE)</f>
        <v>#N/A</v>
      </c>
      <c r="N236" s="1573"/>
      <c r="O236" s="1574"/>
      <c r="P236" s="1572" t="e">
        <f>HLOOKUP($B236,MAG!$G$1:$M$46,46,FALSE)</f>
        <v>#N/A</v>
      </c>
      <c r="Q236" s="1573"/>
      <c r="R236" s="1574"/>
      <c r="S236" s="1572" t="e">
        <f>HLOOKUP($B236,GIU!$G$1:$M$46,46,FALSE)</f>
        <v>#N/A</v>
      </c>
      <c r="T236" s="1573"/>
      <c r="U236" s="1574"/>
      <c r="V236" s="1572" t="e">
        <f>HLOOKUP($B236,LUG!$G$1:$M$46,46,FALSE)</f>
        <v>#N/A</v>
      </c>
      <c r="W236" s="1573"/>
      <c r="X236" s="1574"/>
      <c r="Y236" s="1572" t="e">
        <f>HLOOKUP($B236,AGO!$G$1:$M$46,46,FALSE)</f>
        <v>#N/A</v>
      </c>
      <c r="Z236" s="1573"/>
      <c r="AA236" s="1574"/>
      <c r="AB236" s="1572" t="e">
        <f>HLOOKUP($B236,SET!$G$1:$M$46,46,FALSE)</f>
        <v>#N/A</v>
      </c>
      <c r="AC236" s="1573"/>
      <c r="AD236" s="1574"/>
      <c r="AE236" s="1572" t="e">
        <f>HLOOKUP($B236,OTT!$G$1:$M$46,46,FALSE)</f>
        <v>#N/A</v>
      </c>
      <c r="AF236" s="1573"/>
      <c r="AG236" s="1574"/>
      <c r="AH236" s="1572" t="e">
        <f>HLOOKUP($B236,NOV!$G$1:$M$46,46,FALSE)</f>
        <v>#N/A</v>
      </c>
      <c r="AI236" s="1573"/>
      <c r="AJ236" s="1574"/>
      <c r="AK236" s="1572" t="e">
        <f>HLOOKUP($B236,DIC!$G$1:$M$46,46,FALSE)</f>
        <v>#N/A</v>
      </c>
      <c r="AL236" s="1573"/>
      <c r="AM236" s="1574"/>
      <c r="AN236" s="1603" t="str">
        <f>AN233</f>
        <v>INSERITO</v>
      </c>
      <c r="AO236" s="1604"/>
      <c r="AP236" s="1604"/>
      <c r="AQ236" s="33"/>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row>
    <row r="237" spans="1:64" ht="18" hidden="1" customHeight="1" x14ac:dyDescent="0.2">
      <c r="A237" s="1324"/>
      <c r="B237" s="1657"/>
      <c r="C237" s="1657"/>
      <c r="D237" s="33"/>
      <c r="E237" s="33"/>
      <c r="F237" s="33"/>
      <c r="G237" s="1587"/>
      <c r="H237" s="1587"/>
      <c r="I237" s="1587"/>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264"/>
      <c r="AS237" s="264"/>
      <c r="AT237" s="264"/>
      <c r="AU237" s="264"/>
      <c r="AV237" s="264"/>
      <c r="AW237" s="264"/>
      <c r="AX237" s="264"/>
      <c r="AY237" s="264"/>
      <c r="AZ237" s="264"/>
      <c r="BA237" s="264"/>
      <c r="BB237" s="264"/>
      <c r="BC237" s="264"/>
      <c r="BD237" s="264"/>
      <c r="BE237" s="264"/>
      <c r="BF237" s="264"/>
      <c r="BG237" s="264"/>
      <c r="BH237" s="264"/>
      <c r="BI237" s="264"/>
      <c r="BJ237" s="264"/>
      <c r="BK237" s="264"/>
      <c r="BL237" s="264"/>
    </row>
    <row r="238" spans="1:64" ht="18" hidden="1" customHeight="1" x14ac:dyDescent="0.2">
      <c r="A238" s="1324"/>
      <c r="B238" s="1897" t="str">
        <f>C184</f>
        <v>Colonna 4</v>
      </c>
      <c r="C238" s="1899"/>
      <c r="D238" s="1575">
        <v>0</v>
      </c>
      <c r="E238" s="1576"/>
      <c r="F238" s="1577"/>
      <c r="G238" s="1572" t="e">
        <f>HLOOKUP($B239,FEB!$G$1:$M$46,46,FALSE)</f>
        <v>#N/A</v>
      </c>
      <c r="H238" s="1573"/>
      <c r="I238" s="1574"/>
      <c r="J238" s="1572" t="e">
        <f>HLOOKUP($B239,MAR!$G$1:$M$46,46,FALSE)</f>
        <v>#N/A</v>
      </c>
      <c r="K238" s="1573"/>
      <c r="L238" s="1574"/>
      <c r="M238" s="1572" t="e">
        <f>HLOOKUP($B239,APR!$G$1:$M$46,46,FALSE)</f>
        <v>#N/A</v>
      </c>
      <c r="N238" s="1573"/>
      <c r="O238" s="1574"/>
      <c r="P238" s="1572" t="e">
        <f>HLOOKUP($B239,MAG!$G$1:$M$46,46,FALSE)</f>
        <v>#N/A</v>
      </c>
      <c r="Q238" s="1573"/>
      <c r="R238" s="1574"/>
      <c r="S238" s="1572" t="e">
        <f>HLOOKUP($B239,GIU!$G$1:$M$46,46,FALSE)</f>
        <v>#N/A</v>
      </c>
      <c r="T238" s="1573"/>
      <c r="U238" s="1574"/>
      <c r="V238" s="1572" t="e">
        <f>HLOOKUP($B239,LUG!$G$1:$M$46,46,FALSE)</f>
        <v>#N/A</v>
      </c>
      <c r="W238" s="1573"/>
      <c r="X238" s="1574"/>
      <c r="Y238" s="1572" t="e">
        <f>HLOOKUP($B239,AGO!$G$1:$M$46,46,FALSE)</f>
        <v>#N/A</v>
      </c>
      <c r="Z238" s="1573"/>
      <c r="AA238" s="1574"/>
      <c r="AB238" s="1572" t="e">
        <f>HLOOKUP($B239,SET!$G$1:$M$46,46,FALSE)</f>
        <v>#N/A</v>
      </c>
      <c r="AC238" s="1573"/>
      <c r="AD238" s="1574"/>
      <c r="AE238" s="1572" t="e">
        <f>HLOOKUP($B239,OTT!$G$1:$M$46,46,FALSE)</f>
        <v>#N/A</v>
      </c>
      <c r="AF238" s="1573"/>
      <c r="AG238" s="1574"/>
      <c r="AH238" s="1572" t="e">
        <f>HLOOKUP($B239,NOV!$G$1:$M$46,46,FALSE)</f>
        <v>#N/A</v>
      </c>
      <c r="AI238" s="1573"/>
      <c r="AJ238" s="1574"/>
      <c r="AK238" s="1572" t="e">
        <f>HLOOKUP($B239,DIC!$G$1:$M$46,46,FALSE)</f>
        <v>#N/A</v>
      </c>
      <c r="AL238" s="1573"/>
      <c r="AM238" s="1574"/>
      <c r="AN238" s="1603"/>
      <c r="AO238" s="1604"/>
      <c r="AP238" s="1604"/>
      <c r="AQ238" s="33"/>
      <c r="AR238" s="264"/>
      <c r="AS238" s="264"/>
      <c r="AT238" s="264"/>
      <c r="AU238" s="264"/>
      <c r="AV238" s="264"/>
      <c r="AW238" s="264"/>
      <c r="AX238" s="264"/>
      <c r="AY238" s="264"/>
      <c r="AZ238" s="264"/>
      <c r="BA238" s="264"/>
      <c r="BB238" s="264"/>
      <c r="BC238" s="264"/>
      <c r="BD238" s="264"/>
      <c r="BE238" s="264"/>
      <c r="BF238" s="264"/>
      <c r="BG238" s="264"/>
      <c r="BH238" s="264"/>
      <c r="BI238" s="264"/>
      <c r="BJ238" s="264"/>
      <c r="BK238" s="264"/>
      <c r="BL238" s="264"/>
    </row>
    <row r="239" spans="1:64" ht="18" hidden="1" customHeight="1" x14ac:dyDescent="0.2">
      <c r="B239" s="1658" t="str">
        <f>IF(T23=1,"",CONCATENATE(IF(U23="","..",U23),"-",IF(U24="","..",U24),"-",IF(U25="","..",U25)))</f>
        <v/>
      </c>
      <c r="C239" s="1659"/>
      <c r="D239" s="1572" t="e">
        <f>HLOOKUP($B239,GEN!$G$1:$M$46,46,FALSE)</f>
        <v>#N/A</v>
      </c>
      <c r="E239" s="1573"/>
      <c r="F239" s="1574"/>
      <c r="G239" s="1572" t="e">
        <f>HLOOKUP($B239,FEB!$G$1:$M$46,46,FALSE)</f>
        <v>#N/A</v>
      </c>
      <c r="H239" s="1573"/>
      <c r="I239" s="1574"/>
      <c r="J239" s="1572" t="e">
        <f>HLOOKUP($B239,MAR!$G$1:$M$46,46,FALSE)</f>
        <v>#N/A</v>
      </c>
      <c r="K239" s="1573"/>
      <c r="L239" s="1574"/>
      <c r="M239" s="1572" t="e">
        <f>HLOOKUP($B239,APR!$G$1:$M$46,46,FALSE)</f>
        <v>#N/A</v>
      </c>
      <c r="N239" s="1573"/>
      <c r="O239" s="1574"/>
      <c r="P239" s="1572" t="e">
        <f>HLOOKUP($B239,MAG!$G$1:$M$46,46,FALSE)</f>
        <v>#N/A</v>
      </c>
      <c r="Q239" s="1573"/>
      <c r="R239" s="1574"/>
      <c r="S239" s="1572" t="e">
        <f>HLOOKUP($B239,GIU!$G$1:$M$46,46,FALSE)</f>
        <v>#N/A</v>
      </c>
      <c r="T239" s="1573"/>
      <c r="U239" s="1574"/>
      <c r="V239" s="1572" t="e">
        <f>HLOOKUP($B239,LUG!$G$1:$M$46,46,FALSE)</f>
        <v>#N/A</v>
      </c>
      <c r="W239" s="1573"/>
      <c r="X239" s="1574"/>
      <c r="Y239" s="1572" t="e">
        <f>HLOOKUP($B239,AGO!$G$1:$M$46,46,FALSE)</f>
        <v>#N/A</v>
      </c>
      <c r="Z239" s="1573"/>
      <c r="AA239" s="1574"/>
      <c r="AB239" s="1572" t="e">
        <f>HLOOKUP($B239,SET!$G$1:$M$46,46,FALSE)</f>
        <v>#N/A</v>
      </c>
      <c r="AC239" s="1573"/>
      <c r="AD239" s="1574"/>
      <c r="AE239" s="1572" t="e">
        <f>HLOOKUP($B239,OTT!$G$1:$M$46,46,FALSE)</f>
        <v>#N/A</v>
      </c>
      <c r="AF239" s="1573"/>
      <c r="AG239" s="1574"/>
      <c r="AH239" s="1572" t="e">
        <f>HLOOKUP($B239,NOV!$G$1:$M$46,46,FALSE)</f>
        <v>#N/A</v>
      </c>
      <c r="AI239" s="1573"/>
      <c r="AJ239" s="1574"/>
      <c r="AK239" s="1572" t="e">
        <f>HLOOKUP($B239,DIC!$G$1:$M$46,46,FALSE)</f>
        <v>#N/A</v>
      </c>
      <c r="AL239" s="1573"/>
      <c r="AM239" s="1574"/>
      <c r="AN239" s="1603" t="str">
        <f>AN236</f>
        <v>INSERITO</v>
      </c>
      <c r="AO239" s="1604"/>
      <c r="AP239" s="1604"/>
      <c r="AQ239" s="33"/>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row>
    <row r="240" spans="1:64" ht="18" hidden="1" customHeight="1" x14ac:dyDescent="0.2">
      <c r="A240" s="1324"/>
      <c r="B240" s="1657"/>
      <c r="C240" s="1657"/>
      <c r="D240" s="33"/>
      <c r="E240" s="33"/>
      <c r="F240" s="33"/>
      <c r="G240" s="1587"/>
      <c r="H240" s="1587"/>
      <c r="I240" s="1587"/>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264"/>
      <c r="AS240" s="264"/>
      <c r="AT240" s="264"/>
      <c r="AU240" s="264"/>
      <c r="AV240" s="264"/>
      <c r="AW240" s="264"/>
      <c r="AX240" s="264"/>
      <c r="AY240" s="264"/>
      <c r="AZ240" s="264"/>
      <c r="BA240" s="264"/>
      <c r="BB240" s="264"/>
      <c r="BC240" s="264"/>
      <c r="BD240" s="264"/>
      <c r="BE240" s="264"/>
      <c r="BF240" s="264"/>
      <c r="BG240" s="264"/>
      <c r="BH240" s="264"/>
      <c r="BI240" s="264"/>
      <c r="BJ240" s="264"/>
      <c r="BK240" s="264"/>
      <c r="BL240" s="264"/>
    </row>
    <row r="241" spans="1:64" ht="18" hidden="1" customHeight="1" x14ac:dyDescent="0.2">
      <c r="A241" s="1324"/>
      <c r="B241" s="1897" t="str">
        <f>C185</f>
        <v>Colonna 5</v>
      </c>
      <c r="C241" s="1899"/>
      <c r="D241" s="1575">
        <v>0</v>
      </c>
      <c r="E241" s="1576"/>
      <c r="F241" s="1577"/>
      <c r="G241" s="1572" t="e">
        <f>HLOOKUP($B242,FEB!$G$1:$M$46,46,FALSE)</f>
        <v>#N/A</v>
      </c>
      <c r="H241" s="1573"/>
      <c r="I241" s="1574"/>
      <c r="J241" s="1572" t="e">
        <f>HLOOKUP($B242,MAR!$G$1:$M$46,46,FALSE)</f>
        <v>#N/A</v>
      </c>
      <c r="K241" s="1573"/>
      <c r="L241" s="1574"/>
      <c r="M241" s="1572" t="e">
        <f>HLOOKUP($B242,APR!$G$1:$M$46,46,FALSE)</f>
        <v>#N/A</v>
      </c>
      <c r="N241" s="1573"/>
      <c r="O241" s="1574"/>
      <c r="P241" s="1572" t="e">
        <f>HLOOKUP($B242,MAG!$G$1:$M$46,46,FALSE)</f>
        <v>#N/A</v>
      </c>
      <c r="Q241" s="1573"/>
      <c r="R241" s="1574"/>
      <c r="S241" s="1572" t="e">
        <f>HLOOKUP($B242,GIU!$G$1:$M$46,46,FALSE)</f>
        <v>#N/A</v>
      </c>
      <c r="T241" s="1573"/>
      <c r="U241" s="1574"/>
      <c r="V241" s="1572" t="e">
        <f>HLOOKUP($B242,LUG!$G$1:$M$46,46,FALSE)</f>
        <v>#N/A</v>
      </c>
      <c r="W241" s="1573"/>
      <c r="X241" s="1574"/>
      <c r="Y241" s="1572" t="e">
        <f>HLOOKUP($B242,AGO!$G$1:$M$46,46,FALSE)</f>
        <v>#N/A</v>
      </c>
      <c r="Z241" s="1573"/>
      <c r="AA241" s="1574"/>
      <c r="AB241" s="1572" t="e">
        <f>HLOOKUP($B242,SET!$G$1:$M$46,46,FALSE)</f>
        <v>#N/A</v>
      </c>
      <c r="AC241" s="1573"/>
      <c r="AD241" s="1574"/>
      <c r="AE241" s="1572" t="e">
        <f>HLOOKUP($B242,OTT!$G$1:$M$46,46,FALSE)</f>
        <v>#N/A</v>
      </c>
      <c r="AF241" s="1573"/>
      <c r="AG241" s="1574"/>
      <c r="AH241" s="1572" t="e">
        <f>HLOOKUP($B242,NOV!$G$1:$M$46,46,FALSE)</f>
        <v>#N/A</v>
      </c>
      <c r="AI241" s="1573"/>
      <c r="AJ241" s="1574"/>
      <c r="AK241" s="1572" t="e">
        <f>HLOOKUP($B242,DIC!$G$1:$M$46,46,FALSE)</f>
        <v>#N/A</v>
      </c>
      <c r="AL241" s="1573"/>
      <c r="AM241" s="1574"/>
      <c r="AN241" s="1603"/>
      <c r="AO241" s="1604"/>
      <c r="AP241" s="1604"/>
      <c r="AQ241" s="33"/>
      <c r="AR241" s="264"/>
      <c r="AS241" s="264"/>
      <c r="AT241" s="264"/>
      <c r="AU241" s="264"/>
      <c r="AV241" s="264"/>
      <c r="AW241" s="264"/>
      <c r="AX241" s="264"/>
      <c r="AY241" s="264"/>
      <c r="AZ241" s="264"/>
      <c r="BA241" s="264"/>
      <c r="BB241" s="264"/>
      <c r="BC241" s="264"/>
      <c r="BD241" s="264"/>
      <c r="BE241" s="264"/>
      <c r="BF241" s="264"/>
      <c r="BG241" s="264"/>
      <c r="BH241" s="264"/>
      <c r="BI241" s="264"/>
      <c r="BJ241" s="264"/>
      <c r="BK241" s="264"/>
      <c r="BL241" s="264"/>
    </row>
    <row r="242" spans="1:64" ht="18" hidden="1" customHeight="1" x14ac:dyDescent="0.2">
      <c r="B242" s="1658" t="str">
        <f>IF(X23=1,"",CONCATENATE(IF(Y23="","..",Y23),"-",IF(Y24="","..",Y24),"-",IF(Y25="","..",Y25)))</f>
        <v/>
      </c>
      <c r="C242" s="1659"/>
      <c r="D242" s="1572" t="e">
        <f>HLOOKUP($B242,GEN!$G$1:$M$46,46,FALSE)</f>
        <v>#N/A</v>
      </c>
      <c r="E242" s="1573"/>
      <c r="F242" s="1574"/>
      <c r="G242" s="1572" t="e">
        <f>HLOOKUP($B242,FEB!$G$1:$M$46,46,FALSE)</f>
        <v>#N/A</v>
      </c>
      <c r="H242" s="1573"/>
      <c r="I242" s="1574"/>
      <c r="J242" s="1572" t="e">
        <f>HLOOKUP($B242,MAR!$G$1:$M$46,46,FALSE)</f>
        <v>#N/A</v>
      </c>
      <c r="K242" s="1573"/>
      <c r="L242" s="1574"/>
      <c r="M242" s="1572" t="e">
        <f>HLOOKUP($B242,APR!$G$1:$M$46,46,FALSE)</f>
        <v>#N/A</v>
      </c>
      <c r="N242" s="1573"/>
      <c r="O242" s="1574"/>
      <c r="P242" s="1572" t="e">
        <f>HLOOKUP($B242,MAG!$G$1:$M$46,46,FALSE)</f>
        <v>#N/A</v>
      </c>
      <c r="Q242" s="1573"/>
      <c r="R242" s="1574"/>
      <c r="S242" s="1572" t="e">
        <f>HLOOKUP($B242,GIU!$G$1:$M$46,46,FALSE)</f>
        <v>#N/A</v>
      </c>
      <c r="T242" s="1573"/>
      <c r="U242" s="1574"/>
      <c r="V242" s="1572" t="e">
        <f>HLOOKUP($B242,LUG!$G$1:$M$46,46,FALSE)</f>
        <v>#N/A</v>
      </c>
      <c r="W242" s="1573"/>
      <c r="X242" s="1574"/>
      <c r="Y242" s="1572" t="e">
        <f>HLOOKUP($B242,AGO!$G$1:$M$46,46,FALSE)</f>
        <v>#N/A</v>
      </c>
      <c r="Z242" s="1573"/>
      <c r="AA242" s="1574"/>
      <c r="AB242" s="1572" t="e">
        <f>HLOOKUP($B242,SET!$G$1:$M$46,46,FALSE)</f>
        <v>#N/A</v>
      </c>
      <c r="AC242" s="1573"/>
      <c r="AD242" s="1574"/>
      <c r="AE242" s="1572" t="e">
        <f>HLOOKUP($B242,OTT!$G$1:$M$46,46,FALSE)</f>
        <v>#N/A</v>
      </c>
      <c r="AF242" s="1573"/>
      <c r="AG242" s="1574"/>
      <c r="AH242" s="1572" t="e">
        <f>HLOOKUP($B242,NOV!$G$1:$M$46,46,FALSE)</f>
        <v>#N/A</v>
      </c>
      <c r="AI242" s="1573"/>
      <c r="AJ242" s="1574"/>
      <c r="AK242" s="1572" t="e">
        <f>HLOOKUP($B242,DIC!$G$1:$M$46,46,FALSE)</f>
        <v>#N/A</v>
      </c>
      <c r="AL242" s="1573"/>
      <c r="AM242" s="1574"/>
      <c r="AN242" s="1603" t="str">
        <f>AN239</f>
        <v>INSERITO</v>
      </c>
      <c r="AO242" s="1604"/>
      <c r="AP242" s="1604"/>
      <c r="AQ242" s="33"/>
      <c r="AR242" s="264"/>
      <c r="AS242" s="264"/>
      <c r="AT242" s="264"/>
      <c r="AU242" s="264"/>
      <c r="AV242" s="264"/>
      <c r="AW242" s="264"/>
      <c r="AX242" s="264"/>
      <c r="AY242" s="264"/>
      <c r="AZ242" s="264"/>
      <c r="BA242" s="264"/>
      <c r="BB242" s="264"/>
      <c r="BC242" s="264"/>
      <c r="BD242" s="264"/>
      <c r="BE242" s="264"/>
      <c r="BF242" s="264"/>
      <c r="BG242" s="264"/>
      <c r="BH242" s="264"/>
      <c r="BI242" s="264"/>
      <c r="BJ242" s="264"/>
      <c r="BK242" s="264"/>
      <c r="BL242" s="264"/>
    </row>
    <row r="243" spans="1:64" ht="18" hidden="1" customHeight="1" x14ac:dyDescent="0.2">
      <c r="A243" s="1324"/>
      <c r="B243" s="1657"/>
      <c r="C243" s="1657"/>
      <c r="D243" s="33"/>
      <c r="E243" s="33"/>
      <c r="F243" s="33"/>
      <c r="G243" s="1587"/>
      <c r="H243" s="1587"/>
      <c r="I243" s="1587"/>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264"/>
      <c r="AS243" s="264"/>
      <c r="AT243" s="264"/>
      <c r="AU243" s="264"/>
      <c r="AV243" s="264"/>
      <c r="AW243" s="264"/>
      <c r="AX243" s="264"/>
      <c r="AY243" s="264"/>
      <c r="AZ243" s="264"/>
      <c r="BA243" s="264"/>
      <c r="BB243" s="264"/>
      <c r="BC243" s="264"/>
      <c r="BD243" s="264"/>
      <c r="BE243" s="264"/>
      <c r="BF243" s="264"/>
      <c r="BG243" s="264"/>
      <c r="BH243" s="264"/>
      <c r="BI243" s="264"/>
      <c r="BJ243" s="264"/>
      <c r="BK243" s="264"/>
      <c r="BL243" s="264"/>
    </row>
    <row r="244" spans="1:64" ht="18" hidden="1" customHeight="1" x14ac:dyDescent="0.2">
      <c r="A244" s="1324"/>
      <c r="B244" s="1897" t="str">
        <f>C186</f>
        <v>Colonna 6</v>
      </c>
      <c r="C244" s="1899"/>
      <c r="D244" s="1575">
        <v>0</v>
      </c>
      <c r="E244" s="1576"/>
      <c r="F244" s="1577"/>
      <c r="G244" s="1572" t="e">
        <f>HLOOKUP($B245,FEB!$G$1:$M$46,46,FALSE)</f>
        <v>#N/A</v>
      </c>
      <c r="H244" s="1573"/>
      <c r="I244" s="1574"/>
      <c r="J244" s="1572" t="e">
        <f>HLOOKUP($B245,MAR!$G$1:$M$46,46,FALSE)</f>
        <v>#N/A</v>
      </c>
      <c r="K244" s="1573"/>
      <c r="L244" s="1574"/>
      <c r="M244" s="1572" t="e">
        <f>HLOOKUP($B245,APR!$G$1:$M$46,46,FALSE)</f>
        <v>#N/A</v>
      </c>
      <c r="N244" s="1573"/>
      <c r="O244" s="1574"/>
      <c r="P244" s="1572" t="e">
        <f>HLOOKUP($B245,MAG!$G$1:$M$46,46,FALSE)</f>
        <v>#N/A</v>
      </c>
      <c r="Q244" s="1573"/>
      <c r="R244" s="1574"/>
      <c r="S244" s="1572" t="e">
        <f>HLOOKUP($B245,GIU!$G$1:$M$46,46,FALSE)</f>
        <v>#N/A</v>
      </c>
      <c r="T244" s="1573"/>
      <c r="U244" s="1574"/>
      <c r="V244" s="1572" t="e">
        <f>HLOOKUP($B245,LUG!$G$1:$M$46,46,FALSE)</f>
        <v>#N/A</v>
      </c>
      <c r="W244" s="1573"/>
      <c r="X244" s="1574"/>
      <c r="Y244" s="1572" t="e">
        <f>HLOOKUP($B245,AGO!$G$1:$M$46,46,FALSE)</f>
        <v>#N/A</v>
      </c>
      <c r="Z244" s="1573"/>
      <c r="AA244" s="1574"/>
      <c r="AB244" s="1572" t="e">
        <f>HLOOKUP($B245,SET!$G$1:$M$46,46,FALSE)</f>
        <v>#N/A</v>
      </c>
      <c r="AC244" s="1573"/>
      <c r="AD244" s="1574"/>
      <c r="AE244" s="1572" t="e">
        <f>HLOOKUP($B245,OTT!$G$1:$M$46,46,FALSE)</f>
        <v>#N/A</v>
      </c>
      <c r="AF244" s="1573"/>
      <c r="AG244" s="1574"/>
      <c r="AH244" s="1572" t="e">
        <f>HLOOKUP($B245,NOV!$G$1:$M$46,46,FALSE)</f>
        <v>#N/A</v>
      </c>
      <c r="AI244" s="1573"/>
      <c r="AJ244" s="1574"/>
      <c r="AK244" s="1572" t="e">
        <f>HLOOKUP($B245,DIC!$G$1:$M$46,46,FALSE)</f>
        <v>#N/A</v>
      </c>
      <c r="AL244" s="1573"/>
      <c r="AM244" s="1574"/>
      <c r="AN244" s="1603"/>
      <c r="AO244" s="1604"/>
      <c r="AP244" s="1604"/>
      <c r="AQ244" s="33"/>
      <c r="AR244" s="264"/>
      <c r="AS244" s="264"/>
      <c r="AT244" s="264"/>
      <c r="AU244" s="264"/>
      <c r="AV244" s="264"/>
      <c r="AW244" s="264"/>
      <c r="AX244" s="264"/>
      <c r="AY244" s="264"/>
      <c r="AZ244" s="264"/>
      <c r="BA244" s="264"/>
      <c r="BB244" s="264"/>
      <c r="BC244" s="264"/>
      <c r="BD244" s="264"/>
      <c r="BE244" s="264"/>
      <c r="BF244" s="264"/>
      <c r="BG244" s="264"/>
      <c r="BH244" s="264"/>
      <c r="BI244" s="264"/>
      <c r="BJ244" s="264"/>
      <c r="BK244" s="264"/>
      <c r="BL244" s="264"/>
    </row>
    <row r="245" spans="1:64" ht="18" hidden="1" customHeight="1" x14ac:dyDescent="0.2">
      <c r="B245" s="1658" t="str">
        <f>IF(AB23=1,"",CONCATENATE(IF(AC23="","..",AC23),"-",IF(AC24="","..",AC24),"-",IF(AC25="","..",AC25)))</f>
        <v/>
      </c>
      <c r="C245" s="1659"/>
      <c r="D245" s="1572" t="e">
        <f>HLOOKUP($B245,GEN!$G$1:$M$46,46,FALSE)</f>
        <v>#N/A</v>
      </c>
      <c r="E245" s="1573"/>
      <c r="F245" s="1574"/>
      <c r="G245" s="1572" t="e">
        <f>HLOOKUP($B245,FEB!$G$1:$M$46,46,FALSE)</f>
        <v>#N/A</v>
      </c>
      <c r="H245" s="1573"/>
      <c r="I245" s="1574"/>
      <c r="J245" s="1572" t="e">
        <f>HLOOKUP($B245,MAR!$G$1:$M$46,46,FALSE)</f>
        <v>#N/A</v>
      </c>
      <c r="K245" s="1573"/>
      <c r="L245" s="1574"/>
      <c r="M245" s="1572" t="e">
        <f>HLOOKUP($B245,APR!$G$1:$M$46,46,FALSE)</f>
        <v>#N/A</v>
      </c>
      <c r="N245" s="1573"/>
      <c r="O245" s="1574"/>
      <c r="P245" s="1572" t="e">
        <f>HLOOKUP($B245,MAG!$G$1:$M$46,46,FALSE)</f>
        <v>#N/A</v>
      </c>
      <c r="Q245" s="1573"/>
      <c r="R245" s="1574"/>
      <c r="S245" s="1572" t="e">
        <f>HLOOKUP($B245,GIU!$G$1:$M$46,46,FALSE)</f>
        <v>#N/A</v>
      </c>
      <c r="T245" s="1573"/>
      <c r="U245" s="1574"/>
      <c r="V245" s="1572" t="e">
        <f>HLOOKUP($B245,LUG!$G$1:$M$46,46,FALSE)</f>
        <v>#N/A</v>
      </c>
      <c r="W245" s="1573"/>
      <c r="X245" s="1574"/>
      <c r="Y245" s="1572" t="e">
        <f>HLOOKUP($B245,AGO!$G$1:$M$46,46,FALSE)</f>
        <v>#N/A</v>
      </c>
      <c r="Z245" s="1573"/>
      <c r="AA245" s="1574"/>
      <c r="AB245" s="1572" t="e">
        <f>HLOOKUP($B245,SET!$G$1:$M$46,46,FALSE)</f>
        <v>#N/A</v>
      </c>
      <c r="AC245" s="1573"/>
      <c r="AD245" s="1574"/>
      <c r="AE245" s="1572" t="e">
        <f>HLOOKUP($B245,OTT!$G$1:$M$46,46,FALSE)</f>
        <v>#N/A</v>
      </c>
      <c r="AF245" s="1573"/>
      <c r="AG245" s="1574"/>
      <c r="AH245" s="1572" t="e">
        <f>HLOOKUP($B245,NOV!$G$1:$M$46,46,FALSE)</f>
        <v>#N/A</v>
      </c>
      <c r="AI245" s="1573"/>
      <c r="AJ245" s="1574"/>
      <c r="AK245" s="1572" t="e">
        <f>HLOOKUP($B245,DIC!$G$1:$M$46,46,FALSE)</f>
        <v>#N/A</v>
      </c>
      <c r="AL245" s="1573"/>
      <c r="AM245" s="1574"/>
      <c r="AN245" s="1603" t="str">
        <f>AN242</f>
        <v>INSERITO</v>
      </c>
      <c r="AO245" s="1604"/>
      <c r="AP245" s="1604"/>
      <c r="AQ245" s="33"/>
      <c r="AR245" s="264"/>
      <c r="AS245" s="264"/>
      <c r="AT245" s="264"/>
      <c r="AU245" s="264"/>
      <c r="AV245" s="264"/>
      <c r="AW245" s="264"/>
      <c r="AX245" s="264"/>
      <c r="AY245" s="264"/>
      <c r="AZ245" s="264"/>
      <c r="BA245" s="264"/>
      <c r="BB245" s="264"/>
      <c r="BC245" s="264"/>
      <c r="BD245" s="264"/>
      <c r="BE245" s="264"/>
      <c r="BF245" s="264"/>
      <c r="BG245" s="264"/>
      <c r="BH245" s="264"/>
      <c r="BI245" s="264"/>
      <c r="BJ245" s="264"/>
      <c r="BK245" s="264"/>
      <c r="BL245" s="264"/>
    </row>
    <row r="246" spans="1:64" ht="18" hidden="1" customHeight="1" x14ac:dyDescent="0.2">
      <c r="A246" s="1324"/>
      <c r="B246" s="1657"/>
      <c r="C246" s="1657"/>
      <c r="D246" s="127"/>
      <c r="E246" s="127"/>
      <c r="F246" s="127"/>
      <c r="G246" s="1587"/>
      <c r="H246" s="1587"/>
      <c r="I246" s="1587"/>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264"/>
      <c r="AS246" s="264"/>
      <c r="AT246" s="264"/>
      <c r="AU246" s="264"/>
      <c r="AV246" s="264"/>
      <c r="AW246" s="264"/>
      <c r="AX246" s="264"/>
      <c r="AY246" s="264"/>
      <c r="AZ246" s="264"/>
      <c r="BA246" s="264"/>
      <c r="BB246" s="264"/>
      <c r="BC246" s="264"/>
      <c r="BD246" s="264"/>
      <c r="BE246" s="264"/>
      <c r="BF246" s="264"/>
      <c r="BG246" s="264"/>
      <c r="BH246" s="264"/>
      <c r="BI246" s="264"/>
      <c r="BJ246" s="264"/>
      <c r="BK246" s="264"/>
      <c r="BL246" s="264"/>
    </row>
    <row r="247" spans="1:64" ht="18" hidden="1" customHeight="1" x14ac:dyDescent="0.2">
      <c r="A247" s="1324"/>
      <c r="B247" s="1897" t="str">
        <f>C187</f>
        <v>Colonna 7</v>
      </c>
      <c r="C247" s="1899"/>
      <c r="D247" s="1575">
        <v>0</v>
      </c>
      <c r="E247" s="1576"/>
      <c r="F247" s="1577"/>
      <c r="G247" s="1572" t="e">
        <f>HLOOKUP($B248,FEB!$G$1:$M$46,46,FALSE)</f>
        <v>#N/A</v>
      </c>
      <c r="H247" s="1573"/>
      <c r="I247" s="1574"/>
      <c r="J247" s="1572" t="e">
        <f>HLOOKUP($B248,MAR!$G$1:$M$46,46,FALSE)</f>
        <v>#N/A</v>
      </c>
      <c r="K247" s="1573"/>
      <c r="L247" s="1574"/>
      <c r="M247" s="1572" t="e">
        <f>HLOOKUP($B248,APR!$G$1:$M$46,46,FALSE)</f>
        <v>#N/A</v>
      </c>
      <c r="N247" s="1573"/>
      <c r="O247" s="1574"/>
      <c r="P247" s="1572" t="e">
        <f>HLOOKUP($B248,MAG!$G$1:$M$46,46,FALSE)</f>
        <v>#N/A</v>
      </c>
      <c r="Q247" s="1573"/>
      <c r="R247" s="1574"/>
      <c r="S247" s="1572" t="e">
        <f>HLOOKUP($B248,GIU!$G$1:$M$46,46,FALSE)</f>
        <v>#N/A</v>
      </c>
      <c r="T247" s="1573"/>
      <c r="U247" s="1574"/>
      <c r="V247" s="1572" t="e">
        <f>HLOOKUP($B248,LUG!$G$1:$M$46,46,FALSE)</f>
        <v>#N/A</v>
      </c>
      <c r="W247" s="1573"/>
      <c r="X247" s="1574"/>
      <c r="Y247" s="1572" t="e">
        <f>HLOOKUP($B248,AGO!$G$1:$M$46,46,FALSE)</f>
        <v>#N/A</v>
      </c>
      <c r="Z247" s="1573"/>
      <c r="AA247" s="1574"/>
      <c r="AB247" s="1572" t="e">
        <f>HLOOKUP($B248,SET!$G$1:$M$46,46,FALSE)</f>
        <v>#N/A</v>
      </c>
      <c r="AC247" s="1573"/>
      <c r="AD247" s="1574"/>
      <c r="AE247" s="1572" t="e">
        <f>HLOOKUP($B248,OTT!$G$1:$M$46,46,FALSE)</f>
        <v>#N/A</v>
      </c>
      <c r="AF247" s="1573"/>
      <c r="AG247" s="1574"/>
      <c r="AH247" s="1572" t="e">
        <f>HLOOKUP($B248,NOV!$G$1:$M$46,46,FALSE)</f>
        <v>#N/A</v>
      </c>
      <c r="AI247" s="1573"/>
      <c r="AJ247" s="1574"/>
      <c r="AK247" s="1572" t="e">
        <f>HLOOKUP($B248,DIC!$G$1:$M$46,46,FALSE)</f>
        <v>#N/A</v>
      </c>
      <c r="AL247" s="1573"/>
      <c r="AM247" s="1574"/>
      <c r="AN247" s="1603"/>
      <c r="AO247" s="1604"/>
      <c r="AP247" s="1604"/>
      <c r="AQ247" s="33"/>
      <c r="AR247" s="264"/>
      <c r="AS247" s="264"/>
      <c r="AT247" s="264"/>
      <c r="AU247" s="264"/>
      <c r="AV247" s="264"/>
      <c r="AW247" s="264"/>
      <c r="AX247" s="264"/>
      <c r="AY247" s="264"/>
      <c r="AZ247" s="264"/>
      <c r="BA247" s="264"/>
      <c r="BB247" s="264"/>
      <c r="BC247" s="264"/>
      <c r="BD247" s="264"/>
      <c r="BE247" s="264"/>
      <c r="BF247" s="264"/>
      <c r="BG247" s="264"/>
      <c r="BH247" s="264"/>
      <c r="BI247" s="264"/>
      <c r="BJ247" s="264"/>
      <c r="BK247" s="264"/>
      <c r="BL247" s="264"/>
    </row>
    <row r="248" spans="1:64" ht="18" hidden="1" customHeight="1" x14ac:dyDescent="0.2">
      <c r="A248" s="33"/>
      <c r="B248" s="1658" t="str">
        <f>IF(AF23=1,"",CONCATENATE(IF(AG23="","..",AG23),"-",IF(AG24="","..",AG24),"-",IF(AG25="","..",AG25)))</f>
        <v/>
      </c>
      <c r="C248" s="1659"/>
      <c r="D248" s="1620" t="e">
        <f>HLOOKUP($B248,GEN!$G$1:$M$46,46,FALSE)</f>
        <v>#N/A</v>
      </c>
      <c r="E248" s="1621"/>
      <c r="F248" s="1622"/>
      <c r="G248" s="1620" t="e">
        <f>HLOOKUP($B248,FEB!$G$1:$M$46,46,FALSE)</f>
        <v>#N/A</v>
      </c>
      <c r="H248" s="1621"/>
      <c r="I248" s="1622"/>
      <c r="J248" s="1620" t="e">
        <f>HLOOKUP($B248,MAR!$G$1:$M$46,46,FALSE)</f>
        <v>#N/A</v>
      </c>
      <c r="K248" s="1621"/>
      <c r="L248" s="1622"/>
      <c r="M248" s="1620" t="e">
        <f>HLOOKUP($B248,APR!$G$1:$M$46,46,FALSE)</f>
        <v>#N/A</v>
      </c>
      <c r="N248" s="1621"/>
      <c r="O248" s="1622"/>
      <c r="P248" s="1620" t="e">
        <f>HLOOKUP($B248,MAG!$G$1:$M$46,46,FALSE)</f>
        <v>#N/A</v>
      </c>
      <c r="Q248" s="1621"/>
      <c r="R248" s="1622"/>
      <c r="S248" s="1620" t="e">
        <f>HLOOKUP($B248,GIU!$G$1:$M$46,46,FALSE)</f>
        <v>#N/A</v>
      </c>
      <c r="T248" s="1621"/>
      <c r="U248" s="1622"/>
      <c r="V248" s="1620" t="e">
        <f>HLOOKUP($B248,LUG!$G$1:$M$46,46,FALSE)</f>
        <v>#N/A</v>
      </c>
      <c r="W248" s="1621"/>
      <c r="X248" s="1622"/>
      <c r="Y248" s="1620" t="e">
        <f>HLOOKUP($B248,AGO!$G$1:$M$46,46,FALSE)</f>
        <v>#N/A</v>
      </c>
      <c r="Z248" s="1621"/>
      <c r="AA248" s="1622"/>
      <c r="AB248" s="1620" t="e">
        <f>HLOOKUP($B248,SET!$G$1:$M$46,46,FALSE)</f>
        <v>#N/A</v>
      </c>
      <c r="AC248" s="1621"/>
      <c r="AD248" s="1622"/>
      <c r="AE248" s="1620" t="e">
        <f>HLOOKUP($B248,OTT!$G$1:$M$46,46,FALSE)</f>
        <v>#N/A</v>
      </c>
      <c r="AF248" s="1621"/>
      <c r="AG248" s="1622"/>
      <c r="AH248" s="1620" t="e">
        <f>HLOOKUP($B248,NOV!$G$1:$M$46,46,FALSE)</f>
        <v>#N/A</v>
      </c>
      <c r="AI248" s="1621"/>
      <c r="AJ248" s="1622"/>
      <c r="AK248" s="1620" t="e">
        <f>HLOOKUP($B248,DIC!$G$1:$M$46,46,FALSE)</f>
        <v>#N/A</v>
      </c>
      <c r="AL248" s="1621"/>
      <c r="AM248" s="1622"/>
      <c r="AN248" s="1603" t="str">
        <f>AN245</f>
        <v>INSERITO</v>
      </c>
      <c r="AO248" s="1604"/>
      <c r="AP248" s="1604"/>
      <c r="AQ248" s="33"/>
      <c r="AR248" s="264"/>
      <c r="AS248" s="264"/>
      <c r="AT248" s="264"/>
      <c r="AU248" s="264"/>
      <c r="AV248" s="264"/>
      <c r="AW248" s="264"/>
      <c r="AX248" s="264"/>
      <c r="AY248" s="264"/>
      <c r="AZ248" s="264"/>
      <c r="BA248" s="264"/>
      <c r="BB248" s="264"/>
      <c r="BC248" s="264"/>
      <c r="BD248" s="264"/>
      <c r="BE248" s="264"/>
      <c r="BF248" s="264"/>
      <c r="BG248" s="264"/>
      <c r="BH248" s="264"/>
      <c r="BI248" s="264"/>
      <c r="BJ248" s="264"/>
      <c r="BK248" s="264"/>
      <c r="BL248" s="264"/>
    </row>
    <row r="249" spans="1:64" ht="18" hidden="1" customHeight="1" x14ac:dyDescent="0.2">
      <c r="A249" s="33"/>
      <c r="B249" s="1909"/>
      <c r="C249" s="1909"/>
      <c r="D249" s="1906">
        <v>1</v>
      </c>
      <c r="E249" s="1708"/>
      <c r="F249" s="1708"/>
      <c r="G249" s="1708">
        <v>2</v>
      </c>
      <c r="H249" s="1708"/>
      <c r="I249" s="1708"/>
      <c r="J249" s="1708">
        <v>3</v>
      </c>
      <c r="K249" s="1708"/>
      <c r="L249" s="1708"/>
      <c r="M249" s="1708">
        <v>4</v>
      </c>
      <c r="N249" s="1708"/>
      <c r="O249" s="1708"/>
      <c r="P249" s="1708">
        <v>5</v>
      </c>
      <c r="Q249" s="1708"/>
      <c r="R249" s="1708"/>
      <c r="S249" s="1708">
        <v>6</v>
      </c>
      <c r="T249" s="1708"/>
      <c r="U249" s="1708"/>
      <c r="V249" s="1708">
        <v>7</v>
      </c>
      <c r="W249" s="1708"/>
      <c r="X249" s="1708"/>
      <c r="Y249" s="1708">
        <v>8</v>
      </c>
      <c r="Z249" s="1708"/>
      <c r="AA249" s="1708"/>
      <c r="AB249" s="1708">
        <v>9</v>
      </c>
      <c r="AC249" s="1708"/>
      <c r="AD249" s="1708"/>
      <c r="AE249" s="1708">
        <v>10</v>
      </c>
      <c r="AF249" s="1708"/>
      <c r="AG249" s="1708"/>
      <c r="AH249" s="1708">
        <v>11</v>
      </c>
      <c r="AI249" s="1708"/>
      <c r="AJ249" s="1708"/>
      <c r="AK249" s="1708">
        <v>12</v>
      </c>
      <c r="AL249" s="1708"/>
      <c r="AM249" s="1709"/>
      <c r="AN249" s="33"/>
      <c r="AO249" s="33"/>
      <c r="AP249" s="33"/>
      <c r="AQ249" s="33"/>
      <c r="AR249" s="264"/>
      <c r="AS249" s="264"/>
      <c r="AT249" s="264"/>
      <c r="AU249" s="264"/>
      <c r="AV249" s="264"/>
      <c r="AW249" s="264"/>
      <c r="AX249" s="264"/>
      <c r="AY249" s="264"/>
      <c r="AZ249" s="264"/>
      <c r="BA249" s="264"/>
      <c r="BB249" s="264"/>
      <c r="BC249" s="264"/>
      <c r="BD249" s="264"/>
      <c r="BE249" s="264"/>
      <c r="BF249" s="264"/>
      <c r="BG249" s="264"/>
      <c r="BH249" s="264"/>
      <c r="BI249" s="264"/>
      <c r="BJ249" s="264"/>
      <c r="BK249" s="264"/>
      <c r="BL249" s="264"/>
    </row>
    <row r="250" spans="1:64" ht="18" hidden="1" customHeight="1" x14ac:dyDescent="0.2">
      <c r="A250" s="33"/>
      <c r="B250" s="1914" t="str">
        <f>H181</f>
        <v>I</v>
      </c>
      <c r="C250" s="1915"/>
      <c r="D250" s="1902">
        <v>0</v>
      </c>
      <c r="E250" s="1902"/>
      <c r="F250" s="1903"/>
      <c r="G250" s="1704" t="e">
        <f>G251</f>
        <v>#N/A</v>
      </c>
      <c r="H250" s="1705"/>
      <c r="I250" s="1707"/>
      <c r="J250" s="1704" t="e">
        <f>J251</f>
        <v>#N/A</v>
      </c>
      <c r="K250" s="1705"/>
      <c r="L250" s="1707"/>
      <c r="M250" s="1704" t="e">
        <f>M251</f>
        <v>#N/A</v>
      </c>
      <c r="N250" s="1705"/>
      <c r="O250" s="1707"/>
      <c r="P250" s="1704" t="e">
        <f>P251</f>
        <v>#N/A</v>
      </c>
      <c r="Q250" s="1705"/>
      <c r="R250" s="1707"/>
      <c r="S250" s="1704" t="e">
        <f>S251</f>
        <v>#N/A</v>
      </c>
      <c r="T250" s="1705"/>
      <c r="U250" s="1707"/>
      <c r="V250" s="1704" t="e">
        <f>V251</f>
        <v>#N/A</v>
      </c>
      <c r="W250" s="1705"/>
      <c r="X250" s="1707"/>
      <c r="Y250" s="1704" t="e">
        <f>Y251</f>
        <v>#N/A</v>
      </c>
      <c r="Z250" s="1705"/>
      <c r="AA250" s="1707"/>
      <c r="AB250" s="1704" t="e">
        <f>AB251</f>
        <v>#N/A</v>
      </c>
      <c r="AC250" s="1705"/>
      <c r="AD250" s="1707"/>
      <c r="AE250" s="1704" t="e">
        <f>AE251</f>
        <v>#N/A</v>
      </c>
      <c r="AF250" s="1705"/>
      <c r="AG250" s="1707"/>
      <c r="AH250" s="1704" t="e">
        <f>AH251</f>
        <v>#N/A</v>
      </c>
      <c r="AI250" s="1705"/>
      <c r="AJ250" s="1707"/>
      <c r="AK250" s="1704" t="e">
        <f>AK251</f>
        <v>#N/A</v>
      </c>
      <c r="AL250" s="1705"/>
      <c r="AM250" s="1706"/>
      <c r="AN250" s="1694"/>
      <c r="AO250" s="1604"/>
      <c r="AP250" s="1604"/>
      <c r="AQ250" s="33"/>
      <c r="AR250" s="264"/>
      <c r="AS250" s="264"/>
      <c r="AT250" s="264"/>
      <c r="AU250" s="264"/>
      <c r="AV250" s="264"/>
      <c r="AW250" s="264"/>
      <c r="AX250" s="264"/>
      <c r="AY250" s="264"/>
      <c r="AZ250" s="264"/>
      <c r="BA250" s="264"/>
      <c r="BB250" s="264"/>
      <c r="BC250" s="264"/>
      <c r="BD250" s="264"/>
      <c r="BE250" s="264"/>
      <c r="BF250" s="264"/>
      <c r="BG250" s="264"/>
      <c r="BH250" s="264"/>
      <c r="BI250" s="264"/>
      <c r="BJ250" s="264"/>
      <c r="BK250" s="264"/>
      <c r="BL250" s="264"/>
    </row>
    <row r="251" spans="1:64" ht="18" hidden="1" customHeight="1" x14ac:dyDescent="0.2">
      <c r="A251" s="33"/>
      <c r="B251" s="1907" t="str">
        <f>IF(J95="","",CONCATENATE(IF(T97="","..",T97),"-",IF(T98="","..",T98),"-",IF(T99="","..",T99)))</f>
        <v/>
      </c>
      <c r="C251" s="1908"/>
      <c r="D251" s="1689" t="e">
        <f>HLOOKUP($B251,GEN!$G$1:$M$46,46,FALSE)*D252</f>
        <v>#N/A</v>
      </c>
      <c r="E251" s="1689"/>
      <c r="F251" s="1695"/>
      <c r="G251" s="1688" t="e">
        <f>HLOOKUP($B251,FEB!$G$1:$M$46,46,FALSE)*G252</f>
        <v>#N/A</v>
      </c>
      <c r="H251" s="1689"/>
      <c r="I251" s="1695"/>
      <c r="J251" s="1688" t="e">
        <f>HLOOKUP($B251,MAR!$G$1:$M$46,46,FALSE)*J252</f>
        <v>#N/A</v>
      </c>
      <c r="K251" s="1689"/>
      <c r="L251" s="1695"/>
      <c r="M251" s="1688" t="e">
        <f>HLOOKUP($B251,APR!$G$1:$M$46,46,FALSE)*M252</f>
        <v>#N/A</v>
      </c>
      <c r="N251" s="1689"/>
      <c r="O251" s="1695"/>
      <c r="P251" s="1688" t="e">
        <f>HLOOKUP($B251,MAG!$G$1:$M$46,46,FALSE)*P252</f>
        <v>#N/A</v>
      </c>
      <c r="Q251" s="1689"/>
      <c r="R251" s="1695"/>
      <c r="S251" s="1688" t="e">
        <f>HLOOKUP($B251,GIU!$G$1:$M$46,46,FALSE)*S252</f>
        <v>#N/A</v>
      </c>
      <c r="T251" s="1689"/>
      <c r="U251" s="1695"/>
      <c r="V251" s="1688" t="e">
        <f>HLOOKUP($B251,LUG!$G$1:$M$46,46,FALSE)*V252</f>
        <v>#N/A</v>
      </c>
      <c r="W251" s="1689"/>
      <c r="X251" s="1695"/>
      <c r="Y251" s="1688" t="e">
        <f>HLOOKUP($B251,AGO!$G$1:$M$46,46,FALSE)*Y252</f>
        <v>#N/A</v>
      </c>
      <c r="Z251" s="1689"/>
      <c r="AA251" s="1695"/>
      <c r="AB251" s="1688" t="e">
        <f>HLOOKUP($B251,SET!$G$1:$M$46,46,FALSE)*AB252</f>
        <v>#N/A</v>
      </c>
      <c r="AC251" s="1689"/>
      <c r="AD251" s="1695"/>
      <c r="AE251" s="1688" t="e">
        <f>HLOOKUP($B251,OTT!$G$1:$M$46,46,FALSE)*AE252</f>
        <v>#N/A</v>
      </c>
      <c r="AF251" s="1689"/>
      <c r="AG251" s="1695"/>
      <c r="AH251" s="1688" t="e">
        <f>HLOOKUP($B251,NOV!$G$1:$M$46,46,FALSE)*AH252</f>
        <v>#N/A</v>
      </c>
      <c r="AI251" s="1689"/>
      <c r="AJ251" s="1695"/>
      <c r="AK251" s="1688" t="e">
        <f>HLOOKUP($B251,DIC!$G$1:$M$46,46,FALSE)*AK252</f>
        <v>#N/A</v>
      </c>
      <c r="AL251" s="1689"/>
      <c r="AM251" s="1690"/>
      <c r="AN251" s="1694" t="str">
        <f>AN248</f>
        <v>INSERITO</v>
      </c>
      <c r="AO251" s="1604"/>
      <c r="AP251" s="1604"/>
      <c r="AQ251" s="33"/>
      <c r="AR251" s="264"/>
      <c r="AS251" s="264"/>
      <c r="AT251" s="264"/>
      <c r="AU251" s="264"/>
      <c r="AV251" s="264"/>
      <c r="AW251" s="264"/>
      <c r="AX251" s="264"/>
      <c r="AY251" s="264"/>
      <c r="AZ251" s="264"/>
      <c r="BA251" s="264"/>
      <c r="BB251" s="264"/>
      <c r="BC251" s="264"/>
      <c r="BD251" s="264"/>
      <c r="BE251" s="264"/>
      <c r="BF251" s="264"/>
      <c r="BG251" s="264"/>
      <c r="BH251" s="264"/>
      <c r="BI251" s="264"/>
      <c r="BJ251" s="264"/>
      <c r="BK251" s="264"/>
      <c r="BL251" s="264"/>
    </row>
    <row r="252" spans="1:64" ht="18" hidden="1" customHeight="1" x14ac:dyDescent="0.2">
      <c r="A252" s="33"/>
      <c r="B252" s="1909"/>
      <c r="C252" s="1909"/>
      <c r="D252" s="1644" t="e">
        <f>IF(AND(D$249&gt;=$Z100,D$249&lt;=$AD100),1,0)</f>
        <v>#N/A</v>
      </c>
      <c r="E252" s="1623"/>
      <c r="F252" s="1623"/>
      <c r="G252" s="1623" t="e">
        <f>IF(AND(G$249&gt;=$Z100,G$249&lt;=$AD100),1,0)</f>
        <v>#N/A</v>
      </c>
      <c r="H252" s="1623"/>
      <c r="I252" s="1623"/>
      <c r="J252" s="1623" t="e">
        <f>IF(AND(J$249&gt;=$Z100,J$249&lt;=$AD100),1,0)</f>
        <v>#N/A</v>
      </c>
      <c r="K252" s="1623"/>
      <c r="L252" s="1623"/>
      <c r="M252" s="1623" t="e">
        <f>IF(AND(M$249&gt;=$Z100,M$249&lt;=$AD100),1,0)</f>
        <v>#N/A</v>
      </c>
      <c r="N252" s="1623"/>
      <c r="O252" s="1623"/>
      <c r="P252" s="1623" t="e">
        <f>IF(AND(P$249&gt;=$Z100,P$249&lt;=$AD100),1,0)</f>
        <v>#N/A</v>
      </c>
      <c r="Q252" s="1623"/>
      <c r="R252" s="1623"/>
      <c r="S252" s="1623" t="e">
        <f>IF(AND(S$249&gt;=$Z100,S$249&lt;=$AD100),1,0)</f>
        <v>#N/A</v>
      </c>
      <c r="T252" s="1623"/>
      <c r="U252" s="1623"/>
      <c r="V252" s="1623" t="e">
        <f>IF(AND(V$249&gt;=$Z100,V$249&lt;=$AD100),1,0)</f>
        <v>#N/A</v>
      </c>
      <c r="W252" s="1623"/>
      <c r="X252" s="1623"/>
      <c r="Y252" s="1623" t="e">
        <f>IF(AND(Y$249&gt;=$Z100,Y$249&lt;=$AD100),1,0)</f>
        <v>#N/A</v>
      </c>
      <c r="Z252" s="1623"/>
      <c r="AA252" s="1623"/>
      <c r="AB252" s="1623" t="e">
        <f>IF(AND(AB$249&gt;=$Z100,AB$249&lt;=$AD100),1,0)</f>
        <v>#N/A</v>
      </c>
      <c r="AC252" s="1623"/>
      <c r="AD252" s="1623"/>
      <c r="AE252" s="1623" t="e">
        <f>IF(AND(AE$249&gt;=$Z100,AE$249&lt;=$AD100),1,0)</f>
        <v>#N/A</v>
      </c>
      <c r="AF252" s="1623"/>
      <c r="AG252" s="1623"/>
      <c r="AH252" s="1623" t="e">
        <f>IF(AND(AH$249&gt;=$Z100,AH$249&lt;=$AD100),1,0)</f>
        <v>#N/A</v>
      </c>
      <c r="AI252" s="1623"/>
      <c r="AJ252" s="1623"/>
      <c r="AK252" s="1623" t="e">
        <f>IF(AND(AK$249&gt;=$Z100,AK$249&lt;=$AD100),1,0)</f>
        <v>#N/A</v>
      </c>
      <c r="AL252" s="1623"/>
      <c r="AM252" s="1624"/>
      <c r="AN252" s="33"/>
      <c r="AO252" s="33"/>
      <c r="AP252" s="33"/>
      <c r="AQ252" s="33"/>
      <c r="AR252" s="264"/>
      <c r="AS252" s="264"/>
      <c r="AT252" s="264"/>
      <c r="AU252" s="264"/>
      <c r="AV252" s="264"/>
      <c r="AW252" s="264"/>
      <c r="AX252" s="264"/>
      <c r="AY252" s="264"/>
      <c r="AZ252" s="264"/>
      <c r="BA252" s="264"/>
      <c r="BB252" s="264"/>
      <c r="BC252" s="264"/>
      <c r="BD252" s="264"/>
      <c r="BE252" s="264"/>
      <c r="BF252" s="264"/>
      <c r="BG252" s="264"/>
      <c r="BH252" s="264"/>
      <c r="BI252" s="264"/>
      <c r="BJ252" s="264"/>
      <c r="BK252" s="264"/>
      <c r="BL252" s="264"/>
    </row>
    <row r="253" spans="1:64" ht="18" hidden="1" customHeight="1" x14ac:dyDescent="0.2">
      <c r="A253" s="33"/>
      <c r="B253" s="1914" t="str">
        <f>H182</f>
        <v>II</v>
      </c>
      <c r="C253" s="1915"/>
      <c r="D253" s="1904">
        <v>0</v>
      </c>
      <c r="E253" s="1904"/>
      <c r="F253" s="1905"/>
      <c r="G253" s="1628" t="e">
        <f>G254</f>
        <v>#N/A</v>
      </c>
      <c r="H253" s="1629"/>
      <c r="I253" s="1630"/>
      <c r="J253" s="1628" t="e">
        <f>J254</f>
        <v>#N/A</v>
      </c>
      <c r="K253" s="1629"/>
      <c r="L253" s="1630"/>
      <c r="M253" s="1628" t="e">
        <f>M254</f>
        <v>#N/A</v>
      </c>
      <c r="N253" s="1629"/>
      <c r="O253" s="1630"/>
      <c r="P253" s="1628" t="e">
        <f>P254</f>
        <v>#N/A</v>
      </c>
      <c r="Q253" s="1629"/>
      <c r="R253" s="1630"/>
      <c r="S253" s="1628" t="e">
        <f>S254</f>
        <v>#N/A</v>
      </c>
      <c r="T253" s="1629"/>
      <c r="U253" s="1630"/>
      <c r="V253" s="1628" t="e">
        <f>V254</f>
        <v>#N/A</v>
      </c>
      <c r="W253" s="1629"/>
      <c r="X253" s="1630"/>
      <c r="Y253" s="1628" t="e">
        <f>Y254</f>
        <v>#N/A</v>
      </c>
      <c r="Z253" s="1629"/>
      <c r="AA253" s="1630"/>
      <c r="AB253" s="1628" t="e">
        <f>AB254</f>
        <v>#N/A</v>
      </c>
      <c r="AC253" s="1629"/>
      <c r="AD253" s="1630"/>
      <c r="AE253" s="1628" t="e">
        <f>AE254</f>
        <v>#N/A</v>
      </c>
      <c r="AF253" s="1629"/>
      <c r="AG253" s="1630"/>
      <c r="AH253" s="1628" t="e">
        <f>AH254</f>
        <v>#N/A</v>
      </c>
      <c r="AI253" s="1629"/>
      <c r="AJ253" s="1630"/>
      <c r="AK253" s="1628" t="e">
        <f>AK254</f>
        <v>#N/A</v>
      </c>
      <c r="AL253" s="1629"/>
      <c r="AM253" s="1703"/>
      <c r="AN253" s="1694"/>
      <c r="AO253" s="1604"/>
      <c r="AP253" s="1604"/>
      <c r="AQ253" s="33"/>
      <c r="AR253" s="264"/>
      <c r="AS253" s="264"/>
      <c r="AT253" s="264"/>
      <c r="AU253" s="264"/>
      <c r="AV253" s="264"/>
      <c r="AW253" s="264"/>
      <c r="AX253" s="264"/>
      <c r="AY253" s="264"/>
      <c r="AZ253" s="264"/>
      <c r="BA253" s="264"/>
      <c r="BB253" s="264"/>
      <c r="BC253" s="264"/>
      <c r="BD253" s="264"/>
      <c r="BE253" s="264"/>
      <c r="BF253" s="264"/>
      <c r="BG253" s="264"/>
      <c r="BH253" s="264"/>
      <c r="BI253" s="264"/>
      <c r="BJ253" s="264"/>
      <c r="BK253" s="264"/>
      <c r="BL253" s="264"/>
    </row>
    <row r="254" spans="1:64" ht="18" hidden="1" customHeight="1" x14ac:dyDescent="0.2">
      <c r="A254" s="33"/>
      <c r="B254" s="1907" t="str">
        <f>IF(J103="","",CONCATENATE(IF(T105="","..",T105),"-",IF(T106="","..",T106),"-",IF(T107="","..",T107)))</f>
        <v/>
      </c>
      <c r="C254" s="1908"/>
      <c r="D254" s="1689" t="e">
        <f>HLOOKUP($B254,GEN!$G$1:$M$46,46,FALSE)*D255</f>
        <v>#N/A</v>
      </c>
      <c r="E254" s="1689"/>
      <c r="F254" s="1695"/>
      <c r="G254" s="1688" t="e">
        <f>HLOOKUP($B254,FEB!$G$1:$M$46,46,FALSE)*G255</f>
        <v>#N/A</v>
      </c>
      <c r="H254" s="1689"/>
      <c r="I254" s="1695"/>
      <c r="J254" s="1688" t="e">
        <f>HLOOKUP($B254,MAR!$G$1:$M$46,46,FALSE)*J255</f>
        <v>#N/A</v>
      </c>
      <c r="K254" s="1689"/>
      <c r="L254" s="1695"/>
      <c r="M254" s="1688" t="e">
        <f>HLOOKUP($B254,APR!$G$1:$M$46,46,FALSE)*M255</f>
        <v>#N/A</v>
      </c>
      <c r="N254" s="1689"/>
      <c r="O254" s="1695"/>
      <c r="P254" s="1688" t="e">
        <f>HLOOKUP($B254,MAG!$G$1:$M$46,46,FALSE)*P255</f>
        <v>#N/A</v>
      </c>
      <c r="Q254" s="1689"/>
      <c r="R254" s="1695"/>
      <c r="S254" s="1688" t="e">
        <f>HLOOKUP($B254,GIU!$G$1:$M$46,46,FALSE)*S255</f>
        <v>#N/A</v>
      </c>
      <c r="T254" s="1689"/>
      <c r="U254" s="1695"/>
      <c r="V254" s="1688" t="e">
        <f>HLOOKUP($B254,LUG!$G$1:$M$46,46,FALSE)*V255</f>
        <v>#N/A</v>
      </c>
      <c r="W254" s="1689"/>
      <c r="X254" s="1695"/>
      <c r="Y254" s="1688" t="e">
        <f>HLOOKUP($B254,AGO!$G$1:$M$46,46,FALSE)*Y255</f>
        <v>#N/A</v>
      </c>
      <c r="Z254" s="1689"/>
      <c r="AA254" s="1695"/>
      <c r="AB254" s="1688" t="e">
        <f>HLOOKUP($B254,SET!$G$1:$M$46,46,FALSE)*AB255</f>
        <v>#N/A</v>
      </c>
      <c r="AC254" s="1689"/>
      <c r="AD254" s="1695"/>
      <c r="AE254" s="1688" t="e">
        <f>HLOOKUP($B254,OTT!$G$1:$M$46,46,FALSE)*AE255</f>
        <v>#N/A</v>
      </c>
      <c r="AF254" s="1689"/>
      <c r="AG254" s="1695"/>
      <c r="AH254" s="1688" t="e">
        <f>HLOOKUP($B254,NOV!$G$1:$M$46,46,FALSE)*AH255</f>
        <v>#N/A</v>
      </c>
      <c r="AI254" s="1689"/>
      <c r="AJ254" s="1695"/>
      <c r="AK254" s="1688" t="e">
        <f>HLOOKUP($B254,DIC!$G$1:$M$46,46,FALSE)*AK255</f>
        <v>#N/A</v>
      </c>
      <c r="AL254" s="1689"/>
      <c r="AM254" s="1690"/>
      <c r="AN254" s="1694" t="str">
        <f>AN251</f>
        <v>INSERITO</v>
      </c>
      <c r="AO254" s="1604"/>
      <c r="AP254" s="1604"/>
      <c r="AQ254" s="33"/>
      <c r="AR254" s="264"/>
      <c r="AS254" s="264"/>
      <c r="AT254" s="264"/>
      <c r="AU254" s="264"/>
      <c r="AV254" s="264"/>
      <c r="AW254" s="264"/>
      <c r="AX254" s="264"/>
      <c r="AY254" s="264"/>
      <c r="AZ254" s="264"/>
      <c r="BA254" s="264"/>
      <c r="BB254" s="264"/>
      <c r="BC254" s="264"/>
      <c r="BD254" s="264"/>
      <c r="BE254" s="264"/>
      <c r="BF254" s="264"/>
      <c r="BG254" s="264"/>
      <c r="BH254" s="264"/>
      <c r="BI254" s="264"/>
      <c r="BJ254" s="264"/>
      <c r="BK254" s="264"/>
      <c r="BL254" s="264"/>
    </row>
    <row r="255" spans="1:64" ht="18" hidden="1" customHeight="1" x14ac:dyDescent="0.2">
      <c r="A255" s="33"/>
      <c r="B255" s="1909"/>
      <c r="C255" s="1909"/>
      <c r="D255" s="1644" t="e">
        <f>IF(AND(D$249&gt;=$Z108,D$249&lt;=$AD108),1,0)</f>
        <v>#N/A</v>
      </c>
      <c r="E255" s="1623"/>
      <c r="F255" s="1623"/>
      <c r="G255" s="1623" t="e">
        <f>IF(AND(G$249&gt;=$Z108,G$249&lt;=$AD108),1,0)</f>
        <v>#N/A</v>
      </c>
      <c r="H255" s="1623"/>
      <c r="I255" s="1623"/>
      <c r="J255" s="1623" t="e">
        <f>IF(AND(J$249&gt;=$Z108,J$249&lt;=$AD108),1,0)</f>
        <v>#N/A</v>
      </c>
      <c r="K255" s="1623"/>
      <c r="L255" s="1623"/>
      <c r="M255" s="1623" t="e">
        <f>IF(AND(M$249&gt;=$Z108,M$249&lt;=$AD108),1,0)</f>
        <v>#N/A</v>
      </c>
      <c r="N255" s="1623"/>
      <c r="O255" s="1623"/>
      <c r="P255" s="1623" t="e">
        <f>IF(AND(P$249&gt;=$Z108,P$249&lt;=$AD108),1,0)</f>
        <v>#N/A</v>
      </c>
      <c r="Q255" s="1623"/>
      <c r="R255" s="1623"/>
      <c r="S255" s="1623" t="e">
        <f>IF(AND(S$249&gt;=$Z108,S$249&lt;=$AD108),1,0)</f>
        <v>#N/A</v>
      </c>
      <c r="T255" s="1623"/>
      <c r="U255" s="1623"/>
      <c r="V255" s="1623" t="e">
        <f>IF(AND(V$249&gt;=$Z108,V$249&lt;=$AD108),1,0)</f>
        <v>#N/A</v>
      </c>
      <c r="W255" s="1623"/>
      <c r="X255" s="1623"/>
      <c r="Y255" s="1623" t="e">
        <f>IF(AND(Y$249&gt;=$Z108,Y$249&lt;=$AD108),1,0)</f>
        <v>#N/A</v>
      </c>
      <c r="Z255" s="1623"/>
      <c r="AA255" s="1623"/>
      <c r="AB255" s="1623" t="e">
        <f>IF(AND(AB$249&gt;=$Z108,AB$249&lt;=$AD108),1,0)</f>
        <v>#N/A</v>
      </c>
      <c r="AC255" s="1623"/>
      <c r="AD255" s="1623"/>
      <c r="AE255" s="1623" t="e">
        <f>IF(AND(AE$249&gt;=$Z108,AE$249&lt;=$AD108),1,0)</f>
        <v>#N/A</v>
      </c>
      <c r="AF255" s="1623"/>
      <c r="AG255" s="1623"/>
      <c r="AH255" s="1623" t="e">
        <f>IF(AND(AH$249&gt;=$Z108,AH$249&lt;=$AD108),1,0)</f>
        <v>#N/A</v>
      </c>
      <c r="AI255" s="1623"/>
      <c r="AJ255" s="1623"/>
      <c r="AK255" s="1623" t="e">
        <f>IF(AND(AK$249&gt;=$Z108,AK$249&lt;=$AD108),1,0)</f>
        <v>#N/A</v>
      </c>
      <c r="AL255" s="1623"/>
      <c r="AM255" s="1624"/>
      <c r="AN255" s="33"/>
      <c r="AO255" s="33"/>
      <c r="AP255" s="33"/>
      <c r="AQ255" s="33"/>
      <c r="AR255" s="264"/>
      <c r="AS255" s="264"/>
      <c r="AT255" s="264"/>
      <c r="AU255" s="264"/>
      <c r="AV255" s="264"/>
      <c r="AW255" s="264"/>
      <c r="AX255" s="264"/>
      <c r="AY255" s="264"/>
      <c r="AZ255" s="264"/>
      <c r="BA255" s="264"/>
      <c r="BB255" s="264"/>
      <c r="BC255" s="264"/>
      <c r="BD255" s="264"/>
      <c r="BE255" s="264"/>
      <c r="BF255" s="264"/>
      <c r="BG255" s="264"/>
      <c r="BH255" s="264"/>
      <c r="BI255" s="264"/>
      <c r="BJ255" s="264"/>
      <c r="BK255" s="264"/>
      <c r="BL255" s="264"/>
    </row>
    <row r="256" spans="1:64" ht="18" hidden="1" customHeight="1" x14ac:dyDescent="0.2">
      <c r="A256" s="33"/>
      <c r="B256" s="1914" t="str">
        <f>H183</f>
        <v>III</v>
      </c>
      <c r="C256" s="1915"/>
      <c r="D256" s="1904">
        <v>0</v>
      </c>
      <c r="E256" s="1904"/>
      <c r="F256" s="1905"/>
      <c r="G256" s="1628" t="e">
        <f>G257</f>
        <v>#N/A</v>
      </c>
      <c r="H256" s="1629"/>
      <c r="I256" s="1630"/>
      <c r="J256" s="1628" t="e">
        <f>J257</f>
        <v>#N/A</v>
      </c>
      <c r="K256" s="1629"/>
      <c r="L256" s="1630"/>
      <c r="M256" s="1628" t="e">
        <f>M257</f>
        <v>#N/A</v>
      </c>
      <c r="N256" s="1629"/>
      <c r="O256" s="1630"/>
      <c r="P256" s="1628" t="e">
        <f>P257</f>
        <v>#N/A</v>
      </c>
      <c r="Q256" s="1629"/>
      <c r="R256" s="1630"/>
      <c r="S256" s="1628" t="e">
        <f>S257</f>
        <v>#N/A</v>
      </c>
      <c r="T256" s="1629"/>
      <c r="U256" s="1630"/>
      <c r="V256" s="1628" t="e">
        <f>V257</f>
        <v>#N/A</v>
      </c>
      <c r="W256" s="1629"/>
      <c r="X256" s="1630"/>
      <c r="Y256" s="1628" t="e">
        <f>Y257</f>
        <v>#N/A</v>
      </c>
      <c r="Z256" s="1629"/>
      <c r="AA256" s="1630"/>
      <c r="AB256" s="1628" t="e">
        <f>AB257</f>
        <v>#N/A</v>
      </c>
      <c r="AC256" s="1629"/>
      <c r="AD256" s="1630"/>
      <c r="AE256" s="1628" t="e">
        <f>AE257</f>
        <v>#N/A</v>
      </c>
      <c r="AF256" s="1629"/>
      <c r="AG256" s="1630"/>
      <c r="AH256" s="1628" t="e">
        <f>AH257</f>
        <v>#N/A</v>
      </c>
      <c r="AI256" s="1629"/>
      <c r="AJ256" s="1630"/>
      <c r="AK256" s="1628" t="e">
        <f>AK257</f>
        <v>#N/A</v>
      </c>
      <c r="AL256" s="1629"/>
      <c r="AM256" s="1703"/>
      <c r="AN256" s="1694"/>
      <c r="AO256" s="1604"/>
      <c r="AP256" s="1604"/>
      <c r="AQ256" s="33"/>
      <c r="AR256" s="264"/>
      <c r="AS256" s="264"/>
      <c r="AT256" s="264"/>
      <c r="AU256" s="264"/>
      <c r="AV256" s="264"/>
      <c r="AW256" s="264"/>
      <c r="AX256" s="264"/>
      <c r="AY256" s="264"/>
      <c r="AZ256" s="264"/>
      <c r="BA256" s="264"/>
      <c r="BB256" s="264"/>
      <c r="BC256" s="264"/>
      <c r="BD256" s="264"/>
      <c r="BE256" s="264"/>
      <c r="BF256" s="264"/>
      <c r="BG256" s="264"/>
      <c r="BH256" s="264"/>
      <c r="BI256" s="264"/>
      <c r="BJ256" s="264"/>
      <c r="BK256" s="264"/>
      <c r="BL256" s="264"/>
    </row>
    <row r="257" spans="1:64" ht="18" hidden="1" customHeight="1" x14ac:dyDescent="0.2">
      <c r="A257" s="33"/>
      <c r="B257" s="1907" t="str">
        <f>IF(J111="","",CONCATENATE(IF(T113="","..",T113),"-",IF(T114="","..",T114),"-",IF(T115="","..",T115)))</f>
        <v/>
      </c>
      <c r="C257" s="1908"/>
      <c r="D257" s="1689" t="e">
        <f>HLOOKUP($B257,GEN!$G$1:$M$46,46,FALSE)*D258</f>
        <v>#N/A</v>
      </c>
      <c r="E257" s="1689"/>
      <c r="F257" s="1695"/>
      <c r="G257" s="1688" t="e">
        <f>HLOOKUP($B257,FEB!$G$1:$M$46,46,FALSE)*G258</f>
        <v>#N/A</v>
      </c>
      <c r="H257" s="1689"/>
      <c r="I257" s="1695"/>
      <c r="J257" s="1688" t="e">
        <f>HLOOKUP($B257,MAR!$G$1:$M$46,46,FALSE)*J258</f>
        <v>#N/A</v>
      </c>
      <c r="K257" s="1689"/>
      <c r="L257" s="1695"/>
      <c r="M257" s="1688" t="e">
        <f>HLOOKUP($B257,APR!$G$1:$M$46,46,FALSE)*M258</f>
        <v>#N/A</v>
      </c>
      <c r="N257" s="1689"/>
      <c r="O257" s="1695"/>
      <c r="P257" s="1688" t="e">
        <f>HLOOKUP($B257,MAG!$G$1:$M$46,46,FALSE)*P258</f>
        <v>#N/A</v>
      </c>
      <c r="Q257" s="1689"/>
      <c r="R257" s="1695"/>
      <c r="S257" s="1688" t="e">
        <f>HLOOKUP($B257,GIU!$G$1:$M$46,46,FALSE)*S258</f>
        <v>#N/A</v>
      </c>
      <c r="T257" s="1689"/>
      <c r="U257" s="1695"/>
      <c r="V257" s="1688" t="e">
        <f>HLOOKUP($B257,LUG!$G$1:$M$46,46,FALSE)*V258</f>
        <v>#N/A</v>
      </c>
      <c r="W257" s="1689"/>
      <c r="X257" s="1695"/>
      <c r="Y257" s="1688" t="e">
        <f>HLOOKUP($B257,AGO!$G$1:$M$46,46,FALSE)*Y258</f>
        <v>#N/A</v>
      </c>
      <c r="Z257" s="1689"/>
      <c r="AA257" s="1695"/>
      <c r="AB257" s="1688" t="e">
        <f>HLOOKUP($B257,SET!$G$1:$M$46,46,FALSE)*AB258</f>
        <v>#N/A</v>
      </c>
      <c r="AC257" s="1689"/>
      <c r="AD257" s="1695"/>
      <c r="AE257" s="1688" t="e">
        <f>HLOOKUP($B257,OTT!$G$1:$M$46,46,FALSE)*AE258</f>
        <v>#N/A</v>
      </c>
      <c r="AF257" s="1689"/>
      <c r="AG257" s="1695"/>
      <c r="AH257" s="1688" t="e">
        <f>HLOOKUP($B257,NOV!$G$1:$M$46,46,FALSE)*AH258</f>
        <v>#N/A</v>
      </c>
      <c r="AI257" s="1689"/>
      <c r="AJ257" s="1695"/>
      <c r="AK257" s="1688" t="e">
        <f>HLOOKUP($B257,DIC!$G$1:$M$46,46,FALSE)*AK258</f>
        <v>#N/A</v>
      </c>
      <c r="AL257" s="1689"/>
      <c r="AM257" s="1690"/>
      <c r="AN257" s="1694" t="str">
        <f>AN254</f>
        <v>INSERITO</v>
      </c>
      <c r="AO257" s="1604"/>
      <c r="AP257" s="1604"/>
      <c r="AQ257" s="33"/>
      <c r="AR257" s="264"/>
      <c r="AS257" s="264"/>
      <c r="AT257" s="264"/>
      <c r="AU257" s="264"/>
      <c r="AV257" s="264"/>
      <c r="AW257" s="264"/>
      <c r="AX257" s="264"/>
      <c r="AY257" s="264"/>
      <c r="AZ257" s="264"/>
      <c r="BA257" s="264"/>
      <c r="BB257" s="264"/>
      <c r="BC257" s="264"/>
      <c r="BD257" s="264"/>
      <c r="BE257" s="264"/>
      <c r="BF257" s="264"/>
      <c r="BG257" s="264"/>
      <c r="BH257" s="264"/>
      <c r="BI257" s="264"/>
      <c r="BJ257" s="264"/>
      <c r="BK257" s="264"/>
      <c r="BL257" s="264"/>
    </row>
    <row r="258" spans="1:64" ht="18" hidden="1" customHeight="1" x14ac:dyDescent="0.2">
      <c r="A258" s="1324"/>
      <c r="B258" s="127"/>
      <c r="C258" s="127"/>
      <c r="D258" s="1644" t="e">
        <f>IF(AND(D$249&gt;=$Z116,D$249&lt;=$AD116),1,0)</f>
        <v>#N/A</v>
      </c>
      <c r="E258" s="1623"/>
      <c r="F258" s="1623"/>
      <c r="G258" s="1623" t="e">
        <f>IF(AND(G$249&gt;=$Z116,G$249&lt;=$AD116),1,0)</f>
        <v>#N/A</v>
      </c>
      <c r="H258" s="1623"/>
      <c r="I258" s="1623"/>
      <c r="J258" s="1623" t="e">
        <f>IF(AND(J$249&gt;=$Z116,J$249&lt;=$AD116),1,0)</f>
        <v>#N/A</v>
      </c>
      <c r="K258" s="1623"/>
      <c r="L258" s="1623"/>
      <c r="M258" s="1623" t="e">
        <f>IF(AND(M$249&gt;=$Z116,M$249&lt;=$AD116),1,0)</f>
        <v>#N/A</v>
      </c>
      <c r="N258" s="1623"/>
      <c r="O258" s="1623"/>
      <c r="P258" s="1623" t="e">
        <f>IF(AND(P$249&gt;=$Z116,P$249&lt;=$AD116),1,0)</f>
        <v>#N/A</v>
      </c>
      <c r="Q258" s="1623"/>
      <c r="R258" s="1623"/>
      <c r="S258" s="1623" t="e">
        <f>IF(AND(S$249&gt;=$Z116,S$249&lt;=$AD116),1,0)</f>
        <v>#N/A</v>
      </c>
      <c r="T258" s="1623"/>
      <c r="U258" s="1623"/>
      <c r="V258" s="1623" t="e">
        <f>IF(AND(V$249&gt;=$Z116,V$249&lt;=$AD116),1,0)</f>
        <v>#N/A</v>
      </c>
      <c r="W258" s="1623"/>
      <c r="X258" s="1623"/>
      <c r="Y258" s="1623" t="e">
        <f>IF(AND(Y$249&gt;=$Z116,Y$249&lt;=$AD116),1,0)</f>
        <v>#N/A</v>
      </c>
      <c r="Z258" s="1623"/>
      <c r="AA258" s="1623"/>
      <c r="AB258" s="1623" t="e">
        <f>IF(AND(AB$249&gt;=$Z116,AB$249&lt;=$AD116),1,0)</f>
        <v>#N/A</v>
      </c>
      <c r="AC258" s="1623"/>
      <c r="AD258" s="1623"/>
      <c r="AE258" s="1623" t="e">
        <f>IF(AND(AE$249&gt;=$Z116,AE$249&lt;=$AD116),1,0)</f>
        <v>#N/A</v>
      </c>
      <c r="AF258" s="1623"/>
      <c r="AG258" s="1623"/>
      <c r="AH258" s="1623" t="e">
        <f>IF(AND(AH$249&gt;=$Z116,AH$249&lt;=$AD116),1,0)</f>
        <v>#N/A</v>
      </c>
      <c r="AI258" s="1623"/>
      <c r="AJ258" s="1623"/>
      <c r="AK258" s="1623" t="e">
        <f>IF(AND(AK$249&gt;=$Z116,AK$249&lt;=$AD116),1,0)</f>
        <v>#N/A</v>
      </c>
      <c r="AL258" s="1623"/>
      <c r="AM258" s="1624"/>
      <c r="AN258" s="33"/>
      <c r="AO258" s="33"/>
      <c r="AP258" s="33"/>
      <c r="AQ258" s="33"/>
      <c r="AR258" s="264"/>
      <c r="AS258" s="264"/>
      <c r="AT258" s="264"/>
      <c r="AU258" s="264"/>
      <c r="AV258" s="264"/>
      <c r="AW258" s="264"/>
      <c r="AX258" s="264"/>
      <c r="AY258" s="264"/>
      <c r="AZ258" s="264"/>
      <c r="BA258" s="264"/>
      <c r="BB258" s="264"/>
      <c r="BC258" s="264"/>
      <c r="BD258" s="264"/>
      <c r="BE258" s="264"/>
      <c r="BF258" s="264"/>
      <c r="BG258" s="264"/>
      <c r="BH258" s="264"/>
      <c r="BI258" s="264"/>
      <c r="BJ258" s="264"/>
      <c r="BK258" s="264"/>
      <c r="BL258" s="264"/>
    </row>
    <row r="259" spans="1:64" ht="18" hidden="1" customHeight="1" x14ac:dyDescent="0.2">
      <c r="A259" s="1324"/>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324"/>
      <c r="AD259" s="1324"/>
      <c r="AE259" s="1324"/>
      <c r="AF259" s="1324"/>
      <c r="AG259" s="1324"/>
      <c r="AH259" s="1324"/>
      <c r="AI259" s="1324"/>
      <c r="AJ259" s="1324"/>
      <c r="AK259" s="1324"/>
      <c r="AL259" s="1324"/>
      <c r="AM259" s="1324"/>
      <c r="AN259" s="33"/>
      <c r="AO259" s="33"/>
      <c r="AP259" s="33"/>
      <c r="AQ259" s="33"/>
      <c r="AR259" s="33"/>
      <c r="AS259" s="33"/>
      <c r="AT259" s="33"/>
      <c r="AU259" s="264"/>
      <c r="AV259" s="264"/>
      <c r="AW259" s="264"/>
      <c r="AX259" s="264"/>
      <c r="AY259" s="264"/>
      <c r="AZ259" s="264"/>
      <c r="BA259" s="264"/>
      <c r="BB259" s="264"/>
      <c r="BC259" s="264"/>
      <c r="BD259" s="264"/>
      <c r="BE259" s="264"/>
      <c r="BF259" s="264"/>
      <c r="BG259" s="264"/>
      <c r="BH259" s="264"/>
      <c r="BI259" s="264"/>
      <c r="BJ259" s="264"/>
      <c r="BK259" s="264"/>
      <c r="BL259" s="264"/>
    </row>
    <row r="260" spans="1:64" ht="18" hidden="1" customHeight="1" x14ac:dyDescent="0.2">
      <c r="A260" s="1324"/>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324"/>
      <c r="AD260" s="1324"/>
      <c r="AE260" s="1324"/>
      <c r="AF260" s="1324"/>
      <c r="AG260" s="1324"/>
      <c r="AH260" s="1324"/>
      <c r="AI260" s="1324"/>
      <c r="AJ260" s="1324"/>
      <c r="AK260" s="1324"/>
      <c r="AL260" s="1324"/>
      <c r="AM260" s="1324"/>
      <c r="AN260" s="1699" t="s">
        <v>77</v>
      </c>
      <c r="AO260" s="1699"/>
      <c r="AP260" s="1699"/>
      <c r="AQ260" s="33"/>
      <c r="AR260" s="33"/>
      <c r="AS260" s="33"/>
      <c r="AT260" s="33"/>
      <c r="AU260" s="264"/>
      <c r="AV260" s="264"/>
      <c r="AW260" s="264"/>
      <c r="AX260" s="264"/>
      <c r="AY260" s="264"/>
      <c r="AZ260" s="264"/>
      <c r="BA260" s="264"/>
      <c r="BB260" s="264"/>
      <c r="BC260" s="264"/>
      <c r="BD260" s="264"/>
      <c r="BE260" s="264"/>
      <c r="BF260" s="264"/>
      <c r="BG260" s="264"/>
      <c r="BH260" s="264"/>
      <c r="BI260" s="264"/>
      <c r="BJ260" s="264"/>
      <c r="BK260" s="264"/>
      <c r="BL260" s="264"/>
    </row>
    <row r="261" spans="1:64" ht="18" hidden="1" customHeight="1" x14ac:dyDescent="0.2">
      <c r="A261" s="1324"/>
      <c r="B261" s="1547" t="str">
        <f>AN230</f>
        <v>INSERITO</v>
      </c>
      <c r="C261" s="1656"/>
      <c r="D261" s="1588" t="str">
        <f>D227</f>
        <v>Gennaio</v>
      </c>
      <c r="E261" s="1589"/>
      <c r="F261" s="1589"/>
      <c r="G261" s="1588" t="str">
        <f>G227</f>
        <v>Febbraio</v>
      </c>
      <c r="H261" s="1589"/>
      <c r="I261" s="1589"/>
      <c r="J261" s="1588" t="str">
        <f>J227</f>
        <v>Marzo</v>
      </c>
      <c r="K261" s="1589"/>
      <c r="L261" s="1589"/>
      <c r="M261" s="1588" t="str">
        <f>M227</f>
        <v>Aprile</v>
      </c>
      <c r="N261" s="1589"/>
      <c r="O261" s="1589"/>
      <c r="P261" s="1588" t="str">
        <f>P227</f>
        <v>Maggio</v>
      </c>
      <c r="Q261" s="1589"/>
      <c r="R261" s="1589"/>
      <c r="S261" s="1588" t="str">
        <f>S227</f>
        <v>Giugno</v>
      </c>
      <c r="T261" s="1589"/>
      <c r="U261" s="1589"/>
      <c r="V261" s="1588" t="str">
        <f>V227</f>
        <v>Luglio</v>
      </c>
      <c r="W261" s="1589"/>
      <c r="X261" s="1589"/>
      <c r="Y261" s="1588" t="str">
        <f>Y227</f>
        <v>Agosto</v>
      </c>
      <c r="Z261" s="1589"/>
      <c r="AA261" s="1589"/>
      <c r="AB261" s="1588" t="str">
        <f>AB227</f>
        <v>Settembre</v>
      </c>
      <c r="AC261" s="1589"/>
      <c r="AD261" s="1589"/>
      <c r="AE261" s="1588" t="str">
        <f>AE227</f>
        <v>Ottobre</v>
      </c>
      <c r="AF261" s="1589"/>
      <c r="AG261" s="1589"/>
      <c r="AH261" s="1588" t="str">
        <f>AH227</f>
        <v>Novembre</v>
      </c>
      <c r="AI261" s="1589"/>
      <c r="AJ261" s="1589"/>
      <c r="AK261" s="1588" t="str">
        <f>AK227</f>
        <v>Dicembre</v>
      </c>
      <c r="AL261" s="1589"/>
      <c r="AM261" s="1589"/>
      <c r="AN261" s="1700" t="s">
        <v>425</v>
      </c>
      <c r="AO261" s="1701"/>
      <c r="AP261" s="1702"/>
      <c r="AQ261" s="33"/>
      <c r="AR261" s="33"/>
      <c r="AS261" s="33"/>
      <c r="AT261" s="33"/>
      <c r="AU261" s="264"/>
      <c r="AV261" s="264"/>
      <c r="AW261" s="264"/>
      <c r="AX261" s="264"/>
      <c r="AY261" s="264"/>
      <c r="AZ261" s="264"/>
      <c r="BA261" s="264"/>
      <c r="BB261" s="264"/>
      <c r="BC261" s="264"/>
      <c r="BD261" s="264"/>
      <c r="BE261" s="264"/>
      <c r="BF261" s="264"/>
      <c r="BG261" s="264"/>
      <c r="BH261" s="264"/>
      <c r="BI261" s="264"/>
      <c r="BJ261" s="264"/>
      <c r="BK261" s="264"/>
      <c r="BL261" s="264"/>
    </row>
    <row r="262" spans="1:64" ht="18" hidden="1" customHeight="1" x14ac:dyDescent="0.2">
      <c r="A262" s="1324"/>
      <c r="B262" s="1548" t="str">
        <f>B230</f>
        <v/>
      </c>
      <c r="C262" s="1913"/>
      <c r="D262" s="1572">
        <f>IF(B262="--",0,IF(ISERROR(D230),0,D230))</f>
        <v>0</v>
      </c>
      <c r="E262" s="1573"/>
      <c r="F262" s="1574"/>
      <c r="G262" s="1572">
        <f>IF(ISERROR(G230),0,G230)</f>
        <v>0</v>
      </c>
      <c r="H262" s="1573"/>
      <c r="I262" s="1574"/>
      <c r="J262" s="1572">
        <f>IF(ISERROR(J230),0,J230)</f>
        <v>0</v>
      </c>
      <c r="K262" s="1573"/>
      <c r="L262" s="1574"/>
      <c r="M262" s="1572">
        <f>IF(ISERROR(M230),0,M230)</f>
        <v>0</v>
      </c>
      <c r="N262" s="1573"/>
      <c r="O262" s="1574"/>
      <c r="P262" s="1572">
        <f>IF(ISERROR(P230),0,P230)</f>
        <v>0</v>
      </c>
      <c r="Q262" s="1573"/>
      <c r="R262" s="1574"/>
      <c r="S262" s="1572">
        <f>IF(ISERROR(S230),0,S230)</f>
        <v>0</v>
      </c>
      <c r="T262" s="1573"/>
      <c r="U262" s="1574"/>
      <c r="V262" s="1572">
        <f>IF(ISERROR(V230),0,V230)</f>
        <v>0</v>
      </c>
      <c r="W262" s="1573"/>
      <c r="X262" s="1574"/>
      <c r="Y262" s="1572">
        <f>IF(ISERROR(Y230),0,Y230)</f>
        <v>0</v>
      </c>
      <c r="Z262" s="1573"/>
      <c r="AA262" s="1574"/>
      <c r="AB262" s="1572">
        <f>IF(ISERROR(AB230),0,AB230)</f>
        <v>0</v>
      </c>
      <c r="AC262" s="1573"/>
      <c r="AD262" s="1574"/>
      <c r="AE262" s="1572">
        <f>IF(ISERROR(AE230),0,AE230)</f>
        <v>0</v>
      </c>
      <c r="AF262" s="1573"/>
      <c r="AG262" s="1574"/>
      <c r="AH262" s="1572">
        <f>IF(ISERROR(AH230),0,AH230)</f>
        <v>0</v>
      </c>
      <c r="AI262" s="1573"/>
      <c r="AJ262" s="1574"/>
      <c r="AK262" s="1572">
        <f>IF(ISERROR(AK230),0,AK230)</f>
        <v>0</v>
      </c>
      <c r="AL262" s="1573"/>
      <c r="AM262" s="1574"/>
      <c r="AN262" s="1682">
        <f>SUM(D262:AM262)</f>
        <v>0</v>
      </c>
      <c r="AO262" s="1683"/>
      <c r="AP262" s="1684"/>
      <c r="AQ262" s="33"/>
      <c r="AR262" s="113">
        <f>H36</f>
        <v>0</v>
      </c>
      <c r="AS262" s="33"/>
      <c r="AT262" s="33"/>
      <c r="AU262" s="264"/>
      <c r="AV262" s="264"/>
      <c r="AW262" s="264"/>
      <c r="AX262" s="264"/>
      <c r="AY262" s="264"/>
      <c r="AZ262" s="264"/>
      <c r="BA262" s="264"/>
      <c r="BB262" s="264"/>
      <c r="BC262" s="264"/>
      <c r="BD262" s="264"/>
      <c r="BE262" s="264"/>
      <c r="BF262" s="264"/>
      <c r="BG262" s="264"/>
      <c r="BH262" s="264"/>
      <c r="BI262" s="264"/>
      <c r="BJ262" s="264"/>
      <c r="BK262" s="264"/>
      <c r="BL262" s="264"/>
    </row>
    <row r="263" spans="1:64" ht="18" hidden="1" customHeight="1" x14ac:dyDescent="0.2">
      <c r="A263" s="1324"/>
      <c r="B263" s="1548" t="str">
        <f>B233</f>
        <v/>
      </c>
      <c r="C263" s="1913"/>
      <c r="D263" s="1572">
        <f>IF(B263="--",0,IF(ISERROR(D233),0,D233))</f>
        <v>0</v>
      </c>
      <c r="E263" s="1573"/>
      <c r="F263" s="1574"/>
      <c r="G263" s="1572">
        <f>IF(ISERROR(G233),0,G233)</f>
        <v>0</v>
      </c>
      <c r="H263" s="1573"/>
      <c r="I263" s="1574"/>
      <c r="J263" s="1572">
        <f>IF(ISERROR(J233),0,J233)</f>
        <v>0</v>
      </c>
      <c r="K263" s="1573"/>
      <c r="L263" s="1574"/>
      <c r="M263" s="1572">
        <f>IF(ISERROR(M233),0,M233)</f>
        <v>0</v>
      </c>
      <c r="N263" s="1573"/>
      <c r="O263" s="1574"/>
      <c r="P263" s="1572">
        <f>IF(ISERROR(P233),0,P233)</f>
        <v>0</v>
      </c>
      <c r="Q263" s="1573"/>
      <c r="R263" s="1574"/>
      <c r="S263" s="1572">
        <f>IF(ISERROR(S233),0,S233)</f>
        <v>0</v>
      </c>
      <c r="T263" s="1573"/>
      <c r="U263" s="1574"/>
      <c r="V263" s="1572">
        <f>IF(ISERROR(V233),0,V233)</f>
        <v>0</v>
      </c>
      <c r="W263" s="1573"/>
      <c r="X263" s="1574"/>
      <c r="Y263" s="1572">
        <f>IF(ISERROR(Y233),0,Y233)</f>
        <v>0</v>
      </c>
      <c r="Z263" s="1573"/>
      <c r="AA263" s="1574"/>
      <c r="AB263" s="1572">
        <f>IF(ISERROR(AB233),0,AB233)</f>
        <v>0</v>
      </c>
      <c r="AC263" s="1573"/>
      <c r="AD263" s="1574"/>
      <c r="AE263" s="1572">
        <f>IF(ISERROR(AE233),0,AE233)</f>
        <v>0</v>
      </c>
      <c r="AF263" s="1573"/>
      <c r="AG263" s="1574"/>
      <c r="AH263" s="1572">
        <f>IF(ISERROR(AH233),0,AH233)</f>
        <v>0</v>
      </c>
      <c r="AI263" s="1573"/>
      <c r="AJ263" s="1574"/>
      <c r="AK263" s="1572">
        <f>IF(ISERROR(AK233),0,AK233)</f>
        <v>0</v>
      </c>
      <c r="AL263" s="1573"/>
      <c r="AM263" s="1574"/>
      <c r="AN263" s="1682">
        <f t="shared" ref="AN263:AN271" si="54">SUM(D263:AM263)</f>
        <v>0</v>
      </c>
      <c r="AO263" s="1683"/>
      <c r="AP263" s="1684"/>
      <c r="AQ263" s="33"/>
      <c r="AR263" s="113">
        <f>L36</f>
        <v>0</v>
      </c>
      <c r="AS263" s="33"/>
      <c r="AT263" s="33"/>
      <c r="AU263" s="264"/>
      <c r="AV263" s="264"/>
      <c r="AW263" s="264"/>
      <c r="AX263" s="264"/>
      <c r="AY263" s="264"/>
      <c r="AZ263" s="264"/>
      <c r="BA263" s="264"/>
      <c r="BB263" s="264"/>
      <c r="BC263" s="264"/>
      <c r="BD263" s="264"/>
      <c r="BE263" s="264"/>
      <c r="BF263" s="264"/>
      <c r="BG263" s="264"/>
      <c r="BH263" s="264"/>
      <c r="BI263" s="264"/>
      <c r="BJ263" s="264"/>
      <c r="BK263" s="264"/>
      <c r="BL263" s="264"/>
    </row>
    <row r="264" spans="1:64" ht="18" hidden="1" customHeight="1" x14ac:dyDescent="0.2">
      <c r="A264" s="1324"/>
      <c r="B264" s="1548" t="str">
        <f>B236</f>
        <v/>
      </c>
      <c r="C264" s="1913"/>
      <c r="D264" s="1572">
        <f>IF(B264="--",0,IF(ISERROR(D236),0,D236))</f>
        <v>0</v>
      </c>
      <c r="E264" s="1573"/>
      <c r="F264" s="1574"/>
      <c r="G264" s="1572">
        <f>IF(ISERROR(G236),0,G236)</f>
        <v>0</v>
      </c>
      <c r="H264" s="1573"/>
      <c r="I264" s="1574"/>
      <c r="J264" s="1572">
        <f>IF(ISERROR(J236),0,J236)</f>
        <v>0</v>
      </c>
      <c r="K264" s="1573"/>
      <c r="L264" s="1574"/>
      <c r="M264" s="1572">
        <f>IF(ISERROR(M236),0,M236)</f>
        <v>0</v>
      </c>
      <c r="N264" s="1573"/>
      <c r="O264" s="1574"/>
      <c r="P264" s="1572">
        <f>IF(ISERROR(P236),0,P236)</f>
        <v>0</v>
      </c>
      <c r="Q264" s="1573"/>
      <c r="R264" s="1574"/>
      <c r="S264" s="1572">
        <f>IF(ISERROR(S236),0,S236)</f>
        <v>0</v>
      </c>
      <c r="T264" s="1573"/>
      <c r="U264" s="1574"/>
      <c r="V264" s="1572">
        <f>IF(ISERROR(V236),0,V236)</f>
        <v>0</v>
      </c>
      <c r="W264" s="1573"/>
      <c r="X264" s="1574"/>
      <c r="Y264" s="1572">
        <f>IF(ISERROR(Y236),0,Y236)</f>
        <v>0</v>
      </c>
      <c r="Z264" s="1573"/>
      <c r="AA264" s="1574"/>
      <c r="AB264" s="1572">
        <f>IF(ISERROR(AB236),0,AB236)</f>
        <v>0</v>
      </c>
      <c r="AC264" s="1573"/>
      <c r="AD264" s="1574"/>
      <c r="AE264" s="1572">
        <f>IF(ISERROR(AE236),0,AE236)</f>
        <v>0</v>
      </c>
      <c r="AF264" s="1573"/>
      <c r="AG264" s="1574"/>
      <c r="AH264" s="1572">
        <f>IF(ISERROR(AH236),0,AH236)</f>
        <v>0</v>
      </c>
      <c r="AI264" s="1573"/>
      <c r="AJ264" s="1574"/>
      <c r="AK264" s="1572">
        <f>IF(ISERROR(AK236),0,AK236)</f>
        <v>0</v>
      </c>
      <c r="AL264" s="1573"/>
      <c r="AM264" s="1574"/>
      <c r="AN264" s="1682">
        <f t="shared" si="54"/>
        <v>0</v>
      </c>
      <c r="AO264" s="1683"/>
      <c r="AP264" s="1684"/>
      <c r="AQ264" s="33"/>
      <c r="AR264" s="113">
        <f>P36</f>
        <v>0</v>
      </c>
      <c r="AS264" s="33"/>
      <c r="AT264" s="33"/>
      <c r="AU264" s="264"/>
      <c r="AV264" s="264"/>
      <c r="AW264" s="264"/>
      <c r="AX264" s="264"/>
      <c r="AY264" s="264"/>
      <c r="AZ264" s="264"/>
      <c r="BA264" s="264"/>
      <c r="BB264" s="264"/>
      <c r="BC264" s="264"/>
      <c r="BD264" s="264"/>
      <c r="BE264" s="264"/>
      <c r="BF264" s="264"/>
      <c r="BG264" s="264"/>
      <c r="BH264" s="264"/>
      <c r="BI264" s="264"/>
      <c r="BJ264" s="264"/>
      <c r="BK264" s="264"/>
      <c r="BL264" s="264"/>
    </row>
    <row r="265" spans="1:64" ht="18" hidden="1" customHeight="1" x14ac:dyDescent="0.2">
      <c r="A265" s="1324"/>
      <c r="B265" s="1548" t="str">
        <f>B239</f>
        <v/>
      </c>
      <c r="C265" s="1913"/>
      <c r="D265" s="1572">
        <f>IF(B265="--",0,IF(ISERROR(D239),0,D239))</f>
        <v>0</v>
      </c>
      <c r="E265" s="1573"/>
      <c r="F265" s="1574"/>
      <c r="G265" s="1572">
        <f>IF(ISERROR(G239),0,G239)</f>
        <v>0</v>
      </c>
      <c r="H265" s="1573"/>
      <c r="I265" s="1574"/>
      <c r="J265" s="1572">
        <f>IF(ISERROR(J239),0,J239)</f>
        <v>0</v>
      </c>
      <c r="K265" s="1573"/>
      <c r="L265" s="1574"/>
      <c r="M265" s="1572">
        <f>IF(ISERROR(M239),0,M239)</f>
        <v>0</v>
      </c>
      <c r="N265" s="1573"/>
      <c r="O265" s="1574"/>
      <c r="P265" s="1572">
        <f>IF(ISERROR(P239),0,P239)</f>
        <v>0</v>
      </c>
      <c r="Q265" s="1573"/>
      <c r="R265" s="1574"/>
      <c r="S265" s="1572">
        <f>IF(ISERROR(S239),0,S239)</f>
        <v>0</v>
      </c>
      <c r="T265" s="1573"/>
      <c r="U265" s="1574"/>
      <c r="V265" s="1572">
        <f>IF(ISERROR(V239),0,V239)</f>
        <v>0</v>
      </c>
      <c r="W265" s="1573"/>
      <c r="X265" s="1574"/>
      <c r="Y265" s="1572">
        <f>IF(ISERROR(Y239),0,Y239)</f>
        <v>0</v>
      </c>
      <c r="Z265" s="1573"/>
      <c r="AA265" s="1574"/>
      <c r="AB265" s="1572">
        <f>IF(ISERROR(AB239),0,AB239)</f>
        <v>0</v>
      </c>
      <c r="AC265" s="1573"/>
      <c r="AD265" s="1574"/>
      <c r="AE265" s="1572">
        <f>IF(ISERROR(AE239),0,AE239)</f>
        <v>0</v>
      </c>
      <c r="AF265" s="1573"/>
      <c r="AG265" s="1574"/>
      <c r="AH265" s="1572">
        <f>IF(ISERROR(AH239),0,AH239)</f>
        <v>0</v>
      </c>
      <c r="AI265" s="1573"/>
      <c r="AJ265" s="1574"/>
      <c r="AK265" s="1572">
        <f>IF(ISERROR(AK239),0,AK239)</f>
        <v>0</v>
      </c>
      <c r="AL265" s="1573"/>
      <c r="AM265" s="1574"/>
      <c r="AN265" s="1682">
        <f t="shared" si="54"/>
        <v>0</v>
      </c>
      <c r="AO265" s="1683"/>
      <c r="AP265" s="1684"/>
      <c r="AQ265" s="33"/>
      <c r="AR265" s="113">
        <f>T36</f>
        <v>0</v>
      </c>
      <c r="AS265" s="33"/>
      <c r="AT265" s="33"/>
      <c r="AU265" s="264"/>
      <c r="AV265" s="264"/>
      <c r="AW265" s="264"/>
      <c r="AX265" s="264"/>
      <c r="AY265" s="264"/>
      <c r="AZ265" s="264"/>
      <c r="BA265" s="264"/>
      <c r="BB265" s="264"/>
      <c r="BC265" s="264"/>
      <c r="BD265" s="264"/>
      <c r="BE265" s="264"/>
      <c r="BF265" s="264"/>
      <c r="BG265" s="264"/>
      <c r="BH265" s="264"/>
      <c r="BI265" s="264"/>
      <c r="BJ265" s="264"/>
      <c r="BK265" s="264"/>
      <c r="BL265" s="264"/>
    </row>
    <row r="266" spans="1:64" ht="18" hidden="1" customHeight="1" x14ac:dyDescent="0.2">
      <c r="A266" s="1324"/>
      <c r="B266" s="1548" t="str">
        <f>B242</f>
        <v/>
      </c>
      <c r="C266" s="1913"/>
      <c r="D266" s="1572">
        <f>IF(B266="--",0,IF(ISERROR(D242),0,D242))</f>
        <v>0</v>
      </c>
      <c r="E266" s="1573"/>
      <c r="F266" s="1574"/>
      <c r="G266" s="1572">
        <f>IF(ISERROR(G242),0,G242)</f>
        <v>0</v>
      </c>
      <c r="H266" s="1573"/>
      <c r="I266" s="1574"/>
      <c r="J266" s="1572">
        <f>IF(ISERROR(J242),0,J242)</f>
        <v>0</v>
      </c>
      <c r="K266" s="1573"/>
      <c r="L266" s="1574"/>
      <c r="M266" s="1572">
        <f>IF(ISERROR(M242),0,M242)</f>
        <v>0</v>
      </c>
      <c r="N266" s="1573"/>
      <c r="O266" s="1574"/>
      <c r="P266" s="1572">
        <f>IF(ISERROR(P242),0,P242)</f>
        <v>0</v>
      </c>
      <c r="Q266" s="1573"/>
      <c r="R266" s="1574"/>
      <c r="S266" s="1572">
        <f>IF(ISERROR(S242),0,S242)</f>
        <v>0</v>
      </c>
      <c r="T266" s="1573"/>
      <c r="U266" s="1574"/>
      <c r="V266" s="1572">
        <f>IF(ISERROR(V242),0,V242)</f>
        <v>0</v>
      </c>
      <c r="W266" s="1573"/>
      <c r="X266" s="1574"/>
      <c r="Y266" s="1572">
        <f>IF(ISERROR(Y242),0,Y242)</f>
        <v>0</v>
      </c>
      <c r="Z266" s="1573"/>
      <c r="AA266" s="1574"/>
      <c r="AB266" s="1572">
        <f>IF(ISERROR(AB242),0,AB242)</f>
        <v>0</v>
      </c>
      <c r="AC266" s="1573"/>
      <c r="AD266" s="1574"/>
      <c r="AE266" s="1572">
        <f>IF(ISERROR(AE242),0,AE242)</f>
        <v>0</v>
      </c>
      <c r="AF266" s="1573"/>
      <c r="AG266" s="1574"/>
      <c r="AH266" s="1572">
        <f>IF(ISERROR(AH242),0,AH242)</f>
        <v>0</v>
      </c>
      <c r="AI266" s="1573"/>
      <c r="AJ266" s="1574"/>
      <c r="AK266" s="1572">
        <f>IF(ISERROR(AK242),0,AK242)</f>
        <v>0</v>
      </c>
      <c r="AL266" s="1573"/>
      <c r="AM266" s="1574"/>
      <c r="AN266" s="1682">
        <f t="shared" si="54"/>
        <v>0</v>
      </c>
      <c r="AO266" s="1683"/>
      <c r="AP266" s="1684"/>
      <c r="AQ266" s="33"/>
      <c r="AR266" s="113">
        <f>X36</f>
        <v>0</v>
      </c>
      <c r="AS266" s="33"/>
      <c r="AT266" s="33"/>
      <c r="AU266" s="264"/>
      <c r="AV266" s="264"/>
      <c r="AW266" s="264"/>
      <c r="AX266" s="264"/>
      <c r="AY266" s="264"/>
      <c r="AZ266" s="264"/>
      <c r="BA266" s="264"/>
      <c r="BB266" s="264"/>
      <c r="BC266" s="264"/>
      <c r="BD266" s="264"/>
      <c r="BE266" s="264"/>
      <c r="BF266" s="264"/>
      <c r="BG266" s="264"/>
      <c r="BH266" s="264"/>
      <c r="BI266" s="264"/>
      <c r="BJ266" s="264"/>
      <c r="BK266" s="264"/>
      <c r="BL266" s="264"/>
    </row>
    <row r="267" spans="1:64" ht="18" hidden="1" customHeight="1" x14ac:dyDescent="0.2">
      <c r="A267" s="1324"/>
      <c r="B267" s="1548" t="str">
        <f>B245</f>
        <v/>
      </c>
      <c r="C267" s="1913"/>
      <c r="D267" s="1572">
        <f>IF(B267="--",0,IF(ISERROR(D245),0,D245))</f>
        <v>0</v>
      </c>
      <c r="E267" s="1573"/>
      <c r="F267" s="1574"/>
      <c r="G267" s="1572">
        <f>IF(ISERROR(G245),0,G245)</f>
        <v>0</v>
      </c>
      <c r="H267" s="1573"/>
      <c r="I267" s="1574"/>
      <c r="J267" s="1572">
        <f>IF(ISERROR(J245),0,J245)</f>
        <v>0</v>
      </c>
      <c r="K267" s="1573"/>
      <c r="L267" s="1574"/>
      <c r="M267" s="1572">
        <f>IF(ISERROR(M245),0,M245)</f>
        <v>0</v>
      </c>
      <c r="N267" s="1573"/>
      <c r="O267" s="1574"/>
      <c r="P267" s="1572">
        <f>IF(ISERROR(P245),0,P245)</f>
        <v>0</v>
      </c>
      <c r="Q267" s="1573"/>
      <c r="R267" s="1574"/>
      <c r="S267" s="1572">
        <f>IF(ISERROR(S245),0,S245)</f>
        <v>0</v>
      </c>
      <c r="T267" s="1573"/>
      <c r="U267" s="1574"/>
      <c r="V267" s="1572">
        <f>IF(ISERROR(V245),0,V245)</f>
        <v>0</v>
      </c>
      <c r="W267" s="1573"/>
      <c r="X267" s="1574"/>
      <c r="Y267" s="1572">
        <f>IF(ISERROR(Y245),0,Y245)</f>
        <v>0</v>
      </c>
      <c r="Z267" s="1573"/>
      <c r="AA267" s="1574"/>
      <c r="AB267" s="1572">
        <f>IF(ISERROR(AB245),0,AB245)</f>
        <v>0</v>
      </c>
      <c r="AC267" s="1573"/>
      <c r="AD267" s="1574"/>
      <c r="AE267" s="1572">
        <f>IF(ISERROR(AE245),0,AE245)</f>
        <v>0</v>
      </c>
      <c r="AF267" s="1573"/>
      <c r="AG267" s="1574"/>
      <c r="AH267" s="1572">
        <f>IF(ISERROR(AH245),0,AH245)</f>
        <v>0</v>
      </c>
      <c r="AI267" s="1573"/>
      <c r="AJ267" s="1574"/>
      <c r="AK267" s="1572">
        <f>IF(ISERROR(AK245),0,AK245)</f>
        <v>0</v>
      </c>
      <c r="AL267" s="1573"/>
      <c r="AM267" s="1574"/>
      <c r="AN267" s="1682">
        <f t="shared" si="54"/>
        <v>0</v>
      </c>
      <c r="AO267" s="1683"/>
      <c r="AP267" s="1684"/>
      <c r="AQ267" s="33"/>
      <c r="AR267" s="113">
        <f>AB36</f>
        <v>0</v>
      </c>
      <c r="AS267" s="33"/>
      <c r="AT267" s="33"/>
      <c r="AU267" s="264"/>
      <c r="AV267" s="264"/>
      <c r="AW267" s="264"/>
      <c r="AX267" s="264"/>
      <c r="AY267" s="264"/>
      <c r="AZ267" s="264"/>
      <c r="BA267" s="264"/>
      <c r="BB267" s="264"/>
      <c r="BC267" s="264"/>
      <c r="BD267" s="264"/>
      <c r="BE267" s="264"/>
      <c r="BF267" s="264"/>
      <c r="BG267" s="264"/>
      <c r="BH267" s="264"/>
      <c r="BI267" s="264"/>
      <c r="BJ267" s="264"/>
      <c r="BK267" s="264"/>
      <c r="BL267" s="264"/>
    </row>
    <row r="268" spans="1:64" ht="18" hidden="1" customHeight="1" thickBot="1" x14ac:dyDescent="0.25">
      <c r="A268" s="1324"/>
      <c r="B268" s="1918" t="str">
        <f>B248</f>
        <v/>
      </c>
      <c r="C268" s="1919"/>
      <c r="D268" s="1696">
        <f>IF(B268="--",0,IF(ISERROR(D248),0,D248))</f>
        <v>0</v>
      </c>
      <c r="E268" s="1697"/>
      <c r="F268" s="1698"/>
      <c r="G268" s="1696">
        <f>IF(ISERROR(G248),0,G248)</f>
        <v>0</v>
      </c>
      <c r="H268" s="1697"/>
      <c r="I268" s="1698"/>
      <c r="J268" s="1696">
        <f>IF(ISERROR(J248),0,J248)</f>
        <v>0</v>
      </c>
      <c r="K268" s="1697"/>
      <c r="L268" s="1698"/>
      <c r="M268" s="1696">
        <f>IF(ISERROR(M248),0,M248)</f>
        <v>0</v>
      </c>
      <c r="N268" s="1697"/>
      <c r="O268" s="1698"/>
      <c r="P268" s="1696">
        <f>IF(ISERROR(P248),0,P248)</f>
        <v>0</v>
      </c>
      <c r="Q268" s="1697"/>
      <c r="R268" s="1698"/>
      <c r="S268" s="1696">
        <f>IF(ISERROR(S248),0,S248)</f>
        <v>0</v>
      </c>
      <c r="T268" s="1697"/>
      <c r="U268" s="1698"/>
      <c r="V268" s="1696">
        <f>IF(ISERROR(V248),0,V248)</f>
        <v>0</v>
      </c>
      <c r="W268" s="1697"/>
      <c r="X268" s="1698"/>
      <c r="Y268" s="1696">
        <f>IF(ISERROR(Y248),0,Y248)</f>
        <v>0</v>
      </c>
      <c r="Z268" s="1697"/>
      <c r="AA268" s="1698"/>
      <c r="AB268" s="1696">
        <f>IF(ISERROR(AB248),0,AB248)</f>
        <v>0</v>
      </c>
      <c r="AC268" s="1697"/>
      <c r="AD268" s="1698"/>
      <c r="AE268" s="1696">
        <f>IF(ISERROR(AE248),0,AE248)</f>
        <v>0</v>
      </c>
      <c r="AF268" s="1697"/>
      <c r="AG268" s="1698"/>
      <c r="AH268" s="1696">
        <f>IF(ISERROR(AH248),0,AH248)</f>
        <v>0</v>
      </c>
      <c r="AI268" s="1697"/>
      <c r="AJ268" s="1698"/>
      <c r="AK268" s="1696">
        <f>IF(ISERROR(AK248),0,AK248)</f>
        <v>0</v>
      </c>
      <c r="AL268" s="1697"/>
      <c r="AM268" s="1698"/>
      <c r="AN268" s="1910">
        <f t="shared" si="54"/>
        <v>0</v>
      </c>
      <c r="AO268" s="1911"/>
      <c r="AP268" s="1912"/>
      <c r="AQ268" s="33"/>
      <c r="AR268" s="113">
        <f>AF36</f>
        <v>0</v>
      </c>
      <c r="AS268" s="33"/>
      <c r="AT268" s="33"/>
      <c r="AU268" s="264"/>
      <c r="AV268" s="264"/>
      <c r="AW268" s="264"/>
      <c r="AX268" s="264"/>
      <c r="AY268" s="264"/>
      <c r="AZ268" s="264"/>
      <c r="BA268" s="264"/>
      <c r="BB268" s="264"/>
      <c r="BC268" s="264"/>
      <c r="BD268" s="264"/>
      <c r="BE268" s="264"/>
      <c r="BF268" s="264"/>
      <c r="BG268" s="264"/>
      <c r="BH268" s="264"/>
      <c r="BI268" s="264"/>
      <c r="BJ268" s="264"/>
      <c r="BK268" s="264"/>
      <c r="BL268" s="264"/>
    </row>
    <row r="269" spans="1:64" ht="18" hidden="1" customHeight="1" thickTop="1" x14ac:dyDescent="0.2">
      <c r="A269" s="1324"/>
      <c r="B269" s="1916" t="str">
        <f>B251</f>
        <v/>
      </c>
      <c r="C269" s="1917"/>
      <c r="D269" s="1691">
        <f>IF(B269="--",0,IF(ISERROR(D251),0,D251))</f>
        <v>0</v>
      </c>
      <c r="E269" s="1692"/>
      <c r="F269" s="1693"/>
      <c r="G269" s="1691">
        <f>IF(ISERROR(G251),0,G251)</f>
        <v>0</v>
      </c>
      <c r="H269" s="1692"/>
      <c r="I269" s="1693"/>
      <c r="J269" s="1691">
        <f>IF(ISERROR(J251),0,J251)</f>
        <v>0</v>
      </c>
      <c r="K269" s="1692"/>
      <c r="L269" s="1693"/>
      <c r="M269" s="1691">
        <f>IF(ISERROR(M251),0,M251)</f>
        <v>0</v>
      </c>
      <c r="N269" s="1692"/>
      <c r="O269" s="1693"/>
      <c r="P269" s="1691">
        <f>IF(ISERROR(P251),0,P251)</f>
        <v>0</v>
      </c>
      <c r="Q269" s="1692"/>
      <c r="R269" s="1693"/>
      <c r="S269" s="1691">
        <f>IF(ISERROR(S251),0,S251)</f>
        <v>0</v>
      </c>
      <c r="T269" s="1692"/>
      <c r="U269" s="1693"/>
      <c r="V269" s="1691">
        <f>IF(ISERROR(V251),0,V251)</f>
        <v>0</v>
      </c>
      <c r="W269" s="1692"/>
      <c r="X269" s="1693"/>
      <c r="Y269" s="1691">
        <f>IF(ISERROR(Y251),0,Y251)</f>
        <v>0</v>
      </c>
      <c r="Z269" s="1692"/>
      <c r="AA269" s="1693"/>
      <c r="AB269" s="1691">
        <f>IF(ISERROR(AB251),0,AB251)</f>
        <v>0</v>
      </c>
      <c r="AC269" s="1692"/>
      <c r="AD269" s="1693"/>
      <c r="AE269" s="1691">
        <f>IF(ISERROR(AE251),0,AE251)</f>
        <v>0</v>
      </c>
      <c r="AF269" s="1692"/>
      <c r="AG269" s="1693"/>
      <c r="AH269" s="1691">
        <f>IF(ISERROR(AH251),0,AH251)</f>
        <v>0</v>
      </c>
      <c r="AI269" s="1692"/>
      <c r="AJ269" s="1693"/>
      <c r="AK269" s="1691">
        <f>IF(ISERROR(AK251),0,AK251)</f>
        <v>0</v>
      </c>
      <c r="AL269" s="1692"/>
      <c r="AM269" s="1693"/>
      <c r="AN269" s="1685">
        <f t="shared" si="54"/>
        <v>0</v>
      </c>
      <c r="AO269" s="1686"/>
      <c r="AP269" s="1687"/>
      <c r="AQ269" s="33"/>
      <c r="AR269" s="471" t="e">
        <f>HLOOKUP(B250,$H$22:$AI$36,15,FALSE)</f>
        <v>#N/A</v>
      </c>
      <c r="AS269" s="33"/>
      <c r="AT269" s="33"/>
      <c r="AU269" s="264"/>
      <c r="AV269" s="264"/>
      <c r="AW269" s="264"/>
      <c r="AX269" s="264"/>
      <c r="AY269" s="264"/>
      <c r="AZ269" s="264"/>
      <c r="BA269" s="264"/>
      <c r="BB269" s="264"/>
      <c r="BC269" s="264"/>
      <c r="BD269" s="264"/>
      <c r="BE269" s="264"/>
      <c r="BF269" s="264"/>
      <c r="BG269" s="264"/>
      <c r="BH269" s="264"/>
      <c r="BI269" s="264"/>
      <c r="BJ269" s="264"/>
      <c r="BK269" s="264"/>
      <c r="BL269" s="264"/>
    </row>
    <row r="270" spans="1:64" ht="18" hidden="1" customHeight="1" x14ac:dyDescent="0.2">
      <c r="A270" s="1324"/>
      <c r="B270" s="1548" t="str">
        <f>B254</f>
        <v/>
      </c>
      <c r="C270" s="1913"/>
      <c r="D270" s="1572">
        <f>IF(B270="--",0,IF(ISERROR(D254),0,D254))</f>
        <v>0</v>
      </c>
      <c r="E270" s="1573"/>
      <c r="F270" s="1574"/>
      <c r="G270" s="1572">
        <f>IF(ISERROR(G254),0,G254)</f>
        <v>0</v>
      </c>
      <c r="H270" s="1573"/>
      <c r="I270" s="1574"/>
      <c r="J270" s="1572">
        <f>IF(ISERROR(J254),0,J254)</f>
        <v>0</v>
      </c>
      <c r="K270" s="1573"/>
      <c r="L270" s="1574"/>
      <c r="M270" s="1572">
        <f>IF(ISERROR(M254),0,M254)</f>
        <v>0</v>
      </c>
      <c r="N270" s="1573"/>
      <c r="O270" s="1574"/>
      <c r="P270" s="1572">
        <f>IF(ISERROR(P254),0,P254)</f>
        <v>0</v>
      </c>
      <c r="Q270" s="1573"/>
      <c r="R270" s="1574"/>
      <c r="S270" s="1572">
        <f>IF(ISERROR(S254),0,S254)</f>
        <v>0</v>
      </c>
      <c r="T270" s="1573"/>
      <c r="U270" s="1574"/>
      <c r="V270" s="1572">
        <f>IF(ISERROR(V254),0,V254)</f>
        <v>0</v>
      </c>
      <c r="W270" s="1573"/>
      <c r="X270" s="1574"/>
      <c r="Y270" s="1572">
        <f>IF(ISERROR(Y254),0,Y254)</f>
        <v>0</v>
      </c>
      <c r="Z270" s="1573"/>
      <c r="AA270" s="1574"/>
      <c r="AB270" s="1572">
        <f>IF(ISERROR(AB254),0,AB254)</f>
        <v>0</v>
      </c>
      <c r="AC270" s="1573"/>
      <c r="AD270" s="1574"/>
      <c r="AE270" s="1572">
        <f>IF(ISERROR(AE254),0,AE254)</f>
        <v>0</v>
      </c>
      <c r="AF270" s="1573"/>
      <c r="AG270" s="1574"/>
      <c r="AH270" s="1572">
        <f>IF(ISERROR(AH254),0,AH254)</f>
        <v>0</v>
      </c>
      <c r="AI270" s="1573"/>
      <c r="AJ270" s="1574"/>
      <c r="AK270" s="1572">
        <f>IF(ISERROR(AK254),0,AK254)</f>
        <v>0</v>
      </c>
      <c r="AL270" s="1573"/>
      <c r="AM270" s="1574"/>
      <c r="AN270" s="1682">
        <f t="shared" si="54"/>
        <v>0</v>
      </c>
      <c r="AO270" s="1683"/>
      <c r="AP270" s="1684"/>
      <c r="AQ270" s="33"/>
      <c r="AR270" s="471" t="e">
        <f>HLOOKUP(B253,$H$22:$AI$36,15,FALSE)</f>
        <v>#N/A</v>
      </c>
      <c r="AS270" s="33"/>
      <c r="AT270" s="33"/>
      <c r="AU270" s="264"/>
      <c r="AV270" s="264"/>
      <c r="AW270" s="264"/>
      <c r="AX270" s="264"/>
      <c r="AY270" s="264"/>
      <c r="AZ270" s="264"/>
      <c r="BA270" s="264"/>
      <c r="BB270" s="264"/>
      <c r="BC270" s="264"/>
      <c r="BD270" s="264"/>
      <c r="BE270" s="264"/>
      <c r="BF270" s="264"/>
      <c r="BG270" s="264"/>
      <c r="BH270" s="264"/>
      <c r="BI270" s="264"/>
      <c r="BJ270" s="264"/>
      <c r="BK270" s="264"/>
      <c r="BL270" s="264"/>
    </row>
    <row r="271" spans="1:64" ht="18" hidden="1" customHeight="1" x14ac:dyDescent="0.2">
      <c r="A271" s="1324"/>
      <c r="B271" s="1548" t="str">
        <f>B257</f>
        <v/>
      </c>
      <c r="C271" s="1913"/>
      <c r="D271" s="1572">
        <f>IF(B271="--",0,IF(ISERROR(D257),0,D257))</f>
        <v>0</v>
      </c>
      <c r="E271" s="1573"/>
      <c r="F271" s="1574"/>
      <c r="G271" s="1572">
        <f>IF(ISERROR(G257),0,G257)</f>
        <v>0</v>
      </c>
      <c r="H271" s="1573"/>
      <c r="I271" s="1574"/>
      <c r="J271" s="1572">
        <f>IF(ISERROR(J257),0,J257)</f>
        <v>0</v>
      </c>
      <c r="K271" s="1573"/>
      <c r="L271" s="1574"/>
      <c r="M271" s="1572">
        <f>IF(ISERROR(M257),0,M257)</f>
        <v>0</v>
      </c>
      <c r="N271" s="1573"/>
      <c r="O271" s="1574"/>
      <c r="P271" s="1572">
        <f>IF(ISERROR(P257),0,P257)</f>
        <v>0</v>
      </c>
      <c r="Q271" s="1573"/>
      <c r="R271" s="1574"/>
      <c r="S271" s="1572">
        <f>IF(ISERROR(S257),0,S257)</f>
        <v>0</v>
      </c>
      <c r="T271" s="1573"/>
      <c r="U271" s="1574"/>
      <c r="V271" s="1572">
        <f>IF(ISERROR(V257),0,V257)</f>
        <v>0</v>
      </c>
      <c r="W271" s="1573"/>
      <c r="X271" s="1574"/>
      <c r="Y271" s="1572">
        <f>IF(ISERROR(Y257),0,Y257)</f>
        <v>0</v>
      </c>
      <c r="Z271" s="1573"/>
      <c r="AA271" s="1574"/>
      <c r="AB271" s="1572">
        <f>IF(ISERROR(AB257),0,AB257)</f>
        <v>0</v>
      </c>
      <c r="AC271" s="1573"/>
      <c r="AD271" s="1574"/>
      <c r="AE271" s="1572">
        <f>IF(ISERROR(AE257),0,AE257)</f>
        <v>0</v>
      </c>
      <c r="AF271" s="1573"/>
      <c r="AG271" s="1574"/>
      <c r="AH271" s="1572">
        <f>IF(ISERROR(AH257),0,AH257)</f>
        <v>0</v>
      </c>
      <c r="AI271" s="1573"/>
      <c r="AJ271" s="1574"/>
      <c r="AK271" s="1572">
        <f>IF(ISERROR(AK257),0,AK257)</f>
        <v>0</v>
      </c>
      <c r="AL271" s="1573"/>
      <c r="AM271" s="1574"/>
      <c r="AN271" s="1682">
        <f t="shared" si="54"/>
        <v>0</v>
      </c>
      <c r="AO271" s="1683"/>
      <c r="AP271" s="1684"/>
      <c r="AQ271" s="33"/>
      <c r="AR271" s="471" t="e">
        <f>HLOOKUP(B256,$H$22:$AI$36,15,FALSE)</f>
        <v>#N/A</v>
      </c>
      <c r="AS271" s="33"/>
      <c r="AT271" s="33"/>
      <c r="AU271" s="264"/>
      <c r="AV271" s="264"/>
      <c r="AW271" s="264"/>
      <c r="AX271" s="264"/>
      <c r="AY271" s="264"/>
      <c r="AZ271" s="264"/>
      <c r="BA271" s="264"/>
      <c r="BB271" s="264"/>
      <c r="BC271" s="264"/>
      <c r="BD271" s="264"/>
      <c r="BE271" s="264"/>
      <c r="BF271" s="264"/>
      <c r="BG271" s="264"/>
      <c r="BH271" s="264"/>
      <c r="BI271" s="264"/>
      <c r="BJ271" s="264"/>
      <c r="BK271" s="264"/>
      <c r="BL271" s="264"/>
    </row>
    <row r="272" spans="1:64" ht="18" hidden="1" customHeight="1" x14ac:dyDescent="0.2">
      <c r="A272" s="1324"/>
      <c r="B272" s="33"/>
      <c r="C272" s="33"/>
      <c r="D272" s="1605">
        <f>SUM(D262:F271)</f>
        <v>0</v>
      </c>
      <c r="E272" s="1606"/>
      <c r="F272" s="1607"/>
      <c r="G272" s="1605">
        <f>SUM(G262:I271)</f>
        <v>0</v>
      </c>
      <c r="H272" s="1606"/>
      <c r="I272" s="1607"/>
      <c r="J272" s="1605">
        <f>SUM(J262:L271)</f>
        <v>0</v>
      </c>
      <c r="K272" s="1606"/>
      <c r="L272" s="1607"/>
      <c r="M272" s="1605">
        <f>SUM(M262:O271)</f>
        <v>0</v>
      </c>
      <c r="N272" s="1606"/>
      <c r="O272" s="1607"/>
      <c r="P272" s="1605">
        <f>SUM(P262:R271)</f>
        <v>0</v>
      </c>
      <c r="Q272" s="1606"/>
      <c r="R272" s="1607"/>
      <c r="S272" s="1605">
        <f>SUM(S262:U271)</f>
        <v>0</v>
      </c>
      <c r="T272" s="1606"/>
      <c r="U272" s="1607"/>
      <c r="V272" s="1605">
        <f>SUM(V262:X271)</f>
        <v>0</v>
      </c>
      <c r="W272" s="1606"/>
      <c r="X272" s="1607"/>
      <c r="Y272" s="1605">
        <f>SUM(Y262:AA271)</f>
        <v>0</v>
      </c>
      <c r="Z272" s="1606"/>
      <c r="AA272" s="1607"/>
      <c r="AB272" s="1605">
        <f>SUM(AB262:AD271)</f>
        <v>0</v>
      </c>
      <c r="AC272" s="1606"/>
      <c r="AD272" s="1607"/>
      <c r="AE272" s="1605">
        <f>SUM(AE262:AG271)</f>
        <v>0</v>
      </c>
      <c r="AF272" s="1606"/>
      <c r="AG272" s="1607"/>
      <c r="AH272" s="1605">
        <f>SUM(AH262:AJ271)</f>
        <v>0</v>
      </c>
      <c r="AI272" s="1606"/>
      <c r="AJ272" s="1607"/>
      <c r="AK272" s="1605">
        <f>SUM(AK262:AM271)</f>
        <v>0</v>
      </c>
      <c r="AL272" s="1606"/>
      <c r="AM272" s="1607"/>
      <c r="AN272" s="1605">
        <f>SUM(D272:AM272)</f>
        <v>0</v>
      </c>
      <c r="AO272" s="1606"/>
      <c r="AP272" s="1607"/>
      <c r="AQ272" s="33"/>
      <c r="AR272" s="33"/>
      <c r="AS272" s="33"/>
      <c r="AT272" s="33"/>
      <c r="AU272" s="264"/>
      <c r="AV272" s="264"/>
      <c r="AW272" s="264"/>
      <c r="AX272" s="264"/>
      <c r="AY272" s="264"/>
      <c r="AZ272" s="264"/>
      <c r="BA272" s="264"/>
      <c r="BB272" s="264"/>
      <c r="BC272" s="264"/>
      <c r="BD272" s="264"/>
      <c r="BE272" s="264"/>
      <c r="BF272" s="264"/>
      <c r="BG272" s="264"/>
      <c r="BH272" s="264"/>
      <c r="BI272" s="264"/>
      <c r="BJ272" s="264"/>
      <c r="BK272" s="264"/>
      <c r="BL272" s="264"/>
    </row>
    <row r="273" spans="1:64" ht="18" hidden="1" customHeight="1" x14ac:dyDescent="0.2">
      <c r="A273" s="1324"/>
      <c r="B273" s="33"/>
      <c r="C273" s="33"/>
      <c r="D273" s="1572">
        <f>D272-(SUMIF($AR262:$AR271,$D$141,D262:F271))</f>
        <v>0</v>
      </c>
      <c r="E273" s="1573"/>
      <c r="F273" s="1574"/>
      <c r="G273" s="1572">
        <f>G272+D273-(SUMIF($AR262:$AR271,$D$141,G262:I271))</f>
        <v>0</v>
      </c>
      <c r="H273" s="1573"/>
      <c r="I273" s="1574"/>
      <c r="J273" s="1572">
        <f>J272+G273-(SUMIF($AR262:$AR271,$D$141,J262:L271))</f>
        <v>0</v>
      </c>
      <c r="K273" s="1573"/>
      <c r="L273" s="1574"/>
      <c r="M273" s="1572">
        <f>M272+J273-(SUMIF($AR262:$AR271,$D$141,M262:O271))</f>
        <v>0</v>
      </c>
      <c r="N273" s="1573"/>
      <c r="O273" s="1574"/>
      <c r="P273" s="1572">
        <f>P272+M273-(SUMIF($AR262:$AR271,$D$141,P262:R271))</f>
        <v>0</v>
      </c>
      <c r="Q273" s="1573"/>
      <c r="R273" s="1574"/>
      <c r="S273" s="1572">
        <f>S272+P273-(SUMIF($AR262:$AR271,$D$141,S262:U271))</f>
        <v>0</v>
      </c>
      <c r="T273" s="1573"/>
      <c r="U273" s="1574"/>
      <c r="V273" s="1572">
        <f>V272+S273-(SUMIF($AR262:$AR271,$D$141,V262:X271))</f>
        <v>0</v>
      </c>
      <c r="W273" s="1573"/>
      <c r="X273" s="1574"/>
      <c r="Y273" s="1572">
        <f>Y272+V273-(SUMIF($AR262:$AR271,$D$141,Y262:AA271))</f>
        <v>0</v>
      </c>
      <c r="Z273" s="1573"/>
      <c r="AA273" s="1574"/>
      <c r="AB273" s="1572">
        <f>AB272+Y273-(SUMIF($AR262:$AR271,$D$141,AB262:AD271))</f>
        <v>0</v>
      </c>
      <c r="AC273" s="1573"/>
      <c r="AD273" s="1574"/>
      <c r="AE273" s="1572">
        <f>AE272+AB273-(SUMIF($AR262:$AR271,$D$141,AE262:AG271))</f>
        <v>0</v>
      </c>
      <c r="AF273" s="1573"/>
      <c r="AG273" s="1574"/>
      <c r="AH273" s="1572">
        <f>AH272+AE273-(SUMIF($AR262:$AR271,$D$141,AH262:AJ271))</f>
        <v>0</v>
      </c>
      <c r="AI273" s="1573"/>
      <c r="AJ273" s="1574"/>
      <c r="AK273" s="1572">
        <f>AK272+AH273-(SUMIF($AR262:$AR271,$D$141,AK262:AM271))</f>
        <v>0</v>
      </c>
      <c r="AL273" s="1573"/>
      <c r="AM273" s="1574"/>
      <c r="AN273" s="33"/>
      <c r="AO273" s="33"/>
      <c r="AP273" s="33"/>
      <c r="AQ273" s="33"/>
      <c r="AR273" s="33"/>
      <c r="AS273" s="33"/>
      <c r="AT273" s="33"/>
      <c r="AU273" s="33"/>
      <c r="AV273" s="33"/>
      <c r="AW273" s="33"/>
      <c r="AX273" s="33"/>
      <c r="AY273" s="33"/>
      <c r="AZ273" s="33"/>
      <c r="BA273" s="33"/>
      <c r="BB273" s="33"/>
      <c r="BC273" s="33"/>
      <c r="BD273" s="630"/>
      <c r="BE273" s="630"/>
      <c r="BF273" s="630"/>
      <c r="BG273" s="630"/>
      <c r="BH273" s="630"/>
      <c r="BI273" s="630"/>
      <c r="BJ273" s="630"/>
      <c r="BK273" s="630"/>
      <c r="BL273" s="630"/>
    </row>
    <row r="274" spans="1:64" ht="18" hidden="1" customHeight="1" x14ac:dyDescent="0.2">
      <c r="A274" s="1324"/>
      <c r="B274" s="33"/>
      <c r="C274" s="33"/>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324"/>
      <c r="AD274" s="1324"/>
      <c r="AE274" s="1324"/>
      <c r="AF274" s="1324"/>
      <c r="AG274" s="1324"/>
      <c r="AH274" s="1324"/>
      <c r="AI274" s="1324"/>
      <c r="AJ274" s="1324"/>
      <c r="AK274" s="1324"/>
      <c r="AL274" s="1324"/>
      <c r="AM274" s="1324"/>
      <c r="AN274" s="33"/>
      <c r="AO274" s="33"/>
      <c r="AP274" s="33"/>
      <c r="AQ274" s="33"/>
      <c r="AR274" s="33"/>
      <c r="AS274" s="33"/>
      <c r="AT274" s="33"/>
      <c r="AU274" s="33"/>
      <c r="AV274" s="33"/>
      <c r="AW274" s="33"/>
      <c r="AX274" s="33"/>
      <c r="AY274" s="33"/>
      <c r="AZ274" s="33"/>
      <c r="BA274" s="33"/>
      <c r="BB274" s="33"/>
      <c r="BC274" s="33"/>
      <c r="BD274" s="630"/>
      <c r="BE274" s="630"/>
      <c r="BF274" s="630"/>
      <c r="BG274" s="630"/>
      <c r="BH274" s="630"/>
      <c r="BI274" s="630"/>
      <c r="BJ274" s="630"/>
      <c r="BK274" s="630"/>
      <c r="BL274" s="630"/>
    </row>
    <row r="275" spans="1:64" ht="18" hidden="1" customHeight="1" x14ac:dyDescent="0.2">
      <c r="A275" s="1324"/>
      <c r="B275" s="33"/>
      <c r="C275" s="33"/>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324"/>
      <c r="AD275" s="1324"/>
      <c r="AE275" s="1324"/>
      <c r="AF275" s="1324"/>
      <c r="AG275" s="1324"/>
      <c r="AH275" s="1324"/>
      <c r="AI275" s="1324"/>
      <c r="AJ275" s="1324"/>
      <c r="AK275" s="1324"/>
      <c r="AL275" s="1324"/>
      <c r="AM275" s="1324"/>
      <c r="AN275" s="33"/>
      <c r="AO275" s="33"/>
      <c r="AP275" s="33"/>
      <c r="AQ275" s="33"/>
      <c r="AR275" s="33"/>
      <c r="AS275" s="33"/>
      <c r="AT275" s="33"/>
      <c r="AU275" s="33"/>
      <c r="AV275" s="33"/>
      <c r="AW275" s="33"/>
      <c r="AX275" s="33"/>
      <c r="AY275" s="33"/>
      <c r="AZ275" s="33"/>
      <c r="BA275" s="33"/>
      <c r="BB275" s="33"/>
      <c r="BC275" s="33"/>
      <c r="BD275" s="630"/>
      <c r="BE275" s="630"/>
      <c r="BF275" s="630"/>
      <c r="BG275" s="630"/>
      <c r="BH275" s="630"/>
      <c r="BI275" s="630"/>
      <c r="BJ275" s="630"/>
      <c r="BK275" s="630"/>
      <c r="BL275" s="630"/>
    </row>
    <row r="276" spans="1:64" ht="18" hidden="1" customHeight="1" x14ac:dyDescent="0.2">
      <c r="A276" s="33"/>
      <c r="B276" s="1679" t="str">
        <f>G276</f>
        <v>Gennaio</v>
      </c>
      <c r="C276" s="1680"/>
      <c r="D276" s="1681"/>
      <c r="E276" s="1547" t="str">
        <f>B261</f>
        <v>INSERITO</v>
      </c>
      <c r="F276" s="1656"/>
      <c r="G276" s="1588" t="str">
        <f>D261</f>
        <v>Gennaio</v>
      </c>
      <c r="H276" s="1589"/>
      <c r="I276" s="1590"/>
      <c r="J276" s="33"/>
      <c r="K276" s="1588" t="str">
        <f>P276</f>
        <v>Febbraio</v>
      </c>
      <c r="L276" s="1589"/>
      <c r="M276" s="1590"/>
      <c r="N276" s="127"/>
      <c r="O276" s="127"/>
      <c r="P276" s="1588" t="str">
        <f>G261</f>
        <v>Febbraio</v>
      </c>
      <c r="Q276" s="1589"/>
      <c r="R276" s="1590"/>
      <c r="S276" s="33"/>
      <c r="T276" s="1588" t="str">
        <f>Y276</f>
        <v>Marzo</v>
      </c>
      <c r="U276" s="1589"/>
      <c r="V276" s="1590"/>
      <c r="W276" s="127"/>
      <c r="X276" s="127"/>
      <c r="Y276" s="1588" t="str">
        <f>J261</f>
        <v>Marzo</v>
      </c>
      <c r="Z276" s="1589"/>
      <c r="AA276" s="1590"/>
      <c r="AB276" s="33"/>
      <c r="AC276" s="1588" t="str">
        <f>AH276</f>
        <v>Aprile</v>
      </c>
      <c r="AD276" s="1589"/>
      <c r="AE276" s="1590"/>
      <c r="AF276" s="127"/>
      <c r="AG276" s="127"/>
      <c r="AH276" s="1588" t="str">
        <f>M261</f>
        <v>Aprile</v>
      </c>
      <c r="AI276" s="1589"/>
      <c r="AJ276" s="1590"/>
      <c r="AK276" s="33"/>
      <c r="AL276" s="1588" t="str">
        <f>AQ276</f>
        <v>Maggio</v>
      </c>
      <c r="AM276" s="1589"/>
      <c r="AN276" s="1590"/>
      <c r="AO276" s="127"/>
      <c r="AP276" s="127"/>
      <c r="AQ276" s="1588" t="str">
        <f>P261</f>
        <v>Maggio</v>
      </c>
      <c r="AR276" s="1589"/>
      <c r="AS276" s="1590"/>
      <c r="AT276" s="33"/>
      <c r="AU276" s="1588" t="str">
        <f>AZ276</f>
        <v>Giugno</v>
      </c>
      <c r="AV276" s="1589"/>
      <c r="AW276" s="1590"/>
      <c r="AX276" s="127"/>
      <c r="AY276" s="127"/>
      <c r="AZ276" s="1588" t="str">
        <f>S261</f>
        <v>Giugno</v>
      </c>
      <c r="BA276" s="1589"/>
      <c r="BB276" s="1590"/>
      <c r="BC276" s="33"/>
      <c r="BD276" s="1138">
        <v>1</v>
      </c>
      <c r="BE276" s="1140" t="str">
        <f>E277</f>
        <v>..-..-..</v>
      </c>
      <c r="BF276" s="1140" t="str">
        <f>E278</f>
        <v>..-..-..</v>
      </c>
      <c r="BG276" s="1140" t="str">
        <f>E279</f>
        <v>..-..-..</v>
      </c>
      <c r="BH276" s="1140" t="str">
        <f>E280</f>
        <v>..-..-..</v>
      </c>
      <c r="BI276" s="1139" t="str">
        <f>E281</f>
        <v>..-..-..</v>
      </c>
      <c r="BJ276" s="1139" t="str">
        <f>E282</f>
        <v>..-..-..</v>
      </c>
      <c r="BK276" s="1148" t="str">
        <f>E283</f>
        <v>..-..-..</v>
      </c>
      <c r="BL276" s="648"/>
    </row>
    <row r="277" spans="1:64" ht="18" hidden="1" customHeight="1" x14ac:dyDescent="0.2">
      <c r="A277" s="33"/>
      <c r="B277" s="1572">
        <v>0</v>
      </c>
      <c r="C277" s="1573"/>
      <c r="D277" s="1574"/>
      <c r="E277" s="1548" t="str">
        <f>GEN!G$1</f>
        <v>..-..-..</v>
      </c>
      <c r="F277" s="1619"/>
      <c r="G277" s="1572">
        <f>SUMIF($B$262:$B$271,E277,D$262:D$271)</f>
        <v>0</v>
      </c>
      <c r="H277" s="1573"/>
      <c r="I277" s="1574"/>
      <c r="J277" s="33"/>
      <c r="K277" s="1572">
        <f>SUMIF($B$262:$B$271,N277,D$262:D$271)</f>
        <v>0</v>
      </c>
      <c r="L277" s="1573"/>
      <c r="M277" s="1574"/>
      <c r="N277" s="1548" t="str">
        <f>FEB!G$1</f>
        <v>..-..-..</v>
      </c>
      <c r="O277" s="1619"/>
      <c r="P277" s="1572">
        <f t="shared" ref="P277:P283" si="55">SUMIF($B$262:$B$271,N277,G$262:G$271)+SUMIF($B$262:$B$271,N277,D$262:D$271)</f>
        <v>0</v>
      </c>
      <c r="Q277" s="1573"/>
      <c r="R277" s="1574"/>
      <c r="S277" s="33"/>
      <c r="T277" s="1572">
        <f t="shared" ref="T277:T283" si="56">SUMIF($B$262:$B$271,W277,G$262:G$271)+SUMIF($B$262:$B$271,W277,D$262:D$271)</f>
        <v>0</v>
      </c>
      <c r="U277" s="1573"/>
      <c r="V277" s="1574"/>
      <c r="W277" s="1548" t="str">
        <f>MAR!G$1</f>
        <v>..-..-..</v>
      </c>
      <c r="X277" s="1619"/>
      <c r="Y277" s="1572">
        <f>SUMIF($B$262:$B$271,W277,J$262:J$271)+SUMIF($B$262:$B$271,W277,G$262:G$271)+SUMIF($B$262:$B$271,W277,D$262:D$271)</f>
        <v>0</v>
      </c>
      <c r="Z277" s="1573"/>
      <c r="AA277" s="1574"/>
      <c r="AB277" s="33"/>
      <c r="AC277" s="1572">
        <f t="shared" ref="AC277:AC283" si="57">SUMIF($B$262:$B$271,AF277,J$262:J$271)+SUMIF($B$262:$B$271,AF277,G$262:G$271)+SUMIF($B$262:$B$271,AF277,D$262:D$271)</f>
        <v>0</v>
      </c>
      <c r="AD277" s="1573"/>
      <c r="AE277" s="1574"/>
      <c r="AF277" s="1548" t="str">
        <f>APR!G$1</f>
        <v>..-..-..</v>
      </c>
      <c r="AG277" s="1619"/>
      <c r="AH277" s="1572">
        <f>SUMIF($B$262:$B$271,AF277,M$262:M$271)+SUMIF($B$262:$B$271,AF277,J$262:J$271)+SUMIF($B$262:$B$271,AF277,G$262:G$271)+SUMIF($B$262:$B$271,AF277,D$262:D$271)</f>
        <v>0</v>
      </c>
      <c r="AI277" s="1573"/>
      <c r="AJ277" s="1574"/>
      <c r="AK277" s="33"/>
      <c r="AL277" s="1572">
        <f t="shared" ref="AL277:AL283" si="58">SUMIF($B$262:$B$271,AO277,M$262:M$271)+SUMIF($B$262:$B$271,AO277,J$262:J$271)+SUMIF($B$262:$B$271,AO277,G$262:G$271)+SUMIF($B$262:$B$271,AO277,D$262:D$271)</f>
        <v>0</v>
      </c>
      <c r="AM277" s="1573"/>
      <c r="AN277" s="1574"/>
      <c r="AO277" s="1548" t="str">
        <f>MAG!G$1</f>
        <v>..-..-..</v>
      </c>
      <c r="AP277" s="1619"/>
      <c r="AQ277" s="1572">
        <f t="shared" ref="AQ277:AQ283" si="59">SUMIF($B$262:$B$271,AO277,P$262:P$271)+SUMIF($B$262:$B$271,AO277,M$262:M$271)+SUMIF($B$262:$B$271,AO277,J$262:J$271)+SUMIF($B$262:$B$271,AO277,G$262:G$271)+SUMIF($B$262:$B$271,AO277,D$262:D$271)</f>
        <v>0</v>
      </c>
      <c r="AR277" s="1573"/>
      <c r="AS277" s="1574"/>
      <c r="AT277" s="33"/>
      <c r="AU277" s="1572">
        <f t="shared" ref="AU277:AU283" si="60">SUMIF($B$262:$B$271,AX277,P$262:P$271)+SUMIF($B$262:$B$271,AX277,M$262:M$271)+SUMIF($B$262:$B$271,AX277,J$262:J$271)+SUMIF($B$262:$B$271,AX277,G$262:G$271)+SUMIF($B$262:$B$271,AX277,D$262:D$271)</f>
        <v>0</v>
      </c>
      <c r="AV277" s="1573"/>
      <c r="AW277" s="1574"/>
      <c r="AX277" s="1548" t="str">
        <f>GIU!G$1</f>
        <v>..-..-..</v>
      </c>
      <c r="AY277" s="1619"/>
      <c r="AZ277" s="1572">
        <f t="shared" ref="AZ277:AZ283" si="61">SUMIF($B$262:$B$271,AX277,S$262:S$271)+SUMIF($B$262:$B$271,AX277,P$262:P$271)+SUMIF($B$262:$B$271,AX277,M$262:M$271)+SUMIF($B$262:$B$271,AX277,J$262:J$271)+SUMIF($B$262:$B$271,AX277,G$262:G$271)+SUMIF($B$262:$B$271,AX277,D$262:D$271)</f>
        <v>0</v>
      </c>
      <c r="BA277" s="1573"/>
      <c r="BB277" s="1574"/>
      <c r="BC277" s="33"/>
      <c r="BD277" s="1138">
        <v>2</v>
      </c>
      <c r="BE277" s="1140" t="str">
        <f>N277</f>
        <v>..-..-..</v>
      </c>
      <c r="BF277" s="1140" t="str">
        <f>N278</f>
        <v>..-..-..</v>
      </c>
      <c r="BG277" s="1140" t="str">
        <f>N279</f>
        <v>..-..-..</v>
      </c>
      <c r="BH277" s="1140" t="str">
        <f>N280</f>
        <v>..-..-..</v>
      </c>
      <c r="BI277" s="1139" t="str">
        <f>N281</f>
        <v>..-..-..</v>
      </c>
      <c r="BJ277" s="1139" t="str">
        <f>N282</f>
        <v>..-..-..</v>
      </c>
      <c r="BK277" s="1148" t="str">
        <f>N283</f>
        <v>..-..-..</v>
      </c>
      <c r="BL277" s="648"/>
    </row>
    <row r="278" spans="1:64" ht="18" hidden="1" customHeight="1" x14ac:dyDescent="0.2">
      <c r="A278" s="33"/>
      <c r="B278" s="1572">
        <v>0</v>
      </c>
      <c r="C278" s="1573"/>
      <c r="D278" s="1574"/>
      <c r="E278" s="1548" t="str">
        <f>GEN!H$1</f>
        <v>..-..-..</v>
      </c>
      <c r="F278" s="1619"/>
      <c r="G278" s="1572">
        <f t="shared" ref="G278:G283" si="62">SUMIF($B$262:$B$271,E278,D$262:D$271)</f>
        <v>0</v>
      </c>
      <c r="H278" s="1573"/>
      <c r="I278" s="1574"/>
      <c r="J278" s="33"/>
      <c r="K278" s="1572">
        <f t="shared" ref="K278:K283" si="63">SUMIF($B$262:$B$271,N278,D$262:D$271)</f>
        <v>0</v>
      </c>
      <c r="L278" s="1573"/>
      <c r="M278" s="1574"/>
      <c r="N278" s="1548" t="str">
        <f>FEB!H$1</f>
        <v>..-..-..</v>
      </c>
      <c r="O278" s="1619"/>
      <c r="P278" s="1572">
        <f t="shared" si="55"/>
        <v>0</v>
      </c>
      <c r="Q278" s="1573"/>
      <c r="R278" s="1574"/>
      <c r="S278" s="33"/>
      <c r="T278" s="1572">
        <f t="shared" si="56"/>
        <v>0</v>
      </c>
      <c r="U278" s="1573"/>
      <c r="V278" s="1574"/>
      <c r="W278" s="1548" t="str">
        <f>MAR!H$1</f>
        <v>..-..-..</v>
      </c>
      <c r="X278" s="1619"/>
      <c r="Y278" s="1572">
        <f t="shared" ref="Y278:Y283" si="64">SUMIF($B$262:$B$271,W278,J$262:J$271)+SUMIF($B$262:$B$271,W278,G$262:G$271)+SUMIF($B$262:$B$271,W278,D$262:D$271)</f>
        <v>0</v>
      </c>
      <c r="Z278" s="1573"/>
      <c r="AA278" s="1574"/>
      <c r="AB278" s="33"/>
      <c r="AC278" s="1572">
        <f t="shared" si="57"/>
        <v>0</v>
      </c>
      <c r="AD278" s="1573"/>
      <c r="AE278" s="1574"/>
      <c r="AF278" s="1548" t="str">
        <f>APR!H$1</f>
        <v>..-..-..</v>
      </c>
      <c r="AG278" s="1619"/>
      <c r="AH278" s="1572">
        <f t="shared" ref="AH278:AH283" si="65">SUMIF($B$262:$B$271,AF278,M$262:M$271)+SUMIF($B$262:$B$271,AF278,J$262:J$271)+SUMIF($B$262:$B$271,AF278,G$262:G$271)+SUMIF($B$262:$B$271,AF278,D$262:D$271)</f>
        <v>0</v>
      </c>
      <c r="AI278" s="1573"/>
      <c r="AJ278" s="1574"/>
      <c r="AK278" s="33"/>
      <c r="AL278" s="1572">
        <f t="shared" si="58"/>
        <v>0</v>
      </c>
      <c r="AM278" s="1573"/>
      <c r="AN278" s="1574"/>
      <c r="AO278" s="1548" t="str">
        <f>MAG!H$1</f>
        <v>..-..-..</v>
      </c>
      <c r="AP278" s="1619"/>
      <c r="AQ278" s="1572">
        <f t="shared" si="59"/>
        <v>0</v>
      </c>
      <c r="AR278" s="1573"/>
      <c r="AS278" s="1574"/>
      <c r="AT278" s="33"/>
      <c r="AU278" s="1572">
        <f t="shared" si="60"/>
        <v>0</v>
      </c>
      <c r="AV278" s="1573"/>
      <c r="AW278" s="1574"/>
      <c r="AX278" s="1548" t="str">
        <f>GIU!H$1</f>
        <v>..-..-..</v>
      </c>
      <c r="AY278" s="1619"/>
      <c r="AZ278" s="1572">
        <f t="shared" si="61"/>
        <v>0</v>
      </c>
      <c r="BA278" s="1573"/>
      <c r="BB278" s="1574"/>
      <c r="BC278" s="33"/>
      <c r="BD278" s="1138">
        <v>3</v>
      </c>
      <c r="BE278" s="1140" t="str">
        <f>W277</f>
        <v>..-..-..</v>
      </c>
      <c r="BF278" s="1140" t="str">
        <f>W278</f>
        <v>..-..-..</v>
      </c>
      <c r="BG278" s="1140" t="str">
        <f>W279</f>
        <v>..-..-..</v>
      </c>
      <c r="BH278" s="1140" t="str">
        <f>W280</f>
        <v>..-..-..</v>
      </c>
      <c r="BI278" s="1139" t="str">
        <f>W281</f>
        <v>..-..-..</v>
      </c>
      <c r="BJ278" s="1139" t="str">
        <f>W282</f>
        <v>..-..-..</v>
      </c>
      <c r="BK278" s="1148" t="str">
        <f>W283</f>
        <v>..-..-..</v>
      </c>
      <c r="BL278" s="648"/>
    </row>
    <row r="279" spans="1:64" ht="18" hidden="1" customHeight="1" x14ac:dyDescent="0.2">
      <c r="A279" s="33"/>
      <c r="B279" s="1572">
        <v>0</v>
      </c>
      <c r="C279" s="1573"/>
      <c r="D279" s="1574"/>
      <c r="E279" s="1548" t="str">
        <f>GEN!I$1</f>
        <v>..-..-..</v>
      </c>
      <c r="F279" s="1619"/>
      <c r="G279" s="1572">
        <f t="shared" si="62"/>
        <v>0</v>
      </c>
      <c r="H279" s="1573"/>
      <c r="I279" s="1574"/>
      <c r="J279" s="33"/>
      <c r="K279" s="1572">
        <f t="shared" si="63"/>
        <v>0</v>
      </c>
      <c r="L279" s="1573"/>
      <c r="M279" s="1574"/>
      <c r="N279" s="1548" t="str">
        <f>FEB!I$1</f>
        <v>..-..-..</v>
      </c>
      <c r="O279" s="1619"/>
      <c r="P279" s="1572">
        <f t="shared" si="55"/>
        <v>0</v>
      </c>
      <c r="Q279" s="1573"/>
      <c r="R279" s="1574"/>
      <c r="S279" s="33"/>
      <c r="T279" s="1572">
        <f t="shared" si="56"/>
        <v>0</v>
      </c>
      <c r="U279" s="1573"/>
      <c r="V279" s="1574"/>
      <c r="W279" s="1548" t="str">
        <f>MAR!I$1</f>
        <v>..-..-..</v>
      </c>
      <c r="X279" s="1619"/>
      <c r="Y279" s="1572">
        <f t="shared" si="64"/>
        <v>0</v>
      </c>
      <c r="Z279" s="1573"/>
      <c r="AA279" s="1574"/>
      <c r="AB279" s="33"/>
      <c r="AC279" s="1572">
        <f t="shared" si="57"/>
        <v>0</v>
      </c>
      <c r="AD279" s="1573"/>
      <c r="AE279" s="1574"/>
      <c r="AF279" s="1548" t="str">
        <f>APR!I$1</f>
        <v>..-..-..</v>
      </c>
      <c r="AG279" s="1619"/>
      <c r="AH279" s="1572">
        <f t="shared" si="65"/>
        <v>0</v>
      </c>
      <c r="AI279" s="1573"/>
      <c r="AJ279" s="1574"/>
      <c r="AK279" s="33"/>
      <c r="AL279" s="1572">
        <f t="shared" si="58"/>
        <v>0</v>
      </c>
      <c r="AM279" s="1573"/>
      <c r="AN279" s="1574"/>
      <c r="AO279" s="1548" t="str">
        <f>MAG!I$1</f>
        <v>..-..-..</v>
      </c>
      <c r="AP279" s="1619"/>
      <c r="AQ279" s="1572">
        <f t="shared" si="59"/>
        <v>0</v>
      </c>
      <c r="AR279" s="1573"/>
      <c r="AS279" s="1574"/>
      <c r="AT279" s="33"/>
      <c r="AU279" s="1572">
        <f t="shared" si="60"/>
        <v>0</v>
      </c>
      <c r="AV279" s="1573"/>
      <c r="AW279" s="1574"/>
      <c r="AX279" s="1548" t="str">
        <f>GIU!I$1</f>
        <v>..-..-..</v>
      </c>
      <c r="AY279" s="1619"/>
      <c r="AZ279" s="1572">
        <f t="shared" si="61"/>
        <v>0</v>
      </c>
      <c r="BA279" s="1573"/>
      <c r="BB279" s="1574"/>
      <c r="BC279" s="33"/>
      <c r="BD279" s="1138">
        <v>4</v>
      </c>
      <c r="BE279" s="1140" t="str">
        <f>AF277</f>
        <v>..-..-..</v>
      </c>
      <c r="BF279" s="1140" t="str">
        <f>AF278</f>
        <v>..-..-..</v>
      </c>
      <c r="BG279" s="1140" t="str">
        <f>AF279</f>
        <v>..-..-..</v>
      </c>
      <c r="BH279" s="1140" t="str">
        <f>AF280</f>
        <v>..-..-..</v>
      </c>
      <c r="BI279" s="1139" t="str">
        <f>AF281</f>
        <v>..-..-..</v>
      </c>
      <c r="BJ279" s="1139" t="str">
        <f>AF282</f>
        <v>..-..-..</v>
      </c>
      <c r="BK279" s="1148" t="str">
        <f>AF283</f>
        <v>..-..-..</v>
      </c>
      <c r="BL279" s="648"/>
    </row>
    <row r="280" spans="1:64" ht="18" hidden="1" customHeight="1" x14ac:dyDescent="0.2">
      <c r="A280" s="33"/>
      <c r="B280" s="1572">
        <v>0</v>
      </c>
      <c r="C280" s="1573"/>
      <c r="D280" s="1574"/>
      <c r="E280" s="1548" t="str">
        <f>GEN!J$1</f>
        <v>..-..-..</v>
      </c>
      <c r="F280" s="1619"/>
      <c r="G280" s="1572">
        <f t="shared" si="62"/>
        <v>0</v>
      </c>
      <c r="H280" s="1573"/>
      <c r="I280" s="1574"/>
      <c r="J280" s="33"/>
      <c r="K280" s="1572">
        <f t="shared" si="63"/>
        <v>0</v>
      </c>
      <c r="L280" s="1573"/>
      <c r="M280" s="1574"/>
      <c r="N280" s="1548" t="str">
        <f>FEB!J$1</f>
        <v>..-..-..</v>
      </c>
      <c r="O280" s="1619"/>
      <c r="P280" s="1572">
        <f t="shared" si="55"/>
        <v>0</v>
      </c>
      <c r="Q280" s="1573"/>
      <c r="R280" s="1574"/>
      <c r="S280" s="33"/>
      <c r="T280" s="1572">
        <f t="shared" si="56"/>
        <v>0</v>
      </c>
      <c r="U280" s="1573"/>
      <c r="V280" s="1574"/>
      <c r="W280" s="1548" t="str">
        <f>MAR!J$1</f>
        <v>..-..-..</v>
      </c>
      <c r="X280" s="1619"/>
      <c r="Y280" s="1572">
        <f t="shared" si="64"/>
        <v>0</v>
      </c>
      <c r="Z280" s="1573"/>
      <c r="AA280" s="1574"/>
      <c r="AB280" s="33"/>
      <c r="AC280" s="1572">
        <f t="shared" si="57"/>
        <v>0</v>
      </c>
      <c r="AD280" s="1573"/>
      <c r="AE280" s="1574"/>
      <c r="AF280" s="1548" t="str">
        <f>APR!J$1</f>
        <v>..-..-..</v>
      </c>
      <c r="AG280" s="1619"/>
      <c r="AH280" s="1572">
        <f t="shared" si="65"/>
        <v>0</v>
      </c>
      <c r="AI280" s="1573"/>
      <c r="AJ280" s="1574"/>
      <c r="AK280" s="33"/>
      <c r="AL280" s="1572">
        <f t="shared" si="58"/>
        <v>0</v>
      </c>
      <c r="AM280" s="1573"/>
      <c r="AN280" s="1574"/>
      <c r="AO280" s="1548" t="str">
        <f>MAG!J$1</f>
        <v>..-..-..</v>
      </c>
      <c r="AP280" s="1619"/>
      <c r="AQ280" s="1572">
        <f t="shared" si="59"/>
        <v>0</v>
      </c>
      <c r="AR280" s="1573"/>
      <c r="AS280" s="1574"/>
      <c r="AT280" s="33"/>
      <c r="AU280" s="1572">
        <f t="shared" si="60"/>
        <v>0</v>
      </c>
      <c r="AV280" s="1573"/>
      <c r="AW280" s="1574"/>
      <c r="AX280" s="1548" t="str">
        <f>GIU!J$1</f>
        <v>..-..-..</v>
      </c>
      <c r="AY280" s="1619"/>
      <c r="AZ280" s="1572">
        <f t="shared" si="61"/>
        <v>0</v>
      </c>
      <c r="BA280" s="1573"/>
      <c r="BB280" s="1574"/>
      <c r="BC280" s="33"/>
      <c r="BD280" s="1138">
        <v>5</v>
      </c>
      <c r="BE280" s="1140" t="str">
        <f>AO277</f>
        <v>..-..-..</v>
      </c>
      <c r="BF280" s="1140" t="str">
        <f>AO278</f>
        <v>..-..-..</v>
      </c>
      <c r="BG280" s="1140" t="str">
        <f>AO279</f>
        <v>..-..-..</v>
      </c>
      <c r="BH280" s="1139" t="str">
        <f>AO280</f>
        <v>..-..-..</v>
      </c>
      <c r="BI280" s="1139" t="str">
        <f>AO281</f>
        <v>..-..-..</v>
      </c>
      <c r="BJ280" s="1139" t="str">
        <f>AO282</f>
        <v>..-..-..</v>
      </c>
      <c r="BK280" s="1148" t="str">
        <f>AO283</f>
        <v>..-..-..</v>
      </c>
      <c r="BL280" s="648"/>
    </row>
    <row r="281" spans="1:64" ht="18" hidden="1" customHeight="1" x14ac:dyDescent="0.2">
      <c r="A281" s="33"/>
      <c r="B281" s="1572">
        <v>0</v>
      </c>
      <c r="C281" s="1573"/>
      <c r="D281" s="1574"/>
      <c r="E281" s="1548" t="str">
        <f>GEN!K$1</f>
        <v>..-..-..</v>
      </c>
      <c r="F281" s="1619"/>
      <c r="G281" s="1572">
        <f t="shared" si="62"/>
        <v>0</v>
      </c>
      <c r="H281" s="1573"/>
      <c r="I281" s="1574"/>
      <c r="J281" s="33"/>
      <c r="K281" s="1572">
        <f t="shared" si="63"/>
        <v>0</v>
      </c>
      <c r="L281" s="1573"/>
      <c r="M281" s="1574"/>
      <c r="N281" s="1548" t="str">
        <f>FEB!K$1</f>
        <v>..-..-..</v>
      </c>
      <c r="O281" s="1619"/>
      <c r="P281" s="1572">
        <f t="shared" si="55"/>
        <v>0</v>
      </c>
      <c r="Q281" s="1573"/>
      <c r="R281" s="1574"/>
      <c r="S281" s="33"/>
      <c r="T281" s="1572">
        <f t="shared" si="56"/>
        <v>0</v>
      </c>
      <c r="U281" s="1573"/>
      <c r="V281" s="1574"/>
      <c r="W281" s="1548" t="str">
        <f>MAR!K$1</f>
        <v>..-..-..</v>
      </c>
      <c r="X281" s="1619"/>
      <c r="Y281" s="1572">
        <f t="shared" si="64"/>
        <v>0</v>
      </c>
      <c r="Z281" s="1573"/>
      <c r="AA281" s="1574"/>
      <c r="AB281" s="33"/>
      <c r="AC281" s="1572">
        <f t="shared" si="57"/>
        <v>0</v>
      </c>
      <c r="AD281" s="1573"/>
      <c r="AE281" s="1574"/>
      <c r="AF281" s="1548" t="str">
        <f>APR!K$1</f>
        <v>..-..-..</v>
      </c>
      <c r="AG281" s="1619"/>
      <c r="AH281" s="1572">
        <f t="shared" si="65"/>
        <v>0</v>
      </c>
      <c r="AI281" s="1573"/>
      <c r="AJ281" s="1574"/>
      <c r="AK281" s="33"/>
      <c r="AL281" s="1572">
        <f t="shared" si="58"/>
        <v>0</v>
      </c>
      <c r="AM281" s="1573"/>
      <c r="AN281" s="1574"/>
      <c r="AO281" s="1548" t="str">
        <f>MAG!K$1</f>
        <v>..-..-..</v>
      </c>
      <c r="AP281" s="1619"/>
      <c r="AQ281" s="1572">
        <f t="shared" si="59"/>
        <v>0</v>
      </c>
      <c r="AR281" s="1573"/>
      <c r="AS281" s="1574"/>
      <c r="AT281" s="33"/>
      <c r="AU281" s="1572">
        <f t="shared" si="60"/>
        <v>0</v>
      </c>
      <c r="AV281" s="1573"/>
      <c r="AW281" s="1574"/>
      <c r="AX281" s="1548" t="str">
        <f>GIU!K$1</f>
        <v>..-..-..</v>
      </c>
      <c r="AY281" s="1619"/>
      <c r="AZ281" s="1572">
        <f t="shared" si="61"/>
        <v>0</v>
      </c>
      <c r="BA281" s="1573"/>
      <c r="BB281" s="1574"/>
      <c r="BC281" s="33"/>
      <c r="BD281" s="1138">
        <v>6</v>
      </c>
      <c r="BE281" s="1140" t="str">
        <f>AX277</f>
        <v>..-..-..</v>
      </c>
      <c r="BF281" s="1140" t="str">
        <f>AX278</f>
        <v>..-..-..</v>
      </c>
      <c r="BG281" s="1140" t="str">
        <f>AX279</f>
        <v>..-..-..</v>
      </c>
      <c r="BH281" s="1139" t="str">
        <f>AX280</f>
        <v>..-..-..</v>
      </c>
      <c r="BI281" s="1139" t="str">
        <f>AX281</f>
        <v>..-..-..</v>
      </c>
      <c r="BJ281" s="1139" t="str">
        <f>AX282</f>
        <v>..-..-..</v>
      </c>
      <c r="BK281" s="1148" t="str">
        <f>AX283</f>
        <v>..-..-..</v>
      </c>
      <c r="BL281" s="648"/>
    </row>
    <row r="282" spans="1:64" ht="18" hidden="1" customHeight="1" x14ac:dyDescent="0.2">
      <c r="A282" s="33"/>
      <c r="B282" s="1572">
        <v>0</v>
      </c>
      <c r="C282" s="1573"/>
      <c r="D282" s="1574"/>
      <c r="E282" s="1548" t="str">
        <f>GEN!L$1</f>
        <v>..-..-..</v>
      </c>
      <c r="F282" s="1619"/>
      <c r="G282" s="1572">
        <f t="shared" si="62"/>
        <v>0</v>
      </c>
      <c r="H282" s="1573"/>
      <c r="I282" s="1574"/>
      <c r="J282" s="33"/>
      <c r="K282" s="1572">
        <f t="shared" si="63"/>
        <v>0</v>
      </c>
      <c r="L282" s="1573"/>
      <c r="M282" s="1574"/>
      <c r="N282" s="1548" t="str">
        <f>FEB!L$1</f>
        <v>..-..-..</v>
      </c>
      <c r="O282" s="1619"/>
      <c r="P282" s="1572">
        <f t="shared" si="55"/>
        <v>0</v>
      </c>
      <c r="Q282" s="1573"/>
      <c r="R282" s="1574"/>
      <c r="S282" s="33"/>
      <c r="T282" s="1572">
        <f t="shared" si="56"/>
        <v>0</v>
      </c>
      <c r="U282" s="1573"/>
      <c r="V282" s="1574"/>
      <c r="W282" s="1548" t="str">
        <f>MAR!L$1</f>
        <v>..-..-..</v>
      </c>
      <c r="X282" s="1619"/>
      <c r="Y282" s="1572">
        <f t="shared" si="64"/>
        <v>0</v>
      </c>
      <c r="Z282" s="1573"/>
      <c r="AA282" s="1574"/>
      <c r="AB282" s="33"/>
      <c r="AC282" s="1572">
        <f t="shared" si="57"/>
        <v>0</v>
      </c>
      <c r="AD282" s="1573"/>
      <c r="AE282" s="1574"/>
      <c r="AF282" s="1548" t="str">
        <f>APR!L$1</f>
        <v>..-..-..</v>
      </c>
      <c r="AG282" s="1619"/>
      <c r="AH282" s="1572">
        <f t="shared" si="65"/>
        <v>0</v>
      </c>
      <c r="AI282" s="1573"/>
      <c r="AJ282" s="1574"/>
      <c r="AK282" s="33"/>
      <c r="AL282" s="1572">
        <f t="shared" si="58"/>
        <v>0</v>
      </c>
      <c r="AM282" s="1573"/>
      <c r="AN282" s="1574"/>
      <c r="AO282" s="1548" t="str">
        <f>MAG!L$1</f>
        <v>..-..-..</v>
      </c>
      <c r="AP282" s="1619"/>
      <c r="AQ282" s="1572">
        <f t="shared" si="59"/>
        <v>0</v>
      </c>
      <c r="AR282" s="1573"/>
      <c r="AS282" s="1574"/>
      <c r="AT282" s="33"/>
      <c r="AU282" s="1572">
        <f t="shared" si="60"/>
        <v>0</v>
      </c>
      <c r="AV282" s="1573"/>
      <c r="AW282" s="1574"/>
      <c r="AX282" s="1548" t="str">
        <f>GIU!L$1</f>
        <v>..-..-..</v>
      </c>
      <c r="AY282" s="1619"/>
      <c r="AZ282" s="1572">
        <f t="shared" si="61"/>
        <v>0</v>
      </c>
      <c r="BA282" s="1573"/>
      <c r="BB282" s="1574"/>
      <c r="BC282" s="33"/>
      <c r="BD282" s="1138">
        <v>7</v>
      </c>
      <c r="BE282" s="1140" t="str">
        <f>E287</f>
        <v>..-..-..</v>
      </c>
      <c r="BF282" s="1140" t="str">
        <f>E288</f>
        <v>..-..-..</v>
      </c>
      <c r="BG282" s="1140" t="str">
        <f>E289</f>
        <v>..-..-..</v>
      </c>
      <c r="BH282" s="1139" t="str">
        <f>E290</f>
        <v>..-..-..</v>
      </c>
      <c r="BI282" s="1139" t="str">
        <f>E291</f>
        <v>..-..-..</v>
      </c>
      <c r="BJ282" s="1139" t="str">
        <f>E292</f>
        <v>..-..-..</v>
      </c>
      <c r="BK282" s="1148" t="str">
        <f>E293</f>
        <v>..-..-..</v>
      </c>
      <c r="BL282" s="648"/>
    </row>
    <row r="283" spans="1:64" ht="18" hidden="1" customHeight="1" x14ac:dyDescent="0.2">
      <c r="A283" s="33"/>
      <c r="B283" s="1572">
        <v>0</v>
      </c>
      <c r="C283" s="1573"/>
      <c r="D283" s="1574"/>
      <c r="E283" s="1548" t="str">
        <f>GEN!M$1</f>
        <v>..-..-..</v>
      </c>
      <c r="F283" s="1619"/>
      <c r="G283" s="1572">
        <f t="shared" si="62"/>
        <v>0</v>
      </c>
      <c r="H283" s="1573"/>
      <c r="I283" s="1574"/>
      <c r="J283" s="33"/>
      <c r="K283" s="1572">
        <f t="shared" si="63"/>
        <v>0</v>
      </c>
      <c r="L283" s="1573"/>
      <c r="M283" s="1574"/>
      <c r="N283" s="1548" t="str">
        <f>FEB!M$1</f>
        <v>..-..-..</v>
      </c>
      <c r="O283" s="1619"/>
      <c r="P283" s="1572">
        <f t="shared" si="55"/>
        <v>0</v>
      </c>
      <c r="Q283" s="1573"/>
      <c r="R283" s="1574"/>
      <c r="S283" s="33"/>
      <c r="T283" s="1572">
        <f t="shared" si="56"/>
        <v>0</v>
      </c>
      <c r="U283" s="1573"/>
      <c r="V283" s="1574"/>
      <c r="W283" s="1548" t="str">
        <f>MAR!M$1</f>
        <v>..-..-..</v>
      </c>
      <c r="X283" s="1619"/>
      <c r="Y283" s="1572">
        <f t="shared" si="64"/>
        <v>0</v>
      </c>
      <c r="Z283" s="1573"/>
      <c r="AA283" s="1574"/>
      <c r="AB283" s="33"/>
      <c r="AC283" s="1572">
        <f t="shared" si="57"/>
        <v>0</v>
      </c>
      <c r="AD283" s="1573"/>
      <c r="AE283" s="1574"/>
      <c r="AF283" s="1548" t="str">
        <f>APR!M$1</f>
        <v>..-..-..</v>
      </c>
      <c r="AG283" s="1619"/>
      <c r="AH283" s="1572">
        <f t="shared" si="65"/>
        <v>0</v>
      </c>
      <c r="AI283" s="1573"/>
      <c r="AJ283" s="1574"/>
      <c r="AK283" s="33"/>
      <c r="AL283" s="1572">
        <f t="shared" si="58"/>
        <v>0</v>
      </c>
      <c r="AM283" s="1573"/>
      <c r="AN283" s="1574"/>
      <c r="AO283" s="1548" t="str">
        <f>MAG!M$1</f>
        <v>..-..-..</v>
      </c>
      <c r="AP283" s="1619"/>
      <c r="AQ283" s="1572">
        <f t="shared" si="59"/>
        <v>0</v>
      </c>
      <c r="AR283" s="1573"/>
      <c r="AS283" s="1574"/>
      <c r="AT283" s="33"/>
      <c r="AU283" s="1572">
        <f t="shared" si="60"/>
        <v>0</v>
      </c>
      <c r="AV283" s="1573"/>
      <c r="AW283" s="1574"/>
      <c r="AX283" s="1548" t="str">
        <f>GIU!M$1</f>
        <v>..-..-..</v>
      </c>
      <c r="AY283" s="1619"/>
      <c r="AZ283" s="1572">
        <f t="shared" si="61"/>
        <v>0</v>
      </c>
      <c r="BA283" s="1573"/>
      <c r="BB283" s="1574"/>
      <c r="BC283" s="33"/>
      <c r="BD283" s="1138">
        <v>8</v>
      </c>
      <c r="BE283" s="1140" t="str">
        <f>N287</f>
        <v>..-..-..</v>
      </c>
      <c r="BF283" s="1140" t="str">
        <f>N288</f>
        <v>..-..-..</v>
      </c>
      <c r="BG283" s="1140" t="str">
        <f>N289</f>
        <v>..-..-..</v>
      </c>
      <c r="BH283" s="1139" t="str">
        <f>N290</f>
        <v>..-..-..</v>
      </c>
      <c r="BI283" s="1139" t="str">
        <f>N291</f>
        <v>..-..-..</v>
      </c>
      <c r="BJ283" s="1139" t="str">
        <f>N292</f>
        <v>..-..-..</v>
      </c>
      <c r="BK283" s="1148" t="str">
        <f>N293</f>
        <v>..-..-..</v>
      </c>
      <c r="BL283" s="648"/>
    </row>
    <row r="284" spans="1:64" ht="18" hidden="1" customHeight="1" x14ac:dyDescent="0.2">
      <c r="A284" s="33"/>
      <c r="B284" s="1673">
        <f>SUM(B277:D283)</f>
        <v>0</v>
      </c>
      <c r="C284" s="1674"/>
      <c r="D284" s="1675"/>
      <c r="E284" s="168"/>
      <c r="F284" s="168"/>
      <c r="G284" s="1605">
        <f>SUM(G277:I283)</f>
        <v>0</v>
      </c>
      <c r="H284" s="1606"/>
      <c r="I284" s="1607"/>
      <c r="J284" s="33"/>
      <c r="K284" s="1605">
        <f>SUM(K277:M283)</f>
        <v>0</v>
      </c>
      <c r="L284" s="1606"/>
      <c r="M284" s="1607"/>
      <c r="N284" s="168"/>
      <c r="O284" s="168"/>
      <c r="P284" s="1605">
        <f>SUM(P277:R283)</f>
        <v>0</v>
      </c>
      <c r="Q284" s="1606"/>
      <c r="R284" s="1607"/>
      <c r="S284" s="33"/>
      <c r="T284" s="1605">
        <f>SUM(T277:V283)</f>
        <v>0</v>
      </c>
      <c r="U284" s="1606"/>
      <c r="V284" s="1607"/>
      <c r="W284" s="168"/>
      <c r="X284" s="168"/>
      <c r="Y284" s="1605">
        <f>SUM(Y277:AA283)</f>
        <v>0</v>
      </c>
      <c r="Z284" s="1606"/>
      <c r="AA284" s="1607"/>
      <c r="AB284" s="33"/>
      <c r="AC284" s="1605">
        <f>SUM(AC277:AE283)</f>
        <v>0</v>
      </c>
      <c r="AD284" s="1606"/>
      <c r="AE284" s="1607"/>
      <c r="AF284" s="168"/>
      <c r="AG284" s="168"/>
      <c r="AH284" s="1605">
        <f>SUM(AH277:AJ283)</f>
        <v>0</v>
      </c>
      <c r="AI284" s="1606"/>
      <c r="AJ284" s="1607"/>
      <c r="AK284" s="33"/>
      <c r="AL284" s="1605">
        <f>SUM(AL277:AN283)</f>
        <v>0</v>
      </c>
      <c r="AM284" s="1606"/>
      <c r="AN284" s="1607"/>
      <c r="AO284" s="168"/>
      <c r="AP284" s="168"/>
      <c r="AQ284" s="1605">
        <f>SUM(AQ277:AS283)</f>
        <v>0</v>
      </c>
      <c r="AR284" s="1606"/>
      <c r="AS284" s="1607"/>
      <c r="AT284" s="33"/>
      <c r="AU284" s="1605">
        <f>SUM(AU277:AW283)</f>
        <v>0</v>
      </c>
      <c r="AV284" s="1606"/>
      <c r="AW284" s="1607"/>
      <c r="AX284" s="168"/>
      <c r="AY284" s="168"/>
      <c r="AZ284" s="1605">
        <f>SUM(AZ277:BB283)</f>
        <v>0</v>
      </c>
      <c r="BA284" s="1606"/>
      <c r="BB284" s="1607"/>
      <c r="BC284" s="33"/>
      <c r="BD284" s="1138">
        <v>9</v>
      </c>
      <c r="BE284" s="1140" t="str">
        <f>W287</f>
        <v>..-..-..</v>
      </c>
      <c r="BF284" s="1140" t="str">
        <f>W288</f>
        <v>..-..-..</v>
      </c>
      <c r="BG284" s="1140" t="str">
        <f>W289</f>
        <v>..-..-..</v>
      </c>
      <c r="BH284" s="1139" t="str">
        <f>W290</f>
        <v>..-..-..</v>
      </c>
      <c r="BI284" s="1139" t="str">
        <f>W291</f>
        <v>..-..-..</v>
      </c>
      <c r="BJ284" s="1139" t="str">
        <f>W292</f>
        <v>..-..-..</v>
      </c>
      <c r="BK284" s="1148" t="str">
        <f>W293</f>
        <v>..-..-..</v>
      </c>
      <c r="BL284" s="648"/>
    </row>
    <row r="285" spans="1:64" ht="18" hidden="1" customHeight="1" x14ac:dyDescent="0.2">
      <c r="A285" s="33"/>
      <c r="B285" s="33"/>
      <c r="C285" s="33"/>
      <c r="D285" s="33"/>
      <c r="E285" s="1324"/>
      <c r="F285" s="33"/>
      <c r="G285" s="33"/>
      <c r="H285" s="33"/>
      <c r="I285" s="33"/>
      <c r="J285" s="33"/>
      <c r="K285" s="33"/>
      <c r="L285" s="33"/>
      <c r="M285" s="33"/>
      <c r="N285" s="33"/>
      <c r="O285" s="33"/>
      <c r="P285" s="33"/>
      <c r="Q285" s="33"/>
      <c r="R285" s="33"/>
      <c r="S285" s="33"/>
      <c r="T285" s="33"/>
      <c r="U285" s="33"/>
      <c r="V285" s="127"/>
      <c r="W285" s="127"/>
      <c r="X285" s="127"/>
      <c r="Y285" s="127"/>
      <c r="Z285" s="127"/>
      <c r="AA285" s="127"/>
      <c r="AB285" s="127"/>
      <c r="AC285" s="127"/>
      <c r="AD285" s="127"/>
      <c r="AE285" s="127"/>
      <c r="AF285" s="127"/>
      <c r="AG285" s="1324"/>
      <c r="AH285" s="1324"/>
      <c r="AI285" s="33"/>
      <c r="AJ285" s="33"/>
      <c r="AK285" s="33"/>
      <c r="AL285" s="33"/>
      <c r="AM285" s="33"/>
      <c r="AN285" s="33"/>
      <c r="AO285" s="33"/>
      <c r="AP285" s="1324"/>
      <c r="AQ285" s="1324"/>
      <c r="AR285" s="33"/>
      <c r="AS285" s="33"/>
      <c r="AT285" s="33"/>
      <c r="AU285" s="33"/>
      <c r="AV285" s="33"/>
      <c r="AW285" s="33"/>
      <c r="AX285" s="33"/>
      <c r="AY285" s="33"/>
      <c r="AZ285" s="33"/>
      <c r="BA285" s="33"/>
      <c r="BB285" s="33"/>
      <c r="BC285" s="33"/>
      <c r="BD285" s="1138">
        <v>10</v>
      </c>
      <c r="BE285" s="1140" t="str">
        <f>AF287</f>
        <v>..-..-..</v>
      </c>
      <c r="BF285" s="1140" t="str">
        <f>AF288</f>
        <v>..-..-..</v>
      </c>
      <c r="BG285" s="1140" t="str">
        <f>AF289</f>
        <v>..-..-..</v>
      </c>
      <c r="BH285" s="1139" t="str">
        <f>AF290</f>
        <v>..-..-..</v>
      </c>
      <c r="BI285" s="1139" t="str">
        <f>AF291</f>
        <v>..-..-..</v>
      </c>
      <c r="BJ285" s="1139" t="str">
        <f>AF292</f>
        <v>..-..-..</v>
      </c>
      <c r="BK285" s="1148" t="str">
        <f>AF293</f>
        <v>..-..-..</v>
      </c>
      <c r="BL285" s="648"/>
    </row>
    <row r="286" spans="1:64" ht="18" hidden="1" customHeight="1" x14ac:dyDescent="0.2">
      <c r="A286" s="33"/>
      <c r="B286" s="1588" t="str">
        <f>G286</f>
        <v>Luglio</v>
      </c>
      <c r="C286" s="1589"/>
      <c r="D286" s="1590"/>
      <c r="E286" s="1547" t="str">
        <f>E276</f>
        <v>INSERITO</v>
      </c>
      <c r="F286" s="1656"/>
      <c r="G286" s="1588" t="str">
        <f>V261</f>
        <v>Luglio</v>
      </c>
      <c r="H286" s="1589"/>
      <c r="I286" s="1590"/>
      <c r="J286" s="33"/>
      <c r="K286" s="1588" t="str">
        <f>P286</f>
        <v>Agosto</v>
      </c>
      <c r="L286" s="1589"/>
      <c r="M286" s="1590"/>
      <c r="N286" s="127"/>
      <c r="O286" s="127"/>
      <c r="P286" s="1588" t="str">
        <f>Y261</f>
        <v>Agosto</v>
      </c>
      <c r="Q286" s="1589"/>
      <c r="R286" s="1590"/>
      <c r="S286" s="33"/>
      <c r="T286" s="1588" t="str">
        <f>Y286</f>
        <v>Settembre</v>
      </c>
      <c r="U286" s="1589"/>
      <c r="V286" s="1590"/>
      <c r="W286" s="127"/>
      <c r="X286" s="127"/>
      <c r="Y286" s="1588" t="str">
        <f>AB261</f>
        <v>Settembre</v>
      </c>
      <c r="Z286" s="1589"/>
      <c r="AA286" s="1590"/>
      <c r="AB286" s="33"/>
      <c r="AC286" s="1588" t="str">
        <f>AH286</f>
        <v>Ottobre</v>
      </c>
      <c r="AD286" s="1589"/>
      <c r="AE286" s="1590"/>
      <c r="AF286" s="127"/>
      <c r="AG286" s="127"/>
      <c r="AH286" s="1588" t="str">
        <f>AE261</f>
        <v>Ottobre</v>
      </c>
      <c r="AI286" s="1589"/>
      <c r="AJ286" s="1590"/>
      <c r="AK286" s="33"/>
      <c r="AL286" s="1588" t="str">
        <f>AQ286</f>
        <v>Novembre</v>
      </c>
      <c r="AM286" s="1589"/>
      <c r="AN286" s="1590"/>
      <c r="AO286" s="127"/>
      <c r="AP286" s="127"/>
      <c r="AQ286" s="1588" t="str">
        <f>AH261</f>
        <v>Novembre</v>
      </c>
      <c r="AR286" s="1589"/>
      <c r="AS286" s="1590"/>
      <c r="AT286" s="33"/>
      <c r="AU286" s="1588" t="str">
        <f>AZ286</f>
        <v>Dicembre</v>
      </c>
      <c r="AV286" s="1589"/>
      <c r="AW286" s="1590"/>
      <c r="AX286" s="127"/>
      <c r="AY286" s="127"/>
      <c r="AZ286" s="1588" t="str">
        <f>AK261</f>
        <v>Dicembre</v>
      </c>
      <c r="BA286" s="1589"/>
      <c r="BB286" s="1590"/>
      <c r="BC286" s="33"/>
      <c r="BD286" s="1138">
        <v>11</v>
      </c>
      <c r="BE286" s="1140" t="str">
        <f>AO287</f>
        <v>..-..-..</v>
      </c>
      <c r="BF286" s="1140" t="str">
        <f>AO288</f>
        <v>..-..-..</v>
      </c>
      <c r="BG286" s="1140" t="str">
        <f>AO289</f>
        <v>..-..-..</v>
      </c>
      <c r="BH286" s="1139" t="str">
        <f>AO290</f>
        <v>..-..-..</v>
      </c>
      <c r="BI286" s="1139" t="str">
        <f>AO291</f>
        <v>..-..-..</v>
      </c>
      <c r="BJ286" s="1139" t="str">
        <f>AO292</f>
        <v>..-..-..</v>
      </c>
      <c r="BK286" s="1148" t="str">
        <f>AO293</f>
        <v>..-..-..</v>
      </c>
      <c r="BL286" s="648"/>
    </row>
    <row r="287" spans="1:64" ht="18" hidden="1" customHeight="1" x14ac:dyDescent="0.2">
      <c r="A287" s="33"/>
      <c r="B287" s="1572">
        <f t="shared" ref="B287:B293" si="66">SUMIF($B$262:$B$271,E287,S$262:S$271)+SUMIF($B$262:$B$271,E287,P$262:P$271)+SUMIF($B$262:$B$271,E287,M$262:M$271)+SUMIF($B$262:$B$271,E287,J$262:J$271)+SUMIF($B$262:$B$271,E287,G$262:G$271)+SUMIF($B$262:$B$271,E287,D$262:D$271)</f>
        <v>0</v>
      </c>
      <c r="C287" s="1573"/>
      <c r="D287" s="1574"/>
      <c r="E287" s="1548" t="str">
        <f>LUG!G$1</f>
        <v>..-..-..</v>
      </c>
      <c r="F287" s="1619"/>
      <c r="G287" s="1572">
        <f t="shared" ref="G287:G293" si="67">SUMIF($B$262:$B$271,E287,V$262:V$271)+SUMIF($B$262:$B$271,E287,S$262:S$271)+SUMIF($B$262:$B$271,E287,P$262:P$271)+SUMIF($B$262:$B$271,E287,M$262:M$271)+SUMIF($B$262:$B$271,E287,J$262:J$271)+SUMIF($B$262:$B$271,E287,G$262:G$271)+SUMIF($B$262:$B$271,E287,D$262:D$271)</f>
        <v>0</v>
      </c>
      <c r="H287" s="1573"/>
      <c r="I287" s="1574"/>
      <c r="J287" s="33"/>
      <c r="K287" s="1572">
        <f t="shared" ref="K287:K293" si="68">SUMIF($B$262:$B$271,N287,V$262:V$271)+SUMIF($B$262:$B$271,N287,S$262:S$271)+SUMIF($B$262:$B$271,N287,P$262:P$271)+SUMIF($B$262:$B$271,N287,M$262:M$271)+SUMIF($B$262:$B$271,N287,J$262:J$271)+SUMIF($B$262:$B$271,N287,G$262:G$271)+SUMIF($B$262:$B$271,N287,D$262:D$271)</f>
        <v>0</v>
      </c>
      <c r="L287" s="1573"/>
      <c r="M287" s="1574"/>
      <c r="N287" s="1548" t="str">
        <f>AGO!G$1</f>
        <v>..-..-..</v>
      </c>
      <c r="O287" s="1619"/>
      <c r="P287" s="1572">
        <f t="shared" ref="P287:P293" si="69">SUMIF($B$262:$B$271,N287,Y$262:Y$271)+SUMIF($B$262:$B$271,N287,V$262:V$271)+SUMIF($B$262:$B$271,N287,S$262:S$271)+SUMIF($B$262:$B$271,N287,P$262:P$271)+SUMIF($B$262:$B$271,N287,M$262:M$271)+SUMIF($B$262:$B$271,N287,J$262:J$271)+SUMIF($B$262:$B$271,N287,G$262:G$271)+SUMIF($B$262:$B$271,N287,D$262:D$271)</f>
        <v>0</v>
      </c>
      <c r="Q287" s="1573"/>
      <c r="R287" s="1574"/>
      <c r="S287" s="33"/>
      <c r="T287" s="1572">
        <f t="shared" ref="T287:T293" si="70">SUMIF($B$262:$B$271,W287,Y$262:Y$271)+SUMIF($B$262:$B$271,W287,V$262:V$271)+SUMIF($B$262:$B$271,W287,S$262:S$271)+SUMIF($B$262:$B$271,W287,P$262:P$271)+SUMIF($B$262:$B$271,W287,M$262:M$271)+SUMIF($B$262:$B$271,W287,J$262:J$271)+SUMIF($B$262:$B$271,W287,G$262:G$271)+SUMIF($B$262:$B$271,W287,D$262:D$271)</f>
        <v>0</v>
      </c>
      <c r="U287" s="1573"/>
      <c r="V287" s="1574"/>
      <c r="W287" s="1548" t="str">
        <f>SET!G$1</f>
        <v>..-..-..</v>
      </c>
      <c r="X287" s="1619"/>
      <c r="Y287" s="1572">
        <f t="shared" ref="Y287:Y293" si="71">SUMIF($B$262:$B$271,W287,AB$262:AB$271)+SUMIF($B$262:$B$271,W287,Y$262:Y$271)+SUMIF($B$262:$B$271,W287,V$262:V$271)+SUMIF($B$262:$B$271,W287,S$262:S$271)+SUMIF($B$262:$B$271,W287,P$262:P$271)+SUMIF($B$262:$B$271,W287,M$262:M$271)+SUMIF($B$262:$B$271,W287,J$262:J$271)+SUMIF($B$262:$B$271,W287,G$262:G$271)+SUMIF($B$262:$B$271,W287,D$262:D$271)</f>
        <v>0</v>
      </c>
      <c r="Z287" s="1573"/>
      <c r="AA287" s="1574"/>
      <c r="AB287" s="33"/>
      <c r="AC287" s="1572">
        <f t="shared" ref="AC287:AC293" si="72">SUMIF($B$262:$B$271,AF287,AB$262:AB$271)+SUMIF($B$262:$B$271,AF287,Y$262:Y$271)+SUMIF($B$262:$B$271,AF287,V$262:V$271)+SUMIF($B$262:$B$271,AF287,S$262:S$271)+SUMIF($B$262:$B$271,AF287,P$262:P$271)+SUMIF($B$262:$B$271,AF287,M$262:M$271)+SUMIF($B$262:$B$271,AF287,J$262:J$271)+SUMIF($B$262:$B$271,AF287,G$262:G$271)+SUMIF($B$262:$B$271,AF287,D$262:D$271)</f>
        <v>0</v>
      </c>
      <c r="AD287" s="1573"/>
      <c r="AE287" s="1574"/>
      <c r="AF287" s="1548" t="str">
        <f>OTT!G$1</f>
        <v>..-..-..</v>
      </c>
      <c r="AG287" s="1619"/>
      <c r="AH287" s="1572">
        <f t="shared" ref="AH287:AH293" si="73">SUMIF($B$262:$B$271,AF287,AE$262:AE$271)+SUMIF($B$262:$B$271,AF287,AB$262:AB$271)+SUMIF($B$262:$B$271,AF287,Y$262:Y$271)+SUMIF($B$262:$B$271,AF287,V$262:V$271)+SUMIF($B$262:$B$271,AF287,S$262:S$271)+SUMIF($B$262:$B$271,AF287,P$262:P$271)+SUMIF($B$262:$B$271,AF287,M$262:M$271)+SUMIF($B$262:$B$271,AF287,J$262:J$271)+SUMIF($B$262:$B$271,AF287,G$262:G$271)+SUMIF($B$262:$B$271,AF287,D$262:D$271)</f>
        <v>0</v>
      </c>
      <c r="AI287" s="1573"/>
      <c r="AJ287" s="1574"/>
      <c r="AK287" s="33"/>
      <c r="AL287" s="1572">
        <f t="shared" ref="AL287:AL293" si="74">SUMIF($B$262:$B$271,AO287,AE$262:AE$271)+SUMIF($B$262:$B$271,AO287,AB$262:AB$271)+SUMIF($B$262:$B$271,AO287,Y$262:Y$271)+SUMIF($B$262:$B$271,AO287,V$262:V$271)+SUMIF($B$262:$B$271,AO287,S$262:S$271)+SUMIF($B$262:$B$271,AO287,P$262:P$271)+SUMIF($B$262:$B$271,AO287,M$262:M$271)+SUMIF($B$262:$B$271,AO287,J$262:J$271)+SUMIF($B$262:$B$271,AO287,G$262:G$271)+SUMIF($B$262:$B$271,AO287,D$262:D$271)</f>
        <v>0</v>
      </c>
      <c r="AM287" s="1573"/>
      <c r="AN287" s="1574"/>
      <c r="AO287" s="1548" t="str">
        <f>NOV!G$1</f>
        <v>..-..-..</v>
      </c>
      <c r="AP287" s="1619"/>
      <c r="AQ287" s="1572">
        <f t="shared" ref="AQ287:AQ293" si="75">SUMIF($B$262:$B$271,AO287,AH$262:AH$271)+SUMIF($B$262:$B$271,AO287,AE$262:AE$271)+SUMIF($B$262:$B$271,AO287,AB$262:AB$271)+SUMIF($B$262:$B$271,AO287,Y$262:Y$271)+SUMIF($B$262:$B$271,AO287,V$262:V$271)+SUMIF($B$262:$B$271,AO287,S$262:S$271)+SUMIF($B$262:$B$271,AO287,P$262:P$271)+SUMIF($B$262:$B$271,AO287,M$262:M$271)+SUMIF($B$262:$B$271,AO287,J$262:J$271)+SUMIF($B$262:$B$271,AO287,G$262:G$271)+SUMIF($B$262:$B$271,AO287,D$262:D$271)</f>
        <v>0</v>
      </c>
      <c r="AR287" s="1573"/>
      <c r="AS287" s="1574"/>
      <c r="AT287" s="33"/>
      <c r="AU287" s="1572">
        <f t="shared" ref="AU287:AU293" si="76">SUMIF($B$262:$B$271,AX287,AH$262:AH$271)+SUMIF($B$262:$B$271,AX287,AE$262:AE$271)+SUMIF($B$262:$B$271,AX287,AB$262:AB$271)+SUMIF($B$262:$B$271,AX287,Y$262:Y$271)+SUMIF($B$262:$B$271,AX287,V$262:V$271)+SUMIF($B$262:$B$271,AX287,S$262:S$271)+SUMIF($B$262:$B$271,AX287,P$262:P$271)+SUMIF($B$262:$B$271,AX287,M$262:M$271)+SUMIF($B$262:$B$271,AX287,J$262:J$271)+SUMIF($B$262:$B$271,AX287,G$262:G$271)+SUMIF($B$262:$B$271,AX287,D$262:D$271)</f>
        <v>0</v>
      </c>
      <c r="AV287" s="1573"/>
      <c r="AW287" s="1574"/>
      <c r="AX287" s="1548" t="str">
        <f>DIC!G$1</f>
        <v>..-..-..</v>
      </c>
      <c r="AY287" s="1619"/>
      <c r="AZ287" s="1572">
        <f t="shared" ref="AZ287:AZ293" si="77">SUMIF($B$262:$B$271,AX287,AK$262:AK$271)+SUMIF($B$262:$B$271,AX287,AH$262:AH$271)+SUMIF($B$262:$B$271,AX287,AE$262:AE$271)+SUMIF($B$262:$B$271,AX287,AB$262:AB$271)+SUMIF($B$262:$B$271,AX287,Y$262:Y$271)+SUMIF($B$262:$B$271,AX287,V$262:V$271)+SUMIF($B$262:$B$271,AX287,S$262:S$271)+SUMIF($B$262:$B$271,AX287,P$262:P$271)+SUMIF($B$262:$B$271,AX287,M$262:M$271)+SUMIF($B$262:$B$271,AX287,J$262:J$271)+SUMIF($B$262:$B$271,AX287,G$262:G$271)+SUMIF($B$262:$B$271,AX287,D$262:D$271)</f>
        <v>0</v>
      </c>
      <c r="BA287" s="1573"/>
      <c r="BB287" s="1574"/>
      <c r="BC287" s="33"/>
      <c r="BD287" s="1138">
        <v>12</v>
      </c>
      <c r="BE287" s="1140" t="str">
        <f>AX287</f>
        <v>..-..-..</v>
      </c>
      <c r="BF287" s="1140" t="str">
        <f>AX288</f>
        <v>..-..-..</v>
      </c>
      <c r="BG287" s="1140" t="str">
        <f>AX289</f>
        <v>..-..-..</v>
      </c>
      <c r="BH287" s="1139" t="str">
        <f>AX290</f>
        <v>..-..-..</v>
      </c>
      <c r="BI287" s="1139" t="str">
        <f>AX291</f>
        <v>..-..-..</v>
      </c>
      <c r="BJ287" s="1139" t="str">
        <f>AX292</f>
        <v>..-..-..</v>
      </c>
      <c r="BK287" s="1148" t="str">
        <f>AX293</f>
        <v>..-..-..</v>
      </c>
      <c r="BL287" s="648"/>
    </row>
    <row r="288" spans="1:64" ht="18" hidden="1" customHeight="1" x14ac:dyDescent="0.2">
      <c r="A288" s="33"/>
      <c r="B288" s="1572">
        <f t="shared" si="66"/>
        <v>0</v>
      </c>
      <c r="C288" s="1573"/>
      <c r="D288" s="1574"/>
      <c r="E288" s="1548" t="str">
        <f>LUG!H$1</f>
        <v>..-..-..</v>
      </c>
      <c r="F288" s="1619"/>
      <c r="G288" s="1572">
        <f t="shared" si="67"/>
        <v>0</v>
      </c>
      <c r="H288" s="1573"/>
      <c r="I288" s="1574"/>
      <c r="J288" s="33"/>
      <c r="K288" s="1572">
        <f t="shared" si="68"/>
        <v>0</v>
      </c>
      <c r="L288" s="1573"/>
      <c r="M288" s="1574"/>
      <c r="N288" s="1548" t="str">
        <f>AGO!H$1</f>
        <v>..-..-..</v>
      </c>
      <c r="O288" s="1619"/>
      <c r="P288" s="1572">
        <f t="shared" si="69"/>
        <v>0</v>
      </c>
      <c r="Q288" s="1573"/>
      <c r="R288" s="1574"/>
      <c r="S288" s="33"/>
      <c r="T288" s="1572">
        <f t="shared" si="70"/>
        <v>0</v>
      </c>
      <c r="U288" s="1573"/>
      <c r="V288" s="1574"/>
      <c r="W288" s="1548" t="str">
        <f>SET!H$1</f>
        <v>..-..-..</v>
      </c>
      <c r="X288" s="1619"/>
      <c r="Y288" s="1572">
        <f t="shared" si="71"/>
        <v>0</v>
      </c>
      <c r="Z288" s="1573"/>
      <c r="AA288" s="1574"/>
      <c r="AB288" s="33"/>
      <c r="AC288" s="1572">
        <f t="shared" si="72"/>
        <v>0</v>
      </c>
      <c r="AD288" s="1573"/>
      <c r="AE288" s="1574"/>
      <c r="AF288" s="1548" t="str">
        <f>OTT!H$1</f>
        <v>..-..-..</v>
      </c>
      <c r="AG288" s="1619"/>
      <c r="AH288" s="1572">
        <f t="shared" si="73"/>
        <v>0</v>
      </c>
      <c r="AI288" s="1573"/>
      <c r="AJ288" s="1574"/>
      <c r="AK288" s="33"/>
      <c r="AL288" s="1572">
        <f t="shared" si="74"/>
        <v>0</v>
      </c>
      <c r="AM288" s="1573"/>
      <c r="AN288" s="1574"/>
      <c r="AO288" s="1548" t="str">
        <f>NOV!H$1</f>
        <v>..-..-..</v>
      </c>
      <c r="AP288" s="1619"/>
      <c r="AQ288" s="1572">
        <f t="shared" si="75"/>
        <v>0</v>
      </c>
      <c r="AR288" s="1573"/>
      <c r="AS288" s="1574"/>
      <c r="AT288" s="33"/>
      <c r="AU288" s="1572">
        <f t="shared" si="76"/>
        <v>0</v>
      </c>
      <c r="AV288" s="1573"/>
      <c r="AW288" s="1574"/>
      <c r="AX288" s="1548" t="str">
        <f>DIC!H$1</f>
        <v>..-..-..</v>
      </c>
      <c r="AY288" s="1619"/>
      <c r="AZ288" s="1572">
        <f t="shared" si="77"/>
        <v>0</v>
      </c>
      <c r="BA288" s="1573"/>
      <c r="BB288" s="1574"/>
      <c r="BC288" s="33"/>
      <c r="BD288" s="684"/>
      <c r="BE288" s="684"/>
      <c r="BF288" s="630"/>
      <c r="BG288" s="630"/>
      <c r="BH288" s="684"/>
      <c r="BI288" s="630"/>
      <c r="BJ288" s="630"/>
      <c r="BK288" s="630"/>
      <c r="BL288" s="630"/>
    </row>
    <row r="289" spans="1:64" ht="18" hidden="1" customHeight="1" x14ac:dyDescent="0.2">
      <c r="A289" s="33"/>
      <c r="B289" s="1572">
        <f t="shared" si="66"/>
        <v>0</v>
      </c>
      <c r="C289" s="1573"/>
      <c r="D289" s="1574"/>
      <c r="E289" s="1548" t="str">
        <f>LUG!I$1</f>
        <v>..-..-..</v>
      </c>
      <c r="F289" s="1619"/>
      <c r="G289" s="1572">
        <f t="shared" si="67"/>
        <v>0</v>
      </c>
      <c r="H289" s="1573"/>
      <c r="I289" s="1574"/>
      <c r="J289" s="33"/>
      <c r="K289" s="1572">
        <f t="shared" si="68"/>
        <v>0</v>
      </c>
      <c r="L289" s="1573"/>
      <c r="M289" s="1574"/>
      <c r="N289" s="1548" t="str">
        <f>AGO!I$1</f>
        <v>..-..-..</v>
      </c>
      <c r="O289" s="1619"/>
      <c r="P289" s="1572">
        <f t="shared" si="69"/>
        <v>0</v>
      </c>
      <c r="Q289" s="1573"/>
      <c r="R289" s="1574"/>
      <c r="S289" s="33"/>
      <c r="T289" s="1572">
        <f t="shared" si="70"/>
        <v>0</v>
      </c>
      <c r="U289" s="1573"/>
      <c r="V289" s="1574"/>
      <c r="W289" s="1548" t="str">
        <f>SET!I$1</f>
        <v>..-..-..</v>
      </c>
      <c r="X289" s="1619"/>
      <c r="Y289" s="1572">
        <f t="shared" si="71"/>
        <v>0</v>
      </c>
      <c r="Z289" s="1573"/>
      <c r="AA289" s="1574"/>
      <c r="AB289" s="33"/>
      <c r="AC289" s="1572">
        <f t="shared" si="72"/>
        <v>0</v>
      </c>
      <c r="AD289" s="1573"/>
      <c r="AE289" s="1574"/>
      <c r="AF289" s="1548" t="str">
        <f>OTT!I$1</f>
        <v>..-..-..</v>
      </c>
      <c r="AG289" s="1619"/>
      <c r="AH289" s="1572">
        <f t="shared" si="73"/>
        <v>0</v>
      </c>
      <c r="AI289" s="1573"/>
      <c r="AJ289" s="1574"/>
      <c r="AK289" s="33"/>
      <c r="AL289" s="1572">
        <f t="shared" si="74"/>
        <v>0</v>
      </c>
      <c r="AM289" s="1573"/>
      <c r="AN289" s="1574"/>
      <c r="AO289" s="1548" t="str">
        <f>NOV!I$1</f>
        <v>..-..-..</v>
      </c>
      <c r="AP289" s="1619"/>
      <c r="AQ289" s="1572">
        <f t="shared" si="75"/>
        <v>0</v>
      </c>
      <c r="AR289" s="1573"/>
      <c r="AS289" s="1574"/>
      <c r="AT289" s="33"/>
      <c r="AU289" s="1572">
        <f t="shared" si="76"/>
        <v>0</v>
      </c>
      <c r="AV289" s="1573"/>
      <c r="AW289" s="1574"/>
      <c r="AX289" s="1548" t="str">
        <f>DIC!I$1</f>
        <v>..-..-..</v>
      </c>
      <c r="AY289" s="1619"/>
      <c r="AZ289" s="1572">
        <f t="shared" si="77"/>
        <v>0</v>
      </c>
      <c r="BA289" s="1573"/>
      <c r="BB289" s="1574"/>
      <c r="BC289" s="33"/>
      <c r="BD289" s="1138">
        <v>1</v>
      </c>
      <c r="BE289" s="1149">
        <f>GEN!BA$4</f>
        <v>1000</v>
      </c>
      <c r="BF289" s="1149">
        <f>GEN!BB$4</f>
        <v>0</v>
      </c>
      <c r="BG289" s="1149">
        <f>GEN!BC$4</f>
        <v>0</v>
      </c>
      <c r="BH289" s="1149">
        <f>GEN!BD$4</f>
        <v>0</v>
      </c>
      <c r="BI289" s="1149">
        <f>GEN!BE$4</f>
        <v>0</v>
      </c>
      <c r="BJ289" s="1149">
        <f>GEN!BF$4</f>
        <v>0</v>
      </c>
      <c r="BK289" s="1150">
        <f>GEN!BG$4</f>
        <v>0</v>
      </c>
      <c r="BL289" s="630"/>
    </row>
    <row r="290" spans="1:64" ht="18" hidden="1" customHeight="1" x14ac:dyDescent="0.2">
      <c r="A290" s="33"/>
      <c r="B290" s="1572">
        <f t="shared" si="66"/>
        <v>0</v>
      </c>
      <c r="C290" s="1573"/>
      <c r="D290" s="1574"/>
      <c r="E290" s="1548" t="str">
        <f>LUG!J$1</f>
        <v>..-..-..</v>
      </c>
      <c r="F290" s="1619"/>
      <c r="G290" s="1572">
        <f t="shared" si="67"/>
        <v>0</v>
      </c>
      <c r="H290" s="1573"/>
      <c r="I290" s="1574"/>
      <c r="J290" s="33"/>
      <c r="K290" s="1572">
        <f t="shared" si="68"/>
        <v>0</v>
      </c>
      <c r="L290" s="1573"/>
      <c r="M290" s="1574"/>
      <c r="N290" s="1548" t="str">
        <f>AGO!J$1</f>
        <v>..-..-..</v>
      </c>
      <c r="O290" s="1619"/>
      <c r="P290" s="1572">
        <f t="shared" si="69"/>
        <v>0</v>
      </c>
      <c r="Q290" s="1573"/>
      <c r="R290" s="1574"/>
      <c r="S290" s="33"/>
      <c r="T290" s="1572">
        <f t="shared" si="70"/>
        <v>0</v>
      </c>
      <c r="U290" s="1573"/>
      <c r="V290" s="1574"/>
      <c r="W290" s="1548" t="str">
        <f>SET!J$1</f>
        <v>..-..-..</v>
      </c>
      <c r="X290" s="1619"/>
      <c r="Y290" s="1572">
        <f t="shared" si="71"/>
        <v>0</v>
      </c>
      <c r="Z290" s="1573"/>
      <c r="AA290" s="1574"/>
      <c r="AB290" s="33"/>
      <c r="AC290" s="1572">
        <f t="shared" si="72"/>
        <v>0</v>
      </c>
      <c r="AD290" s="1573"/>
      <c r="AE290" s="1574"/>
      <c r="AF290" s="1548" t="str">
        <f>OTT!J$1</f>
        <v>..-..-..</v>
      </c>
      <c r="AG290" s="1619"/>
      <c r="AH290" s="1572">
        <f t="shared" si="73"/>
        <v>0</v>
      </c>
      <c r="AI290" s="1573"/>
      <c r="AJ290" s="1574"/>
      <c r="AK290" s="33"/>
      <c r="AL290" s="1572">
        <f t="shared" si="74"/>
        <v>0</v>
      </c>
      <c r="AM290" s="1573"/>
      <c r="AN290" s="1574"/>
      <c r="AO290" s="1548" t="str">
        <f>NOV!J$1</f>
        <v>..-..-..</v>
      </c>
      <c r="AP290" s="1619"/>
      <c r="AQ290" s="1572">
        <f t="shared" si="75"/>
        <v>0</v>
      </c>
      <c r="AR290" s="1573"/>
      <c r="AS290" s="1574"/>
      <c r="AT290" s="33"/>
      <c r="AU290" s="1572">
        <f t="shared" si="76"/>
        <v>0</v>
      </c>
      <c r="AV290" s="1573"/>
      <c r="AW290" s="1574"/>
      <c r="AX290" s="1548" t="str">
        <f>DIC!J$1</f>
        <v>..-..-..</v>
      </c>
      <c r="AY290" s="1619"/>
      <c r="AZ290" s="1572">
        <f t="shared" si="77"/>
        <v>0</v>
      </c>
      <c r="BA290" s="1573"/>
      <c r="BB290" s="1574"/>
      <c r="BC290" s="33"/>
      <c r="BD290" s="1138">
        <v>2</v>
      </c>
      <c r="BE290" s="1149">
        <f>FEB!BA$4</f>
        <v>0</v>
      </c>
      <c r="BF290" s="1149">
        <f>FEB!BB$4</f>
        <v>0</v>
      </c>
      <c r="BG290" s="1149">
        <f>FEB!BC$4</f>
        <v>0</v>
      </c>
      <c r="BH290" s="1149">
        <f>FEB!BD$4</f>
        <v>0</v>
      </c>
      <c r="BI290" s="1149">
        <f>FEB!BE$4</f>
        <v>0</v>
      </c>
      <c r="BJ290" s="1149">
        <f>FEB!BF$4</f>
        <v>0</v>
      </c>
      <c r="BK290" s="1150">
        <f>FEB!BG$4</f>
        <v>0</v>
      </c>
      <c r="BL290" s="630"/>
    </row>
    <row r="291" spans="1:64" ht="18" hidden="1" customHeight="1" x14ac:dyDescent="0.2">
      <c r="A291" s="33"/>
      <c r="B291" s="1572">
        <f t="shared" si="66"/>
        <v>0</v>
      </c>
      <c r="C291" s="1573"/>
      <c r="D291" s="1574"/>
      <c r="E291" s="1548" t="str">
        <f>LUG!K$1</f>
        <v>..-..-..</v>
      </c>
      <c r="F291" s="1619"/>
      <c r="G291" s="1572">
        <f t="shared" si="67"/>
        <v>0</v>
      </c>
      <c r="H291" s="1573"/>
      <c r="I291" s="1574"/>
      <c r="J291" s="33"/>
      <c r="K291" s="1572">
        <f t="shared" si="68"/>
        <v>0</v>
      </c>
      <c r="L291" s="1573"/>
      <c r="M291" s="1574"/>
      <c r="N291" s="1548" t="str">
        <f>AGO!K$1</f>
        <v>..-..-..</v>
      </c>
      <c r="O291" s="1619"/>
      <c r="P291" s="1572">
        <f t="shared" si="69"/>
        <v>0</v>
      </c>
      <c r="Q291" s="1573"/>
      <c r="R291" s="1574"/>
      <c r="S291" s="33"/>
      <c r="T291" s="1572">
        <f t="shared" si="70"/>
        <v>0</v>
      </c>
      <c r="U291" s="1573"/>
      <c r="V291" s="1574"/>
      <c r="W291" s="1548" t="str">
        <f>SET!K$1</f>
        <v>..-..-..</v>
      </c>
      <c r="X291" s="1619"/>
      <c r="Y291" s="1572">
        <f t="shared" si="71"/>
        <v>0</v>
      </c>
      <c r="Z291" s="1573"/>
      <c r="AA291" s="1574"/>
      <c r="AB291" s="33"/>
      <c r="AC291" s="1572">
        <f t="shared" si="72"/>
        <v>0</v>
      </c>
      <c r="AD291" s="1573"/>
      <c r="AE291" s="1574"/>
      <c r="AF291" s="1548" t="str">
        <f>OTT!K$1</f>
        <v>..-..-..</v>
      </c>
      <c r="AG291" s="1619"/>
      <c r="AH291" s="1572">
        <f t="shared" si="73"/>
        <v>0</v>
      </c>
      <c r="AI291" s="1573"/>
      <c r="AJ291" s="1574"/>
      <c r="AK291" s="33"/>
      <c r="AL291" s="1572">
        <f t="shared" si="74"/>
        <v>0</v>
      </c>
      <c r="AM291" s="1573"/>
      <c r="AN291" s="1574"/>
      <c r="AO291" s="1548" t="str">
        <f>NOV!K$1</f>
        <v>..-..-..</v>
      </c>
      <c r="AP291" s="1619"/>
      <c r="AQ291" s="1572">
        <f t="shared" si="75"/>
        <v>0</v>
      </c>
      <c r="AR291" s="1573"/>
      <c r="AS291" s="1574"/>
      <c r="AT291" s="33"/>
      <c r="AU291" s="1572">
        <f t="shared" si="76"/>
        <v>0</v>
      </c>
      <c r="AV291" s="1573"/>
      <c r="AW291" s="1574"/>
      <c r="AX291" s="1548" t="str">
        <f>DIC!K$1</f>
        <v>..-..-..</v>
      </c>
      <c r="AY291" s="1619"/>
      <c r="AZ291" s="1572">
        <f t="shared" si="77"/>
        <v>0</v>
      </c>
      <c r="BA291" s="1573"/>
      <c r="BB291" s="1574"/>
      <c r="BC291" s="1324"/>
      <c r="BD291" s="1138">
        <v>3</v>
      </c>
      <c r="BE291" s="1149">
        <f>MAR!BA$4</f>
        <v>0</v>
      </c>
      <c r="BF291" s="1149">
        <f>MAR!BB$4</f>
        <v>0</v>
      </c>
      <c r="BG291" s="1149">
        <f>MAR!BC$4</f>
        <v>0</v>
      </c>
      <c r="BH291" s="1149">
        <f>MAR!BD$4</f>
        <v>0</v>
      </c>
      <c r="BI291" s="1149">
        <f>MAR!BE$4</f>
        <v>0</v>
      </c>
      <c r="BJ291" s="1149">
        <f>MAR!BF$4</f>
        <v>0</v>
      </c>
      <c r="BK291" s="1150">
        <f>MAR!BG$4</f>
        <v>0</v>
      </c>
      <c r="BL291" s="630"/>
    </row>
    <row r="292" spans="1:64" ht="18" hidden="1" customHeight="1" x14ac:dyDescent="0.2">
      <c r="A292" s="33"/>
      <c r="B292" s="1572">
        <f t="shared" si="66"/>
        <v>0</v>
      </c>
      <c r="C292" s="1573"/>
      <c r="D292" s="1574"/>
      <c r="E292" s="1548" t="str">
        <f>LUG!L$1</f>
        <v>..-..-..</v>
      </c>
      <c r="F292" s="1619"/>
      <c r="G292" s="1572">
        <f t="shared" si="67"/>
        <v>0</v>
      </c>
      <c r="H292" s="1573"/>
      <c r="I292" s="1574"/>
      <c r="J292" s="33"/>
      <c r="K292" s="1572">
        <f t="shared" si="68"/>
        <v>0</v>
      </c>
      <c r="L292" s="1573"/>
      <c r="M292" s="1574"/>
      <c r="N292" s="1548" t="str">
        <f>AGO!L$1</f>
        <v>..-..-..</v>
      </c>
      <c r="O292" s="1619"/>
      <c r="P292" s="1572">
        <f t="shared" si="69"/>
        <v>0</v>
      </c>
      <c r="Q292" s="1573"/>
      <c r="R292" s="1574"/>
      <c r="S292" s="33"/>
      <c r="T292" s="1572">
        <f t="shared" si="70"/>
        <v>0</v>
      </c>
      <c r="U292" s="1573"/>
      <c r="V292" s="1574"/>
      <c r="W292" s="1548" t="str">
        <f>SET!L$1</f>
        <v>..-..-..</v>
      </c>
      <c r="X292" s="1619"/>
      <c r="Y292" s="1572">
        <f t="shared" si="71"/>
        <v>0</v>
      </c>
      <c r="Z292" s="1573"/>
      <c r="AA292" s="1574"/>
      <c r="AB292" s="33"/>
      <c r="AC292" s="1572">
        <f t="shared" si="72"/>
        <v>0</v>
      </c>
      <c r="AD292" s="1573"/>
      <c r="AE292" s="1574"/>
      <c r="AF292" s="1548" t="str">
        <f>OTT!L$1</f>
        <v>..-..-..</v>
      </c>
      <c r="AG292" s="1619"/>
      <c r="AH292" s="1572">
        <f t="shared" si="73"/>
        <v>0</v>
      </c>
      <c r="AI292" s="1573"/>
      <c r="AJ292" s="1574"/>
      <c r="AK292" s="33"/>
      <c r="AL292" s="1572">
        <f t="shared" si="74"/>
        <v>0</v>
      </c>
      <c r="AM292" s="1573"/>
      <c r="AN292" s="1574"/>
      <c r="AO292" s="1548" t="str">
        <f>NOV!L$1</f>
        <v>..-..-..</v>
      </c>
      <c r="AP292" s="1619"/>
      <c r="AQ292" s="1572">
        <f t="shared" si="75"/>
        <v>0</v>
      </c>
      <c r="AR292" s="1573"/>
      <c r="AS292" s="1574"/>
      <c r="AT292" s="33"/>
      <c r="AU292" s="1572">
        <f t="shared" si="76"/>
        <v>0</v>
      </c>
      <c r="AV292" s="1573"/>
      <c r="AW292" s="1574"/>
      <c r="AX292" s="1548" t="str">
        <f>DIC!L$1</f>
        <v>..-..-..</v>
      </c>
      <c r="AY292" s="1619"/>
      <c r="AZ292" s="1572">
        <f t="shared" si="77"/>
        <v>0</v>
      </c>
      <c r="BA292" s="1573"/>
      <c r="BB292" s="1574"/>
      <c r="BC292" s="1324"/>
      <c r="BD292" s="1138">
        <v>4</v>
      </c>
      <c r="BE292" s="1149">
        <f>APR!BA$4</f>
        <v>0</v>
      </c>
      <c r="BF292" s="1149">
        <f>APR!BB$4</f>
        <v>0</v>
      </c>
      <c r="BG292" s="1149">
        <f>APR!BC$4</f>
        <v>0</v>
      </c>
      <c r="BH292" s="1149">
        <f>APR!BD$4</f>
        <v>0</v>
      </c>
      <c r="BI292" s="1149">
        <f>APR!BE$4</f>
        <v>0</v>
      </c>
      <c r="BJ292" s="1149">
        <f>APR!BF$4</f>
        <v>0</v>
      </c>
      <c r="BK292" s="1150">
        <f>APR!BG$4</f>
        <v>0</v>
      </c>
      <c r="BL292" s="630"/>
    </row>
    <row r="293" spans="1:64" ht="18" hidden="1" customHeight="1" x14ac:dyDescent="0.2">
      <c r="A293" s="33"/>
      <c r="B293" s="1572">
        <f t="shared" si="66"/>
        <v>0</v>
      </c>
      <c r="C293" s="1573"/>
      <c r="D293" s="1574"/>
      <c r="E293" s="1548" t="str">
        <f>LUG!M$1</f>
        <v>..-..-..</v>
      </c>
      <c r="F293" s="1619"/>
      <c r="G293" s="1572">
        <f t="shared" si="67"/>
        <v>0</v>
      </c>
      <c r="H293" s="1573"/>
      <c r="I293" s="1574"/>
      <c r="J293" s="33"/>
      <c r="K293" s="1572">
        <f t="shared" si="68"/>
        <v>0</v>
      </c>
      <c r="L293" s="1573"/>
      <c r="M293" s="1574"/>
      <c r="N293" s="1548" t="str">
        <f>AGO!M$1</f>
        <v>..-..-..</v>
      </c>
      <c r="O293" s="1619"/>
      <c r="P293" s="1572">
        <f t="shared" si="69"/>
        <v>0</v>
      </c>
      <c r="Q293" s="1573"/>
      <c r="R293" s="1574"/>
      <c r="S293" s="33"/>
      <c r="T293" s="1572">
        <f t="shared" si="70"/>
        <v>0</v>
      </c>
      <c r="U293" s="1573"/>
      <c r="V293" s="1574"/>
      <c r="W293" s="1548" t="str">
        <f>SET!M$1</f>
        <v>..-..-..</v>
      </c>
      <c r="X293" s="1619"/>
      <c r="Y293" s="1572">
        <f t="shared" si="71"/>
        <v>0</v>
      </c>
      <c r="Z293" s="1573"/>
      <c r="AA293" s="1574"/>
      <c r="AB293" s="33"/>
      <c r="AC293" s="1572">
        <f t="shared" si="72"/>
        <v>0</v>
      </c>
      <c r="AD293" s="1573"/>
      <c r="AE293" s="1574"/>
      <c r="AF293" s="1548" t="str">
        <f>OTT!M$1</f>
        <v>..-..-..</v>
      </c>
      <c r="AG293" s="1619"/>
      <c r="AH293" s="1572">
        <f t="shared" si="73"/>
        <v>0</v>
      </c>
      <c r="AI293" s="1573"/>
      <c r="AJ293" s="1574"/>
      <c r="AK293" s="33"/>
      <c r="AL293" s="1572">
        <f t="shared" si="74"/>
        <v>0</v>
      </c>
      <c r="AM293" s="1573"/>
      <c r="AN293" s="1574"/>
      <c r="AO293" s="1548" t="str">
        <f>NOV!M$1</f>
        <v>..-..-..</v>
      </c>
      <c r="AP293" s="1619"/>
      <c r="AQ293" s="1572">
        <f t="shared" si="75"/>
        <v>0</v>
      </c>
      <c r="AR293" s="1573"/>
      <c r="AS293" s="1574"/>
      <c r="AT293" s="33"/>
      <c r="AU293" s="1572">
        <f t="shared" si="76"/>
        <v>0</v>
      </c>
      <c r="AV293" s="1573"/>
      <c r="AW293" s="1574"/>
      <c r="AX293" s="1548" t="str">
        <f>DIC!M$1</f>
        <v>..-..-..</v>
      </c>
      <c r="AY293" s="1619"/>
      <c r="AZ293" s="1572">
        <f t="shared" si="77"/>
        <v>0</v>
      </c>
      <c r="BA293" s="1573"/>
      <c r="BB293" s="1574"/>
      <c r="BC293" s="1324"/>
      <c r="BD293" s="1138">
        <v>5</v>
      </c>
      <c r="BE293" s="1149">
        <f>MAG!BA$4</f>
        <v>0</v>
      </c>
      <c r="BF293" s="1149">
        <f>MAG!BB$4</f>
        <v>0</v>
      </c>
      <c r="BG293" s="1149">
        <f>MAG!BC$4</f>
        <v>0</v>
      </c>
      <c r="BH293" s="1149">
        <f>MAG!BD$4</f>
        <v>0</v>
      </c>
      <c r="BI293" s="1149">
        <f>MAG!BE$4</f>
        <v>0</v>
      </c>
      <c r="BJ293" s="1149">
        <f>MAG!BF$4</f>
        <v>0</v>
      </c>
      <c r="BK293" s="1150">
        <f>MAG!BG$4</f>
        <v>0</v>
      </c>
      <c r="BL293" s="630"/>
    </row>
    <row r="294" spans="1:64" ht="18" hidden="1" customHeight="1" x14ac:dyDescent="0.2">
      <c r="A294" s="33"/>
      <c r="B294" s="1605">
        <f>SUM(B287:D293)</f>
        <v>0</v>
      </c>
      <c r="C294" s="1606"/>
      <c r="D294" s="1607"/>
      <c r="E294" s="33"/>
      <c r="F294" s="33"/>
      <c r="G294" s="1605">
        <f>SUM(G287:I293)</f>
        <v>0</v>
      </c>
      <c r="H294" s="1606"/>
      <c r="I294" s="1607"/>
      <c r="J294" s="33"/>
      <c r="K294" s="1605">
        <f>SUM(K287:M293)</f>
        <v>0</v>
      </c>
      <c r="L294" s="1606"/>
      <c r="M294" s="1607"/>
      <c r="N294" s="127"/>
      <c r="O294" s="127"/>
      <c r="P294" s="1605">
        <f>SUM(P287:R293)</f>
        <v>0</v>
      </c>
      <c r="Q294" s="1606"/>
      <c r="R294" s="1607"/>
      <c r="S294" s="33"/>
      <c r="T294" s="1605">
        <f>SUM(T287:V293)</f>
        <v>0</v>
      </c>
      <c r="U294" s="1606"/>
      <c r="V294" s="1607"/>
      <c r="W294" s="127"/>
      <c r="X294" s="127"/>
      <c r="Y294" s="1605">
        <f>SUM(Y287:AA293)</f>
        <v>0</v>
      </c>
      <c r="Z294" s="1606"/>
      <c r="AA294" s="1607"/>
      <c r="AB294" s="33"/>
      <c r="AC294" s="1605">
        <f>SUM(AC287:AE293)</f>
        <v>0</v>
      </c>
      <c r="AD294" s="1606"/>
      <c r="AE294" s="1607"/>
      <c r="AF294" s="127"/>
      <c r="AG294" s="127"/>
      <c r="AH294" s="1605">
        <f>SUM(AH287:AJ293)</f>
        <v>0</v>
      </c>
      <c r="AI294" s="1606"/>
      <c r="AJ294" s="1607"/>
      <c r="AK294" s="33"/>
      <c r="AL294" s="1605">
        <f>SUM(AL287:AN293)</f>
        <v>0</v>
      </c>
      <c r="AM294" s="1606"/>
      <c r="AN294" s="1607"/>
      <c r="AO294" s="127"/>
      <c r="AP294" s="127"/>
      <c r="AQ294" s="1605">
        <f>SUM(AQ287:AS293)</f>
        <v>0</v>
      </c>
      <c r="AR294" s="1606"/>
      <c r="AS294" s="1607"/>
      <c r="AT294" s="33"/>
      <c r="AU294" s="1605">
        <f>SUM(AU287:AW293)</f>
        <v>0</v>
      </c>
      <c r="AV294" s="1606"/>
      <c r="AW294" s="1607"/>
      <c r="AX294" s="1324"/>
      <c r="AY294" s="1324"/>
      <c r="AZ294" s="1605">
        <f>SUM(AZ287:BB293)</f>
        <v>0</v>
      </c>
      <c r="BA294" s="1606"/>
      <c r="BB294" s="1607"/>
      <c r="BC294" s="1324"/>
      <c r="BD294" s="1138">
        <v>6</v>
      </c>
      <c r="BE294" s="1149">
        <f>GIU!BA$4</f>
        <v>0</v>
      </c>
      <c r="BF294" s="1149">
        <f>GIU!BB$4</f>
        <v>0</v>
      </c>
      <c r="BG294" s="1149">
        <f>GIU!BC$4</f>
        <v>0</v>
      </c>
      <c r="BH294" s="1149">
        <f>GIU!BD$4</f>
        <v>0</v>
      </c>
      <c r="BI294" s="1149">
        <f>GIU!BE$4</f>
        <v>0</v>
      </c>
      <c r="BJ294" s="1149">
        <f>GIU!BF$4</f>
        <v>0</v>
      </c>
      <c r="BK294" s="1150">
        <f>GIU!BG$4</f>
        <v>0</v>
      </c>
      <c r="BL294" s="630"/>
    </row>
    <row r="295" spans="1:64" ht="18" hidden="1" customHeight="1" x14ac:dyDescent="0.2">
      <c r="A295" s="1324"/>
      <c r="B295" s="33"/>
      <c r="C295" s="33"/>
      <c r="D295" s="33"/>
      <c r="E295" s="33"/>
      <c r="F295" s="33"/>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324"/>
      <c r="AD295" s="1324"/>
      <c r="AE295" s="1324"/>
      <c r="AF295" s="1324"/>
      <c r="AG295" s="1324"/>
      <c r="AH295" s="1324"/>
      <c r="AI295" s="1324"/>
      <c r="AJ295" s="1324"/>
      <c r="AK295" s="1324"/>
      <c r="AL295" s="1324"/>
      <c r="AM295" s="1324"/>
      <c r="AN295" s="33"/>
      <c r="AO295" s="33"/>
      <c r="AP295" s="33"/>
      <c r="AQ295" s="33"/>
      <c r="AR295" s="33"/>
      <c r="AS295" s="33"/>
      <c r="AT295" s="33"/>
      <c r="AU295" s="33"/>
      <c r="AV295" s="33"/>
      <c r="AW295" s="33"/>
      <c r="AX295" s="33"/>
      <c r="AY295" s="33"/>
      <c r="AZ295" s="33"/>
      <c r="BA295" s="33"/>
      <c r="BB295" s="33"/>
      <c r="BC295" s="33"/>
      <c r="BD295" s="1138">
        <v>7</v>
      </c>
      <c r="BE295" s="1149">
        <f>LUG!BA$4</f>
        <v>0</v>
      </c>
      <c r="BF295" s="1149">
        <f>LUG!BB$4</f>
        <v>0</v>
      </c>
      <c r="BG295" s="1149">
        <f>LUG!BC$4</f>
        <v>0</v>
      </c>
      <c r="BH295" s="1149">
        <f>LUG!BD$4</f>
        <v>0</v>
      </c>
      <c r="BI295" s="1149">
        <f>LUG!BE$4</f>
        <v>0</v>
      </c>
      <c r="BJ295" s="1149">
        <f>LUG!BF$4</f>
        <v>0</v>
      </c>
      <c r="BK295" s="1150">
        <f>LUG!BG$4</f>
        <v>0</v>
      </c>
      <c r="BL295" s="630"/>
    </row>
    <row r="296" spans="1:64" ht="18" hidden="1" customHeight="1" x14ac:dyDescent="0.2">
      <c r="A296" s="1324"/>
      <c r="B296" s="33"/>
      <c r="C296" s="33"/>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324"/>
      <c r="AD296" s="1324"/>
      <c r="AE296" s="1324"/>
      <c r="AF296" s="1324"/>
      <c r="AG296" s="1324"/>
      <c r="AH296" s="1324"/>
      <c r="AI296" s="1324"/>
      <c r="AJ296" s="1324"/>
      <c r="AK296" s="1324"/>
      <c r="AL296" s="1324"/>
      <c r="AM296" s="1324"/>
      <c r="AN296" s="33"/>
      <c r="AO296" s="33"/>
      <c r="AP296" s="33"/>
      <c r="AQ296" s="33"/>
      <c r="AR296" s="33"/>
      <c r="AS296" s="33"/>
      <c r="AT296" s="33"/>
      <c r="AU296" s="33"/>
      <c r="AV296" s="33"/>
      <c r="AW296" s="33"/>
      <c r="AX296" s="33"/>
      <c r="AY296" s="33"/>
      <c r="AZ296" s="33"/>
      <c r="BA296" s="33"/>
      <c r="BB296" s="33"/>
      <c r="BC296" s="33"/>
      <c r="BD296" s="1138">
        <v>8</v>
      </c>
      <c r="BE296" s="1149">
        <f>AGO!BA$4</f>
        <v>0</v>
      </c>
      <c r="BF296" s="1149">
        <f>AGO!BB$4</f>
        <v>0</v>
      </c>
      <c r="BG296" s="1149">
        <f>AGO!BC$4</f>
        <v>0</v>
      </c>
      <c r="BH296" s="1149">
        <f>AGO!BD$4</f>
        <v>0</v>
      </c>
      <c r="BI296" s="1149">
        <f>AGO!BE$4</f>
        <v>0</v>
      </c>
      <c r="BJ296" s="1149">
        <f>AGO!BF$4</f>
        <v>0</v>
      </c>
      <c r="BK296" s="1150">
        <f>AGO!BG$4</f>
        <v>0</v>
      </c>
      <c r="BL296" s="630"/>
    </row>
    <row r="297" spans="1:64" ht="18" hidden="1" customHeight="1" x14ac:dyDescent="0.2">
      <c r="A297" s="33"/>
      <c r="B297" s="1679" t="str">
        <f>B276</f>
        <v>Gennaio</v>
      </c>
      <c r="C297" s="1680"/>
      <c r="D297" s="1681"/>
      <c r="E297" s="1547" t="str">
        <f>E276</f>
        <v>INSERITO</v>
      </c>
      <c r="F297" s="1656"/>
      <c r="G297" s="1588" t="str">
        <f>G276</f>
        <v>Gennaio</v>
      </c>
      <c r="H297" s="1589"/>
      <c r="I297" s="1590"/>
      <c r="J297" s="33"/>
      <c r="K297" s="1588" t="str">
        <f>K276</f>
        <v>Febbraio</v>
      </c>
      <c r="L297" s="1589"/>
      <c r="M297" s="1590"/>
      <c r="N297" s="127"/>
      <c r="O297" s="127"/>
      <c r="P297" s="1588" t="str">
        <f>P276</f>
        <v>Febbraio</v>
      </c>
      <c r="Q297" s="1589"/>
      <c r="R297" s="1590"/>
      <c r="S297" s="33"/>
      <c r="T297" s="1588" t="str">
        <f>T276</f>
        <v>Marzo</v>
      </c>
      <c r="U297" s="1589"/>
      <c r="V297" s="1590"/>
      <c r="W297" s="127"/>
      <c r="X297" s="127"/>
      <c r="Y297" s="1588" t="str">
        <f>Y276</f>
        <v>Marzo</v>
      </c>
      <c r="Z297" s="1589"/>
      <c r="AA297" s="1590"/>
      <c r="AB297" s="33"/>
      <c r="AC297" s="1588" t="str">
        <f>AC276</f>
        <v>Aprile</v>
      </c>
      <c r="AD297" s="1589"/>
      <c r="AE297" s="1590"/>
      <c r="AF297" s="127"/>
      <c r="AG297" s="127"/>
      <c r="AH297" s="1588" t="str">
        <f>AH276</f>
        <v>Aprile</v>
      </c>
      <c r="AI297" s="1589"/>
      <c r="AJ297" s="1590"/>
      <c r="AK297" s="33"/>
      <c r="AL297" s="1588" t="str">
        <f>AL276</f>
        <v>Maggio</v>
      </c>
      <c r="AM297" s="1589"/>
      <c r="AN297" s="1590"/>
      <c r="AO297" s="127"/>
      <c r="AP297" s="127"/>
      <c r="AQ297" s="1588" t="str">
        <f>AQ276</f>
        <v>Maggio</v>
      </c>
      <c r="AR297" s="1589"/>
      <c r="AS297" s="1590"/>
      <c r="AT297" s="33"/>
      <c r="AU297" s="1588" t="str">
        <f>AU276</f>
        <v>Giugno</v>
      </c>
      <c r="AV297" s="1589"/>
      <c r="AW297" s="1590"/>
      <c r="AX297" s="127"/>
      <c r="AY297" s="127"/>
      <c r="AZ297" s="1588" t="str">
        <f>AZ276</f>
        <v>Giugno</v>
      </c>
      <c r="BA297" s="1589"/>
      <c r="BB297" s="1590"/>
      <c r="BC297" s="33"/>
      <c r="BD297" s="1138">
        <v>9</v>
      </c>
      <c r="BE297" s="1149">
        <f>SET!BA$4</f>
        <v>0</v>
      </c>
      <c r="BF297" s="1149">
        <f>SET!BB$4</f>
        <v>0</v>
      </c>
      <c r="BG297" s="1149">
        <f>SET!BC$4</f>
        <v>0</v>
      </c>
      <c r="BH297" s="1149">
        <f>SET!BD$4</f>
        <v>0</v>
      </c>
      <c r="BI297" s="1149">
        <f>SET!BE$4</f>
        <v>0</v>
      </c>
      <c r="BJ297" s="1149">
        <f>SET!BF$4</f>
        <v>0</v>
      </c>
      <c r="BK297" s="1150">
        <f>SET!BG$4</f>
        <v>0</v>
      </c>
      <c r="BL297" s="630"/>
    </row>
    <row r="298" spans="1:64" ht="18" hidden="1" customHeight="1" x14ac:dyDescent="0.2">
      <c r="A298" s="33"/>
      <c r="B298" s="1676">
        <v>0</v>
      </c>
      <c r="C298" s="1677"/>
      <c r="D298" s="1678"/>
      <c r="E298" s="1548">
        <f>GEN!$H$88</f>
        <v>0</v>
      </c>
      <c r="F298" s="1619"/>
      <c r="G298" s="1572">
        <f>SUMIF($B$262:$B$271,E298,D$262:D$271)</f>
        <v>0</v>
      </c>
      <c r="H298" s="1573"/>
      <c r="I298" s="1574"/>
      <c r="J298" s="33"/>
      <c r="K298" s="1572">
        <f>SUMIF($B$262:$B$271,N298,D$262:D$271)</f>
        <v>0</v>
      </c>
      <c r="L298" s="1573"/>
      <c r="M298" s="1574"/>
      <c r="N298" s="1548" t="e">
        <f>FEB!$H$88</f>
        <v>#N/A</v>
      </c>
      <c r="O298" s="1619"/>
      <c r="P298" s="1572">
        <f>SUMIF($B$262:$B$271,N298,G$262:G$271)+SUMIF($B$262:$B$271,N298,D$262:D$271)</f>
        <v>0</v>
      </c>
      <c r="Q298" s="1573"/>
      <c r="R298" s="1574"/>
      <c r="S298" s="33"/>
      <c r="T298" s="1572">
        <f>SUMIF($B$262:$B$271,W298,G$262:G$271)+SUMIF($B$262:$B$271,W298,D$262:D$271)</f>
        <v>0</v>
      </c>
      <c r="U298" s="1573"/>
      <c r="V298" s="1574"/>
      <c r="W298" s="1548" t="e">
        <f>MAR!$H$88</f>
        <v>#N/A</v>
      </c>
      <c r="X298" s="1619"/>
      <c r="Y298" s="1572">
        <f>SUMIF($B$262:$B$271,W298,J$262:J$271)+SUMIF($B$262:$B$271,W298,G$262:G$271)+SUMIF($B$262:$B$271,W298,D$262:D$271)</f>
        <v>0</v>
      </c>
      <c r="Z298" s="1573"/>
      <c r="AA298" s="1574"/>
      <c r="AB298" s="33"/>
      <c r="AC298" s="1572">
        <f>SUMIF($B$262:$B$271,AF298,J$262:J$271)+SUMIF($B$262:$B$271,AF298,G$262:G$271)+SUMIF($B$262:$B$271,AF298,D$262:D$271)</f>
        <v>0</v>
      </c>
      <c r="AD298" s="1573"/>
      <c r="AE298" s="1574"/>
      <c r="AF298" s="1548" t="e">
        <f>APR!$H$88</f>
        <v>#N/A</v>
      </c>
      <c r="AG298" s="1619"/>
      <c r="AH298" s="1572">
        <f>SUMIF($B$262:$B$271,AF298,M$262:M$271)+SUMIF($B$262:$B$271,AF298,J$262:J$271)+SUMIF($B$262:$B$271,AF298,G$262:G$271)+SUMIF($B$262:$B$271,AF298,D$262:D$271)</f>
        <v>0</v>
      </c>
      <c r="AI298" s="1573"/>
      <c r="AJ298" s="1574"/>
      <c r="AK298" s="33"/>
      <c r="AL298" s="1572">
        <f>SUMIF($B$262:$B$271,AO298,M$262:M$271)+SUMIF($B$262:$B$271,AO298,J$262:J$271)+SUMIF($B$262:$B$271,AO298,G$262:G$271)+SUMIF($B$262:$B$271,AO298,D$262:D$271)</f>
        <v>0</v>
      </c>
      <c r="AM298" s="1573"/>
      <c r="AN298" s="1574"/>
      <c r="AO298" s="1548" t="e">
        <f>MAG!$H$88</f>
        <v>#N/A</v>
      </c>
      <c r="AP298" s="1619"/>
      <c r="AQ298" s="1572">
        <f>SUMIF($B$262:$B$271,AO298,P$262:P$271)+SUMIF($B$262:$B$271,AO298,M$262:M$271)+SUMIF($B$262:$B$271,AO298,J$262:J$271)+SUMIF($B$262:$B$271,AO298,G$262:G$271)+SUMIF($B$262:$B$271,AO298,D$262:D$271)</f>
        <v>0</v>
      </c>
      <c r="AR298" s="1573"/>
      <c r="AS298" s="1574"/>
      <c r="AT298" s="33"/>
      <c r="AU298" s="1572">
        <f>SUMIF($B$262:$B$271,AX298,P$262:P$271)+SUMIF($B$262:$B$271,AX298,M$262:M$271)+SUMIF($B$262:$B$271,AX298,J$262:J$271)+SUMIF($B$262:$B$271,AX298,G$262:G$271)+SUMIF($B$262:$B$271,AX298,D$262:D$271)</f>
        <v>0</v>
      </c>
      <c r="AV298" s="1573"/>
      <c r="AW298" s="1574"/>
      <c r="AX298" s="1548" t="e">
        <f>GIU!$H$88</f>
        <v>#N/A</v>
      </c>
      <c r="AY298" s="1619"/>
      <c r="AZ298" s="1572">
        <f>SUMIF($B$262:$B$271,AX298,S$262:S$271)+SUMIF($B$262:$B$271,AX298,P$262:P$271)+SUMIF($B$262:$B$271,AX298,M$262:M$271)+SUMIF($B$262:$B$271,AX298,J$262:J$271)+SUMIF($B$262:$B$271,AX298,G$262:G$271)+SUMIF($B$262:$B$271,AX298,D$262:D$271)</f>
        <v>0</v>
      </c>
      <c r="BA298" s="1573"/>
      <c r="BB298" s="1574"/>
      <c r="BC298" s="33"/>
      <c r="BD298" s="1138">
        <v>10</v>
      </c>
      <c r="BE298" s="1149">
        <f>OTT!BA$4</f>
        <v>0</v>
      </c>
      <c r="BF298" s="1149">
        <f>OTT!BB$4</f>
        <v>0</v>
      </c>
      <c r="BG298" s="1149">
        <f>OTT!BC$4</f>
        <v>0</v>
      </c>
      <c r="BH298" s="1149">
        <f>OTT!BD$4</f>
        <v>0</v>
      </c>
      <c r="BI298" s="1149">
        <f>OTT!BE$4</f>
        <v>0</v>
      </c>
      <c r="BJ298" s="1149">
        <f>OTT!BF$4</f>
        <v>0</v>
      </c>
      <c r="BK298" s="1150">
        <f>OTT!BG$4</f>
        <v>0</v>
      </c>
      <c r="BL298" s="630"/>
    </row>
    <row r="299" spans="1:64" ht="18" hidden="1" customHeight="1" x14ac:dyDescent="0.2">
      <c r="A299" s="33"/>
      <c r="B299" s="1676">
        <v>0</v>
      </c>
      <c r="C299" s="1677"/>
      <c r="D299" s="1678"/>
      <c r="E299" s="1548">
        <f>GEN!$I$88</f>
        <v>0</v>
      </c>
      <c r="F299" s="1619"/>
      <c r="G299" s="1572">
        <f>SUMIF($B$262:$B$271,E299,D$262:D$271)</f>
        <v>0</v>
      </c>
      <c r="H299" s="1573"/>
      <c r="I299" s="1574"/>
      <c r="J299" s="33"/>
      <c r="K299" s="1572">
        <f>SUMIF($B$262:$B$271,N299,D$262:D$271)</f>
        <v>0</v>
      </c>
      <c r="L299" s="1573"/>
      <c r="M299" s="1574"/>
      <c r="N299" s="1548" t="e">
        <f>FEB!$I$88</f>
        <v>#N/A</v>
      </c>
      <c r="O299" s="1619"/>
      <c r="P299" s="1572">
        <f>SUMIF($B$262:$B$271,N299,G$262:G$271)+SUMIF($B$262:$B$271,N299,D$262:D$271)</f>
        <v>0</v>
      </c>
      <c r="Q299" s="1573"/>
      <c r="R299" s="1574"/>
      <c r="S299" s="33"/>
      <c r="T299" s="1572">
        <f>SUMIF($B$262:$B$271,W299,G$262:G$271)+SUMIF($B$262:$B$271,W299,D$262:D$271)</f>
        <v>0</v>
      </c>
      <c r="U299" s="1573"/>
      <c r="V299" s="1574"/>
      <c r="W299" s="1548" t="e">
        <f>MAR!$I$88</f>
        <v>#N/A</v>
      </c>
      <c r="X299" s="1619"/>
      <c r="Y299" s="1572">
        <f>SUMIF($B$262:$B$271,W299,J$262:J$271)+SUMIF($B$262:$B$271,W299,G$262:G$271)+SUMIF($B$262:$B$271,W299,D$262:D$271)</f>
        <v>0</v>
      </c>
      <c r="Z299" s="1573"/>
      <c r="AA299" s="1574"/>
      <c r="AB299" s="33"/>
      <c r="AC299" s="1572">
        <f>SUMIF($B$262:$B$271,AF299,J$262:J$271)+SUMIF($B$262:$B$271,AF299,G$262:G$271)+SUMIF($B$262:$B$271,AF299,D$262:D$271)</f>
        <v>0</v>
      </c>
      <c r="AD299" s="1573"/>
      <c r="AE299" s="1574"/>
      <c r="AF299" s="1548" t="e">
        <f>APR!$I$88</f>
        <v>#N/A</v>
      </c>
      <c r="AG299" s="1619"/>
      <c r="AH299" s="1572">
        <f>SUMIF($B$262:$B$271,AF299,M$262:M$271)+SUMIF($B$262:$B$271,AF299,J$262:J$271)+SUMIF($B$262:$B$271,AF299,G$262:G$271)+SUMIF($B$262:$B$271,AF299,D$262:D$271)</f>
        <v>0</v>
      </c>
      <c r="AI299" s="1573"/>
      <c r="AJ299" s="1574"/>
      <c r="AK299" s="33"/>
      <c r="AL299" s="1572">
        <f>SUMIF($B$262:$B$271,AO299,M$262:M$271)+SUMIF($B$262:$B$271,AO299,J$262:J$271)+SUMIF($B$262:$B$271,AO299,G$262:G$271)+SUMIF($B$262:$B$271,AO299,D$262:D$271)</f>
        <v>0</v>
      </c>
      <c r="AM299" s="1573"/>
      <c r="AN299" s="1574"/>
      <c r="AO299" s="1548" t="e">
        <f>MAG!$I$88</f>
        <v>#N/A</v>
      </c>
      <c r="AP299" s="1619"/>
      <c r="AQ299" s="1572">
        <f>SUMIF($B$262:$B$271,AO299,P$262:P$271)+SUMIF($B$262:$B$271,AO299,M$262:M$271)+SUMIF($B$262:$B$271,AO299,J$262:J$271)+SUMIF($B$262:$B$271,AO299,G$262:G$271)+SUMIF($B$262:$B$271,AO299,D$262:D$271)</f>
        <v>0</v>
      </c>
      <c r="AR299" s="1573"/>
      <c r="AS299" s="1574"/>
      <c r="AT299" s="33"/>
      <c r="AU299" s="1572">
        <f>SUMIF($B$262:$B$271,AX299,P$262:P$271)+SUMIF($B$262:$B$271,AX299,M$262:M$271)+SUMIF($B$262:$B$271,AX299,J$262:J$271)+SUMIF($B$262:$B$271,AX299,G$262:G$271)+SUMIF($B$262:$B$271,AX299,D$262:D$271)</f>
        <v>0</v>
      </c>
      <c r="AV299" s="1573"/>
      <c r="AW299" s="1574"/>
      <c r="AX299" s="1548" t="e">
        <f>GIU!$I$88</f>
        <v>#N/A</v>
      </c>
      <c r="AY299" s="1619"/>
      <c r="AZ299" s="1572">
        <f>SUMIF($B$262:$B$271,AX299,S$262:S$271)+SUMIF($B$262:$B$271,AX299,P$262:P$271)+SUMIF($B$262:$B$271,AX299,M$262:M$271)+SUMIF($B$262:$B$271,AX299,J$262:J$271)+SUMIF($B$262:$B$271,AX299,G$262:G$271)+SUMIF($B$262:$B$271,AX299,D$262:D$271)</f>
        <v>0</v>
      </c>
      <c r="BA299" s="1573"/>
      <c r="BB299" s="1574"/>
      <c r="BC299" s="33"/>
      <c r="BD299" s="1138">
        <v>11</v>
      </c>
      <c r="BE299" s="1149">
        <f>NOV!BA$4</f>
        <v>0</v>
      </c>
      <c r="BF299" s="1149">
        <f>NOV!BB$4</f>
        <v>0</v>
      </c>
      <c r="BG299" s="1149">
        <f>NOV!BC$4</f>
        <v>0</v>
      </c>
      <c r="BH299" s="1149">
        <f>NOV!BD$4</f>
        <v>0</v>
      </c>
      <c r="BI299" s="1149">
        <f>NOV!BE$4</f>
        <v>0</v>
      </c>
      <c r="BJ299" s="1149">
        <f>NOV!BF$4</f>
        <v>0</v>
      </c>
      <c r="BK299" s="1150">
        <f>NOV!BG$4</f>
        <v>0</v>
      </c>
      <c r="BL299" s="630"/>
    </row>
    <row r="300" spans="1:64" ht="18" hidden="1" customHeight="1" x14ac:dyDescent="0.2">
      <c r="A300" s="33"/>
      <c r="B300" s="1676">
        <v>0</v>
      </c>
      <c r="C300" s="1677"/>
      <c r="D300" s="1678"/>
      <c r="E300" s="1548">
        <f>GEN!$J$88</f>
        <v>0</v>
      </c>
      <c r="F300" s="1619"/>
      <c r="G300" s="1572">
        <f>SUMIF($B$262:$B$271,E300,D$262:D$271)</f>
        <v>0</v>
      </c>
      <c r="H300" s="1573"/>
      <c r="I300" s="1574"/>
      <c r="J300" s="33"/>
      <c r="K300" s="1572">
        <f>SUMIF($B$262:$B$271,N300,D$262:D$271)</f>
        <v>0</v>
      </c>
      <c r="L300" s="1573"/>
      <c r="M300" s="1574"/>
      <c r="N300" s="1548" t="e">
        <f>FEB!$J$88</f>
        <v>#N/A</v>
      </c>
      <c r="O300" s="1619"/>
      <c r="P300" s="1572">
        <f>SUMIF($B$262:$B$271,N300,G$262:G$271)+SUMIF($B$262:$B$271,N300,D$262:D$271)</f>
        <v>0</v>
      </c>
      <c r="Q300" s="1573"/>
      <c r="R300" s="1574"/>
      <c r="S300" s="33"/>
      <c r="T300" s="1572">
        <f>SUMIF($B$262:$B$271,W300,G$262:G$271)+SUMIF($B$262:$B$271,W300,D$262:D$271)</f>
        <v>0</v>
      </c>
      <c r="U300" s="1573"/>
      <c r="V300" s="1574"/>
      <c r="W300" s="1548" t="e">
        <f>MAR!$J$88</f>
        <v>#N/A</v>
      </c>
      <c r="X300" s="1619"/>
      <c r="Y300" s="1572">
        <f>SUMIF($B$262:$B$271,W300,J$262:J$271)+SUMIF($B$262:$B$271,W300,G$262:G$271)+SUMIF($B$262:$B$271,W300,D$262:D$271)</f>
        <v>0</v>
      </c>
      <c r="Z300" s="1573"/>
      <c r="AA300" s="1574"/>
      <c r="AB300" s="33"/>
      <c r="AC300" s="1572">
        <f>SUMIF($B$262:$B$271,AF300,J$262:J$271)+SUMIF($B$262:$B$271,AF300,G$262:G$271)+SUMIF($B$262:$B$271,AF300,D$262:D$271)</f>
        <v>0</v>
      </c>
      <c r="AD300" s="1573"/>
      <c r="AE300" s="1574"/>
      <c r="AF300" s="1548" t="e">
        <f>APR!$J$88</f>
        <v>#N/A</v>
      </c>
      <c r="AG300" s="1619"/>
      <c r="AH300" s="1572">
        <f>SUMIF($B$262:$B$271,AF300,M$262:M$271)+SUMIF($B$262:$B$271,AF300,J$262:J$271)+SUMIF($B$262:$B$271,AF300,G$262:G$271)+SUMIF($B$262:$B$271,AF300,D$262:D$271)</f>
        <v>0</v>
      </c>
      <c r="AI300" s="1573"/>
      <c r="AJ300" s="1574"/>
      <c r="AK300" s="33"/>
      <c r="AL300" s="1572">
        <f>SUMIF($B$262:$B$271,AO300,M$262:M$271)+SUMIF($B$262:$B$271,AO300,J$262:J$271)+SUMIF($B$262:$B$271,AO300,G$262:G$271)+SUMIF($B$262:$B$271,AO300,D$262:D$271)</f>
        <v>0</v>
      </c>
      <c r="AM300" s="1573"/>
      <c r="AN300" s="1574"/>
      <c r="AO300" s="1548" t="e">
        <f>MAG!$J$88</f>
        <v>#N/A</v>
      </c>
      <c r="AP300" s="1619"/>
      <c r="AQ300" s="1572">
        <f>SUMIF($B$262:$B$271,AO300,P$262:P$271)+SUMIF($B$262:$B$271,AO300,M$262:M$271)+SUMIF($B$262:$B$271,AO300,J$262:J$271)+SUMIF($B$262:$B$271,AO300,G$262:G$271)+SUMIF($B$262:$B$271,AO300,D$262:D$271)</f>
        <v>0</v>
      </c>
      <c r="AR300" s="1573"/>
      <c r="AS300" s="1574"/>
      <c r="AT300" s="33"/>
      <c r="AU300" s="1572">
        <f>SUMIF($B$262:$B$271,AX300,P$262:P$271)+SUMIF($B$262:$B$271,AX300,M$262:M$271)+SUMIF($B$262:$B$271,AX300,J$262:J$271)+SUMIF($B$262:$B$271,AX300,G$262:G$271)+SUMIF($B$262:$B$271,AX300,D$262:D$271)</f>
        <v>0</v>
      </c>
      <c r="AV300" s="1573"/>
      <c r="AW300" s="1574"/>
      <c r="AX300" s="1548" t="e">
        <f>GIU!$J$88</f>
        <v>#N/A</v>
      </c>
      <c r="AY300" s="1619"/>
      <c r="AZ300" s="1572">
        <f>SUMIF($B$262:$B$271,AX300,S$262:S$271)+SUMIF($B$262:$B$271,AX300,P$262:P$271)+SUMIF($B$262:$B$271,AX300,M$262:M$271)+SUMIF($B$262:$B$271,AX300,J$262:J$271)+SUMIF($B$262:$B$271,AX300,G$262:G$271)+SUMIF($B$262:$B$271,AX300,D$262:D$271)</f>
        <v>0</v>
      </c>
      <c r="BA300" s="1573"/>
      <c r="BB300" s="1574"/>
      <c r="BC300" s="33"/>
      <c r="BD300" s="1138">
        <v>12</v>
      </c>
      <c r="BE300" s="1149">
        <f>DIC!BA$4</f>
        <v>0</v>
      </c>
      <c r="BF300" s="1149">
        <f>DIC!BB$4</f>
        <v>0</v>
      </c>
      <c r="BG300" s="1149">
        <f>DIC!BC$4</f>
        <v>0</v>
      </c>
      <c r="BH300" s="1149">
        <f>DIC!BD$4</f>
        <v>0</v>
      </c>
      <c r="BI300" s="1149">
        <f>DIC!BE$4</f>
        <v>0</v>
      </c>
      <c r="BJ300" s="1149">
        <f>DIC!BF$4</f>
        <v>0</v>
      </c>
      <c r="BK300" s="1150">
        <f>DIC!BG$4</f>
        <v>0</v>
      </c>
      <c r="BL300" s="630"/>
    </row>
    <row r="301" spans="1:64" ht="18" hidden="1" customHeight="1" x14ac:dyDescent="0.2">
      <c r="A301" s="33"/>
      <c r="B301" s="1673">
        <f>SUM(B298:D300)</f>
        <v>0</v>
      </c>
      <c r="C301" s="1674"/>
      <c r="D301" s="1675"/>
      <c r="E301" s="168"/>
      <c r="F301" s="168"/>
      <c r="G301" s="1605">
        <f>SUM(G298:I300)</f>
        <v>0</v>
      </c>
      <c r="H301" s="1606"/>
      <c r="I301" s="1607"/>
      <c r="J301" s="33"/>
      <c r="K301" s="1605">
        <f>SUM(K298:M300)</f>
        <v>0</v>
      </c>
      <c r="L301" s="1606"/>
      <c r="M301" s="1607"/>
      <c r="N301" s="168"/>
      <c r="O301" s="168"/>
      <c r="P301" s="1605">
        <f>SUM(P298:R300)</f>
        <v>0</v>
      </c>
      <c r="Q301" s="1606"/>
      <c r="R301" s="1607"/>
      <c r="S301" s="33"/>
      <c r="T301" s="1605">
        <f>SUM(T298:V300)</f>
        <v>0</v>
      </c>
      <c r="U301" s="1606"/>
      <c r="V301" s="1607"/>
      <c r="W301" s="168"/>
      <c r="X301" s="168"/>
      <c r="Y301" s="1605">
        <f>SUM(Y298:AA300)</f>
        <v>0</v>
      </c>
      <c r="Z301" s="1606"/>
      <c r="AA301" s="1607"/>
      <c r="AB301" s="33"/>
      <c r="AC301" s="1605">
        <f>SUM(AC298:AE300)</f>
        <v>0</v>
      </c>
      <c r="AD301" s="1606"/>
      <c r="AE301" s="1607"/>
      <c r="AF301" s="168"/>
      <c r="AG301" s="168"/>
      <c r="AH301" s="1605">
        <f>SUM(AH298:AJ300)</f>
        <v>0</v>
      </c>
      <c r="AI301" s="1606"/>
      <c r="AJ301" s="1607"/>
      <c r="AK301" s="33"/>
      <c r="AL301" s="1605">
        <f>SUM(AL298:AN300)</f>
        <v>0</v>
      </c>
      <c r="AM301" s="1606"/>
      <c r="AN301" s="1607"/>
      <c r="AO301" s="168"/>
      <c r="AP301" s="168"/>
      <c r="AQ301" s="1605">
        <f>SUM(AQ298:AS300)</f>
        <v>0</v>
      </c>
      <c r="AR301" s="1606"/>
      <c r="AS301" s="1607"/>
      <c r="AT301" s="33"/>
      <c r="AU301" s="1605">
        <f>SUM(AU298:AW300)</f>
        <v>0</v>
      </c>
      <c r="AV301" s="1606"/>
      <c r="AW301" s="1607"/>
      <c r="AX301" s="168"/>
      <c r="AY301" s="168"/>
      <c r="AZ301" s="1605">
        <f>SUM(AZ298:BB300)</f>
        <v>0</v>
      </c>
      <c r="BA301" s="1606"/>
      <c r="BB301" s="1607"/>
      <c r="BC301" s="33"/>
      <c r="BD301" s="630"/>
      <c r="BE301" s="630"/>
      <c r="BF301" s="630"/>
      <c r="BG301" s="630"/>
      <c r="BH301" s="630"/>
      <c r="BI301" s="630"/>
      <c r="BJ301" s="630"/>
      <c r="BK301" s="630"/>
      <c r="BL301" s="630"/>
    </row>
    <row r="302" spans="1:64" ht="18" hidden="1" customHeight="1" x14ac:dyDescent="0.2">
      <c r="A302" s="1324"/>
      <c r="B302" s="33"/>
      <c r="C302" s="33"/>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324"/>
      <c r="AD302" s="1324"/>
      <c r="AE302" s="1324"/>
      <c r="AF302" s="1324"/>
      <c r="AG302" s="1324"/>
      <c r="AH302" s="1324"/>
      <c r="AI302" s="1324"/>
      <c r="AJ302" s="1324"/>
      <c r="AK302" s="1324"/>
      <c r="AL302" s="1324"/>
      <c r="AM302" s="1324"/>
      <c r="AN302" s="33"/>
      <c r="AO302" s="33"/>
      <c r="AP302" s="33"/>
      <c r="AQ302" s="33"/>
      <c r="AR302" s="33"/>
      <c r="AS302" s="33"/>
      <c r="AT302" s="33"/>
      <c r="AU302" s="33"/>
      <c r="AV302" s="33"/>
      <c r="AW302" s="33"/>
      <c r="AX302" s="33"/>
      <c r="AY302" s="33"/>
      <c r="AZ302" s="33"/>
      <c r="BA302" s="33"/>
      <c r="BB302" s="33"/>
      <c r="BC302" s="33"/>
      <c r="BD302" s="630"/>
      <c r="BE302" s="630"/>
      <c r="BF302" s="630"/>
      <c r="BG302" s="630"/>
      <c r="BH302" s="630"/>
      <c r="BI302" s="630"/>
      <c r="BJ302" s="630"/>
      <c r="BK302" s="630"/>
      <c r="BL302" s="630"/>
    </row>
    <row r="303" spans="1:64" ht="18" hidden="1" customHeight="1" x14ac:dyDescent="0.2">
      <c r="A303" s="33"/>
      <c r="B303" s="1679" t="str">
        <f>B286</f>
        <v>Luglio</v>
      </c>
      <c r="C303" s="1680"/>
      <c r="D303" s="1681"/>
      <c r="E303" s="1547" t="str">
        <f>E286</f>
        <v>INSERITO</v>
      </c>
      <c r="F303" s="1656"/>
      <c r="G303" s="1588" t="str">
        <f>G286</f>
        <v>Luglio</v>
      </c>
      <c r="H303" s="1589"/>
      <c r="I303" s="1590"/>
      <c r="J303" s="33"/>
      <c r="K303" s="1588" t="str">
        <f>K286</f>
        <v>Agosto</v>
      </c>
      <c r="L303" s="1589"/>
      <c r="M303" s="1590"/>
      <c r="N303" s="127"/>
      <c r="O303" s="127"/>
      <c r="P303" s="1588" t="str">
        <f>P286</f>
        <v>Agosto</v>
      </c>
      <c r="Q303" s="1589"/>
      <c r="R303" s="1590"/>
      <c r="S303" s="33"/>
      <c r="T303" s="1588" t="str">
        <f>T286</f>
        <v>Settembre</v>
      </c>
      <c r="U303" s="1589"/>
      <c r="V303" s="1590"/>
      <c r="W303" s="127"/>
      <c r="X303" s="127"/>
      <c r="Y303" s="1588" t="str">
        <f>Y286</f>
        <v>Settembre</v>
      </c>
      <c r="Z303" s="1589"/>
      <c r="AA303" s="1590"/>
      <c r="AB303" s="33"/>
      <c r="AC303" s="1588" t="str">
        <f>AC286</f>
        <v>Ottobre</v>
      </c>
      <c r="AD303" s="1589"/>
      <c r="AE303" s="1590"/>
      <c r="AF303" s="127"/>
      <c r="AG303" s="127"/>
      <c r="AH303" s="1588" t="str">
        <f>AH286</f>
        <v>Ottobre</v>
      </c>
      <c r="AI303" s="1589"/>
      <c r="AJ303" s="1590"/>
      <c r="AK303" s="33"/>
      <c r="AL303" s="1588" t="str">
        <f>AL286</f>
        <v>Novembre</v>
      </c>
      <c r="AM303" s="1589"/>
      <c r="AN303" s="1590"/>
      <c r="AO303" s="127"/>
      <c r="AP303" s="127"/>
      <c r="AQ303" s="1588" t="str">
        <f>AQ286</f>
        <v>Novembre</v>
      </c>
      <c r="AR303" s="1589"/>
      <c r="AS303" s="1590"/>
      <c r="AT303" s="33"/>
      <c r="AU303" s="1588" t="str">
        <f>AU286</f>
        <v>Dicembre</v>
      </c>
      <c r="AV303" s="1589"/>
      <c r="AW303" s="1590"/>
      <c r="AX303" s="127"/>
      <c r="AY303" s="127"/>
      <c r="AZ303" s="1588" t="str">
        <f>AZ286</f>
        <v>Dicembre</v>
      </c>
      <c r="BA303" s="1589"/>
      <c r="BB303" s="1590"/>
      <c r="BC303" s="33"/>
      <c r="BD303" s="264"/>
      <c r="BE303" s="264"/>
      <c r="BF303" s="264"/>
      <c r="BG303" s="264"/>
      <c r="BH303" s="264"/>
      <c r="BI303" s="264"/>
      <c r="BJ303" s="264"/>
      <c r="BK303" s="264"/>
      <c r="BL303" s="264"/>
    </row>
    <row r="304" spans="1:64" ht="18" hidden="1" customHeight="1" x14ac:dyDescent="0.2">
      <c r="A304" s="33"/>
      <c r="B304" s="1572">
        <f>SUMIF($B$262:$B$271,E304,S$262:S$271)+SUMIF($B$262:$B$271,E304,P$262:P$271)+SUMIF($B$262:$B$271,E304,M$262:M$271)+SUMIF($B$262:$B$271,E304,J$262:J$271)+SUMIF($B$262:$B$271,E304,G$262:G$271)+SUMIF($B$262:$B$271,E304,D$262:D$271)</f>
        <v>0</v>
      </c>
      <c r="C304" s="1573"/>
      <c r="D304" s="1574"/>
      <c r="E304" s="1548" t="e">
        <f>LUG!$H$88</f>
        <v>#N/A</v>
      </c>
      <c r="F304" s="1619"/>
      <c r="G304" s="1572">
        <f>SUMIF($B$262:$B$271,E304,V$262:V$271)+SUMIF($B$262:$B$271,E304,S$262:S$271)+SUMIF($B$262:$B$271,E304,P$262:P$271)+SUMIF($B$262:$B$271,E304,M$262:M$271)+SUMIF($B$262:$B$271,E304,J$262:J$271)+SUMIF($B$262:$B$271,E304,G$262:G$271)+SUMIF($B$262:$B$271,E304,D$262:D$271)</f>
        <v>0</v>
      </c>
      <c r="H304" s="1573"/>
      <c r="I304" s="1574"/>
      <c r="J304" s="33"/>
      <c r="K304" s="1572">
        <f>SUMIF($B$262:$B$271,N304,V$262:V$271)+SUMIF($B$262:$B$271,N304,S$262:S$271)+SUMIF($B$262:$B$271,N304,P$262:P$271)+SUMIF($B$262:$B$271,N304,M$262:M$271)+SUMIF($B$262:$B$271,N304,J$262:J$271)+SUMIF($B$262:$B$271,N304,G$262:G$271)+SUMIF($B$262:$B$271,N304,D$262:D$271)</f>
        <v>0</v>
      </c>
      <c r="L304" s="1573"/>
      <c r="M304" s="1574"/>
      <c r="N304" s="1548" t="e">
        <f>AGO!$H$88</f>
        <v>#N/A</v>
      </c>
      <c r="O304" s="1619"/>
      <c r="P304" s="1572">
        <f>SUMIF($B$262:$B$271,N304,Y$262:Y$271)+SUMIF($B$262:$B$271,N304,V$262:V$271)+SUMIF($B$262:$B$271,N304,S$262:S$271)+SUMIF($B$262:$B$271,N304,P$262:P$271)+SUMIF($B$262:$B$271,N304,M$262:M$271)+SUMIF($B$262:$B$271,N304,J$262:J$271)+SUMIF($B$262:$B$271,N304,G$262:G$271)+SUMIF($B$262:$B$271,N304,D$262:D$271)</f>
        <v>0</v>
      </c>
      <c r="Q304" s="1573"/>
      <c r="R304" s="1574"/>
      <c r="S304" s="33"/>
      <c r="T304" s="1572">
        <f>SUMIF($B$262:$B$271,W304,Y$262:Y$271)+SUMIF($B$262:$B$271,W304,V$262:V$271)+SUMIF($B$262:$B$271,W304,S$262:S$271)+SUMIF($B$262:$B$271,W304,P$262:P$271)+SUMIF($B$262:$B$271,W304,M$262:M$271)+SUMIF($B$262:$B$271,W304,J$262:J$271)+SUMIF($B$262:$B$271,W304,G$262:G$271)+SUMIF($B$262:$B$271,W304,D$262:D$271)</f>
        <v>0</v>
      </c>
      <c r="U304" s="1573"/>
      <c r="V304" s="1574"/>
      <c r="W304" s="1548" t="e">
        <f>SET!$H$88</f>
        <v>#N/A</v>
      </c>
      <c r="X304" s="1619"/>
      <c r="Y304" s="1572">
        <f>SUMIF($B$262:$B$271,W304,AB$262:AB$271)+SUMIF($B$262:$B$271,W304,Y$262:Y$271)+SUMIF($B$262:$B$271,W304,V$262:V$271)+SUMIF($B$262:$B$271,W304,S$262:S$271)+SUMIF($B$262:$B$271,W304,P$262:P$271)+SUMIF($B$262:$B$271,W304,M$262:M$271)+SUMIF($B$262:$B$271,W304,J$262:J$271)+SUMIF($B$262:$B$271,W304,G$262:G$271)+SUMIF($B$262:$B$271,W304,D$262:D$271)</f>
        <v>0</v>
      </c>
      <c r="Z304" s="1573"/>
      <c r="AA304" s="1574"/>
      <c r="AB304" s="33"/>
      <c r="AC304" s="1572">
        <f>SUMIF($B$262:$B$271,AF304,AB$262:AB$271)+SUMIF($B$262:$B$271,AF304,Y$262:Y$271)+SUMIF($B$262:$B$271,AF304,V$262:V$271)+SUMIF($B$262:$B$271,AF304,S$262:S$271)+SUMIF($B$262:$B$271,AF304,P$262:P$271)+SUMIF($B$262:$B$271,AF304,M$262:M$271)+SUMIF($B$262:$B$271,AF304,J$262:J$271)+SUMIF($B$262:$B$271,AF304,G$262:G$271)+SUMIF($B$262:$B$271,AF304,D$262:D$271)</f>
        <v>0</v>
      </c>
      <c r="AD304" s="1573"/>
      <c r="AE304" s="1574"/>
      <c r="AF304" s="1548" t="e">
        <f>OTT!$H$88</f>
        <v>#N/A</v>
      </c>
      <c r="AG304" s="1619"/>
      <c r="AH304" s="1572">
        <f>SUMIF($B$262:$B$271,AF304,AE$262:AE$271)+SUMIF($B$262:$B$271,AF304,AB$262:AB$271)+SUMIF($B$262:$B$271,AF304,Y$262:Y$271)+SUMIF($B$262:$B$271,AF304,V$262:V$271)+SUMIF($B$262:$B$271,AF304,S$262:S$271)+SUMIF($B$262:$B$271,AF304,P$262:P$271)+SUMIF($B$262:$B$271,AF304,M$262:M$271)+SUMIF($B$262:$B$271,AF304,J$262:J$271)+SUMIF($B$262:$B$271,AF304,G$262:G$271)+SUMIF($B$262:$B$271,AF304,D$262:D$271)</f>
        <v>0</v>
      </c>
      <c r="AI304" s="1573"/>
      <c r="AJ304" s="1574"/>
      <c r="AK304" s="33"/>
      <c r="AL304" s="1572">
        <f>SUMIF($B$262:$B$271,AO304,AE$262:AE$271)+SUMIF($B$262:$B$271,AO304,AB$262:AB$271)+SUMIF($B$262:$B$271,AO304,Y$262:Y$271)+SUMIF($B$262:$B$271,AO304,V$262:V$271)+SUMIF($B$262:$B$271,AO304,S$262:S$271)+SUMIF($B$262:$B$271,AO304,P$262:P$271)+SUMIF($B$262:$B$271,AO304,M$262:M$271)+SUMIF($B$262:$B$271,AO304,J$262:J$271)+SUMIF($B$262:$B$271,AO304,G$262:G$271)+SUMIF($B$262:$B$271,AO304,D$262:D$271)</f>
        <v>0</v>
      </c>
      <c r="AM304" s="1573"/>
      <c r="AN304" s="1574"/>
      <c r="AO304" s="1548" t="e">
        <f>NOV!$H$88</f>
        <v>#N/A</v>
      </c>
      <c r="AP304" s="1619"/>
      <c r="AQ304" s="1572">
        <f>SUMIF($B$262:$B$271,AO304,AH$262:AH$271)+SUMIF($B$262:$B$271,AO304,AE$262:AE$271)+SUMIF($B$262:$B$271,AO304,AB$262:AB$271)+SUMIF($B$262:$B$271,AO304,Y$262:Y$271)+SUMIF($B$262:$B$271,AO304,V$262:V$271)+SUMIF($B$262:$B$271,AO304,S$262:S$271)+SUMIF($B$262:$B$271,AO304,P$262:P$271)+SUMIF($B$262:$B$271,AO304,M$262:M$271)+SUMIF($B$262:$B$271,AO304,J$262:J$271)+SUMIF($B$262:$B$271,AO304,G$262:G$271)+SUMIF($B$262:$B$271,AO304,D$262:D$271)</f>
        <v>0</v>
      </c>
      <c r="AR304" s="1573"/>
      <c r="AS304" s="1574"/>
      <c r="AT304" s="33"/>
      <c r="AU304" s="1572">
        <f>SUMIF($B$262:$B$271,AX304,AH$262:AH$271)+SUMIF($B$262:$B$271,AX304,AE$262:AE$271)+SUMIF($B$262:$B$271,AX304,AB$262:AB$271)+SUMIF($B$262:$B$271,AX304,Y$262:Y$271)+SUMIF($B$262:$B$271,AX304,V$262:V$271)+SUMIF($B$262:$B$271,AX304,S$262:S$271)+SUMIF($B$262:$B$271,AX304,P$262:P$271)+SUMIF($B$262:$B$271,AX304,M$262:M$271)+SUMIF($B$262:$B$271,AX304,J$262:J$271)+SUMIF($B$262:$B$271,AX304,G$262:G$271)+SUMIF($B$262:$B$271,AX304,D$262:D$271)</f>
        <v>0</v>
      </c>
      <c r="AV304" s="1573"/>
      <c r="AW304" s="1574"/>
      <c r="AX304" s="1548" t="e">
        <f>DIC!$H$88</f>
        <v>#N/A</v>
      </c>
      <c r="AY304" s="1619"/>
      <c r="AZ304" s="1572">
        <f>SUMIF($B$262:$B$271,AX304,AK$262:AK$271)+SUMIF($B$262:$B$271,AX304,AH$262:AH$271)+SUMIF($B$262:$B$271,AX304,AE$262:AE$271)+SUMIF($B$262:$B$271,AX304,AB$262:AB$271)+SUMIF($B$262:$B$271,AX304,Y$262:Y$271)+SUMIF($B$262:$B$271,AX304,V$262:V$271)+SUMIF($B$262:$B$271,AX304,S$262:S$271)+SUMIF($B$262:$B$271,AX304,P$262:P$271)+SUMIF($B$262:$B$271,AX304,M$262:M$271)+SUMIF($B$262:$B$271,AX304,J$262:J$271)+SUMIF($B$262:$B$271,AX304,G$262:G$271)+SUMIF($B$262:$B$271,AX304,D$262:D$271)</f>
        <v>0</v>
      </c>
      <c r="BA304" s="1573"/>
      <c r="BB304" s="1574"/>
      <c r="BC304" s="33"/>
      <c r="BD304" s="265"/>
      <c r="BE304" s="265"/>
      <c r="BF304" s="264"/>
      <c r="BG304" s="264"/>
      <c r="BH304" s="264"/>
      <c r="BI304" s="264"/>
      <c r="BJ304" s="264"/>
      <c r="BK304" s="264"/>
      <c r="BL304" s="264"/>
    </row>
    <row r="305" spans="1:64" ht="18" hidden="1" customHeight="1" x14ac:dyDescent="0.2">
      <c r="A305" s="33"/>
      <c r="B305" s="1572">
        <f>SUMIF($B$262:$B$271,E305,S$262:S$271)+SUMIF($B$262:$B$271,E305,P$262:P$271)+SUMIF($B$262:$B$271,E305,M$262:M$271)+SUMIF($B$262:$B$271,E305,J$262:J$271)+SUMIF($B$262:$B$271,E305,G$262:G$271)+SUMIF($B$262:$B$271,E305,D$262:D$271)</f>
        <v>0</v>
      </c>
      <c r="C305" s="1573"/>
      <c r="D305" s="1574"/>
      <c r="E305" s="1548" t="e">
        <f>LUG!$I$88</f>
        <v>#N/A</v>
      </c>
      <c r="F305" s="1619"/>
      <c r="G305" s="1572">
        <f>SUMIF($B$262:$B$271,E305,V$262:V$271)+SUMIF($B$262:$B$271,E305,S$262:S$271)+SUMIF($B$262:$B$271,E305,P$262:P$271)+SUMIF($B$262:$B$271,E305,M$262:M$271)+SUMIF($B$262:$B$271,E305,J$262:J$271)+SUMIF($B$262:$B$271,E305,G$262:G$271)+SUMIF($B$262:$B$271,E305,D$262:D$271)</f>
        <v>0</v>
      </c>
      <c r="H305" s="1573"/>
      <c r="I305" s="1574"/>
      <c r="J305" s="33"/>
      <c r="K305" s="1572">
        <f>SUMIF($B$262:$B$271,N305,V$262:V$271)+SUMIF($B$262:$B$271,N305,S$262:S$271)+SUMIF($B$262:$B$271,N305,P$262:P$271)+SUMIF($B$262:$B$271,N305,M$262:M$271)+SUMIF($B$262:$B$271,N305,J$262:J$271)+SUMIF($B$262:$B$271,N305,G$262:G$271)+SUMIF($B$262:$B$271,N305,D$262:D$271)</f>
        <v>0</v>
      </c>
      <c r="L305" s="1573"/>
      <c r="M305" s="1574"/>
      <c r="N305" s="1548" t="e">
        <f>AGO!$I$88</f>
        <v>#N/A</v>
      </c>
      <c r="O305" s="1619"/>
      <c r="P305" s="1572">
        <f>SUMIF($B$262:$B$271,N305,Y$262:Y$271)+SUMIF($B$262:$B$271,N305,V$262:V$271)+SUMIF($B$262:$B$271,N305,S$262:S$271)+SUMIF($B$262:$B$271,N305,P$262:P$271)+SUMIF($B$262:$B$271,N305,M$262:M$271)+SUMIF($B$262:$B$271,N305,J$262:J$271)+SUMIF($B$262:$B$271,N305,G$262:G$271)+SUMIF($B$262:$B$271,N305,D$262:D$271)</f>
        <v>0</v>
      </c>
      <c r="Q305" s="1573"/>
      <c r="R305" s="1574"/>
      <c r="S305" s="33"/>
      <c r="T305" s="1572">
        <f>SUMIF($B$262:$B$271,W305,Y$262:Y$271)+SUMIF($B$262:$B$271,W305,V$262:V$271)+SUMIF($B$262:$B$271,W305,S$262:S$271)+SUMIF($B$262:$B$271,W305,P$262:P$271)+SUMIF($B$262:$B$271,W305,M$262:M$271)+SUMIF($B$262:$B$271,W305,J$262:J$271)+SUMIF($B$262:$B$271,W305,G$262:G$271)+SUMIF($B$262:$B$271,W305,D$262:D$271)</f>
        <v>0</v>
      </c>
      <c r="U305" s="1573"/>
      <c r="V305" s="1574"/>
      <c r="W305" s="1548" t="e">
        <f>SET!$I$88</f>
        <v>#N/A</v>
      </c>
      <c r="X305" s="1619"/>
      <c r="Y305" s="1572">
        <f>SUMIF($B$262:$B$271,W305,AB$262:AB$271)+SUMIF($B$262:$B$271,W305,Y$262:Y$271)+SUMIF($B$262:$B$271,W305,V$262:V$271)+SUMIF($B$262:$B$271,W305,S$262:S$271)+SUMIF($B$262:$B$271,W305,P$262:P$271)+SUMIF($B$262:$B$271,W305,M$262:M$271)+SUMIF($B$262:$B$271,W305,J$262:J$271)+SUMIF($B$262:$B$271,W305,G$262:G$271)+SUMIF($B$262:$B$271,W305,D$262:D$271)</f>
        <v>0</v>
      </c>
      <c r="Z305" s="1573"/>
      <c r="AA305" s="1574"/>
      <c r="AB305" s="33"/>
      <c r="AC305" s="1572">
        <f>SUMIF($B$262:$B$271,AF305,AB$262:AB$271)+SUMIF($B$262:$B$271,AF305,Y$262:Y$271)+SUMIF($B$262:$B$271,AF305,V$262:V$271)+SUMIF($B$262:$B$271,AF305,S$262:S$271)+SUMIF($B$262:$B$271,AF305,P$262:P$271)+SUMIF($B$262:$B$271,AF305,M$262:M$271)+SUMIF($B$262:$B$271,AF305,J$262:J$271)+SUMIF($B$262:$B$271,AF305,G$262:G$271)+SUMIF($B$262:$B$271,AF305,D$262:D$271)</f>
        <v>0</v>
      </c>
      <c r="AD305" s="1573"/>
      <c r="AE305" s="1574"/>
      <c r="AF305" s="1548" t="e">
        <f>OTT!$I$88</f>
        <v>#N/A</v>
      </c>
      <c r="AG305" s="1619"/>
      <c r="AH305" s="1572">
        <f>SUMIF($B$262:$B$271,AF305,AE$262:AE$271)+SUMIF($B$262:$B$271,AF305,AB$262:AB$271)+SUMIF($B$262:$B$271,AF305,Y$262:Y$271)+SUMIF($B$262:$B$271,AF305,V$262:V$271)+SUMIF($B$262:$B$271,AF305,S$262:S$271)+SUMIF($B$262:$B$271,AF305,P$262:P$271)+SUMIF($B$262:$B$271,AF305,M$262:M$271)+SUMIF($B$262:$B$271,AF305,J$262:J$271)+SUMIF($B$262:$B$271,AF305,G$262:G$271)+SUMIF($B$262:$B$271,AF305,D$262:D$271)</f>
        <v>0</v>
      </c>
      <c r="AI305" s="1573"/>
      <c r="AJ305" s="1574"/>
      <c r="AK305" s="33"/>
      <c r="AL305" s="1572">
        <f>SUMIF($B$262:$B$271,AO305,AE$262:AE$271)+SUMIF($B$262:$B$271,AO305,AB$262:AB$271)+SUMIF($B$262:$B$271,AO305,Y$262:Y$271)+SUMIF($B$262:$B$271,AO305,V$262:V$271)+SUMIF($B$262:$B$271,AO305,S$262:S$271)+SUMIF($B$262:$B$271,AO305,P$262:P$271)+SUMIF($B$262:$B$271,AO305,M$262:M$271)+SUMIF($B$262:$B$271,AO305,J$262:J$271)+SUMIF($B$262:$B$271,AO305,G$262:G$271)+SUMIF($B$262:$B$271,AO305,D$262:D$271)</f>
        <v>0</v>
      </c>
      <c r="AM305" s="1573"/>
      <c r="AN305" s="1574"/>
      <c r="AO305" s="1548" t="e">
        <f>NOV!$I$88</f>
        <v>#N/A</v>
      </c>
      <c r="AP305" s="1619"/>
      <c r="AQ305" s="1572">
        <f>SUMIF($B$262:$B$271,AO305,AH$262:AH$271)+SUMIF($B$262:$B$271,AO305,AE$262:AE$271)+SUMIF($B$262:$B$271,AO305,AB$262:AB$271)+SUMIF($B$262:$B$271,AO305,Y$262:Y$271)+SUMIF($B$262:$B$271,AO305,V$262:V$271)+SUMIF($B$262:$B$271,AO305,S$262:S$271)+SUMIF($B$262:$B$271,AO305,P$262:P$271)+SUMIF($B$262:$B$271,AO305,M$262:M$271)+SUMIF($B$262:$B$271,AO305,J$262:J$271)+SUMIF($B$262:$B$271,AO305,G$262:G$271)+SUMIF($B$262:$B$271,AO305,D$262:D$271)</f>
        <v>0</v>
      </c>
      <c r="AR305" s="1573"/>
      <c r="AS305" s="1574"/>
      <c r="AT305" s="33"/>
      <c r="AU305" s="1572">
        <f>SUMIF($B$262:$B$271,AX305,AH$262:AH$271)+SUMIF($B$262:$B$271,AX305,AE$262:AE$271)+SUMIF($B$262:$B$271,AX305,AB$262:AB$271)+SUMIF($B$262:$B$271,AX305,Y$262:Y$271)+SUMIF($B$262:$B$271,AX305,V$262:V$271)+SUMIF($B$262:$B$271,AX305,S$262:S$271)+SUMIF($B$262:$B$271,AX305,P$262:P$271)+SUMIF($B$262:$B$271,AX305,M$262:M$271)+SUMIF($B$262:$B$271,AX305,J$262:J$271)+SUMIF($B$262:$B$271,AX305,G$262:G$271)+SUMIF($B$262:$B$271,AX305,D$262:D$271)</f>
        <v>0</v>
      </c>
      <c r="AV305" s="1573"/>
      <c r="AW305" s="1574"/>
      <c r="AX305" s="1548" t="e">
        <f>DIC!$I$88</f>
        <v>#N/A</v>
      </c>
      <c r="AY305" s="1619"/>
      <c r="AZ305" s="1572">
        <f>SUMIF($B$262:$B$271,AX305,AK$262:AK$271)+SUMIF($B$262:$B$271,AX305,AH$262:AH$271)+SUMIF($B$262:$B$271,AX305,AE$262:AE$271)+SUMIF($B$262:$B$271,AX305,AB$262:AB$271)+SUMIF($B$262:$B$271,AX305,Y$262:Y$271)+SUMIF($B$262:$B$271,AX305,V$262:V$271)+SUMIF($B$262:$B$271,AX305,S$262:S$271)+SUMIF($B$262:$B$271,AX305,P$262:P$271)+SUMIF($B$262:$B$271,AX305,M$262:M$271)+SUMIF($B$262:$B$271,AX305,J$262:J$271)+SUMIF($B$262:$B$271,AX305,G$262:G$271)+SUMIF($B$262:$B$271,AX305,D$262:D$271)</f>
        <v>0</v>
      </c>
      <c r="BA305" s="1573"/>
      <c r="BB305" s="1574"/>
      <c r="BC305" s="33"/>
      <c r="BD305" s="265"/>
      <c r="BE305" s="265"/>
      <c r="BF305" s="264"/>
      <c r="BG305" s="264"/>
      <c r="BH305" s="264"/>
      <c r="BI305" s="264"/>
      <c r="BJ305" s="264"/>
      <c r="BK305" s="264"/>
      <c r="BL305" s="264"/>
    </row>
    <row r="306" spans="1:64" ht="18" hidden="1" customHeight="1" x14ac:dyDescent="0.2">
      <c r="A306" s="33"/>
      <c r="B306" s="1572">
        <f>SUMIF($B$262:$B$271,E306,S$262:S$271)+SUMIF($B$262:$B$271,E306,P$262:P$271)+SUMIF($B$262:$B$271,E306,M$262:M$271)+SUMIF($B$262:$B$271,E306,J$262:J$271)+SUMIF($B$262:$B$271,E306,G$262:G$271)+SUMIF($B$262:$B$271,E306,D$262:D$271)</f>
        <v>0</v>
      </c>
      <c r="C306" s="1573"/>
      <c r="D306" s="1574"/>
      <c r="E306" s="1548" t="e">
        <f>LUG!$J$88</f>
        <v>#N/A</v>
      </c>
      <c r="F306" s="1619"/>
      <c r="G306" s="1572">
        <f>SUMIF($B$262:$B$271,E306,V$262:V$271)+SUMIF($B$262:$B$271,E306,S$262:S$271)+SUMIF($B$262:$B$271,E306,P$262:P$271)+SUMIF($B$262:$B$271,E306,M$262:M$271)+SUMIF($B$262:$B$271,E306,J$262:J$271)+SUMIF($B$262:$B$271,E306,G$262:G$271)+SUMIF($B$262:$B$271,E306,D$262:D$271)</f>
        <v>0</v>
      </c>
      <c r="H306" s="1573"/>
      <c r="I306" s="1574"/>
      <c r="J306" s="33"/>
      <c r="K306" s="1572">
        <f>SUMIF($B$262:$B$271,N306,V$262:V$271)+SUMIF($B$262:$B$271,N306,S$262:S$271)+SUMIF($B$262:$B$271,N306,P$262:P$271)+SUMIF($B$262:$B$271,N306,M$262:M$271)+SUMIF($B$262:$B$271,N306,J$262:J$271)+SUMIF($B$262:$B$271,N306,G$262:G$271)+SUMIF($B$262:$B$271,N306,D$262:D$271)</f>
        <v>0</v>
      </c>
      <c r="L306" s="1573"/>
      <c r="M306" s="1574"/>
      <c r="N306" s="1548" t="e">
        <f>AGO!$J$88</f>
        <v>#N/A</v>
      </c>
      <c r="O306" s="1619"/>
      <c r="P306" s="1572">
        <f>SUMIF($B$262:$B$271,N306,Y$262:Y$271)+SUMIF($B$262:$B$271,N306,V$262:V$271)+SUMIF($B$262:$B$271,N306,S$262:S$271)+SUMIF($B$262:$B$271,N306,P$262:P$271)+SUMIF($B$262:$B$271,N306,M$262:M$271)+SUMIF($B$262:$B$271,N306,J$262:J$271)+SUMIF($B$262:$B$271,N306,G$262:G$271)+SUMIF($B$262:$B$271,N306,D$262:D$271)</f>
        <v>0</v>
      </c>
      <c r="Q306" s="1573"/>
      <c r="R306" s="1574"/>
      <c r="S306" s="33"/>
      <c r="T306" s="1572">
        <f>SUMIF($B$262:$B$271,W306,Y$262:Y$271)+SUMIF($B$262:$B$271,W306,V$262:V$271)+SUMIF($B$262:$B$271,W306,S$262:S$271)+SUMIF($B$262:$B$271,W306,P$262:P$271)+SUMIF($B$262:$B$271,W306,M$262:M$271)+SUMIF($B$262:$B$271,W306,J$262:J$271)+SUMIF($B$262:$B$271,W306,G$262:G$271)+SUMIF($B$262:$B$271,W306,D$262:D$271)</f>
        <v>0</v>
      </c>
      <c r="U306" s="1573"/>
      <c r="V306" s="1574"/>
      <c r="W306" s="1548" t="e">
        <f>SET!$J$88</f>
        <v>#N/A</v>
      </c>
      <c r="X306" s="1619"/>
      <c r="Y306" s="1572">
        <f>SUMIF($B$262:$B$271,W306,AB$262:AB$271)+SUMIF($B$262:$B$271,W306,Y$262:Y$271)+SUMIF($B$262:$B$271,W306,V$262:V$271)+SUMIF($B$262:$B$271,W306,S$262:S$271)+SUMIF($B$262:$B$271,W306,P$262:P$271)+SUMIF($B$262:$B$271,W306,M$262:M$271)+SUMIF($B$262:$B$271,W306,J$262:J$271)+SUMIF($B$262:$B$271,W306,G$262:G$271)+SUMIF($B$262:$B$271,W306,D$262:D$271)</f>
        <v>0</v>
      </c>
      <c r="Z306" s="1573"/>
      <c r="AA306" s="1574"/>
      <c r="AB306" s="33"/>
      <c r="AC306" s="1572">
        <f>SUMIF($B$262:$B$271,AF306,AB$262:AB$271)+SUMIF($B$262:$B$271,AF306,Y$262:Y$271)+SUMIF($B$262:$B$271,AF306,V$262:V$271)+SUMIF($B$262:$B$271,AF306,S$262:S$271)+SUMIF($B$262:$B$271,AF306,P$262:P$271)+SUMIF($B$262:$B$271,AF306,M$262:M$271)+SUMIF($B$262:$B$271,AF306,J$262:J$271)+SUMIF($B$262:$B$271,AF306,G$262:G$271)+SUMIF($B$262:$B$271,AF306,D$262:D$271)</f>
        <v>0</v>
      </c>
      <c r="AD306" s="1573"/>
      <c r="AE306" s="1574"/>
      <c r="AF306" s="1548" t="e">
        <f>OTT!$J$88</f>
        <v>#N/A</v>
      </c>
      <c r="AG306" s="1619"/>
      <c r="AH306" s="1572">
        <f>SUMIF($B$262:$B$271,AF306,AE$262:AE$271)+SUMIF($B$262:$B$271,AF306,AB$262:AB$271)+SUMIF($B$262:$B$271,AF306,Y$262:Y$271)+SUMIF($B$262:$B$271,AF306,V$262:V$271)+SUMIF($B$262:$B$271,AF306,S$262:S$271)+SUMIF($B$262:$B$271,AF306,P$262:P$271)+SUMIF($B$262:$B$271,AF306,M$262:M$271)+SUMIF($B$262:$B$271,AF306,J$262:J$271)+SUMIF($B$262:$B$271,AF306,G$262:G$271)+SUMIF($B$262:$B$271,AF306,D$262:D$271)</f>
        <v>0</v>
      </c>
      <c r="AI306" s="1573"/>
      <c r="AJ306" s="1574"/>
      <c r="AK306" s="33"/>
      <c r="AL306" s="1572">
        <f>SUMIF($B$262:$B$271,AO306,AE$262:AE$271)+SUMIF($B$262:$B$271,AO306,AB$262:AB$271)+SUMIF($B$262:$B$271,AO306,Y$262:Y$271)+SUMIF($B$262:$B$271,AO306,V$262:V$271)+SUMIF($B$262:$B$271,AO306,S$262:S$271)+SUMIF($B$262:$B$271,AO306,P$262:P$271)+SUMIF($B$262:$B$271,AO306,M$262:M$271)+SUMIF($B$262:$B$271,AO306,J$262:J$271)+SUMIF($B$262:$B$271,AO306,G$262:G$271)+SUMIF($B$262:$B$271,AO306,D$262:D$271)</f>
        <v>0</v>
      </c>
      <c r="AM306" s="1573"/>
      <c r="AN306" s="1574"/>
      <c r="AO306" s="1548" t="e">
        <f>NOV!$J$88</f>
        <v>#N/A</v>
      </c>
      <c r="AP306" s="1619"/>
      <c r="AQ306" s="1572">
        <f>SUMIF($B$262:$B$271,AO306,AH$262:AH$271)+SUMIF($B$262:$B$271,AO306,AE$262:AE$271)+SUMIF($B$262:$B$271,AO306,AB$262:AB$271)+SUMIF($B$262:$B$271,AO306,Y$262:Y$271)+SUMIF($B$262:$B$271,AO306,V$262:V$271)+SUMIF($B$262:$B$271,AO306,S$262:S$271)+SUMIF($B$262:$B$271,AO306,P$262:P$271)+SUMIF($B$262:$B$271,AO306,M$262:M$271)+SUMIF($B$262:$B$271,AO306,J$262:J$271)+SUMIF($B$262:$B$271,AO306,G$262:G$271)+SUMIF($B$262:$B$271,AO306,D$262:D$271)</f>
        <v>0</v>
      </c>
      <c r="AR306" s="1573"/>
      <c r="AS306" s="1574"/>
      <c r="AT306" s="33"/>
      <c r="AU306" s="1572">
        <f>SUMIF($B$262:$B$271,AX306,AH$262:AH$271)+SUMIF($B$262:$B$271,AX306,AE$262:AE$271)+SUMIF($B$262:$B$271,AX306,AB$262:AB$271)+SUMIF($B$262:$B$271,AX306,Y$262:Y$271)+SUMIF($B$262:$B$271,AX306,V$262:V$271)+SUMIF($B$262:$B$271,AX306,S$262:S$271)+SUMIF($B$262:$B$271,AX306,P$262:P$271)+SUMIF($B$262:$B$271,AX306,M$262:M$271)+SUMIF($B$262:$B$271,AX306,J$262:J$271)+SUMIF($B$262:$B$271,AX306,G$262:G$271)+SUMIF($B$262:$B$271,AX306,D$262:D$271)</f>
        <v>0</v>
      </c>
      <c r="AV306" s="1573"/>
      <c r="AW306" s="1574"/>
      <c r="AX306" s="1548" t="e">
        <f>DIC!$J$88</f>
        <v>#N/A</v>
      </c>
      <c r="AY306" s="1619"/>
      <c r="AZ306" s="1572">
        <f>SUMIF($B$262:$B$271,AX306,AK$262:AK$271)+SUMIF($B$262:$B$271,AX306,AH$262:AH$271)+SUMIF($B$262:$B$271,AX306,AE$262:AE$271)+SUMIF($B$262:$B$271,AX306,AB$262:AB$271)+SUMIF($B$262:$B$271,AX306,Y$262:Y$271)+SUMIF($B$262:$B$271,AX306,V$262:V$271)+SUMIF($B$262:$B$271,AX306,S$262:S$271)+SUMIF($B$262:$B$271,AX306,P$262:P$271)+SUMIF($B$262:$B$271,AX306,M$262:M$271)+SUMIF($B$262:$B$271,AX306,J$262:J$271)+SUMIF($B$262:$B$271,AX306,G$262:G$271)+SUMIF($B$262:$B$271,AX306,D$262:D$271)</f>
        <v>0</v>
      </c>
      <c r="BA306" s="1573"/>
      <c r="BB306" s="1574"/>
      <c r="BC306" s="33"/>
      <c r="BD306" s="265"/>
      <c r="BE306" s="265"/>
      <c r="BF306" s="264"/>
      <c r="BG306" s="264"/>
      <c r="BH306" s="264"/>
      <c r="BI306" s="264"/>
      <c r="BJ306" s="264"/>
      <c r="BK306" s="264"/>
      <c r="BL306" s="264"/>
    </row>
    <row r="307" spans="1:64" ht="18" hidden="1" customHeight="1" x14ac:dyDescent="0.2">
      <c r="A307" s="33"/>
      <c r="B307" s="1673">
        <f>SUM(B304:D306)</f>
        <v>0</v>
      </c>
      <c r="C307" s="1674"/>
      <c r="D307" s="1675"/>
      <c r="E307" s="168"/>
      <c r="F307" s="168"/>
      <c r="G307" s="1605">
        <f>SUM(G304:I306)</f>
        <v>0</v>
      </c>
      <c r="H307" s="1606"/>
      <c r="I307" s="1607"/>
      <c r="J307" s="33"/>
      <c r="K307" s="1605">
        <f>SUM(K304:M306)</f>
        <v>0</v>
      </c>
      <c r="L307" s="1606"/>
      <c r="M307" s="1607"/>
      <c r="N307" s="168"/>
      <c r="O307" s="168"/>
      <c r="P307" s="1605">
        <f>SUM(P304:R306)</f>
        <v>0</v>
      </c>
      <c r="Q307" s="1606"/>
      <c r="R307" s="1607"/>
      <c r="S307" s="33"/>
      <c r="T307" s="1605">
        <f>SUM(T304:V306)</f>
        <v>0</v>
      </c>
      <c r="U307" s="1606"/>
      <c r="V307" s="1607"/>
      <c r="W307" s="168"/>
      <c r="X307" s="168"/>
      <c r="Y307" s="1605">
        <f>SUM(Y304:AA306)</f>
        <v>0</v>
      </c>
      <c r="Z307" s="1606"/>
      <c r="AA307" s="1607"/>
      <c r="AB307" s="33"/>
      <c r="AC307" s="1605">
        <f>SUM(AC304:AE306)</f>
        <v>0</v>
      </c>
      <c r="AD307" s="1606"/>
      <c r="AE307" s="1607"/>
      <c r="AF307" s="168"/>
      <c r="AG307" s="168"/>
      <c r="AH307" s="1605">
        <f>SUM(AH304:AJ306)</f>
        <v>0</v>
      </c>
      <c r="AI307" s="1606"/>
      <c r="AJ307" s="1607"/>
      <c r="AK307" s="33"/>
      <c r="AL307" s="1605">
        <f>SUM(AL304:AN306)</f>
        <v>0</v>
      </c>
      <c r="AM307" s="1606"/>
      <c r="AN307" s="1607"/>
      <c r="AO307" s="168"/>
      <c r="AP307" s="168"/>
      <c r="AQ307" s="1605">
        <f>SUM(AQ304:AS306)</f>
        <v>0</v>
      </c>
      <c r="AR307" s="1606"/>
      <c r="AS307" s="1607"/>
      <c r="AT307" s="33"/>
      <c r="AU307" s="1605">
        <f>SUM(AU304:AW306)</f>
        <v>0</v>
      </c>
      <c r="AV307" s="1606"/>
      <c r="AW307" s="1607"/>
      <c r="AX307" s="168"/>
      <c r="AY307" s="168"/>
      <c r="AZ307" s="1605">
        <f>SUM(AZ304:BB306)</f>
        <v>0</v>
      </c>
      <c r="BA307" s="1606"/>
      <c r="BB307" s="1607"/>
      <c r="BC307" s="33"/>
      <c r="BD307" s="264"/>
      <c r="BE307" s="264"/>
      <c r="BF307" s="264"/>
      <c r="BG307" s="264"/>
      <c r="BH307" s="264"/>
      <c r="BI307" s="264"/>
      <c r="BJ307" s="264"/>
      <c r="BK307" s="264"/>
      <c r="BL307" s="264"/>
    </row>
    <row r="308" spans="1:64" ht="18" hidden="1" customHeight="1" x14ac:dyDescent="0.2">
      <c r="A308" s="1324"/>
      <c r="B308" s="33"/>
      <c r="C308" s="33"/>
      <c r="D308" s="33"/>
      <c r="E308" s="33"/>
      <c r="F308" s="33"/>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324"/>
      <c r="AD308" s="1324"/>
      <c r="AE308" s="1324"/>
      <c r="AF308" s="1324"/>
      <c r="AG308" s="1324"/>
      <c r="AH308" s="1324"/>
      <c r="AI308" s="1324"/>
      <c r="AJ308" s="1324"/>
      <c r="AK308" s="1324"/>
      <c r="AL308" s="1324"/>
      <c r="AM308" s="1324"/>
      <c r="AN308" s="33"/>
      <c r="AO308" s="33"/>
      <c r="AP308" s="33"/>
      <c r="AQ308" s="33"/>
      <c r="AR308" s="33"/>
      <c r="AS308" s="33"/>
      <c r="AT308" s="33"/>
      <c r="AU308" s="33"/>
      <c r="AV308" s="33"/>
      <c r="AW308" s="33"/>
      <c r="AX308" s="33"/>
      <c r="AY308" s="33"/>
      <c r="AZ308" s="33"/>
      <c r="BA308" s="33"/>
      <c r="BB308" s="33"/>
      <c r="BC308" s="33"/>
      <c r="BD308" s="264"/>
      <c r="BE308" s="264"/>
      <c r="BF308" s="264"/>
      <c r="BG308" s="264"/>
      <c r="BH308" s="264"/>
      <c r="BI308" s="264"/>
      <c r="BJ308" s="264"/>
      <c r="BK308" s="264"/>
      <c r="BL308" s="264"/>
    </row>
    <row r="309" spans="1:64" ht="18" hidden="1" customHeight="1" x14ac:dyDescent="0.2">
      <c r="A309" s="1324"/>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324"/>
      <c r="AD309" s="1324"/>
      <c r="AE309" s="1324"/>
      <c r="AF309" s="1324"/>
      <c r="AG309" s="1324"/>
      <c r="AH309" s="1324"/>
      <c r="AI309" s="1324"/>
      <c r="AJ309" s="1324"/>
      <c r="AK309" s="1324"/>
      <c r="AL309" s="1324"/>
      <c r="AM309" s="1324"/>
      <c r="AN309" s="33"/>
      <c r="AO309" s="33"/>
      <c r="AP309" s="33"/>
      <c r="AQ309" s="33"/>
      <c r="AR309" s="33"/>
      <c r="AS309" s="33"/>
      <c r="AT309" s="33"/>
      <c r="AU309" s="33"/>
      <c r="AV309" s="33"/>
      <c r="AW309" s="33"/>
      <c r="AX309" s="33"/>
      <c r="AY309" s="33"/>
      <c r="AZ309" s="33"/>
      <c r="BA309" s="33"/>
      <c r="BB309" s="33"/>
      <c r="BC309" s="33"/>
      <c r="BD309" s="264"/>
      <c r="BE309" s="264"/>
      <c r="BF309" s="264"/>
      <c r="BG309" s="264"/>
      <c r="BH309" s="264"/>
      <c r="BI309" s="264"/>
      <c r="BJ309" s="264"/>
      <c r="BK309" s="264"/>
      <c r="BL309" s="264"/>
    </row>
    <row r="310" spans="1:64" ht="18" hidden="1" customHeight="1" x14ac:dyDescent="0.2">
      <c r="A310" s="1324"/>
      <c r="B310" s="1547" t="str">
        <f t="shared" ref="B310:B320" si="78">B261</f>
        <v>INSERITO</v>
      </c>
      <c r="C310" s="1656"/>
      <c r="D310" s="1588" t="str">
        <f t="shared" ref="D310:D320" si="79">D261</f>
        <v>Gennaio</v>
      </c>
      <c r="E310" s="1589"/>
      <c r="F310" s="1589"/>
      <c r="G310" s="1588" t="str">
        <f>G261</f>
        <v>Febbraio</v>
      </c>
      <c r="H310" s="1589"/>
      <c r="I310" s="1589"/>
      <c r="J310" s="1588" t="str">
        <f>J261</f>
        <v>Marzo</v>
      </c>
      <c r="K310" s="1589"/>
      <c r="L310" s="1589"/>
      <c r="M310" s="1588" t="str">
        <f>M261</f>
        <v>Aprile</v>
      </c>
      <c r="N310" s="1589"/>
      <c r="O310" s="1589"/>
      <c r="P310" s="1588" t="str">
        <f>P261</f>
        <v>Maggio</v>
      </c>
      <c r="Q310" s="1589"/>
      <c r="R310" s="1589"/>
      <c r="S310" s="1588" t="str">
        <f>S261</f>
        <v>Giugno</v>
      </c>
      <c r="T310" s="1589"/>
      <c r="U310" s="1589"/>
      <c r="V310" s="1588" t="str">
        <f>V261</f>
        <v>Luglio</v>
      </c>
      <c r="W310" s="1589"/>
      <c r="X310" s="1589"/>
      <c r="Y310" s="1588" t="str">
        <f>Y261</f>
        <v>Agosto</v>
      </c>
      <c r="Z310" s="1589"/>
      <c r="AA310" s="1589"/>
      <c r="AB310" s="1588" t="str">
        <f>AB261</f>
        <v>Settembre</v>
      </c>
      <c r="AC310" s="1589"/>
      <c r="AD310" s="1589"/>
      <c r="AE310" s="1588" t="str">
        <f>AE261</f>
        <v>Ottobre</v>
      </c>
      <c r="AF310" s="1589"/>
      <c r="AG310" s="1589"/>
      <c r="AH310" s="1588" t="str">
        <f>AH261</f>
        <v>Novembre</v>
      </c>
      <c r="AI310" s="1589"/>
      <c r="AJ310" s="1589"/>
      <c r="AK310" s="1588" t="str">
        <f>AK261</f>
        <v>Dicembre</v>
      </c>
      <c r="AL310" s="1589"/>
      <c r="AM310" s="1589"/>
      <c r="AN310" s="33"/>
      <c r="AO310" s="33"/>
      <c r="AP310" s="264"/>
      <c r="AQ310" s="264"/>
      <c r="AR310" s="264"/>
      <c r="AS310" s="264"/>
      <c r="AT310" s="264"/>
      <c r="AU310" s="264"/>
      <c r="AV310" s="264"/>
      <c r="AW310" s="264"/>
      <c r="AX310" s="264"/>
      <c r="AY310" s="264"/>
      <c r="AZ310" s="264"/>
      <c r="BA310" s="264"/>
      <c r="BB310" s="264"/>
      <c r="BC310" s="264"/>
      <c r="BD310" s="264"/>
      <c r="BE310" s="264"/>
      <c r="BF310" s="264"/>
      <c r="BG310" s="264"/>
      <c r="BH310" s="264"/>
      <c r="BI310" s="264"/>
      <c r="BJ310" s="264"/>
      <c r="BK310" s="264"/>
      <c r="BL310" s="264"/>
    </row>
    <row r="311" spans="1:64" ht="18" hidden="1" customHeight="1" x14ac:dyDescent="0.2">
      <c r="A311" s="1324"/>
      <c r="B311" s="1658" t="str">
        <f t="shared" si="78"/>
        <v/>
      </c>
      <c r="C311" s="1672"/>
      <c r="D311" s="1572">
        <f t="shared" si="79"/>
        <v>0</v>
      </c>
      <c r="E311" s="1573"/>
      <c r="F311" s="1574"/>
      <c r="G311" s="1572">
        <f t="shared" ref="G311:G320" si="80">G262+D311</f>
        <v>0</v>
      </c>
      <c r="H311" s="1573"/>
      <c r="I311" s="1574"/>
      <c r="J311" s="1572">
        <f t="shared" ref="J311:J320" si="81">J262+G311</f>
        <v>0</v>
      </c>
      <c r="K311" s="1573"/>
      <c r="L311" s="1574"/>
      <c r="M311" s="1572">
        <f t="shared" ref="M311:M320" si="82">M262+J311</f>
        <v>0</v>
      </c>
      <c r="N311" s="1573"/>
      <c r="O311" s="1574"/>
      <c r="P311" s="1572">
        <f t="shared" ref="P311:P320" si="83">P262+M311</f>
        <v>0</v>
      </c>
      <c r="Q311" s="1573"/>
      <c r="R311" s="1574"/>
      <c r="S311" s="1572">
        <f t="shared" ref="S311:S320" si="84">S262+P311</f>
        <v>0</v>
      </c>
      <c r="T311" s="1573"/>
      <c r="U311" s="1574"/>
      <c r="V311" s="1572">
        <f t="shared" ref="V311:V320" si="85">V262+S311</f>
        <v>0</v>
      </c>
      <c r="W311" s="1573"/>
      <c r="X311" s="1574"/>
      <c r="Y311" s="1572">
        <f t="shared" ref="Y311:Y320" si="86">Y262+V311</f>
        <v>0</v>
      </c>
      <c r="Z311" s="1573"/>
      <c r="AA311" s="1574"/>
      <c r="AB311" s="1572">
        <f t="shared" ref="AB311:AB320" si="87">AB262+Y311</f>
        <v>0</v>
      </c>
      <c r="AC311" s="1573"/>
      <c r="AD311" s="1574"/>
      <c r="AE311" s="1572">
        <f t="shared" ref="AE311:AE320" si="88">AE262+AB311</f>
        <v>0</v>
      </c>
      <c r="AF311" s="1573"/>
      <c r="AG311" s="1574"/>
      <c r="AH311" s="1572">
        <f t="shared" ref="AH311:AH320" si="89">AH262+AE311</f>
        <v>0</v>
      </c>
      <c r="AI311" s="1573"/>
      <c r="AJ311" s="1574"/>
      <c r="AK311" s="1572">
        <f t="shared" ref="AK311:AK320" si="90">AK262+AH311</f>
        <v>0</v>
      </c>
      <c r="AL311" s="1573"/>
      <c r="AM311" s="1574"/>
      <c r="AN311" s="33"/>
      <c r="AO311" s="33"/>
      <c r="AP311" s="264"/>
      <c r="AQ311" s="264"/>
      <c r="AR311" s="264"/>
      <c r="AS311" s="264"/>
      <c r="AT311" s="264"/>
      <c r="AU311" s="264"/>
      <c r="AV311" s="264"/>
      <c r="AW311" s="264"/>
      <c r="AX311" s="264"/>
      <c r="AY311" s="264"/>
      <c r="AZ311" s="264"/>
      <c r="BA311" s="264"/>
      <c r="BB311" s="264"/>
      <c r="BC311" s="264"/>
      <c r="BD311" s="264"/>
      <c r="BE311" s="264"/>
      <c r="BF311" s="264"/>
      <c r="BG311" s="264"/>
      <c r="BH311" s="264"/>
      <c r="BI311" s="264"/>
      <c r="BJ311" s="264"/>
      <c r="BK311" s="264"/>
      <c r="BL311" s="264"/>
    </row>
    <row r="312" spans="1:64" ht="18" hidden="1" customHeight="1" x14ac:dyDescent="0.2">
      <c r="A312" s="1324"/>
      <c r="B312" s="1658" t="str">
        <f t="shared" si="78"/>
        <v/>
      </c>
      <c r="C312" s="1672"/>
      <c r="D312" s="1572">
        <f t="shared" si="79"/>
        <v>0</v>
      </c>
      <c r="E312" s="1573"/>
      <c r="F312" s="1574"/>
      <c r="G312" s="1572">
        <f t="shared" si="80"/>
        <v>0</v>
      </c>
      <c r="H312" s="1573"/>
      <c r="I312" s="1574"/>
      <c r="J312" s="1572">
        <f t="shared" si="81"/>
        <v>0</v>
      </c>
      <c r="K312" s="1573"/>
      <c r="L312" s="1574"/>
      <c r="M312" s="1572">
        <f t="shared" si="82"/>
        <v>0</v>
      </c>
      <c r="N312" s="1573"/>
      <c r="O312" s="1574"/>
      <c r="P312" s="1572">
        <f t="shared" si="83"/>
        <v>0</v>
      </c>
      <c r="Q312" s="1573"/>
      <c r="R312" s="1574"/>
      <c r="S312" s="1572">
        <f t="shared" si="84"/>
        <v>0</v>
      </c>
      <c r="T312" s="1573"/>
      <c r="U312" s="1574"/>
      <c r="V312" s="1572">
        <f t="shared" si="85"/>
        <v>0</v>
      </c>
      <c r="W312" s="1573"/>
      <c r="X312" s="1574"/>
      <c r="Y312" s="1572">
        <f t="shared" si="86"/>
        <v>0</v>
      </c>
      <c r="Z312" s="1573"/>
      <c r="AA312" s="1574"/>
      <c r="AB312" s="1572">
        <f t="shared" si="87"/>
        <v>0</v>
      </c>
      <c r="AC312" s="1573"/>
      <c r="AD312" s="1574"/>
      <c r="AE312" s="1572">
        <f t="shared" si="88"/>
        <v>0</v>
      </c>
      <c r="AF312" s="1573"/>
      <c r="AG312" s="1574"/>
      <c r="AH312" s="1572">
        <f t="shared" si="89"/>
        <v>0</v>
      </c>
      <c r="AI312" s="1573"/>
      <c r="AJ312" s="1574"/>
      <c r="AK312" s="1572">
        <f t="shared" si="90"/>
        <v>0</v>
      </c>
      <c r="AL312" s="1573"/>
      <c r="AM312" s="1574"/>
      <c r="AN312" s="33"/>
      <c r="AO312" s="33"/>
      <c r="AP312" s="264"/>
      <c r="AQ312" s="264"/>
      <c r="AR312" s="264"/>
      <c r="AS312" s="264"/>
      <c r="AT312" s="264"/>
      <c r="AU312" s="264"/>
      <c r="AV312" s="264"/>
      <c r="AW312" s="264"/>
      <c r="AX312" s="264"/>
      <c r="AY312" s="264"/>
      <c r="AZ312" s="264"/>
      <c r="BA312" s="264"/>
      <c r="BB312" s="264"/>
      <c r="BC312" s="264"/>
      <c r="BD312" s="264"/>
      <c r="BE312" s="264"/>
      <c r="BF312" s="264"/>
      <c r="BG312" s="264"/>
      <c r="BH312" s="264"/>
      <c r="BI312" s="264"/>
      <c r="BJ312" s="264"/>
      <c r="BK312" s="264"/>
      <c r="BL312" s="264"/>
    </row>
    <row r="313" spans="1:64" ht="18" hidden="1" customHeight="1" x14ac:dyDescent="0.2">
      <c r="A313" s="1324"/>
      <c r="B313" s="1658" t="str">
        <f t="shared" si="78"/>
        <v/>
      </c>
      <c r="C313" s="1672"/>
      <c r="D313" s="1572">
        <f t="shared" si="79"/>
        <v>0</v>
      </c>
      <c r="E313" s="1573"/>
      <c r="F313" s="1574"/>
      <c r="G313" s="1572">
        <f t="shared" si="80"/>
        <v>0</v>
      </c>
      <c r="H313" s="1573"/>
      <c r="I313" s="1574"/>
      <c r="J313" s="1572">
        <f t="shared" si="81"/>
        <v>0</v>
      </c>
      <c r="K313" s="1573"/>
      <c r="L313" s="1574"/>
      <c r="M313" s="1572">
        <f t="shared" si="82"/>
        <v>0</v>
      </c>
      <c r="N313" s="1573"/>
      <c r="O313" s="1574"/>
      <c r="P313" s="1572">
        <f t="shared" si="83"/>
        <v>0</v>
      </c>
      <c r="Q313" s="1573"/>
      <c r="R313" s="1574"/>
      <c r="S313" s="1572">
        <f t="shared" si="84"/>
        <v>0</v>
      </c>
      <c r="T313" s="1573"/>
      <c r="U313" s="1574"/>
      <c r="V313" s="1572">
        <f t="shared" si="85"/>
        <v>0</v>
      </c>
      <c r="W313" s="1573"/>
      <c r="X313" s="1574"/>
      <c r="Y313" s="1572">
        <f t="shared" si="86"/>
        <v>0</v>
      </c>
      <c r="Z313" s="1573"/>
      <c r="AA313" s="1574"/>
      <c r="AB313" s="1572">
        <f t="shared" si="87"/>
        <v>0</v>
      </c>
      <c r="AC313" s="1573"/>
      <c r="AD313" s="1574"/>
      <c r="AE313" s="1572">
        <f t="shared" si="88"/>
        <v>0</v>
      </c>
      <c r="AF313" s="1573"/>
      <c r="AG313" s="1574"/>
      <c r="AH313" s="1572">
        <f t="shared" si="89"/>
        <v>0</v>
      </c>
      <c r="AI313" s="1573"/>
      <c r="AJ313" s="1574"/>
      <c r="AK313" s="1572">
        <f t="shared" si="90"/>
        <v>0</v>
      </c>
      <c r="AL313" s="1573"/>
      <c r="AM313" s="1574"/>
      <c r="AN313" s="33"/>
      <c r="AO313" s="33"/>
      <c r="AP313" s="264"/>
      <c r="AQ313" s="264"/>
      <c r="AR313" s="264"/>
      <c r="AS313" s="264"/>
      <c r="AT313" s="264"/>
      <c r="AU313" s="264"/>
      <c r="AV313" s="264"/>
      <c r="AW313" s="264"/>
      <c r="AX313" s="264"/>
      <c r="AY313" s="264"/>
      <c r="AZ313" s="264"/>
      <c r="BA313" s="264"/>
      <c r="BB313" s="264"/>
      <c r="BC313" s="264"/>
      <c r="BD313" s="264"/>
      <c r="BE313" s="264"/>
      <c r="BF313" s="264"/>
      <c r="BG313" s="264"/>
      <c r="BH313" s="264"/>
      <c r="BI313" s="264"/>
      <c r="BJ313" s="264"/>
      <c r="BK313" s="264"/>
      <c r="BL313" s="264"/>
    </row>
    <row r="314" spans="1:64" ht="18" hidden="1" customHeight="1" x14ac:dyDescent="0.2">
      <c r="A314" s="1324"/>
      <c r="B314" s="1658" t="str">
        <f t="shared" si="78"/>
        <v/>
      </c>
      <c r="C314" s="1672"/>
      <c r="D314" s="1572">
        <f t="shared" si="79"/>
        <v>0</v>
      </c>
      <c r="E314" s="1573"/>
      <c r="F314" s="1574"/>
      <c r="G314" s="1572">
        <f t="shared" si="80"/>
        <v>0</v>
      </c>
      <c r="H314" s="1573"/>
      <c r="I314" s="1574"/>
      <c r="J314" s="1572">
        <f t="shared" si="81"/>
        <v>0</v>
      </c>
      <c r="K314" s="1573"/>
      <c r="L314" s="1574"/>
      <c r="M314" s="1572">
        <f t="shared" si="82"/>
        <v>0</v>
      </c>
      <c r="N314" s="1573"/>
      <c r="O314" s="1574"/>
      <c r="P314" s="1572">
        <f t="shared" si="83"/>
        <v>0</v>
      </c>
      <c r="Q314" s="1573"/>
      <c r="R314" s="1574"/>
      <c r="S314" s="1572">
        <f t="shared" si="84"/>
        <v>0</v>
      </c>
      <c r="T314" s="1573"/>
      <c r="U314" s="1574"/>
      <c r="V314" s="1572">
        <f t="shared" si="85"/>
        <v>0</v>
      </c>
      <c r="W314" s="1573"/>
      <c r="X314" s="1574"/>
      <c r="Y314" s="1572">
        <f t="shared" si="86"/>
        <v>0</v>
      </c>
      <c r="Z314" s="1573"/>
      <c r="AA314" s="1574"/>
      <c r="AB314" s="1572">
        <f t="shared" si="87"/>
        <v>0</v>
      </c>
      <c r="AC314" s="1573"/>
      <c r="AD314" s="1574"/>
      <c r="AE314" s="1572">
        <f t="shared" si="88"/>
        <v>0</v>
      </c>
      <c r="AF314" s="1573"/>
      <c r="AG314" s="1574"/>
      <c r="AH314" s="1572">
        <f t="shared" si="89"/>
        <v>0</v>
      </c>
      <c r="AI314" s="1573"/>
      <c r="AJ314" s="1574"/>
      <c r="AK314" s="1572">
        <f t="shared" si="90"/>
        <v>0</v>
      </c>
      <c r="AL314" s="1573"/>
      <c r="AM314" s="1574"/>
      <c r="AN314" s="33"/>
      <c r="AO314" s="33"/>
      <c r="AP314" s="264"/>
      <c r="AQ314" s="264"/>
      <c r="AR314" s="264"/>
      <c r="AS314" s="264"/>
      <c r="AT314" s="264"/>
      <c r="AU314" s="264"/>
      <c r="AV314" s="264"/>
      <c r="AW314" s="264"/>
      <c r="AX314" s="264"/>
      <c r="AY314" s="264"/>
      <c r="AZ314" s="264"/>
      <c r="BA314" s="264"/>
      <c r="BB314" s="264"/>
      <c r="BC314" s="264"/>
      <c r="BD314" s="264"/>
      <c r="BE314" s="264"/>
      <c r="BF314" s="264"/>
      <c r="BG314" s="264"/>
      <c r="BH314" s="264"/>
      <c r="BI314" s="264"/>
      <c r="BJ314" s="264"/>
      <c r="BK314" s="264"/>
      <c r="BL314" s="264"/>
    </row>
    <row r="315" spans="1:64" ht="18" hidden="1" customHeight="1" x14ac:dyDescent="0.2">
      <c r="A315" s="1324"/>
      <c r="B315" s="1658" t="str">
        <f t="shared" si="78"/>
        <v/>
      </c>
      <c r="C315" s="1672"/>
      <c r="D315" s="1572">
        <f t="shared" si="79"/>
        <v>0</v>
      </c>
      <c r="E315" s="1573"/>
      <c r="F315" s="1574"/>
      <c r="G315" s="1572">
        <f t="shared" si="80"/>
        <v>0</v>
      </c>
      <c r="H315" s="1573"/>
      <c r="I315" s="1574"/>
      <c r="J315" s="1572">
        <f t="shared" si="81"/>
        <v>0</v>
      </c>
      <c r="K315" s="1573"/>
      <c r="L315" s="1574"/>
      <c r="M315" s="1572">
        <f t="shared" si="82"/>
        <v>0</v>
      </c>
      <c r="N315" s="1573"/>
      <c r="O315" s="1574"/>
      <c r="P315" s="1572">
        <f t="shared" si="83"/>
        <v>0</v>
      </c>
      <c r="Q315" s="1573"/>
      <c r="R315" s="1574"/>
      <c r="S315" s="1572">
        <f t="shared" si="84"/>
        <v>0</v>
      </c>
      <c r="T315" s="1573"/>
      <c r="U315" s="1574"/>
      <c r="V315" s="1572">
        <f t="shared" si="85"/>
        <v>0</v>
      </c>
      <c r="W315" s="1573"/>
      <c r="X315" s="1574"/>
      <c r="Y315" s="1572">
        <f t="shared" si="86"/>
        <v>0</v>
      </c>
      <c r="Z315" s="1573"/>
      <c r="AA315" s="1574"/>
      <c r="AB315" s="1572">
        <f t="shared" si="87"/>
        <v>0</v>
      </c>
      <c r="AC315" s="1573"/>
      <c r="AD315" s="1574"/>
      <c r="AE315" s="1572">
        <f t="shared" si="88"/>
        <v>0</v>
      </c>
      <c r="AF315" s="1573"/>
      <c r="AG315" s="1574"/>
      <c r="AH315" s="1572">
        <f t="shared" si="89"/>
        <v>0</v>
      </c>
      <c r="AI315" s="1573"/>
      <c r="AJ315" s="1574"/>
      <c r="AK315" s="1572">
        <f t="shared" si="90"/>
        <v>0</v>
      </c>
      <c r="AL315" s="1573"/>
      <c r="AM315" s="1574"/>
      <c r="AN315" s="33"/>
      <c r="AO315" s="33"/>
      <c r="AP315" s="264"/>
      <c r="AQ315" s="264"/>
      <c r="AR315" s="264"/>
      <c r="AS315" s="264"/>
      <c r="AT315" s="264"/>
      <c r="AU315" s="264"/>
      <c r="AV315" s="264"/>
      <c r="AW315" s="264"/>
      <c r="AX315" s="264"/>
      <c r="AY315" s="264"/>
      <c r="AZ315" s="264"/>
      <c r="BA315" s="264"/>
      <c r="BB315" s="264"/>
      <c r="BC315" s="264"/>
      <c r="BD315" s="264"/>
      <c r="BE315" s="264"/>
      <c r="BF315" s="264"/>
      <c r="BG315" s="264"/>
      <c r="BH315" s="264"/>
      <c r="BI315" s="264"/>
      <c r="BJ315" s="264"/>
      <c r="BK315" s="264"/>
      <c r="BL315" s="264"/>
    </row>
    <row r="316" spans="1:64" ht="18" hidden="1" customHeight="1" x14ac:dyDescent="0.2">
      <c r="A316" s="1324"/>
      <c r="B316" s="1658" t="str">
        <f t="shared" si="78"/>
        <v/>
      </c>
      <c r="C316" s="1672"/>
      <c r="D316" s="1572">
        <f t="shared" si="79"/>
        <v>0</v>
      </c>
      <c r="E316" s="1573"/>
      <c r="F316" s="1574"/>
      <c r="G316" s="1572">
        <f t="shared" si="80"/>
        <v>0</v>
      </c>
      <c r="H316" s="1573"/>
      <c r="I316" s="1574"/>
      <c r="J316" s="1572">
        <f t="shared" si="81"/>
        <v>0</v>
      </c>
      <c r="K316" s="1573"/>
      <c r="L316" s="1574"/>
      <c r="M316" s="1572">
        <f t="shared" si="82"/>
        <v>0</v>
      </c>
      <c r="N316" s="1573"/>
      <c r="O316" s="1574"/>
      <c r="P316" s="1572">
        <f t="shared" si="83"/>
        <v>0</v>
      </c>
      <c r="Q316" s="1573"/>
      <c r="R316" s="1574"/>
      <c r="S316" s="1572">
        <f t="shared" si="84"/>
        <v>0</v>
      </c>
      <c r="T316" s="1573"/>
      <c r="U316" s="1574"/>
      <c r="V316" s="1572">
        <f t="shared" si="85"/>
        <v>0</v>
      </c>
      <c r="W316" s="1573"/>
      <c r="X316" s="1574"/>
      <c r="Y316" s="1572">
        <f t="shared" si="86"/>
        <v>0</v>
      </c>
      <c r="Z316" s="1573"/>
      <c r="AA316" s="1574"/>
      <c r="AB316" s="1572">
        <f t="shared" si="87"/>
        <v>0</v>
      </c>
      <c r="AC316" s="1573"/>
      <c r="AD316" s="1574"/>
      <c r="AE316" s="1572">
        <f t="shared" si="88"/>
        <v>0</v>
      </c>
      <c r="AF316" s="1573"/>
      <c r="AG316" s="1574"/>
      <c r="AH316" s="1572">
        <f t="shared" si="89"/>
        <v>0</v>
      </c>
      <c r="AI316" s="1573"/>
      <c r="AJ316" s="1574"/>
      <c r="AK316" s="1572">
        <f t="shared" si="90"/>
        <v>0</v>
      </c>
      <c r="AL316" s="1573"/>
      <c r="AM316" s="1574"/>
      <c r="AN316" s="33"/>
      <c r="AO316" s="33"/>
      <c r="AP316" s="264"/>
      <c r="AQ316" s="264"/>
      <c r="AR316" s="264"/>
      <c r="AS316" s="264"/>
      <c r="AT316" s="264"/>
      <c r="AU316" s="264"/>
      <c r="AV316" s="264"/>
      <c r="AW316" s="264"/>
      <c r="AX316" s="264"/>
      <c r="AY316" s="264"/>
      <c r="AZ316" s="264"/>
      <c r="BA316" s="264"/>
      <c r="BB316" s="264"/>
      <c r="BC316" s="264"/>
      <c r="BD316" s="264"/>
      <c r="BE316" s="264"/>
      <c r="BF316" s="264"/>
      <c r="BG316" s="264"/>
      <c r="BH316" s="264"/>
      <c r="BI316" s="264"/>
      <c r="BJ316" s="264"/>
      <c r="BK316" s="264"/>
      <c r="BL316" s="264"/>
    </row>
    <row r="317" spans="1:64" ht="18" hidden="1" customHeight="1" x14ac:dyDescent="0.2">
      <c r="A317" s="1324"/>
      <c r="B317" s="1658" t="str">
        <f t="shared" si="78"/>
        <v/>
      </c>
      <c r="C317" s="1672"/>
      <c r="D317" s="1572">
        <f t="shared" si="79"/>
        <v>0</v>
      </c>
      <c r="E317" s="1573"/>
      <c r="F317" s="1574"/>
      <c r="G317" s="1572">
        <f t="shared" si="80"/>
        <v>0</v>
      </c>
      <c r="H317" s="1573"/>
      <c r="I317" s="1574"/>
      <c r="J317" s="1572">
        <f t="shared" si="81"/>
        <v>0</v>
      </c>
      <c r="K317" s="1573"/>
      <c r="L317" s="1574"/>
      <c r="M317" s="1572">
        <f t="shared" si="82"/>
        <v>0</v>
      </c>
      <c r="N317" s="1573"/>
      <c r="O317" s="1574"/>
      <c r="P317" s="1572">
        <f t="shared" si="83"/>
        <v>0</v>
      </c>
      <c r="Q317" s="1573"/>
      <c r="R317" s="1574"/>
      <c r="S317" s="1572">
        <f t="shared" si="84"/>
        <v>0</v>
      </c>
      <c r="T317" s="1573"/>
      <c r="U317" s="1574"/>
      <c r="V317" s="1572">
        <f t="shared" si="85"/>
        <v>0</v>
      </c>
      <c r="W317" s="1573"/>
      <c r="X317" s="1574"/>
      <c r="Y317" s="1572">
        <f t="shared" si="86"/>
        <v>0</v>
      </c>
      <c r="Z317" s="1573"/>
      <c r="AA317" s="1574"/>
      <c r="AB317" s="1572">
        <f t="shared" si="87"/>
        <v>0</v>
      </c>
      <c r="AC317" s="1573"/>
      <c r="AD317" s="1574"/>
      <c r="AE317" s="1572">
        <f t="shared" si="88"/>
        <v>0</v>
      </c>
      <c r="AF317" s="1573"/>
      <c r="AG317" s="1574"/>
      <c r="AH317" s="1572">
        <f t="shared" si="89"/>
        <v>0</v>
      </c>
      <c r="AI317" s="1573"/>
      <c r="AJ317" s="1574"/>
      <c r="AK317" s="1572">
        <f t="shared" si="90"/>
        <v>0</v>
      </c>
      <c r="AL317" s="1573"/>
      <c r="AM317" s="1574"/>
      <c r="AN317" s="33"/>
      <c r="AO317" s="33"/>
      <c r="AP317" s="264"/>
      <c r="AQ317" s="264"/>
      <c r="AR317" s="264"/>
      <c r="AS317" s="264"/>
      <c r="AT317" s="264"/>
      <c r="AU317" s="264"/>
      <c r="AV317" s="264"/>
      <c r="AW317" s="264"/>
      <c r="AX317" s="264"/>
      <c r="AY317" s="264"/>
      <c r="AZ317" s="264"/>
      <c r="BA317" s="264"/>
      <c r="BB317" s="264"/>
      <c r="BC317" s="264"/>
      <c r="BD317" s="264"/>
      <c r="BE317" s="264"/>
      <c r="BF317" s="264"/>
      <c r="BG317" s="264"/>
      <c r="BH317" s="264"/>
      <c r="BI317" s="264"/>
      <c r="BJ317" s="264"/>
      <c r="BK317" s="264"/>
      <c r="BL317" s="264"/>
    </row>
    <row r="318" spans="1:64" ht="18" hidden="1" customHeight="1" x14ac:dyDescent="0.2">
      <c r="A318" s="1324"/>
      <c r="B318" s="1658" t="str">
        <f t="shared" si="78"/>
        <v/>
      </c>
      <c r="C318" s="1672"/>
      <c r="D318" s="1572">
        <f t="shared" si="79"/>
        <v>0</v>
      </c>
      <c r="E318" s="1573"/>
      <c r="F318" s="1574"/>
      <c r="G318" s="1572">
        <f t="shared" si="80"/>
        <v>0</v>
      </c>
      <c r="H318" s="1573"/>
      <c r="I318" s="1574"/>
      <c r="J318" s="1572">
        <f t="shared" si="81"/>
        <v>0</v>
      </c>
      <c r="K318" s="1573"/>
      <c r="L318" s="1574"/>
      <c r="M318" s="1572">
        <f t="shared" si="82"/>
        <v>0</v>
      </c>
      <c r="N318" s="1573"/>
      <c r="O318" s="1574"/>
      <c r="P318" s="1572">
        <f t="shared" si="83"/>
        <v>0</v>
      </c>
      <c r="Q318" s="1573"/>
      <c r="R318" s="1574"/>
      <c r="S318" s="1572">
        <f t="shared" si="84"/>
        <v>0</v>
      </c>
      <c r="T318" s="1573"/>
      <c r="U318" s="1574"/>
      <c r="V318" s="1572">
        <f t="shared" si="85"/>
        <v>0</v>
      </c>
      <c r="W318" s="1573"/>
      <c r="X318" s="1574"/>
      <c r="Y318" s="1572">
        <f t="shared" si="86"/>
        <v>0</v>
      </c>
      <c r="Z318" s="1573"/>
      <c r="AA318" s="1574"/>
      <c r="AB318" s="1572">
        <f t="shared" si="87"/>
        <v>0</v>
      </c>
      <c r="AC318" s="1573"/>
      <c r="AD318" s="1574"/>
      <c r="AE318" s="1572">
        <f t="shared" si="88"/>
        <v>0</v>
      </c>
      <c r="AF318" s="1573"/>
      <c r="AG318" s="1574"/>
      <c r="AH318" s="1572">
        <f t="shared" si="89"/>
        <v>0</v>
      </c>
      <c r="AI318" s="1573"/>
      <c r="AJ318" s="1574"/>
      <c r="AK318" s="1572">
        <f t="shared" si="90"/>
        <v>0</v>
      </c>
      <c r="AL318" s="1573"/>
      <c r="AM318" s="1574"/>
      <c r="AN318" s="33"/>
      <c r="AO318" s="33"/>
      <c r="AP318" s="264"/>
      <c r="AQ318" s="264"/>
      <c r="AR318" s="264"/>
      <c r="AS318" s="264"/>
      <c r="AT318" s="264"/>
      <c r="AU318" s="264"/>
      <c r="AV318" s="264"/>
      <c r="AW318" s="264"/>
      <c r="AX318" s="264"/>
      <c r="AY318" s="264"/>
      <c r="AZ318" s="264"/>
      <c r="BA318" s="264"/>
      <c r="BB318" s="264"/>
      <c r="BC318" s="264"/>
      <c r="BD318" s="264"/>
      <c r="BE318" s="264"/>
      <c r="BF318" s="264"/>
      <c r="BG318" s="264"/>
      <c r="BH318" s="264"/>
      <c r="BI318" s="264"/>
      <c r="BJ318" s="264"/>
      <c r="BK318" s="264"/>
      <c r="BL318" s="264"/>
    </row>
    <row r="319" spans="1:64" ht="18" hidden="1" customHeight="1" x14ac:dyDescent="0.2">
      <c r="A319" s="1324"/>
      <c r="B319" s="1658" t="str">
        <f t="shared" si="78"/>
        <v/>
      </c>
      <c r="C319" s="1672"/>
      <c r="D319" s="1572">
        <f t="shared" si="79"/>
        <v>0</v>
      </c>
      <c r="E319" s="1573"/>
      <c r="F319" s="1574"/>
      <c r="G319" s="1572">
        <f t="shared" si="80"/>
        <v>0</v>
      </c>
      <c r="H319" s="1573"/>
      <c r="I319" s="1574"/>
      <c r="J319" s="1572">
        <f t="shared" si="81"/>
        <v>0</v>
      </c>
      <c r="K319" s="1573"/>
      <c r="L319" s="1574"/>
      <c r="M319" s="1572">
        <f t="shared" si="82"/>
        <v>0</v>
      </c>
      <c r="N319" s="1573"/>
      <c r="O319" s="1574"/>
      <c r="P319" s="1572">
        <f t="shared" si="83"/>
        <v>0</v>
      </c>
      <c r="Q319" s="1573"/>
      <c r="R319" s="1574"/>
      <c r="S319" s="1572">
        <f t="shared" si="84"/>
        <v>0</v>
      </c>
      <c r="T319" s="1573"/>
      <c r="U319" s="1574"/>
      <c r="V319" s="1572">
        <f t="shared" si="85"/>
        <v>0</v>
      </c>
      <c r="W319" s="1573"/>
      <c r="X319" s="1574"/>
      <c r="Y319" s="1572">
        <f t="shared" si="86"/>
        <v>0</v>
      </c>
      <c r="Z319" s="1573"/>
      <c r="AA319" s="1574"/>
      <c r="AB319" s="1572">
        <f t="shared" si="87"/>
        <v>0</v>
      </c>
      <c r="AC319" s="1573"/>
      <c r="AD319" s="1574"/>
      <c r="AE319" s="1572">
        <f t="shared" si="88"/>
        <v>0</v>
      </c>
      <c r="AF319" s="1573"/>
      <c r="AG319" s="1574"/>
      <c r="AH319" s="1572">
        <f t="shared" si="89"/>
        <v>0</v>
      </c>
      <c r="AI319" s="1573"/>
      <c r="AJ319" s="1574"/>
      <c r="AK319" s="1572">
        <f t="shared" si="90"/>
        <v>0</v>
      </c>
      <c r="AL319" s="1573"/>
      <c r="AM319" s="1574"/>
      <c r="AN319" s="33"/>
      <c r="AO319" s="33"/>
      <c r="AP319" s="264"/>
      <c r="AQ319" s="264"/>
      <c r="AR319" s="264"/>
      <c r="AS319" s="264"/>
      <c r="AT319" s="264"/>
      <c r="AU319" s="264"/>
      <c r="AV319" s="264"/>
      <c r="AW319" s="264"/>
      <c r="AX319" s="264"/>
      <c r="AY319" s="264"/>
      <c r="AZ319" s="264"/>
      <c r="BA319" s="264"/>
      <c r="BB319" s="264"/>
      <c r="BC319" s="264"/>
      <c r="BD319" s="264"/>
      <c r="BE319" s="264"/>
      <c r="BF319" s="264"/>
      <c r="BG319" s="264"/>
      <c r="BH319" s="264"/>
      <c r="BI319" s="264"/>
      <c r="BJ319" s="264"/>
      <c r="BK319" s="264"/>
      <c r="BL319" s="264"/>
    </row>
    <row r="320" spans="1:64" ht="18" hidden="1" customHeight="1" x14ac:dyDescent="0.2">
      <c r="A320" s="1324"/>
      <c r="B320" s="1658" t="str">
        <f t="shared" si="78"/>
        <v/>
      </c>
      <c r="C320" s="1672"/>
      <c r="D320" s="1572">
        <f t="shared" si="79"/>
        <v>0</v>
      </c>
      <c r="E320" s="1573"/>
      <c r="F320" s="1574"/>
      <c r="G320" s="1572">
        <f t="shared" si="80"/>
        <v>0</v>
      </c>
      <c r="H320" s="1573"/>
      <c r="I320" s="1574"/>
      <c r="J320" s="1572">
        <f t="shared" si="81"/>
        <v>0</v>
      </c>
      <c r="K320" s="1573"/>
      <c r="L320" s="1574"/>
      <c r="M320" s="1572">
        <f t="shared" si="82"/>
        <v>0</v>
      </c>
      <c r="N320" s="1573"/>
      <c r="O320" s="1574"/>
      <c r="P320" s="1572">
        <f t="shared" si="83"/>
        <v>0</v>
      </c>
      <c r="Q320" s="1573"/>
      <c r="R320" s="1574"/>
      <c r="S320" s="1572">
        <f t="shared" si="84"/>
        <v>0</v>
      </c>
      <c r="T320" s="1573"/>
      <c r="U320" s="1574"/>
      <c r="V320" s="1572">
        <f t="shared" si="85"/>
        <v>0</v>
      </c>
      <c r="W320" s="1573"/>
      <c r="X320" s="1574"/>
      <c r="Y320" s="1572">
        <f t="shared" si="86"/>
        <v>0</v>
      </c>
      <c r="Z320" s="1573"/>
      <c r="AA320" s="1574"/>
      <c r="AB320" s="1572">
        <f t="shared" si="87"/>
        <v>0</v>
      </c>
      <c r="AC320" s="1573"/>
      <c r="AD320" s="1574"/>
      <c r="AE320" s="1572">
        <f t="shared" si="88"/>
        <v>0</v>
      </c>
      <c r="AF320" s="1573"/>
      <c r="AG320" s="1574"/>
      <c r="AH320" s="1572">
        <f t="shared" si="89"/>
        <v>0</v>
      </c>
      <c r="AI320" s="1573"/>
      <c r="AJ320" s="1574"/>
      <c r="AK320" s="1572">
        <f t="shared" si="90"/>
        <v>0</v>
      </c>
      <c r="AL320" s="1573"/>
      <c r="AM320" s="1574"/>
      <c r="AN320" s="33"/>
      <c r="AO320" s="33"/>
      <c r="AP320" s="264"/>
      <c r="AQ320" s="264"/>
      <c r="AR320" s="264"/>
      <c r="AS320" s="264"/>
      <c r="AT320" s="264"/>
      <c r="AU320" s="264"/>
      <c r="AV320" s="264"/>
      <c r="AW320" s="264"/>
      <c r="AX320" s="264"/>
      <c r="AY320" s="264"/>
      <c r="AZ320" s="264"/>
      <c r="BA320" s="264"/>
      <c r="BB320" s="264"/>
      <c r="BC320" s="264"/>
      <c r="BD320" s="264"/>
      <c r="BE320" s="264"/>
      <c r="BF320" s="264"/>
      <c r="BG320" s="264"/>
      <c r="BH320" s="264"/>
      <c r="BI320" s="264"/>
      <c r="BJ320" s="264"/>
      <c r="BK320" s="264"/>
      <c r="BL320" s="264"/>
    </row>
    <row r="321" spans="1:64" ht="18" hidden="1" customHeight="1" x14ac:dyDescent="0.2">
      <c r="A321" s="1324"/>
      <c r="B321" s="33"/>
      <c r="C321" s="33"/>
      <c r="D321" s="1605">
        <f>SUM(D311:F320)</f>
        <v>0</v>
      </c>
      <c r="E321" s="1606"/>
      <c r="F321" s="1607"/>
      <c r="G321" s="1605">
        <f>SUM(G311:I320)</f>
        <v>0</v>
      </c>
      <c r="H321" s="1606"/>
      <c r="I321" s="1607"/>
      <c r="J321" s="1605">
        <f>SUM(J311:L320)</f>
        <v>0</v>
      </c>
      <c r="K321" s="1606"/>
      <c r="L321" s="1607"/>
      <c r="M321" s="1605">
        <f>SUM(M311:O320)</f>
        <v>0</v>
      </c>
      <c r="N321" s="1606"/>
      <c r="O321" s="1607"/>
      <c r="P321" s="1605">
        <f>SUM(P311:R320)</f>
        <v>0</v>
      </c>
      <c r="Q321" s="1606"/>
      <c r="R321" s="1607"/>
      <c r="S321" s="1605">
        <f>SUM(S311:U320)</f>
        <v>0</v>
      </c>
      <c r="T321" s="1606"/>
      <c r="U321" s="1607"/>
      <c r="V321" s="1605">
        <f>SUM(V311:X320)</f>
        <v>0</v>
      </c>
      <c r="W321" s="1606"/>
      <c r="X321" s="1607"/>
      <c r="Y321" s="1605">
        <f>SUM(Y311:AA320)</f>
        <v>0</v>
      </c>
      <c r="Z321" s="1606"/>
      <c r="AA321" s="1607"/>
      <c r="AB321" s="1605">
        <f>SUM(AB311:AD320)</f>
        <v>0</v>
      </c>
      <c r="AC321" s="1606"/>
      <c r="AD321" s="1607"/>
      <c r="AE321" s="1605">
        <f>SUM(AE311:AG320)</f>
        <v>0</v>
      </c>
      <c r="AF321" s="1606"/>
      <c r="AG321" s="1607"/>
      <c r="AH321" s="1605">
        <f>SUM(AH311:AJ320)</f>
        <v>0</v>
      </c>
      <c r="AI321" s="1606"/>
      <c r="AJ321" s="1607"/>
      <c r="AK321" s="1605">
        <f>SUM(AK311:AM320)</f>
        <v>0</v>
      </c>
      <c r="AL321" s="1606"/>
      <c r="AM321" s="1607"/>
      <c r="AN321" s="33"/>
      <c r="AO321" s="33"/>
      <c r="AP321" s="264"/>
      <c r="AQ321" s="264"/>
      <c r="AR321" s="264"/>
      <c r="AS321" s="264"/>
      <c r="AT321" s="264"/>
      <c r="AU321" s="264"/>
      <c r="AV321" s="264"/>
      <c r="AW321" s="264"/>
      <c r="AX321" s="264"/>
      <c r="AY321" s="264"/>
      <c r="AZ321" s="264"/>
      <c r="BA321" s="264"/>
      <c r="BB321" s="264"/>
      <c r="BC321" s="264"/>
      <c r="BD321" s="264"/>
      <c r="BE321" s="264"/>
      <c r="BF321" s="264"/>
      <c r="BG321" s="264"/>
      <c r="BH321" s="264"/>
      <c r="BI321" s="264"/>
      <c r="BJ321" s="264"/>
      <c r="BK321" s="264"/>
      <c r="BL321" s="264"/>
    </row>
    <row r="322" spans="1:64" ht="18" hidden="1" customHeight="1" x14ac:dyDescent="0.2">
      <c r="A322" s="1324"/>
      <c r="B322" s="33"/>
      <c r="C322" s="33"/>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324"/>
      <c r="AD322" s="1324"/>
      <c r="AE322" s="1324"/>
      <c r="AF322" s="1324"/>
      <c r="AG322" s="1324"/>
      <c r="AH322" s="1324"/>
      <c r="AI322" s="1324"/>
      <c r="AJ322" s="1324"/>
      <c r="AK322" s="1324"/>
      <c r="AL322" s="1324"/>
      <c r="AM322" s="1324"/>
      <c r="AN322" s="33"/>
      <c r="AO322" s="33"/>
      <c r="AP322" s="33"/>
      <c r="AQ322" s="33"/>
      <c r="AR322" s="33"/>
      <c r="AS322" s="33"/>
      <c r="AT322" s="33"/>
      <c r="AU322" s="33"/>
      <c r="AV322" s="33"/>
      <c r="AW322" s="264"/>
      <c r="AX322" s="264"/>
      <c r="AY322" s="264"/>
      <c r="AZ322" s="264"/>
      <c r="BA322" s="264"/>
      <c r="BB322" s="264"/>
      <c r="BC322" s="264"/>
      <c r="BD322" s="264"/>
      <c r="BE322" s="264"/>
      <c r="BF322" s="264"/>
      <c r="BG322" s="264"/>
      <c r="BH322" s="264"/>
      <c r="BI322" s="264"/>
      <c r="BJ322" s="264"/>
      <c r="BK322" s="264"/>
      <c r="BL322" s="264"/>
    </row>
    <row r="323" spans="1:64" ht="18" hidden="1" customHeight="1" x14ac:dyDescent="0.2">
      <c r="A323" s="1324"/>
      <c r="B323" s="1655" t="str">
        <f>AG7</f>
        <v>Opzione II</v>
      </c>
      <c r="C323" s="1656"/>
      <c r="D323" s="1610" t="str">
        <f>D310</f>
        <v>Gennaio</v>
      </c>
      <c r="E323" s="1611"/>
      <c r="F323" s="1611"/>
      <c r="G323" s="1610" t="str">
        <f>G310</f>
        <v>Febbraio</v>
      </c>
      <c r="H323" s="1611"/>
      <c r="I323" s="1611"/>
      <c r="J323" s="1610" t="str">
        <f>J310</f>
        <v>Marzo</v>
      </c>
      <c r="K323" s="1611"/>
      <c r="L323" s="1611"/>
      <c r="M323" s="1610" t="str">
        <f>M310</f>
        <v>Aprile</v>
      </c>
      <c r="N323" s="1611"/>
      <c r="O323" s="1611"/>
      <c r="P323" s="1610" t="str">
        <f>P310</f>
        <v>Maggio</v>
      </c>
      <c r="Q323" s="1611"/>
      <c r="R323" s="1611"/>
      <c r="S323" s="1610" t="str">
        <f>S310</f>
        <v>Giugno</v>
      </c>
      <c r="T323" s="1611"/>
      <c r="U323" s="1611"/>
      <c r="V323" s="1610" t="str">
        <f>V310</f>
        <v>Luglio</v>
      </c>
      <c r="W323" s="1611"/>
      <c r="X323" s="1611"/>
      <c r="Y323" s="1610" t="str">
        <f>Y310</f>
        <v>Agosto</v>
      </c>
      <c r="Z323" s="1611"/>
      <c r="AA323" s="1611"/>
      <c r="AB323" s="1610" t="str">
        <f>AB310</f>
        <v>Settembre</v>
      </c>
      <c r="AC323" s="1611"/>
      <c r="AD323" s="1611"/>
      <c r="AE323" s="1610" t="str">
        <f>AE310</f>
        <v>Ottobre</v>
      </c>
      <c r="AF323" s="1611"/>
      <c r="AG323" s="1611"/>
      <c r="AH323" s="1610" t="str">
        <f>AH310</f>
        <v>Novembre</v>
      </c>
      <c r="AI323" s="1611"/>
      <c r="AJ323" s="1611"/>
      <c r="AK323" s="1610" t="str">
        <f>AK310</f>
        <v>Dicembre</v>
      </c>
      <c r="AL323" s="1611"/>
      <c r="AM323" s="1611"/>
      <c r="AN323" s="33"/>
      <c r="AO323" s="33"/>
      <c r="AP323" s="33"/>
      <c r="AQ323" s="33"/>
      <c r="AR323" s="33"/>
      <c r="AS323" s="33"/>
      <c r="AT323" s="33"/>
      <c r="AU323" s="33"/>
      <c r="AV323" s="33"/>
      <c r="AW323" s="264"/>
      <c r="AX323" s="264"/>
      <c r="AY323" s="264"/>
      <c r="AZ323" s="264"/>
      <c r="BA323" s="264"/>
      <c r="BB323" s="264"/>
      <c r="BC323" s="264"/>
      <c r="BD323" s="264"/>
      <c r="BE323" s="264"/>
      <c r="BF323" s="264"/>
      <c r="BG323" s="264"/>
      <c r="BH323" s="264"/>
      <c r="BI323" s="264"/>
      <c r="BJ323" s="264"/>
      <c r="BK323" s="264"/>
      <c r="BL323" s="264"/>
    </row>
    <row r="324" spans="1:64" ht="18" hidden="1" customHeight="1" x14ac:dyDescent="0.2">
      <c r="A324" s="685" t="str">
        <f>MID(B230,7,2)</f>
        <v/>
      </c>
      <c r="B324" s="1327">
        <f>IF(AN324=0,0,1)</f>
        <v>0</v>
      </c>
      <c r="C324" s="1326" t="str">
        <f t="shared" ref="C324:C330" si="91">AF8</f>
        <v>21</v>
      </c>
      <c r="D324" s="1647">
        <f>SUMIF(GEN!$G$125:$M$125,$C324,GEN!$G$46:$M$46)</f>
        <v>0</v>
      </c>
      <c r="E324" s="1626"/>
      <c r="F324" s="1627"/>
      <c r="G324" s="1625">
        <f>SUMIF(FEB!$G$125:$M$125,$C324,FEB!$G$46:$M$46)</f>
        <v>0</v>
      </c>
      <c r="H324" s="1626"/>
      <c r="I324" s="1627"/>
      <c r="J324" s="1625">
        <f>SUMIF(MAR!$G$125:$M$125,$C324,MAR!$G$46:$M$46)</f>
        <v>0</v>
      </c>
      <c r="K324" s="1626"/>
      <c r="L324" s="1627"/>
      <c r="M324" s="1625">
        <f>SUMIF(APR!$G$125:$M$125,$C324,APR!$G$46:$M$46)</f>
        <v>0</v>
      </c>
      <c r="N324" s="1626"/>
      <c r="O324" s="1627"/>
      <c r="P324" s="1625">
        <f>SUMIF(MAG!$G$125:$M$125,$C324,MAG!$G$46:$M$46)</f>
        <v>0</v>
      </c>
      <c r="Q324" s="1626"/>
      <c r="R324" s="1627"/>
      <c r="S324" s="1625">
        <f>SUMIF(GIU!$G$125:$M$125,$C324,GIU!$G$46:$M$46)</f>
        <v>0</v>
      </c>
      <c r="T324" s="1626"/>
      <c r="U324" s="1627"/>
      <c r="V324" s="1625">
        <f>SUMIF(LUG!$G$125:$M$125,$C324,LUG!$G$46:$M$46)</f>
        <v>0</v>
      </c>
      <c r="W324" s="1626"/>
      <c r="X324" s="1627"/>
      <c r="Y324" s="1625">
        <f>SUMIF(AGO!$G$125:$M$125,$C324,AGO!$G$46:$M$46)</f>
        <v>0</v>
      </c>
      <c r="Z324" s="1626"/>
      <c r="AA324" s="1627"/>
      <c r="AB324" s="1625">
        <f>SUMIF(SET!$G$125:$M$125,$C324,SET!$G$46:$M$46)</f>
        <v>0</v>
      </c>
      <c r="AC324" s="1626"/>
      <c r="AD324" s="1627"/>
      <c r="AE324" s="1625">
        <f>SUMIF(OTT!$G$125:$M$125,$C324,OTT!$G$46:$M$46)</f>
        <v>0</v>
      </c>
      <c r="AF324" s="1626"/>
      <c r="AG324" s="1627"/>
      <c r="AH324" s="1625">
        <f>SUMIF(NOV!$G$125:$M$125,$C324,NOV!$G$46:$M$46)</f>
        <v>0</v>
      </c>
      <c r="AI324" s="1626"/>
      <c r="AJ324" s="1627"/>
      <c r="AK324" s="1625">
        <f>SUMIF(DIC!$G$125:$M$125,$C324,DIC!$G$46:$M$46)</f>
        <v>0</v>
      </c>
      <c r="AL324" s="1626"/>
      <c r="AM324" s="1631"/>
      <c r="AN324" s="1573">
        <f>SUM(D324:AM324)</f>
        <v>0</v>
      </c>
      <c r="AO324" s="1573"/>
      <c r="AP324" s="1573"/>
      <c r="AQ324" s="1671" t="str">
        <f t="shared" ref="AQ324:AQ330" si="92">AG8</f>
        <v>GRUPPO #1</v>
      </c>
      <c r="AR324" s="1661"/>
      <c r="AS324" s="1661"/>
      <c r="AT324" s="1662"/>
      <c r="AU324" s="33"/>
      <c r="AV324" s="33"/>
      <c r="AW324" s="264"/>
      <c r="AX324" s="264"/>
      <c r="AY324" s="264"/>
      <c r="AZ324" s="264"/>
      <c r="BA324" s="264"/>
      <c r="BB324" s="264"/>
      <c r="BC324" s="264"/>
      <c r="BD324" s="264"/>
      <c r="BE324" s="264"/>
      <c r="BF324" s="264"/>
      <c r="BG324" s="264"/>
      <c r="BH324" s="264"/>
      <c r="BI324" s="264"/>
      <c r="BJ324" s="264"/>
      <c r="BK324" s="264"/>
      <c r="BL324" s="264"/>
    </row>
    <row r="325" spans="1:64" ht="18" hidden="1" customHeight="1" x14ac:dyDescent="0.2">
      <c r="A325" s="685" t="str">
        <f>MID(B233,7,2)</f>
        <v/>
      </c>
      <c r="B325" s="1337">
        <f>IF(AN325=0,0,COUNTIF(B$324:B324,"&gt;0")+1)</f>
        <v>0</v>
      </c>
      <c r="C325" s="1326" t="str">
        <f t="shared" si="91"/>
        <v>22</v>
      </c>
      <c r="D325" s="1639">
        <f>SUMIF(GEN!$G$125:$M$125,$C325,GEN!$G$46:$M$46)</f>
        <v>0</v>
      </c>
      <c r="E325" s="1573"/>
      <c r="F325" s="1574"/>
      <c r="G325" s="1572">
        <f>SUMIF(FEB!$G$125:$M$125,$C325,FEB!$G$46:$M$46)</f>
        <v>0</v>
      </c>
      <c r="H325" s="1573"/>
      <c r="I325" s="1574"/>
      <c r="J325" s="1572">
        <f>SUMIF(MAR!$G$125:$M$125,$C325,MAR!$G$46:$M$46)</f>
        <v>0</v>
      </c>
      <c r="K325" s="1573"/>
      <c r="L325" s="1574"/>
      <c r="M325" s="1572">
        <f>SUMIF(APR!$G$125:$M$125,$C325,APR!$G$46:$M$46)</f>
        <v>0</v>
      </c>
      <c r="N325" s="1573"/>
      <c r="O325" s="1574"/>
      <c r="P325" s="1572">
        <f>SUMIF(MAG!$G$125:$M$125,$C325,MAG!$G$46:$M$46)</f>
        <v>0</v>
      </c>
      <c r="Q325" s="1573"/>
      <c r="R325" s="1574"/>
      <c r="S325" s="1572">
        <f>SUMIF(GIU!$G$125:$M$125,$C325,GIU!$G$46:$M$46)</f>
        <v>0</v>
      </c>
      <c r="T325" s="1573"/>
      <c r="U325" s="1574"/>
      <c r="V325" s="1572">
        <f>SUMIF(LUG!$G$125:$M$125,$C325,LUG!$G$46:$M$46)</f>
        <v>0</v>
      </c>
      <c r="W325" s="1573"/>
      <c r="X325" s="1574"/>
      <c r="Y325" s="1572">
        <f>SUMIF(AGO!$G$125:$M$125,$C325,AGO!$G$46:$M$46)</f>
        <v>0</v>
      </c>
      <c r="Z325" s="1573"/>
      <c r="AA325" s="1574"/>
      <c r="AB325" s="1572">
        <f>SUMIF(SET!$G$125:$M$125,$C325,SET!$G$46:$M$46)</f>
        <v>0</v>
      </c>
      <c r="AC325" s="1573"/>
      <c r="AD325" s="1574"/>
      <c r="AE325" s="1572">
        <f>SUMIF(OTT!$G$125:$M$125,$C325,OTT!$G$46:$M$46)</f>
        <v>0</v>
      </c>
      <c r="AF325" s="1573"/>
      <c r="AG325" s="1574"/>
      <c r="AH325" s="1572">
        <f>SUMIF(NOV!$G$125:$M$125,$C325,NOV!$G$46:$M$46)</f>
        <v>0</v>
      </c>
      <c r="AI325" s="1573"/>
      <c r="AJ325" s="1574"/>
      <c r="AK325" s="1572">
        <f>SUMIF(DIC!$G$125:$M$125,$C325,DIC!$G$46:$M$46)</f>
        <v>0</v>
      </c>
      <c r="AL325" s="1573"/>
      <c r="AM325" s="1609"/>
      <c r="AN325" s="1573">
        <f t="shared" ref="AN325:AN331" si="93">SUM(D325:AM325)</f>
        <v>0</v>
      </c>
      <c r="AO325" s="1573"/>
      <c r="AP325" s="1573"/>
      <c r="AQ325" s="1671" t="str">
        <f t="shared" si="92"/>
        <v>GRUPPO #2</v>
      </c>
      <c r="AR325" s="1661"/>
      <c r="AS325" s="1661"/>
      <c r="AT325" s="1662"/>
      <c r="AU325" s="33"/>
      <c r="AV325" s="33"/>
      <c r="AW325" s="264"/>
      <c r="AX325" s="264"/>
      <c r="AY325" s="264"/>
      <c r="AZ325" s="264"/>
      <c r="BA325" s="264"/>
      <c r="BB325" s="264"/>
      <c r="BC325" s="264"/>
      <c r="BD325" s="264"/>
      <c r="BE325" s="264"/>
      <c r="BF325" s="264"/>
      <c r="BG325" s="264"/>
      <c r="BH325" s="264"/>
      <c r="BI325" s="264"/>
      <c r="BJ325" s="264"/>
      <c r="BK325" s="264"/>
      <c r="BL325" s="264"/>
    </row>
    <row r="326" spans="1:64" ht="18" hidden="1" customHeight="1" x14ac:dyDescent="0.2">
      <c r="A326" s="685" t="str">
        <f>MID(B236,7,2)</f>
        <v/>
      </c>
      <c r="B326" s="1337">
        <f>IF(AN326=0,0,COUNTIF(B$324:B325,"&gt;0")+1)</f>
        <v>0</v>
      </c>
      <c r="C326" s="1326" t="str">
        <f t="shared" si="91"/>
        <v>23</v>
      </c>
      <c r="D326" s="1639">
        <f>SUMIF(GEN!$G$125:$M$125,$C326,GEN!$G$46:$M$46)</f>
        <v>0</v>
      </c>
      <c r="E326" s="1573"/>
      <c r="F326" s="1574"/>
      <c r="G326" s="1572">
        <f>SUMIF(FEB!$G$125:$M$125,$C326,FEB!$G$46:$M$46)</f>
        <v>0</v>
      </c>
      <c r="H326" s="1573"/>
      <c r="I326" s="1574"/>
      <c r="J326" s="1572">
        <f>SUMIF(MAR!$G$125:$M$125,$C326,MAR!$G$46:$M$46)</f>
        <v>0</v>
      </c>
      <c r="K326" s="1573"/>
      <c r="L326" s="1574"/>
      <c r="M326" s="1572">
        <f>SUMIF(APR!$G$125:$M$125,$C326,APR!$G$46:$M$46)</f>
        <v>0</v>
      </c>
      <c r="N326" s="1573"/>
      <c r="O326" s="1574"/>
      <c r="P326" s="1572">
        <f>SUMIF(MAG!$G$125:$M$125,$C326,MAG!$G$46:$M$46)</f>
        <v>0</v>
      </c>
      <c r="Q326" s="1573"/>
      <c r="R326" s="1574"/>
      <c r="S326" s="1572">
        <f>SUMIF(GIU!$G$125:$M$125,$C326,GIU!$G$46:$M$46)</f>
        <v>0</v>
      </c>
      <c r="T326" s="1573"/>
      <c r="U326" s="1574"/>
      <c r="V326" s="1572">
        <f>SUMIF(LUG!$G$125:$M$125,$C326,LUG!$G$46:$M$46)</f>
        <v>0</v>
      </c>
      <c r="W326" s="1573"/>
      <c r="X326" s="1574"/>
      <c r="Y326" s="1572">
        <f>SUMIF(AGO!$G$125:$M$125,$C326,AGO!$G$46:$M$46)</f>
        <v>0</v>
      </c>
      <c r="Z326" s="1573"/>
      <c r="AA326" s="1574"/>
      <c r="AB326" s="1572">
        <f>SUMIF(SET!$G$125:$M$125,$C326,SET!$G$46:$M$46)</f>
        <v>0</v>
      </c>
      <c r="AC326" s="1573"/>
      <c r="AD326" s="1574"/>
      <c r="AE326" s="1572">
        <f>SUMIF(OTT!$G$125:$M$125,$C326,OTT!$G$46:$M$46)</f>
        <v>0</v>
      </c>
      <c r="AF326" s="1573"/>
      <c r="AG326" s="1574"/>
      <c r="AH326" s="1572">
        <f>SUMIF(NOV!$G$125:$M$125,$C326,NOV!$G$46:$M$46)</f>
        <v>0</v>
      </c>
      <c r="AI326" s="1573"/>
      <c r="AJ326" s="1574"/>
      <c r="AK326" s="1572">
        <f>SUMIF(DIC!$G$125:$M$125,$C326,DIC!$G$46:$M$46)</f>
        <v>0</v>
      </c>
      <c r="AL326" s="1573"/>
      <c r="AM326" s="1609"/>
      <c r="AN326" s="1573">
        <f t="shared" si="93"/>
        <v>0</v>
      </c>
      <c r="AO326" s="1573"/>
      <c r="AP326" s="1573"/>
      <c r="AQ326" s="1671">
        <f t="shared" si="92"/>
        <v>0</v>
      </c>
      <c r="AR326" s="1661"/>
      <c r="AS326" s="1661"/>
      <c r="AT326" s="1662"/>
      <c r="AU326" s="33"/>
      <c r="AV326" s="33"/>
      <c r="AW326" s="264"/>
      <c r="AX326" s="264"/>
      <c r="AY326" s="264"/>
      <c r="AZ326" s="264"/>
      <c r="BA326" s="264"/>
      <c r="BB326" s="264"/>
      <c r="BC326" s="264"/>
      <c r="BD326" s="264"/>
      <c r="BE326" s="264"/>
      <c r="BF326" s="264"/>
      <c r="BG326" s="264"/>
      <c r="BH326" s="264"/>
      <c r="BI326" s="264"/>
      <c r="BJ326" s="264"/>
      <c r="BK326" s="264"/>
      <c r="BL326" s="264"/>
    </row>
    <row r="327" spans="1:64" ht="18" hidden="1" customHeight="1" x14ac:dyDescent="0.2">
      <c r="A327" s="685" t="str">
        <f>MID(B239,7,2)</f>
        <v/>
      </c>
      <c r="B327" s="1337">
        <f>IF(AN327=0,0,COUNTIF(B$324:B326,"&gt;0")+1)</f>
        <v>0</v>
      </c>
      <c r="C327" s="1326" t="str">
        <f t="shared" si="91"/>
        <v>24</v>
      </c>
      <c r="D327" s="1639">
        <f>SUMIF(GEN!$G$125:$M$125,$C327,GEN!$G$46:$M$46)</f>
        <v>0</v>
      </c>
      <c r="E327" s="1573"/>
      <c r="F327" s="1574"/>
      <c r="G327" s="1572">
        <f>SUMIF(FEB!$G$125:$M$125,$C327,FEB!$G$46:$M$46)</f>
        <v>0</v>
      </c>
      <c r="H327" s="1573"/>
      <c r="I327" s="1574"/>
      <c r="J327" s="1572">
        <f>SUMIF(MAR!$G$125:$M$125,$C327,MAR!$G$46:$M$46)</f>
        <v>0</v>
      </c>
      <c r="K327" s="1573"/>
      <c r="L327" s="1574"/>
      <c r="M327" s="1572">
        <f>SUMIF(APR!$G$125:$M$125,$C327,APR!$G$46:$M$46)</f>
        <v>0</v>
      </c>
      <c r="N327" s="1573"/>
      <c r="O327" s="1574"/>
      <c r="P327" s="1572">
        <f>SUMIF(MAG!$G$125:$M$125,$C327,MAG!$G$46:$M$46)</f>
        <v>0</v>
      </c>
      <c r="Q327" s="1573"/>
      <c r="R327" s="1574"/>
      <c r="S327" s="1572">
        <f>SUMIF(GIU!$G$125:$M$125,$C327,GIU!$G$46:$M$46)</f>
        <v>0</v>
      </c>
      <c r="T327" s="1573"/>
      <c r="U327" s="1574"/>
      <c r="V327" s="1572">
        <f>SUMIF(LUG!$G$125:$M$125,$C327,LUG!$G$46:$M$46)</f>
        <v>0</v>
      </c>
      <c r="W327" s="1573"/>
      <c r="X327" s="1574"/>
      <c r="Y327" s="1572">
        <f>SUMIF(AGO!$G$125:$M$125,$C327,AGO!$G$46:$M$46)</f>
        <v>0</v>
      </c>
      <c r="Z327" s="1573"/>
      <c r="AA327" s="1574"/>
      <c r="AB327" s="1572">
        <f>SUMIF(SET!$G$125:$M$125,$C327,SET!$G$46:$M$46)</f>
        <v>0</v>
      </c>
      <c r="AC327" s="1573"/>
      <c r="AD327" s="1574"/>
      <c r="AE327" s="1572">
        <f>SUMIF(OTT!$G$125:$M$125,$C327,OTT!$G$46:$M$46)</f>
        <v>0</v>
      </c>
      <c r="AF327" s="1573"/>
      <c r="AG327" s="1574"/>
      <c r="AH327" s="1572">
        <f>SUMIF(NOV!$G$125:$M$125,$C327,NOV!$G$46:$M$46)</f>
        <v>0</v>
      </c>
      <c r="AI327" s="1573"/>
      <c r="AJ327" s="1574"/>
      <c r="AK327" s="1572">
        <f>SUMIF(DIC!$G$125:$M$125,$C327,DIC!$G$46:$M$46)</f>
        <v>0</v>
      </c>
      <c r="AL327" s="1573"/>
      <c r="AM327" s="1609"/>
      <c r="AN327" s="1573">
        <f t="shared" si="93"/>
        <v>0</v>
      </c>
      <c r="AO327" s="1573"/>
      <c r="AP327" s="1573"/>
      <c r="AQ327" s="1671">
        <f t="shared" si="92"/>
        <v>0</v>
      </c>
      <c r="AR327" s="1661"/>
      <c r="AS327" s="1661"/>
      <c r="AT327" s="1662"/>
      <c r="AU327" s="33"/>
      <c r="AV327" s="33"/>
      <c r="AW327" s="264"/>
      <c r="AX327" s="264"/>
      <c r="AY327" s="264"/>
      <c r="AZ327" s="264"/>
      <c r="BA327" s="264"/>
      <c r="BB327" s="264"/>
      <c r="BC327" s="264"/>
      <c r="BD327" s="264"/>
      <c r="BE327" s="264"/>
      <c r="BF327" s="264"/>
      <c r="BG327" s="264"/>
      <c r="BH327" s="264"/>
      <c r="BI327" s="264"/>
      <c r="BJ327" s="264"/>
      <c r="BK327" s="264"/>
      <c r="BL327" s="264"/>
    </row>
    <row r="328" spans="1:64" ht="18" hidden="1" customHeight="1" x14ac:dyDescent="0.2">
      <c r="A328" s="685" t="str">
        <f>MID(B242,7,2)</f>
        <v/>
      </c>
      <c r="B328" s="1337">
        <f>IF(AN328=0,0,COUNTIF(B$324:B327,"&gt;0")+1)</f>
        <v>0</v>
      </c>
      <c r="C328" s="1326" t="str">
        <f t="shared" si="91"/>
        <v>25</v>
      </c>
      <c r="D328" s="1639">
        <f>SUMIF(GEN!$G$125:$M$125,$C328,GEN!$G$46:$M$46)</f>
        <v>0</v>
      </c>
      <c r="E328" s="1573"/>
      <c r="F328" s="1574"/>
      <c r="G328" s="1572">
        <f>SUMIF(FEB!$G$125:$M$125,$C328,FEB!$G$46:$M$46)</f>
        <v>0</v>
      </c>
      <c r="H328" s="1573"/>
      <c r="I328" s="1574"/>
      <c r="J328" s="1572">
        <f>SUMIF(MAR!$G$125:$M$125,$C328,MAR!$G$46:$M$46)</f>
        <v>0</v>
      </c>
      <c r="K328" s="1573"/>
      <c r="L328" s="1574"/>
      <c r="M328" s="1572">
        <f>SUMIF(APR!$G$125:$M$125,$C328,APR!$G$46:$M$46)</f>
        <v>0</v>
      </c>
      <c r="N328" s="1573"/>
      <c r="O328" s="1574"/>
      <c r="P328" s="1572">
        <f>SUMIF(MAG!$G$125:$M$125,$C328,MAG!$G$46:$M$46)</f>
        <v>0</v>
      </c>
      <c r="Q328" s="1573"/>
      <c r="R328" s="1574"/>
      <c r="S328" s="1572">
        <f>SUMIF(GIU!$G$125:$M$125,$C328,GIU!$G$46:$M$46)</f>
        <v>0</v>
      </c>
      <c r="T328" s="1573"/>
      <c r="U328" s="1574"/>
      <c r="V328" s="1572">
        <f>SUMIF(LUG!$G$125:$M$125,$C328,LUG!$G$46:$M$46)</f>
        <v>0</v>
      </c>
      <c r="W328" s="1573"/>
      <c r="X328" s="1574"/>
      <c r="Y328" s="1572">
        <f>SUMIF(AGO!$G$125:$M$125,$C328,AGO!$G$46:$M$46)</f>
        <v>0</v>
      </c>
      <c r="Z328" s="1573"/>
      <c r="AA328" s="1574"/>
      <c r="AB328" s="1572">
        <f>SUMIF(SET!$G$125:$M$125,$C328,SET!$G$46:$M$46)</f>
        <v>0</v>
      </c>
      <c r="AC328" s="1573"/>
      <c r="AD328" s="1574"/>
      <c r="AE328" s="1572">
        <f>SUMIF(OTT!$G$125:$M$125,$C328,OTT!$G$46:$M$46)</f>
        <v>0</v>
      </c>
      <c r="AF328" s="1573"/>
      <c r="AG328" s="1574"/>
      <c r="AH328" s="1572">
        <f>SUMIF(NOV!$G$125:$M$125,$C328,NOV!$G$46:$M$46)</f>
        <v>0</v>
      </c>
      <c r="AI328" s="1573"/>
      <c r="AJ328" s="1574"/>
      <c r="AK328" s="1572">
        <f>SUMIF(DIC!$G$125:$M$125,$C328,DIC!$G$46:$M$46)</f>
        <v>0</v>
      </c>
      <c r="AL328" s="1573"/>
      <c r="AM328" s="1609"/>
      <c r="AN328" s="1573">
        <f t="shared" si="93"/>
        <v>0</v>
      </c>
      <c r="AO328" s="1573"/>
      <c r="AP328" s="1573"/>
      <c r="AQ328" s="1671">
        <f t="shared" si="92"/>
        <v>0</v>
      </c>
      <c r="AR328" s="1661"/>
      <c r="AS328" s="1661"/>
      <c r="AT328" s="1662"/>
      <c r="AU328" s="33"/>
      <c r="AV328" s="33"/>
      <c r="AW328" s="264"/>
      <c r="AX328" s="264"/>
      <c r="AY328" s="264"/>
      <c r="AZ328" s="264"/>
      <c r="BA328" s="264"/>
      <c r="BB328" s="264"/>
      <c r="BC328" s="264"/>
      <c r="BD328" s="264"/>
      <c r="BE328" s="264"/>
      <c r="BF328" s="264"/>
      <c r="BG328" s="264"/>
      <c r="BH328" s="264"/>
      <c r="BI328" s="264"/>
      <c r="BJ328" s="264"/>
      <c r="BK328" s="264"/>
      <c r="BL328" s="264"/>
    </row>
    <row r="329" spans="1:64" ht="18" hidden="1" customHeight="1" x14ac:dyDescent="0.2">
      <c r="A329" s="685" t="str">
        <f>MID(B245,7,2)</f>
        <v/>
      </c>
      <c r="B329" s="1337">
        <f>IF(AN329=0,0,COUNTIF(B$324:B328,"&gt;0")+1)</f>
        <v>0</v>
      </c>
      <c r="C329" s="1326" t="str">
        <f t="shared" si="91"/>
        <v>26</v>
      </c>
      <c r="D329" s="1639">
        <f>SUMIF(GEN!$G$125:$M$125,$C329,GEN!$G$46:$M$46)</f>
        <v>0</v>
      </c>
      <c r="E329" s="1573"/>
      <c r="F329" s="1574"/>
      <c r="G329" s="1572">
        <f>SUMIF(FEB!$G$125:$M$125,$C329,FEB!$G$46:$M$46)</f>
        <v>0</v>
      </c>
      <c r="H329" s="1573"/>
      <c r="I329" s="1574"/>
      <c r="J329" s="1572">
        <f>SUMIF(MAR!$G$125:$M$125,$C329,MAR!$G$46:$M$46)</f>
        <v>0</v>
      </c>
      <c r="K329" s="1573"/>
      <c r="L329" s="1574"/>
      <c r="M329" s="1572">
        <f>SUMIF(APR!$G$125:$M$125,$C329,APR!$G$46:$M$46)</f>
        <v>0</v>
      </c>
      <c r="N329" s="1573"/>
      <c r="O329" s="1574"/>
      <c r="P329" s="1572">
        <f>SUMIF(MAG!$G$125:$M$125,$C329,MAG!$G$46:$M$46)</f>
        <v>0</v>
      </c>
      <c r="Q329" s="1573"/>
      <c r="R329" s="1574"/>
      <c r="S329" s="1572">
        <f>SUMIF(GIU!$G$125:$M$125,$C329,GIU!$G$46:$M$46)</f>
        <v>0</v>
      </c>
      <c r="T329" s="1573"/>
      <c r="U329" s="1574"/>
      <c r="V329" s="1572">
        <f>SUMIF(LUG!$G$125:$M$125,$C329,LUG!$G$46:$M$46)</f>
        <v>0</v>
      </c>
      <c r="W329" s="1573"/>
      <c r="X329" s="1574"/>
      <c r="Y329" s="1572">
        <f>SUMIF(AGO!$G$125:$M$125,$C329,AGO!$G$46:$M$46)</f>
        <v>0</v>
      </c>
      <c r="Z329" s="1573"/>
      <c r="AA329" s="1574"/>
      <c r="AB329" s="1572">
        <f>SUMIF(SET!$G$125:$M$125,$C329,SET!$G$46:$M$46)</f>
        <v>0</v>
      </c>
      <c r="AC329" s="1573"/>
      <c r="AD329" s="1574"/>
      <c r="AE329" s="1572">
        <f>SUMIF(OTT!$G$125:$M$125,$C329,OTT!$G$46:$M$46)</f>
        <v>0</v>
      </c>
      <c r="AF329" s="1573"/>
      <c r="AG329" s="1574"/>
      <c r="AH329" s="1572">
        <f>SUMIF(NOV!$G$125:$M$125,$C329,NOV!$G$46:$M$46)</f>
        <v>0</v>
      </c>
      <c r="AI329" s="1573"/>
      <c r="AJ329" s="1574"/>
      <c r="AK329" s="1572">
        <f>SUMIF(DIC!$G$125:$M$125,$C329,DIC!$G$46:$M$46)</f>
        <v>0</v>
      </c>
      <c r="AL329" s="1573"/>
      <c r="AM329" s="1609"/>
      <c r="AN329" s="1573">
        <f t="shared" si="93"/>
        <v>0</v>
      </c>
      <c r="AO329" s="1573"/>
      <c r="AP329" s="1573"/>
      <c r="AQ329" s="1671">
        <f t="shared" si="92"/>
        <v>0</v>
      </c>
      <c r="AR329" s="1661"/>
      <c r="AS329" s="1661"/>
      <c r="AT329" s="1662"/>
      <c r="AU329" s="33"/>
      <c r="AV329" s="33"/>
      <c r="AW329" s="264"/>
      <c r="AX329" s="264"/>
      <c r="AY329" s="264"/>
      <c r="AZ329" s="264"/>
      <c r="BA329" s="264"/>
      <c r="BB329" s="264"/>
      <c r="BC329" s="264"/>
      <c r="BD329" s="264"/>
      <c r="BE329" s="264"/>
      <c r="BF329" s="264"/>
      <c r="BG329" s="264"/>
      <c r="BH329" s="264"/>
      <c r="BI329" s="264"/>
      <c r="BJ329" s="264"/>
      <c r="BK329" s="264"/>
      <c r="BL329" s="264"/>
    </row>
    <row r="330" spans="1:64" ht="18" hidden="1" customHeight="1" x14ac:dyDescent="0.2">
      <c r="A330" s="685" t="str">
        <f>MID(B248,7,2)</f>
        <v/>
      </c>
      <c r="B330" s="1337">
        <f>IF(AN330=0,0,COUNTIF(B$324:B329,"&gt;0")+1)</f>
        <v>0</v>
      </c>
      <c r="C330" s="687" t="str">
        <f t="shared" si="91"/>
        <v>27</v>
      </c>
      <c r="D330" s="1663">
        <f>SUMIF(GEN!$G$125:$M$125,$C330,GEN!$G$46:$M$46)</f>
        <v>0</v>
      </c>
      <c r="E330" s="1616"/>
      <c r="F330" s="1617"/>
      <c r="G330" s="1615">
        <f>SUMIF(FEB!$G$125:$M$125,$C330,FEB!$G$46:$M$46)</f>
        <v>0</v>
      </c>
      <c r="H330" s="1616"/>
      <c r="I330" s="1617"/>
      <c r="J330" s="1615">
        <f>SUMIF(MAR!$G$125:$M$125,$C330,MAR!$G$46:$M$46)</f>
        <v>0</v>
      </c>
      <c r="K330" s="1616"/>
      <c r="L330" s="1617"/>
      <c r="M330" s="1615">
        <f>SUMIF(APR!$G$125:$M$125,$C330,APR!$G$46:$M$46)</f>
        <v>0</v>
      </c>
      <c r="N330" s="1616"/>
      <c r="O330" s="1617"/>
      <c r="P330" s="1615">
        <f>SUMIF(MAG!$G$125:$M$125,$C330,MAG!$G$46:$M$46)</f>
        <v>0</v>
      </c>
      <c r="Q330" s="1616"/>
      <c r="R330" s="1617"/>
      <c r="S330" s="1615">
        <f>SUMIF(GIU!$G$125:$M$125,$C330,GIU!$G$46:$M$46)</f>
        <v>0</v>
      </c>
      <c r="T330" s="1616"/>
      <c r="U330" s="1617"/>
      <c r="V330" s="1615">
        <f>SUMIF(LUG!$G$125:$M$125,$C330,LUG!$G$46:$M$46)</f>
        <v>0</v>
      </c>
      <c r="W330" s="1616"/>
      <c r="X330" s="1617"/>
      <c r="Y330" s="1615">
        <f>SUMIF(AGO!$G$125:$M$125,$C330,AGO!$G$46:$M$46)</f>
        <v>0</v>
      </c>
      <c r="Z330" s="1616"/>
      <c r="AA330" s="1617"/>
      <c r="AB330" s="1615">
        <f>SUMIF(SET!$G$125:$M$125,$C330,SET!$G$46:$M$46)</f>
        <v>0</v>
      </c>
      <c r="AC330" s="1616"/>
      <c r="AD330" s="1617"/>
      <c r="AE330" s="1615">
        <f>SUMIF(OTT!$G$125:$M$125,$C330,OTT!$G$46:$M$46)</f>
        <v>0</v>
      </c>
      <c r="AF330" s="1616"/>
      <c r="AG330" s="1617"/>
      <c r="AH330" s="1615">
        <f>SUMIF(NOV!$G$125:$M$125,$C330,NOV!$G$46:$M$46)</f>
        <v>0</v>
      </c>
      <c r="AI330" s="1616"/>
      <c r="AJ330" s="1617"/>
      <c r="AK330" s="1615">
        <f>SUMIF(DIC!$G$125:$M$125,$C330,DIC!$G$46:$M$46)</f>
        <v>0</v>
      </c>
      <c r="AL330" s="1616"/>
      <c r="AM330" s="1618"/>
      <c r="AN330" s="1616">
        <f t="shared" si="93"/>
        <v>0</v>
      </c>
      <c r="AO330" s="1616"/>
      <c r="AP330" s="1616"/>
      <c r="AQ330" s="1668">
        <f t="shared" si="92"/>
        <v>0</v>
      </c>
      <c r="AR330" s="1669"/>
      <c r="AS330" s="1669"/>
      <c r="AT330" s="1670"/>
      <c r="AU330" s="33"/>
      <c r="AV330" s="33"/>
      <c r="AW330" s="264"/>
      <c r="AX330" s="264"/>
      <c r="AY330" s="264"/>
      <c r="AZ330" s="264"/>
      <c r="BA330" s="264"/>
      <c r="BB330" s="264"/>
      <c r="BC330" s="264"/>
      <c r="BD330" s="264"/>
      <c r="BE330" s="264"/>
      <c r="BF330" s="264"/>
      <c r="BG330" s="264"/>
      <c r="BH330" s="264"/>
      <c r="BI330" s="264"/>
      <c r="BJ330" s="264"/>
      <c r="BK330" s="264"/>
      <c r="BL330" s="264"/>
    </row>
    <row r="331" spans="1:64" ht="18" hidden="1" customHeight="1" x14ac:dyDescent="0.2">
      <c r="A331" s="685" t="str">
        <f>MID(B251,7,2)</f>
        <v/>
      </c>
      <c r="B331" s="881">
        <f>COUNTIF(A324:A333,C331)</f>
        <v>0</v>
      </c>
      <c r="C331" s="1327" t="s">
        <v>540</v>
      </c>
      <c r="D331" s="1612">
        <f>SUMIF(GEN!$G$125:$M$125,$C331,GEN!$G$46:$M$46)</f>
        <v>1000</v>
      </c>
      <c r="E331" s="1613"/>
      <c r="F331" s="1614"/>
      <c r="G331" s="1612">
        <f>SUMIF(FEB!$G$125:$M$125,$C331,FEB!$G$46:$M$46)</f>
        <v>0</v>
      </c>
      <c r="H331" s="1613"/>
      <c r="I331" s="1614"/>
      <c r="J331" s="1612">
        <f>SUMIF(MAR!$G$125:$M$125,$C331,MAR!$G$46:$M$46)</f>
        <v>0</v>
      </c>
      <c r="K331" s="1613"/>
      <c r="L331" s="1614"/>
      <c r="M331" s="1612">
        <f>SUMIF(APR!$G$125:$M$125,$C331,APR!$G$46:$M$46)</f>
        <v>0</v>
      </c>
      <c r="N331" s="1613"/>
      <c r="O331" s="1614"/>
      <c r="P331" s="1612">
        <f>SUMIF(MAG!$G$125:$M$125,$C331,MAG!$G$46:$M$46)</f>
        <v>0</v>
      </c>
      <c r="Q331" s="1613"/>
      <c r="R331" s="1614"/>
      <c r="S331" s="1612">
        <f>SUMIF(GIU!$G$125:$M$125,$C331,GIU!$G$46:$M$46)</f>
        <v>0</v>
      </c>
      <c r="T331" s="1613"/>
      <c r="U331" s="1614"/>
      <c r="V331" s="1612">
        <f>SUMIF(LUG!$G$125:$M$125,$C331,LUG!$G$46:$M$46)</f>
        <v>0</v>
      </c>
      <c r="W331" s="1613"/>
      <c r="X331" s="1614"/>
      <c r="Y331" s="1612">
        <f>SUMIF(AGO!$G$125:$M$125,$C331,AGO!$G$46:$M$46)</f>
        <v>0</v>
      </c>
      <c r="Z331" s="1613"/>
      <c r="AA331" s="1614"/>
      <c r="AB331" s="1612">
        <f>SUMIF(SET!$G$125:$M$125,$C331,SET!$G$46:$M$46)</f>
        <v>0</v>
      </c>
      <c r="AC331" s="1613"/>
      <c r="AD331" s="1614"/>
      <c r="AE331" s="1612">
        <f>SUMIF(OTT!$G$125:$M$125,$C331,OTT!$G$46:$M$46)</f>
        <v>0</v>
      </c>
      <c r="AF331" s="1613"/>
      <c r="AG331" s="1614"/>
      <c r="AH331" s="1612">
        <f>SUMIF(NOV!$G$125:$M$125,$C331,NOV!$G$46:$M$46)</f>
        <v>0</v>
      </c>
      <c r="AI331" s="1613"/>
      <c r="AJ331" s="1614"/>
      <c r="AK331" s="1612">
        <f>SUMIF(DIC!$G$125:$M$125,$C331,DIC!$G$46:$M$46)</f>
        <v>0</v>
      </c>
      <c r="AL331" s="1613"/>
      <c r="AM331" s="1614"/>
      <c r="AN331" s="1628">
        <f t="shared" si="93"/>
        <v>1000</v>
      </c>
      <c r="AO331" s="1629"/>
      <c r="AP331" s="1630"/>
      <c r="AQ331" s="630"/>
      <c r="AR331" s="630"/>
      <c r="AS331" s="630"/>
      <c r="AT331" s="630"/>
      <c r="AU331" s="33"/>
      <c r="AV331" s="33"/>
      <c r="AW331" s="264"/>
      <c r="AX331" s="264"/>
      <c r="AY331" s="264"/>
      <c r="AZ331" s="264"/>
      <c r="BA331" s="264"/>
      <c r="BB331" s="264"/>
      <c r="BC331" s="264"/>
      <c r="BD331" s="264"/>
      <c r="BE331" s="264"/>
      <c r="BF331" s="264"/>
      <c r="BG331" s="264"/>
      <c r="BH331" s="264"/>
      <c r="BI331" s="264"/>
      <c r="BJ331" s="264"/>
      <c r="BK331" s="264"/>
      <c r="BL331" s="264"/>
    </row>
    <row r="332" spans="1:64" ht="18" hidden="1" customHeight="1" x14ac:dyDescent="0.2">
      <c r="A332" s="685" t="str">
        <f>MID(B254,7,2)</f>
        <v/>
      </c>
      <c r="B332" s="33"/>
      <c r="C332" s="33"/>
      <c r="D332" s="1605">
        <f>SUM(D324:F331)</f>
        <v>1000</v>
      </c>
      <c r="E332" s="1606"/>
      <c r="F332" s="1607"/>
      <c r="G332" s="1605">
        <f>SUM(G324:I331)</f>
        <v>0</v>
      </c>
      <c r="H332" s="1606"/>
      <c r="I332" s="1607"/>
      <c r="J332" s="1605">
        <f>SUM(J324:L331)</f>
        <v>0</v>
      </c>
      <c r="K332" s="1606"/>
      <c r="L332" s="1607"/>
      <c r="M332" s="1605">
        <f>SUM(M324:O331)</f>
        <v>0</v>
      </c>
      <c r="N332" s="1606"/>
      <c r="O332" s="1607"/>
      <c r="P332" s="1605">
        <f>SUM(P324:R331)</f>
        <v>0</v>
      </c>
      <c r="Q332" s="1606"/>
      <c r="R332" s="1607"/>
      <c r="S332" s="1605">
        <f>SUM(S324:U331)</f>
        <v>0</v>
      </c>
      <c r="T332" s="1606"/>
      <c r="U332" s="1607"/>
      <c r="V332" s="1605">
        <f>SUM(V324:X331)</f>
        <v>0</v>
      </c>
      <c r="W332" s="1606"/>
      <c r="X332" s="1607"/>
      <c r="Y332" s="1605">
        <f>SUM(Y324:AA331)</f>
        <v>0</v>
      </c>
      <c r="Z332" s="1606"/>
      <c r="AA332" s="1607"/>
      <c r="AB332" s="1605">
        <f>SUM(AB324:AD331)</f>
        <v>0</v>
      </c>
      <c r="AC332" s="1606"/>
      <c r="AD332" s="1607"/>
      <c r="AE332" s="1605">
        <f>SUM(AE324:AG331)</f>
        <v>0</v>
      </c>
      <c r="AF332" s="1606"/>
      <c r="AG332" s="1607"/>
      <c r="AH332" s="1605">
        <f>SUM(AH324:AJ331)</f>
        <v>0</v>
      </c>
      <c r="AI332" s="1606"/>
      <c r="AJ332" s="1607"/>
      <c r="AK332" s="1605">
        <f>SUM(AK324:AM331)</f>
        <v>0</v>
      </c>
      <c r="AL332" s="1606"/>
      <c r="AM332" s="1607"/>
      <c r="AN332" s="1605">
        <f>SUM(D332:AM332)</f>
        <v>1000</v>
      </c>
      <c r="AO332" s="1606"/>
      <c r="AP332" s="1607"/>
      <c r="AQ332" s="33"/>
      <c r="AR332" s="33"/>
      <c r="AS332" s="33"/>
      <c r="AT332" s="33"/>
      <c r="AU332" s="33"/>
      <c r="AV332" s="33"/>
      <c r="AW332" s="264"/>
      <c r="AX332" s="264"/>
      <c r="AY332" s="264"/>
      <c r="AZ332" s="264"/>
      <c r="BA332" s="264"/>
      <c r="BB332" s="264"/>
      <c r="BC332" s="264"/>
      <c r="BD332" s="264"/>
      <c r="BE332" s="264"/>
      <c r="BF332" s="264"/>
      <c r="BG332" s="264"/>
      <c r="BH332" s="264"/>
      <c r="BI332" s="264"/>
      <c r="BJ332" s="264"/>
      <c r="BK332" s="264"/>
      <c r="BL332" s="264"/>
    </row>
    <row r="333" spans="1:64" ht="18" hidden="1" customHeight="1" x14ac:dyDescent="0.2">
      <c r="A333" s="887" t="str">
        <f>MID(B257,7,2)</f>
        <v/>
      </c>
      <c r="B333" s="33"/>
      <c r="C333" s="33"/>
      <c r="D333" s="1572">
        <f>D332</f>
        <v>1000</v>
      </c>
      <c r="E333" s="1573"/>
      <c r="F333" s="1574"/>
      <c r="G333" s="1572">
        <f>G332+D333</f>
        <v>1000</v>
      </c>
      <c r="H333" s="1573"/>
      <c r="I333" s="1574"/>
      <c r="J333" s="1572">
        <f>J332+G333</f>
        <v>1000</v>
      </c>
      <c r="K333" s="1573"/>
      <c r="L333" s="1574"/>
      <c r="M333" s="1572">
        <f>M332+J333</f>
        <v>1000</v>
      </c>
      <c r="N333" s="1573"/>
      <c r="O333" s="1574"/>
      <c r="P333" s="1572">
        <f>P332+M333</f>
        <v>1000</v>
      </c>
      <c r="Q333" s="1573"/>
      <c r="R333" s="1574"/>
      <c r="S333" s="1572">
        <f>S332+P333</f>
        <v>1000</v>
      </c>
      <c r="T333" s="1573"/>
      <c r="U333" s="1574"/>
      <c r="V333" s="1572">
        <f>V332+S333</f>
        <v>1000</v>
      </c>
      <c r="W333" s="1573"/>
      <c r="X333" s="1574"/>
      <c r="Y333" s="1572">
        <f>Y332+V333</f>
        <v>1000</v>
      </c>
      <c r="Z333" s="1573"/>
      <c r="AA333" s="1574"/>
      <c r="AB333" s="1572">
        <f>AB332+Y333</f>
        <v>1000</v>
      </c>
      <c r="AC333" s="1573"/>
      <c r="AD333" s="1574"/>
      <c r="AE333" s="1572">
        <f>AE332+AB333</f>
        <v>1000</v>
      </c>
      <c r="AF333" s="1573"/>
      <c r="AG333" s="1574"/>
      <c r="AH333" s="1572">
        <f>AH332+AE333</f>
        <v>1000</v>
      </c>
      <c r="AI333" s="1573"/>
      <c r="AJ333" s="1574"/>
      <c r="AK333" s="1572">
        <f>AK332+AH333</f>
        <v>1000</v>
      </c>
      <c r="AL333" s="1573"/>
      <c r="AM333" s="1574"/>
      <c r="AN333" s="33"/>
      <c r="AO333" s="33"/>
      <c r="AP333" s="33"/>
      <c r="AQ333" s="33"/>
      <c r="AR333" s="33"/>
      <c r="AS333" s="33"/>
      <c r="AT333" s="33"/>
      <c r="AU333" s="33"/>
      <c r="AV333" s="33"/>
      <c r="AW333" s="264"/>
      <c r="AX333" s="264"/>
      <c r="AY333" s="264"/>
      <c r="AZ333" s="264"/>
      <c r="BA333" s="264"/>
      <c r="BB333" s="264"/>
      <c r="BC333" s="264"/>
      <c r="BD333" s="264"/>
      <c r="BE333" s="264"/>
      <c r="BF333" s="264"/>
      <c r="BG333" s="264"/>
      <c r="BH333" s="264"/>
      <c r="BI333" s="264"/>
      <c r="BJ333" s="264"/>
      <c r="BK333" s="264"/>
      <c r="BL333" s="264"/>
    </row>
    <row r="334" spans="1:64" ht="18" hidden="1" customHeight="1" x14ac:dyDescent="0.2">
      <c r="A334" s="1324"/>
      <c r="B334" s="33"/>
      <c r="C334" s="33"/>
      <c r="D334" s="33"/>
      <c r="E334" s="33"/>
      <c r="F334" s="33"/>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324"/>
      <c r="AD334" s="1324"/>
      <c r="AE334" s="1324"/>
      <c r="AF334" s="1324"/>
      <c r="AG334" s="1324"/>
      <c r="AH334" s="1324"/>
      <c r="AI334" s="1324"/>
      <c r="AJ334" s="1324"/>
      <c r="AK334" s="1324"/>
      <c r="AL334" s="1324"/>
      <c r="AM334" s="1324"/>
      <c r="AN334" s="33"/>
      <c r="AO334" s="33"/>
      <c r="AP334" s="33"/>
      <c r="AQ334" s="33"/>
      <c r="AR334" s="33"/>
      <c r="AS334" s="264"/>
      <c r="AT334" s="264"/>
      <c r="AU334" s="264"/>
      <c r="AV334" s="264"/>
      <c r="AW334" s="264"/>
      <c r="AX334" s="264"/>
      <c r="AY334" s="264"/>
      <c r="AZ334" s="264"/>
      <c r="BA334" s="264"/>
      <c r="BB334" s="264"/>
      <c r="BC334" s="264"/>
      <c r="BD334" s="264"/>
      <c r="BE334" s="264"/>
      <c r="BF334" s="264"/>
      <c r="BG334" s="264"/>
      <c r="BH334" s="264"/>
      <c r="BI334" s="264"/>
      <c r="BJ334" s="264"/>
      <c r="BK334" s="264"/>
      <c r="BL334" s="264"/>
    </row>
    <row r="335" spans="1:64" s="633" customFormat="1" ht="6.75" hidden="1" customHeight="1" x14ac:dyDescent="0.2">
      <c r="A335" s="681"/>
      <c r="B335" s="681"/>
      <c r="C335" s="681"/>
      <c r="D335" s="681"/>
      <c r="E335" s="681"/>
      <c r="F335" s="681"/>
      <c r="G335" s="681"/>
      <c r="H335" s="681"/>
      <c r="I335" s="681"/>
      <c r="J335" s="681"/>
      <c r="K335" s="681"/>
      <c r="L335" s="681"/>
      <c r="M335" s="681"/>
      <c r="N335" s="681"/>
      <c r="O335" s="681"/>
      <c r="P335" s="681"/>
      <c r="Q335" s="681"/>
      <c r="R335" s="681"/>
      <c r="S335" s="681"/>
      <c r="T335" s="681"/>
      <c r="U335" s="681"/>
      <c r="V335" s="681"/>
      <c r="W335" s="681"/>
      <c r="X335" s="681"/>
      <c r="Y335" s="681"/>
      <c r="Z335" s="681"/>
      <c r="AA335" s="681"/>
      <c r="AB335" s="681"/>
      <c r="AC335" s="681"/>
      <c r="AD335" s="681"/>
      <c r="AE335" s="681"/>
      <c r="AF335" s="681"/>
      <c r="AG335" s="681"/>
      <c r="AH335" s="681"/>
      <c r="AI335" s="681"/>
      <c r="AJ335" s="681"/>
      <c r="AK335" s="681"/>
      <c r="AL335" s="681"/>
      <c r="AM335" s="681"/>
      <c r="AN335" s="681"/>
      <c r="AO335" s="681"/>
      <c r="AP335" s="681"/>
      <c r="AQ335" s="681"/>
      <c r="AR335" s="681"/>
      <c r="AS335" s="681"/>
      <c r="AT335" s="681"/>
      <c r="AU335" s="681"/>
      <c r="AV335" s="681"/>
      <c r="AW335" s="681"/>
      <c r="AX335" s="681"/>
      <c r="AY335" s="681"/>
      <c r="AZ335" s="681"/>
      <c r="BA335" s="681"/>
      <c r="BB335" s="681"/>
      <c r="BC335" s="681"/>
      <c r="BD335" s="681"/>
      <c r="BE335" s="681"/>
      <c r="BF335" s="681"/>
      <c r="BG335" s="681"/>
      <c r="BH335" s="681"/>
      <c r="BI335" s="681"/>
      <c r="BJ335" s="681"/>
      <c r="BK335" s="681"/>
    </row>
    <row r="336" spans="1:64" ht="18" hidden="1" customHeight="1" x14ac:dyDescent="0.2">
      <c r="A336" s="1324"/>
      <c r="B336" s="33"/>
      <c r="C336" s="33"/>
      <c r="D336" s="33"/>
      <c r="E336" s="33"/>
      <c r="F336" s="33"/>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324"/>
      <c r="AD336" s="1324"/>
      <c r="AE336" s="1324"/>
      <c r="AF336" s="1324"/>
      <c r="AG336" s="1324"/>
      <c r="AH336" s="1324"/>
      <c r="AI336" s="1324"/>
      <c r="AJ336" s="1324"/>
      <c r="AK336" s="1324"/>
      <c r="AL336" s="1324"/>
      <c r="AM336" s="1324"/>
      <c r="AN336" s="33"/>
      <c r="AO336" s="33"/>
      <c r="AP336" s="33"/>
      <c r="AQ336" s="33"/>
      <c r="AR336" s="33"/>
      <c r="AS336" s="264"/>
      <c r="AT336" s="264"/>
      <c r="AU336" s="264"/>
      <c r="AV336" s="264"/>
      <c r="AW336" s="264"/>
      <c r="AX336" s="264"/>
      <c r="AY336" s="264"/>
      <c r="AZ336" s="264"/>
      <c r="BA336" s="264"/>
      <c r="BB336" s="264"/>
      <c r="BC336" s="264"/>
      <c r="BD336" s="264"/>
      <c r="BE336" s="264"/>
      <c r="BF336" s="264"/>
      <c r="BG336" s="264"/>
      <c r="BH336" s="264"/>
      <c r="BI336" s="264"/>
      <c r="BJ336" s="264"/>
      <c r="BK336" s="264"/>
      <c r="BL336" s="264"/>
    </row>
    <row r="337" spans="1:64" ht="18" hidden="1" customHeight="1" x14ac:dyDescent="0.2">
      <c r="A337" s="1324"/>
      <c r="B337" s="1655" t="s">
        <v>543</v>
      </c>
      <c r="C337" s="1656"/>
      <c r="D337" s="1610" t="str">
        <f>D323</f>
        <v>Gennaio</v>
      </c>
      <c r="E337" s="1611"/>
      <c r="F337" s="1611"/>
      <c r="G337" s="1610" t="str">
        <f t="shared" ref="G337" si="94">G323</f>
        <v>Febbraio</v>
      </c>
      <c r="H337" s="1611"/>
      <c r="I337" s="1611"/>
      <c r="J337" s="1610" t="str">
        <f t="shared" ref="J337" si="95">J323</f>
        <v>Marzo</v>
      </c>
      <c r="K337" s="1611"/>
      <c r="L337" s="1611"/>
      <c r="M337" s="1610" t="str">
        <f t="shared" ref="M337" si="96">M323</f>
        <v>Aprile</v>
      </c>
      <c r="N337" s="1611"/>
      <c r="O337" s="1611"/>
      <c r="P337" s="1610" t="str">
        <f t="shared" ref="P337" si="97">P323</f>
        <v>Maggio</v>
      </c>
      <c r="Q337" s="1611"/>
      <c r="R337" s="1611"/>
      <c r="S337" s="1610" t="str">
        <f t="shared" ref="S337" si="98">S323</f>
        <v>Giugno</v>
      </c>
      <c r="T337" s="1611"/>
      <c r="U337" s="1611"/>
      <c r="V337" s="1610" t="str">
        <f t="shared" ref="V337" si="99">V323</f>
        <v>Luglio</v>
      </c>
      <c r="W337" s="1611"/>
      <c r="X337" s="1611"/>
      <c r="Y337" s="1610" t="str">
        <f t="shared" ref="Y337" si="100">Y323</f>
        <v>Agosto</v>
      </c>
      <c r="Z337" s="1611"/>
      <c r="AA337" s="1611"/>
      <c r="AB337" s="1610" t="str">
        <f t="shared" ref="AB337" si="101">AB323</f>
        <v>Settembre</v>
      </c>
      <c r="AC337" s="1611"/>
      <c r="AD337" s="1611"/>
      <c r="AE337" s="1610" t="str">
        <f t="shared" ref="AE337" si="102">AE323</f>
        <v>Ottobre</v>
      </c>
      <c r="AF337" s="1611"/>
      <c r="AG337" s="1611"/>
      <c r="AH337" s="1610" t="str">
        <f t="shared" ref="AH337" si="103">AH323</f>
        <v>Novembre</v>
      </c>
      <c r="AI337" s="1611"/>
      <c r="AJ337" s="1611"/>
      <c r="AK337" s="1610" t="str">
        <f t="shared" ref="AK337" si="104">AK323</f>
        <v>Dicembre</v>
      </c>
      <c r="AL337" s="1611"/>
      <c r="AM337" s="1667"/>
      <c r="AN337" s="33"/>
      <c r="AO337" s="33"/>
      <c r="AP337" s="33"/>
      <c r="AQ337" s="33"/>
      <c r="AR337" s="33"/>
      <c r="AS337" s="264"/>
      <c r="AT337" s="264"/>
      <c r="AU337" s="264"/>
      <c r="AV337" s="264"/>
      <c r="AW337" s="264"/>
      <c r="AX337" s="264"/>
      <c r="AY337" s="264"/>
      <c r="AZ337" s="264"/>
      <c r="BA337" s="264"/>
      <c r="BB337" s="264"/>
      <c r="BC337" s="264"/>
      <c r="BD337" s="264"/>
      <c r="BE337" s="264"/>
      <c r="BF337" s="264"/>
      <c r="BG337" s="264"/>
      <c r="BH337" s="264"/>
      <c r="BI337" s="264"/>
      <c r="BJ337" s="264"/>
      <c r="BK337" s="264"/>
      <c r="BL337" s="264"/>
    </row>
    <row r="338" spans="1:64" ht="18" hidden="1" customHeight="1" x14ac:dyDescent="0.2">
      <c r="A338" s="1324"/>
      <c r="B338" s="1337">
        <f>B324</f>
        <v>0</v>
      </c>
      <c r="C338" s="1326" t="str">
        <f t="shared" ref="C338:C344" si="105">C324</f>
        <v>21</v>
      </c>
      <c r="D338" s="1647">
        <f>SUMIF(GEN!$G$125:$M$125,$C338,GEN!$G$47:$M$47)</f>
        <v>0</v>
      </c>
      <c r="E338" s="1626"/>
      <c r="F338" s="1627"/>
      <c r="G338" s="1625">
        <f>SUMIF(FEB!$G$125:$M$125,$C338,FEB!$G$47:$M$47)</f>
        <v>0</v>
      </c>
      <c r="H338" s="1626"/>
      <c r="I338" s="1627"/>
      <c r="J338" s="1625">
        <f>SUMIF(MAR!$G$125:$M$125,$C338,MAR!$G$47:$M$47)</f>
        <v>0</v>
      </c>
      <c r="K338" s="1626"/>
      <c r="L338" s="1627"/>
      <c r="M338" s="1625">
        <f>SUMIF(APR!$G$125:$M$125,$C338,APR!$G$47:$M$47)</f>
        <v>0</v>
      </c>
      <c r="N338" s="1626"/>
      <c r="O338" s="1627"/>
      <c r="P338" s="1625">
        <f>SUMIF(MAG!$G$125:$M$125,$C338,MAG!$G$47:$M$47)</f>
        <v>0</v>
      </c>
      <c r="Q338" s="1626"/>
      <c r="R338" s="1627"/>
      <c r="S338" s="1625">
        <f>SUMIF(GIU!$G$125:$M$125,$C338,GIU!$G$47:$M$47)</f>
        <v>0</v>
      </c>
      <c r="T338" s="1626"/>
      <c r="U338" s="1627"/>
      <c r="V338" s="1625">
        <f>SUMIF(LUG!$G$125:$M$125,$C338,LUG!$G$47:$M$47)</f>
        <v>0</v>
      </c>
      <c r="W338" s="1626"/>
      <c r="X338" s="1627"/>
      <c r="Y338" s="1625">
        <f>SUMIF(AGO!$G$125:$M$125,$C338,AGO!$G$47:$M$47)</f>
        <v>0</v>
      </c>
      <c r="Z338" s="1626"/>
      <c r="AA338" s="1627"/>
      <c r="AB338" s="1625">
        <f>SUMIF(SET!$G$125:$M$125,$C338,SET!$G$47:$M$47)</f>
        <v>0</v>
      </c>
      <c r="AC338" s="1626"/>
      <c r="AD338" s="1627"/>
      <c r="AE338" s="1625">
        <f>SUMIF(OTT!$G$125:$M$125,$C338,OTT!$G$47:$M$47)</f>
        <v>0</v>
      </c>
      <c r="AF338" s="1626"/>
      <c r="AG338" s="1627"/>
      <c r="AH338" s="1625">
        <f>SUMIF(NOV!$G$125:$M$125,$C338,NOV!$G$47:$M$47)</f>
        <v>0</v>
      </c>
      <c r="AI338" s="1626"/>
      <c r="AJ338" s="1627"/>
      <c r="AK338" s="1625">
        <f>SUMIF(DIC!$G$125:$M$125,$C338,DIC!$G$47:$M$47)</f>
        <v>0</v>
      </c>
      <c r="AL338" s="1626"/>
      <c r="AM338" s="1631"/>
      <c r="AN338" s="1573">
        <f>SUM(D338:AM338)</f>
        <v>0</v>
      </c>
      <c r="AO338" s="1573"/>
      <c r="AP338" s="1574"/>
      <c r="AQ338" s="33"/>
      <c r="AR338" s="33"/>
      <c r="AS338" s="264"/>
      <c r="AT338" s="264"/>
      <c r="AU338" s="264"/>
      <c r="AV338" s="264"/>
      <c r="AW338" s="264"/>
      <c r="AX338" s="264"/>
      <c r="AY338" s="264"/>
      <c r="AZ338" s="264"/>
      <c r="BA338" s="264"/>
      <c r="BB338" s="264"/>
      <c r="BC338" s="264"/>
      <c r="BD338" s="264"/>
      <c r="BE338" s="264"/>
      <c r="BF338" s="264"/>
      <c r="BG338" s="264"/>
      <c r="BH338" s="264"/>
      <c r="BI338" s="264"/>
      <c r="BJ338" s="264"/>
      <c r="BK338" s="264"/>
      <c r="BL338" s="264"/>
    </row>
    <row r="339" spans="1:64" ht="18" hidden="1" customHeight="1" x14ac:dyDescent="0.2">
      <c r="A339" s="1324"/>
      <c r="B339" s="1337">
        <f t="shared" ref="B339" si="106">B325</f>
        <v>0</v>
      </c>
      <c r="C339" s="1326" t="str">
        <f t="shared" si="105"/>
        <v>22</v>
      </c>
      <c r="D339" s="1639">
        <f>SUMIF(GEN!$G$125:$M$125,$C339,GEN!$G$47:$M$47)</f>
        <v>0</v>
      </c>
      <c r="E339" s="1573"/>
      <c r="F339" s="1574"/>
      <c r="G339" s="1572">
        <f>SUMIF(FEB!$G$125:$M$125,$C339,FEB!$G$47:$M$47)</f>
        <v>0</v>
      </c>
      <c r="H339" s="1573"/>
      <c r="I339" s="1574"/>
      <c r="J339" s="1572">
        <f>SUMIF(MAR!$G$125:$M$125,$C339,MAR!$G$47:$M$47)</f>
        <v>0</v>
      </c>
      <c r="K339" s="1573"/>
      <c r="L339" s="1574"/>
      <c r="M339" s="1572">
        <f>SUMIF(APR!$G$125:$M$125,$C339,APR!$G$47:$M$47)</f>
        <v>0</v>
      </c>
      <c r="N339" s="1573"/>
      <c r="O339" s="1574"/>
      <c r="P339" s="1572">
        <f>SUMIF(MAG!$G$125:$M$125,$C339,MAG!$G$47:$M$47)</f>
        <v>0</v>
      </c>
      <c r="Q339" s="1573"/>
      <c r="R339" s="1574"/>
      <c r="S339" s="1572">
        <f>SUMIF(GIU!$G$125:$M$125,$C339,GIU!$G$47:$M$47)</f>
        <v>0</v>
      </c>
      <c r="T339" s="1573"/>
      <c r="U339" s="1574"/>
      <c r="V339" s="1572">
        <f>SUMIF(LUG!$G$125:$M$125,$C339,LUG!$G$47:$M$47)</f>
        <v>0</v>
      </c>
      <c r="W339" s="1573"/>
      <c r="X339" s="1574"/>
      <c r="Y339" s="1572">
        <f>SUMIF(AGO!$G$125:$M$125,$C339,AGO!$G$47:$M$47)</f>
        <v>0</v>
      </c>
      <c r="Z339" s="1573"/>
      <c r="AA339" s="1574"/>
      <c r="AB339" s="1572">
        <f>SUMIF(SET!$G$125:$M$125,$C339,SET!$G$47:$M$47)</f>
        <v>0</v>
      </c>
      <c r="AC339" s="1573"/>
      <c r="AD339" s="1574"/>
      <c r="AE339" s="1572">
        <f>SUMIF(OTT!$G$125:$M$125,$C339,OTT!$G$47:$M$47)</f>
        <v>0</v>
      </c>
      <c r="AF339" s="1573"/>
      <c r="AG339" s="1574"/>
      <c r="AH339" s="1572">
        <f>SUMIF(NOV!$G$125:$M$125,$C339,NOV!$G$47:$M$47)</f>
        <v>0</v>
      </c>
      <c r="AI339" s="1573"/>
      <c r="AJ339" s="1574"/>
      <c r="AK339" s="1572">
        <f>SUMIF(DIC!$G$125:$M$125,$C339,DIC!$G$47:$M$47)</f>
        <v>0</v>
      </c>
      <c r="AL339" s="1573"/>
      <c r="AM339" s="1609"/>
      <c r="AN339" s="1573">
        <f t="shared" ref="AN339:AN345" si="107">SUM(D339:AM339)</f>
        <v>0</v>
      </c>
      <c r="AO339" s="1573"/>
      <c r="AP339" s="1574"/>
      <c r="AQ339" s="33"/>
      <c r="AR339" s="33"/>
      <c r="AS339" s="264"/>
      <c r="AT339" s="264"/>
      <c r="AU339" s="264"/>
      <c r="AV339" s="264"/>
      <c r="AW339" s="264"/>
      <c r="AX339" s="264"/>
      <c r="AY339" s="264"/>
      <c r="AZ339" s="264"/>
      <c r="BA339" s="264"/>
      <c r="BB339" s="264"/>
      <c r="BC339" s="264"/>
      <c r="BD339" s="264"/>
      <c r="BE339" s="264"/>
      <c r="BF339" s="264"/>
      <c r="BG339" s="264"/>
      <c r="BH339" s="264"/>
      <c r="BI339" s="264"/>
      <c r="BJ339" s="264"/>
      <c r="BK339" s="264"/>
      <c r="BL339" s="264"/>
    </row>
    <row r="340" spans="1:64" ht="18" hidden="1" customHeight="1" x14ac:dyDescent="0.2">
      <c r="A340" s="1324"/>
      <c r="B340" s="1337">
        <f t="shared" ref="B340" si="108">B326</f>
        <v>0</v>
      </c>
      <c r="C340" s="1326" t="str">
        <f t="shared" si="105"/>
        <v>23</v>
      </c>
      <c r="D340" s="1639">
        <f>SUMIF(GEN!$G$125:$M$125,$C340,GEN!$G$47:$M$47)</f>
        <v>0</v>
      </c>
      <c r="E340" s="1573"/>
      <c r="F340" s="1574"/>
      <c r="G340" s="1572">
        <f>SUMIF(FEB!$G$125:$M$125,$C340,FEB!$G$47:$M$47)</f>
        <v>0</v>
      </c>
      <c r="H340" s="1573"/>
      <c r="I340" s="1574"/>
      <c r="J340" s="1572">
        <f>SUMIF(MAR!$G$125:$M$125,$C340,MAR!$G$47:$M$47)</f>
        <v>0</v>
      </c>
      <c r="K340" s="1573"/>
      <c r="L340" s="1574"/>
      <c r="M340" s="1572">
        <f>SUMIF(APR!$G$125:$M$125,$C340,APR!$G$47:$M$47)</f>
        <v>0</v>
      </c>
      <c r="N340" s="1573"/>
      <c r="O340" s="1574"/>
      <c r="P340" s="1572">
        <f>SUMIF(MAG!$G$125:$M$125,$C340,MAG!$G$47:$M$47)</f>
        <v>0</v>
      </c>
      <c r="Q340" s="1573"/>
      <c r="R340" s="1574"/>
      <c r="S340" s="1572">
        <f>SUMIF(GIU!$G$125:$M$125,$C340,GIU!$G$47:$M$47)</f>
        <v>0</v>
      </c>
      <c r="T340" s="1573"/>
      <c r="U340" s="1574"/>
      <c r="V340" s="1572">
        <f>SUMIF(LUG!$G$125:$M$125,$C340,LUG!$G$47:$M$47)</f>
        <v>0</v>
      </c>
      <c r="W340" s="1573"/>
      <c r="X340" s="1574"/>
      <c r="Y340" s="1572">
        <f>SUMIF(AGO!$G$125:$M$125,$C340,AGO!$G$47:$M$47)</f>
        <v>0</v>
      </c>
      <c r="Z340" s="1573"/>
      <c r="AA340" s="1574"/>
      <c r="AB340" s="1572">
        <f>SUMIF(SET!$G$125:$M$125,$C340,SET!$G$47:$M$47)</f>
        <v>0</v>
      </c>
      <c r="AC340" s="1573"/>
      <c r="AD340" s="1574"/>
      <c r="AE340" s="1572">
        <f>SUMIF(OTT!$G$125:$M$125,$C340,OTT!$G$47:$M$47)</f>
        <v>0</v>
      </c>
      <c r="AF340" s="1573"/>
      <c r="AG340" s="1574"/>
      <c r="AH340" s="1572">
        <f>SUMIF(NOV!$G$125:$M$125,$C340,NOV!$G$47:$M$47)</f>
        <v>0</v>
      </c>
      <c r="AI340" s="1573"/>
      <c r="AJ340" s="1574"/>
      <c r="AK340" s="1572">
        <f>SUMIF(DIC!$G$125:$M$125,$C340,DIC!$G$47:$M$47)</f>
        <v>0</v>
      </c>
      <c r="AL340" s="1573"/>
      <c r="AM340" s="1609"/>
      <c r="AN340" s="1573">
        <f t="shared" si="107"/>
        <v>0</v>
      </c>
      <c r="AO340" s="1573"/>
      <c r="AP340" s="1574"/>
      <c r="AQ340" s="33"/>
      <c r="AR340" s="33"/>
      <c r="AS340" s="264"/>
      <c r="AT340" s="264"/>
      <c r="AU340" s="264"/>
      <c r="AV340" s="264"/>
      <c r="AW340" s="264"/>
      <c r="AX340" s="264"/>
      <c r="AY340" s="264"/>
      <c r="AZ340" s="264"/>
      <c r="BA340" s="264"/>
      <c r="BB340" s="264"/>
      <c r="BC340" s="264"/>
      <c r="BD340" s="264"/>
      <c r="BE340" s="264"/>
      <c r="BF340" s="264"/>
      <c r="BG340" s="264"/>
      <c r="BH340" s="264"/>
      <c r="BI340" s="264"/>
      <c r="BJ340" s="264"/>
      <c r="BK340" s="264"/>
      <c r="BL340" s="264"/>
    </row>
    <row r="341" spans="1:64" ht="18" hidden="1" customHeight="1" x14ac:dyDescent="0.2">
      <c r="A341" s="1324"/>
      <c r="B341" s="1337">
        <f t="shared" ref="B341" si="109">B327</f>
        <v>0</v>
      </c>
      <c r="C341" s="1326" t="str">
        <f t="shared" si="105"/>
        <v>24</v>
      </c>
      <c r="D341" s="1639">
        <f>SUMIF(GEN!$G$125:$M$125,$C341,GEN!$G$47:$M$47)</f>
        <v>0</v>
      </c>
      <c r="E341" s="1573"/>
      <c r="F341" s="1574"/>
      <c r="G341" s="1572">
        <f>SUMIF(FEB!$G$125:$M$125,$C341,FEB!$G$47:$M$47)</f>
        <v>0</v>
      </c>
      <c r="H341" s="1573"/>
      <c r="I341" s="1574"/>
      <c r="J341" s="1572">
        <f>SUMIF(MAR!$G$125:$M$125,$C341,MAR!$G$47:$M$47)</f>
        <v>0</v>
      </c>
      <c r="K341" s="1573"/>
      <c r="L341" s="1574"/>
      <c r="M341" s="1572">
        <f>SUMIF(APR!$G$125:$M$125,$C341,APR!$G$47:$M$47)</f>
        <v>0</v>
      </c>
      <c r="N341" s="1573"/>
      <c r="O341" s="1574"/>
      <c r="P341" s="1572">
        <f>SUMIF(MAG!$G$125:$M$125,$C341,MAG!$G$47:$M$47)</f>
        <v>0</v>
      </c>
      <c r="Q341" s="1573"/>
      <c r="R341" s="1574"/>
      <c r="S341" s="1572">
        <f>SUMIF(GIU!$G$125:$M$125,$C341,GIU!$G$47:$M$47)</f>
        <v>0</v>
      </c>
      <c r="T341" s="1573"/>
      <c r="U341" s="1574"/>
      <c r="V341" s="1572">
        <f>SUMIF(LUG!$G$125:$M$125,$C341,LUG!$G$47:$M$47)</f>
        <v>0</v>
      </c>
      <c r="W341" s="1573"/>
      <c r="X341" s="1574"/>
      <c r="Y341" s="1572">
        <f>SUMIF(AGO!$G$125:$M$125,$C341,AGO!$G$47:$M$47)</f>
        <v>0</v>
      </c>
      <c r="Z341" s="1573"/>
      <c r="AA341" s="1574"/>
      <c r="AB341" s="1572">
        <f>SUMIF(SET!$G$125:$M$125,$C341,SET!$G$47:$M$47)</f>
        <v>0</v>
      </c>
      <c r="AC341" s="1573"/>
      <c r="AD341" s="1574"/>
      <c r="AE341" s="1572">
        <f>SUMIF(OTT!$G$125:$M$125,$C341,OTT!$G$47:$M$47)</f>
        <v>0</v>
      </c>
      <c r="AF341" s="1573"/>
      <c r="AG341" s="1574"/>
      <c r="AH341" s="1572">
        <f>SUMIF(NOV!$G$125:$M$125,$C341,NOV!$G$47:$M$47)</f>
        <v>0</v>
      </c>
      <c r="AI341" s="1573"/>
      <c r="AJ341" s="1574"/>
      <c r="AK341" s="1572">
        <f>SUMIF(DIC!$G$125:$M$125,$C341,DIC!$G$47:$M$47)</f>
        <v>0</v>
      </c>
      <c r="AL341" s="1573"/>
      <c r="AM341" s="1609"/>
      <c r="AN341" s="1573">
        <f t="shared" si="107"/>
        <v>0</v>
      </c>
      <c r="AO341" s="1573"/>
      <c r="AP341" s="1574"/>
      <c r="AQ341" s="33"/>
      <c r="AR341" s="33"/>
      <c r="AS341" s="264"/>
      <c r="AT341" s="264"/>
      <c r="AU341" s="264"/>
      <c r="AV341" s="264"/>
      <c r="AW341" s="264"/>
      <c r="AX341" s="264"/>
      <c r="AY341" s="264"/>
      <c r="AZ341" s="264"/>
      <c r="BA341" s="264"/>
      <c r="BB341" s="264"/>
      <c r="BC341" s="264"/>
      <c r="BD341" s="264"/>
      <c r="BE341" s="264"/>
      <c r="BF341" s="264"/>
      <c r="BG341" s="264"/>
      <c r="BH341" s="264"/>
      <c r="BI341" s="264"/>
      <c r="BJ341" s="264"/>
      <c r="BK341" s="264"/>
      <c r="BL341" s="264"/>
    </row>
    <row r="342" spans="1:64" ht="18" hidden="1" customHeight="1" x14ac:dyDescent="0.2">
      <c r="A342" s="1324"/>
      <c r="B342" s="1337">
        <f t="shared" ref="B342" si="110">B328</f>
        <v>0</v>
      </c>
      <c r="C342" s="1326" t="str">
        <f t="shared" si="105"/>
        <v>25</v>
      </c>
      <c r="D342" s="1639">
        <f>SUMIF(GEN!$G$125:$M$125,$C342,GEN!$G$47:$M$47)</f>
        <v>0</v>
      </c>
      <c r="E342" s="1573"/>
      <c r="F342" s="1574"/>
      <c r="G342" s="1572">
        <f>SUMIF(FEB!$G$125:$M$125,$C342,FEB!$G$47:$M$47)</f>
        <v>0</v>
      </c>
      <c r="H342" s="1573"/>
      <c r="I342" s="1574"/>
      <c r="J342" s="1572">
        <f>SUMIF(MAR!$G$125:$M$125,$C342,MAR!$G$47:$M$47)</f>
        <v>0</v>
      </c>
      <c r="K342" s="1573"/>
      <c r="L342" s="1574"/>
      <c r="M342" s="1572">
        <f>SUMIF(APR!$G$125:$M$125,$C342,APR!$G$47:$M$47)</f>
        <v>0</v>
      </c>
      <c r="N342" s="1573"/>
      <c r="O342" s="1574"/>
      <c r="P342" s="1572">
        <f>SUMIF(MAG!$G$125:$M$125,$C342,MAG!$G$47:$M$47)</f>
        <v>0</v>
      </c>
      <c r="Q342" s="1573"/>
      <c r="R342" s="1574"/>
      <c r="S342" s="1572">
        <f>SUMIF(GIU!$G$125:$M$125,$C342,GIU!$G$47:$M$47)</f>
        <v>0</v>
      </c>
      <c r="T342" s="1573"/>
      <c r="U342" s="1574"/>
      <c r="V342" s="1572">
        <f>SUMIF(LUG!$G$125:$M$125,$C342,LUG!$G$47:$M$47)</f>
        <v>0</v>
      </c>
      <c r="W342" s="1573"/>
      <c r="X342" s="1574"/>
      <c r="Y342" s="1572">
        <f>SUMIF(AGO!$G$125:$M$125,$C342,AGO!$G$47:$M$47)</f>
        <v>0</v>
      </c>
      <c r="Z342" s="1573"/>
      <c r="AA342" s="1574"/>
      <c r="AB342" s="1572">
        <f>SUMIF(SET!$G$125:$M$125,$C342,SET!$G$47:$M$47)</f>
        <v>0</v>
      </c>
      <c r="AC342" s="1573"/>
      <c r="AD342" s="1574"/>
      <c r="AE342" s="1572">
        <f>SUMIF(OTT!$G$125:$M$125,$C342,OTT!$G$47:$M$47)</f>
        <v>0</v>
      </c>
      <c r="AF342" s="1573"/>
      <c r="AG342" s="1574"/>
      <c r="AH342" s="1572">
        <f>SUMIF(NOV!$G$125:$M$125,$C342,NOV!$G$47:$M$47)</f>
        <v>0</v>
      </c>
      <c r="AI342" s="1573"/>
      <c r="AJ342" s="1574"/>
      <c r="AK342" s="1572">
        <f>SUMIF(DIC!$G$125:$M$125,$C342,DIC!$G$47:$M$47)</f>
        <v>0</v>
      </c>
      <c r="AL342" s="1573"/>
      <c r="AM342" s="1609"/>
      <c r="AN342" s="1573">
        <f t="shared" si="107"/>
        <v>0</v>
      </c>
      <c r="AO342" s="1573"/>
      <c r="AP342" s="1574"/>
      <c r="AQ342" s="33"/>
      <c r="AR342" s="33"/>
      <c r="AS342" s="264"/>
      <c r="AT342" s="264"/>
      <c r="AU342" s="264"/>
      <c r="AV342" s="264"/>
      <c r="AW342" s="264"/>
      <c r="AX342" s="264"/>
      <c r="AY342" s="264"/>
      <c r="AZ342" s="264"/>
      <c r="BA342" s="264"/>
      <c r="BB342" s="264"/>
      <c r="BC342" s="264"/>
      <c r="BD342" s="264"/>
      <c r="BE342" s="264"/>
      <c r="BF342" s="264"/>
      <c r="BG342" s="264"/>
      <c r="BH342" s="264"/>
      <c r="BI342" s="264"/>
      <c r="BJ342" s="264"/>
      <c r="BK342" s="264"/>
      <c r="BL342" s="264"/>
    </row>
    <row r="343" spans="1:64" ht="18" hidden="1" customHeight="1" x14ac:dyDescent="0.2">
      <c r="A343" s="1324"/>
      <c r="B343" s="1337">
        <f t="shared" ref="B343" si="111">B329</f>
        <v>0</v>
      </c>
      <c r="C343" s="1326" t="str">
        <f t="shared" si="105"/>
        <v>26</v>
      </c>
      <c r="D343" s="1639">
        <f>SUMIF(GEN!$G$125:$M$125,$C343,GEN!$G$47:$M$47)</f>
        <v>0</v>
      </c>
      <c r="E343" s="1573"/>
      <c r="F343" s="1574"/>
      <c r="G343" s="1572">
        <f>SUMIF(FEB!$G$125:$M$125,$C343,FEB!$G$47:$M$47)</f>
        <v>0</v>
      </c>
      <c r="H343" s="1573"/>
      <c r="I343" s="1574"/>
      <c r="J343" s="1572">
        <f>SUMIF(MAR!$G$125:$M$125,$C343,MAR!$G$47:$M$47)</f>
        <v>0</v>
      </c>
      <c r="K343" s="1573"/>
      <c r="L343" s="1574"/>
      <c r="M343" s="1572">
        <f>SUMIF(APR!$G$125:$M$125,$C343,APR!$G$47:$M$47)</f>
        <v>0</v>
      </c>
      <c r="N343" s="1573"/>
      <c r="O343" s="1574"/>
      <c r="P343" s="1572">
        <f>SUMIF(MAG!$G$125:$M$125,$C343,MAG!$G$47:$M$47)</f>
        <v>0</v>
      </c>
      <c r="Q343" s="1573"/>
      <c r="R343" s="1574"/>
      <c r="S343" s="1572">
        <f>SUMIF(GIU!$G$125:$M$125,$C343,GIU!$G$47:$M$47)</f>
        <v>0</v>
      </c>
      <c r="T343" s="1573"/>
      <c r="U343" s="1574"/>
      <c r="V343" s="1572">
        <f>SUMIF(LUG!$G$125:$M$125,$C343,LUG!$G$47:$M$47)</f>
        <v>0</v>
      </c>
      <c r="W343" s="1573"/>
      <c r="X343" s="1574"/>
      <c r="Y343" s="1572">
        <f>SUMIF(AGO!$G$125:$M$125,$C343,AGO!$G$47:$M$47)</f>
        <v>0</v>
      </c>
      <c r="Z343" s="1573"/>
      <c r="AA343" s="1574"/>
      <c r="AB343" s="1572">
        <f>SUMIF(SET!$G$125:$M$125,$C343,SET!$G$47:$M$47)</f>
        <v>0</v>
      </c>
      <c r="AC343" s="1573"/>
      <c r="AD343" s="1574"/>
      <c r="AE343" s="1572">
        <f>SUMIF(OTT!$G$125:$M$125,$C343,OTT!$G$47:$M$47)</f>
        <v>0</v>
      </c>
      <c r="AF343" s="1573"/>
      <c r="AG343" s="1574"/>
      <c r="AH343" s="1572">
        <f>SUMIF(NOV!$G$125:$M$125,$C343,NOV!$G$47:$M$47)</f>
        <v>0</v>
      </c>
      <c r="AI343" s="1573"/>
      <c r="AJ343" s="1574"/>
      <c r="AK343" s="1572">
        <f>SUMIF(DIC!$G$125:$M$125,$C343,DIC!$G$47:$M$47)</f>
        <v>0</v>
      </c>
      <c r="AL343" s="1573"/>
      <c r="AM343" s="1609"/>
      <c r="AN343" s="1573">
        <f t="shared" si="107"/>
        <v>0</v>
      </c>
      <c r="AO343" s="1573"/>
      <c r="AP343" s="1574"/>
      <c r="AQ343" s="33"/>
      <c r="AR343" s="33"/>
      <c r="AS343" s="264"/>
      <c r="AT343" s="264"/>
      <c r="AU343" s="264"/>
      <c r="AV343" s="264"/>
      <c r="AW343" s="264"/>
      <c r="AX343" s="264"/>
      <c r="AY343" s="264"/>
      <c r="AZ343" s="264"/>
      <c r="BA343" s="264"/>
      <c r="BB343" s="264"/>
      <c r="BC343" s="264"/>
      <c r="BD343" s="264"/>
      <c r="BE343" s="264"/>
      <c r="BF343" s="264"/>
      <c r="BG343" s="264"/>
      <c r="BH343" s="264"/>
      <c r="BI343" s="264"/>
      <c r="BJ343" s="264"/>
      <c r="BK343" s="264"/>
      <c r="BL343" s="264"/>
    </row>
    <row r="344" spans="1:64" ht="18" hidden="1" customHeight="1" x14ac:dyDescent="0.2">
      <c r="A344" s="1324"/>
      <c r="B344" s="882">
        <f t="shared" ref="B344" si="112">B330</f>
        <v>0</v>
      </c>
      <c r="C344" s="687" t="str">
        <f t="shared" si="105"/>
        <v>27</v>
      </c>
      <c r="D344" s="1663">
        <f>SUMIF(GEN!$G$125:$M$125,$C344,GEN!$G$47:$M$47)</f>
        <v>0</v>
      </c>
      <c r="E344" s="1616"/>
      <c r="F344" s="1617"/>
      <c r="G344" s="1615">
        <f>SUMIF(FEB!$G$125:$M$125,$C344,FEB!$G$47:$M$47)</f>
        <v>0</v>
      </c>
      <c r="H344" s="1616"/>
      <c r="I344" s="1617"/>
      <c r="J344" s="1615">
        <f>SUMIF(MAR!$G$125:$M$125,$C344,MAR!$G$47:$M$47)</f>
        <v>0</v>
      </c>
      <c r="K344" s="1616"/>
      <c r="L344" s="1617"/>
      <c r="M344" s="1615">
        <f>SUMIF(APR!$G$125:$M$125,$C344,APR!$G$47:$M$47)</f>
        <v>0</v>
      </c>
      <c r="N344" s="1616"/>
      <c r="O344" s="1617"/>
      <c r="P344" s="1615">
        <f>SUMIF(MAG!$G$125:$M$125,$C344,MAG!$G$47:$M$47)</f>
        <v>0</v>
      </c>
      <c r="Q344" s="1616"/>
      <c r="R344" s="1617"/>
      <c r="S344" s="1615">
        <f>SUMIF(GIU!$G$125:$M$125,$C344,GIU!$G$47:$M$47)</f>
        <v>0</v>
      </c>
      <c r="T344" s="1616"/>
      <c r="U344" s="1617"/>
      <c r="V344" s="1615">
        <f>SUMIF(LUG!$G$125:$M$125,$C344,LUG!$G$47:$M$47)</f>
        <v>0</v>
      </c>
      <c r="W344" s="1616"/>
      <c r="X344" s="1617"/>
      <c r="Y344" s="1615">
        <f>SUMIF(AGO!$G$125:$M$125,$C344,AGO!$G$47:$M$47)</f>
        <v>0</v>
      </c>
      <c r="Z344" s="1616"/>
      <c r="AA344" s="1617"/>
      <c r="AB344" s="1615">
        <f>SUMIF(SET!$G$125:$M$125,$C344,SET!$G$47:$M$47)</f>
        <v>0</v>
      </c>
      <c r="AC344" s="1616"/>
      <c r="AD344" s="1617"/>
      <c r="AE344" s="1615">
        <f>SUMIF(OTT!$G$125:$M$125,$C344,OTT!$G$47:$M$47)</f>
        <v>0</v>
      </c>
      <c r="AF344" s="1616"/>
      <c r="AG344" s="1617"/>
      <c r="AH344" s="1615">
        <f>SUMIF(NOV!$G$125:$M$125,$C344,NOV!$G$47:$M$47)</f>
        <v>0</v>
      </c>
      <c r="AI344" s="1616"/>
      <c r="AJ344" s="1617"/>
      <c r="AK344" s="1615">
        <f>SUMIF(DIC!$G$125:$M$125,$C344,DIC!$G$47:$M$47)</f>
        <v>0</v>
      </c>
      <c r="AL344" s="1616"/>
      <c r="AM344" s="1618"/>
      <c r="AN344" s="1616">
        <f t="shared" si="107"/>
        <v>0</v>
      </c>
      <c r="AO344" s="1616"/>
      <c r="AP344" s="1617"/>
      <c r="AQ344" s="33"/>
      <c r="AR344" s="33"/>
      <c r="AS344" s="264"/>
      <c r="AT344" s="264"/>
      <c r="AU344" s="264"/>
      <c r="AV344" s="264"/>
      <c r="AW344" s="264"/>
      <c r="AX344" s="264"/>
      <c r="AY344" s="264"/>
      <c r="AZ344" s="264"/>
      <c r="BA344" s="264"/>
      <c r="BB344" s="264"/>
      <c r="BC344" s="264"/>
      <c r="BD344" s="264"/>
      <c r="BE344" s="264"/>
      <c r="BF344" s="264"/>
      <c r="BG344" s="264"/>
      <c r="BH344" s="264"/>
      <c r="BI344" s="264"/>
      <c r="BJ344" s="264"/>
      <c r="BK344" s="264"/>
      <c r="BL344" s="264"/>
    </row>
    <row r="345" spans="1:64" ht="18" hidden="1" customHeight="1" x14ac:dyDescent="0.2">
      <c r="A345" s="1324"/>
      <c r="B345" s="33"/>
      <c r="C345" s="1327" t="s">
        <v>540</v>
      </c>
      <c r="D345" s="1612">
        <f>SUMIF(GEN!$G$125:$M$125,$C345,GEN!$G$47:$M$47)</f>
        <v>1000</v>
      </c>
      <c r="E345" s="1613"/>
      <c r="F345" s="1614"/>
      <c r="G345" s="1612">
        <f>SUMIF(FEB!$G$125:$M$125,$C345,FEB!$G$47:$M$47)</f>
        <v>0</v>
      </c>
      <c r="H345" s="1613"/>
      <c r="I345" s="1614"/>
      <c r="J345" s="1612">
        <f>SUMIF(MAR!$G$125:$M$125,$C345,MAR!$G$47:$M$47)</f>
        <v>0</v>
      </c>
      <c r="K345" s="1613"/>
      <c r="L345" s="1614"/>
      <c r="M345" s="1612">
        <f>SUMIF(APR!$G$125:$M$125,$C345,APR!$G$47:$M$47)</f>
        <v>0</v>
      </c>
      <c r="N345" s="1613"/>
      <c r="O345" s="1614"/>
      <c r="P345" s="1612">
        <f>SUMIF(MAG!$G$125:$M$125,$C345,MAG!$G$47:$M$47)</f>
        <v>0</v>
      </c>
      <c r="Q345" s="1613"/>
      <c r="R345" s="1614"/>
      <c r="S345" s="1612">
        <f>SUMIF(GIU!$G$125:$M$125,$C345,GIU!$G$47:$M$47)</f>
        <v>0</v>
      </c>
      <c r="T345" s="1613"/>
      <c r="U345" s="1614"/>
      <c r="V345" s="1612">
        <f>SUMIF(LUG!$G$125:$M$125,$C345,LUG!$G$47:$M$47)</f>
        <v>0</v>
      </c>
      <c r="W345" s="1613"/>
      <c r="X345" s="1614"/>
      <c r="Y345" s="1612">
        <f>SUMIF(AGO!$G$125:$M$125,$C345,AGO!$G$47:$M$47)</f>
        <v>0</v>
      </c>
      <c r="Z345" s="1613"/>
      <c r="AA345" s="1614"/>
      <c r="AB345" s="1612">
        <f>SUMIF(SET!$G$125:$M$125,$C345,SET!$G$47:$M$47)</f>
        <v>0</v>
      </c>
      <c r="AC345" s="1613"/>
      <c r="AD345" s="1614"/>
      <c r="AE345" s="1612">
        <f>SUMIF(OTT!$G$125:$M$125,$C345,OTT!$G$47:$M$47)</f>
        <v>0</v>
      </c>
      <c r="AF345" s="1613"/>
      <c r="AG345" s="1614"/>
      <c r="AH345" s="1612">
        <f>SUMIF(NOV!$G$125:$M$125,$C345,NOV!$G$47:$M$47)</f>
        <v>0</v>
      </c>
      <c r="AI345" s="1613"/>
      <c r="AJ345" s="1614"/>
      <c r="AK345" s="1612">
        <f>SUMIF(DIC!$G$125:$M$125,$C345,DIC!$G$47:$M$47)</f>
        <v>0</v>
      </c>
      <c r="AL345" s="1613"/>
      <c r="AM345" s="1614"/>
      <c r="AN345" s="1628">
        <f t="shared" si="107"/>
        <v>1000</v>
      </c>
      <c r="AO345" s="1629"/>
      <c r="AP345" s="1630"/>
      <c r="AQ345" s="33"/>
      <c r="AR345" s="33"/>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row>
    <row r="346" spans="1:64" ht="18" hidden="1" customHeight="1" x14ac:dyDescent="0.2">
      <c r="A346" s="1324"/>
      <c r="B346" s="33"/>
      <c r="C346" s="33"/>
      <c r="D346" s="1605">
        <f>SUM(D338:F345)</f>
        <v>1000</v>
      </c>
      <c r="E346" s="1606"/>
      <c r="F346" s="1607"/>
      <c r="G346" s="1605">
        <f>SUM(G338:I345)</f>
        <v>0</v>
      </c>
      <c r="H346" s="1606"/>
      <c r="I346" s="1607"/>
      <c r="J346" s="1605">
        <f>SUM(J338:L345)</f>
        <v>0</v>
      </c>
      <c r="K346" s="1606"/>
      <c r="L346" s="1607"/>
      <c r="M346" s="1605">
        <f>SUM(M338:O345)</f>
        <v>0</v>
      </c>
      <c r="N346" s="1606"/>
      <c r="O346" s="1607"/>
      <c r="P346" s="1605">
        <f>SUM(P338:R345)</f>
        <v>0</v>
      </c>
      <c r="Q346" s="1606"/>
      <c r="R346" s="1607"/>
      <c r="S346" s="1605">
        <f>SUM(S338:U345)</f>
        <v>0</v>
      </c>
      <c r="T346" s="1606"/>
      <c r="U346" s="1607"/>
      <c r="V346" s="1605">
        <f>SUM(V338:X345)</f>
        <v>0</v>
      </c>
      <c r="W346" s="1606"/>
      <c r="X346" s="1607"/>
      <c r="Y346" s="1605">
        <f>SUM(Y338:AA345)</f>
        <v>0</v>
      </c>
      <c r="Z346" s="1606"/>
      <c r="AA346" s="1607"/>
      <c r="AB346" s="1605">
        <f>SUM(AB338:AD345)</f>
        <v>0</v>
      </c>
      <c r="AC346" s="1606"/>
      <c r="AD346" s="1607"/>
      <c r="AE346" s="1605">
        <f>SUM(AE338:AG345)</f>
        <v>0</v>
      </c>
      <c r="AF346" s="1606"/>
      <c r="AG346" s="1607"/>
      <c r="AH346" s="1605">
        <f>SUM(AH338:AJ345)</f>
        <v>0</v>
      </c>
      <c r="AI346" s="1606"/>
      <c r="AJ346" s="1607"/>
      <c r="AK346" s="1605">
        <f>SUM(AK338:AM345)</f>
        <v>0</v>
      </c>
      <c r="AL346" s="1606"/>
      <c r="AM346" s="1607"/>
      <c r="AN346" s="1605">
        <f>SUM(D346:AM346)</f>
        <v>1000</v>
      </c>
      <c r="AO346" s="1606"/>
      <c r="AP346" s="1607"/>
      <c r="AQ346" s="33"/>
      <c r="AR346" s="33"/>
      <c r="AS346" s="264"/>
      <c r="AT346" s="264"/>
      <c r="AU346" s="264"/>
      <c r="AV346" s="264"/>
      <c r="AW346" s="264"/>
      <c r="AX346" s="264"/>
      <c r="AY346" s="264"/>
      <c r="AZ346" s="264"/>
      <c r="BA346" s="264"/>
      <c r="BB346" s="264"/>
      <c r="BC346" s="264"/>
      <c r="BD346" s="264"/>
      <c r="BE346" s="264"/>
      <c r="BF346" s="264"/>
      <c r="BG346" s="264"/>
      <c r="BH346" s="264"/>
      <c r="BI346" s="264"/>
      <c r="BJ346" s="264"/>
      <c r="BK346" s="264"/>
      <c r="BL346" s="264"/>
    </row>
    <row r="347" spans="1:64" ht="18" hidden="1" customHeight="1" x14ac:dyDescent="0.2">
      <c r="A347" s="1324"/>
      <c r="B347" s="33"/>
      <c r="C347" s="33"/>
      <c r="D347" s="1572">
        <f>D346</f>
        <v>1000</v>
      </c>
      <c r="E347" s="1573"/>
      <c r="F347" s="1574"/>
      <c r="G347" s="1572">
        <f>G346+D347</f>
        <v>1000</v>
      </c>
      <c r="H347" s="1573"/>
      <c r="I347" s="1574"/>
      <c r="J347" s="1572">
        <f>J346+G347</f>
        <v>1000</v>
      </c>
      <c r="K347" s="1573"/>
      <c r="L347" s="1574"/>
      <c r="M347" s="1572">
        <f>M346+J347</f>
        <v>1000</v>
      </c>
      <c r="N347" s="1573"/>
      <c r="O347" s="1574"/>
      <c r="P347" s="1572">
        <f>P346+M347</f>
        <v>1000</v>
      </c>
      <c r="Q347" s="1573"/>
      <c r="R347" s="1574"/>
      <c r="S347" s="1572">
        <f>S346+P347</f>
        <v>1000</v>
      </c>
      <c r="T347" s="1573"/>
      <c r="U347" s="1574"/>
      <c r="V347" s="1572">
        <f>V346+S347</f>
        <v>1000</v>
      </c>
      <c r="W347" s="1573"/>
      <c r="X347" s="1574"/>
      <c r="Y347" s="1572">
        <f>Y346+V347</f>
        <v>1000</v>
      </c>
      <c r="Z347" s="1573"/>
      <c r="AA347" s="1574"/>
      <c r="AB347" s="1572">
        <f>AB346+Y347</f>
        <v>1000</v>
      </c>
      <c r="AC347" s="1573"/>
      <c r="AD347" s="1574"/>
      <c r="AE347" s="1572">
        <f>AE346+AB347</f>
        <v>1000</v>
      </c>
      <c r="AF347" s="1573"/>
      <c r="AG347" s="1574"/>
      <c r="AH347" s="1572">
        <f>AH346+AE347</f>
        <v>1000</v>
      </c>
      <c r="AI347" s="1573"/>
      <c r="AJ347" s="1574"/>
      <c r="AK347" s="1572">
        <f>AK346+AH347</f>
        <v>1000</v>
      </c>
      <c r="AL347" s="1573"/>
      <c r="AM347" s="1574"/>
      <c r="AN347" s="33"/>
      <c r="AO347" s="33"/>
      <c r="AP347" s="33"/>
      <c r="AQ347" s="33"/>
      <c r="AR347" s="33"/>
      <c r="AS347" s="264"/>
      <c r="AT347" s="264"/>
      <c r="AU347" s="264"/>
      <c r="AV347" s="264"/>
      <c r="AW347" s="264"/>
      <c r="AX347" s="264"/>
      <c r="AY347" s="264"/>
      <c r="AZ347" s="264"/>
      <c r="BA347" s="264"/>
      <c r="BB347" s="264"/>
      <c r="BC347" s="264"/>
      <c r="BD347" s="264"/>
      <c r="BE347" s="264"/>
      <c r="BF347" s="264"/>
      <c r="BG347" s="264"/>
      <c r="BH347" s="264"/>
      <c r="BI347" s="264"/>
      <c r="BJ347" s="264"/>
      <c r="BK347" s="264"/>
      <c r="BL347" s="264"/>
    </row>
    <row r="348" spans="1:64" ht="18" hidden="1" customHeight="1" x14ac:dyDescent="0.2">
      <c r="A348" s="1324"/>
      <c r="B348" s="193"/>
      <c r="C348" s="125"/>
      <c r="D348" s="33"/>
      <c r="E348" s="33"/>
      <c r="F348" s="33"/>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324"/>
      <c r="AD348" s="1324"/>
      <c r="AE348" s="1324"/>
      <c r="AF348" s="1324"/>
      <c r="AG348" s="1324"/>
      <c r="AH348" s="1324"/>
      <c r="AI348" s="1324"/>
      <c r="AJ348" s="1324"/>
      <c r="AK348" s="1324"/>
      <c r="AL348" s="1324"/>
      <c r="AM348" s="1324"/>
      <c r="AN348" s="33"/>
      <c r="AO348" s="33"/>
      <c r="AP348" s="33"/>
      <c r="AQ348" s="33"/>
      <c r="AR348" s="33"/>
      <c r="AS348" s="264"/>
      <c r="AT348" s="264"/>
      <c r="AU348" s="264"/>
      <c r="AV348" s="264"/>
      <c r="AW348" s="264"/>
      <c r="AX348" s="264"/>
      <c r="AY348" s="264"/>
      <c r="AZ348" s="264"/>
      <c r="BA348" s="264"/>
      <c r="BB348" s="264"/>
      <c r="BC348" s="264"/>
      <c r="BD348" s="264"/>
      <c r="BE348" s="264"/>
      <c r="BF348" s="264"/>
      <c r="BG348" s="264"/>
      <c r="BH348" s="264"/>
      <c r="BI348" s="264"/>
      <c r="BJ348" s="264"/>
      <c r="BK348" s="264"/>
      <c r="BL348" s="264"/>
    </row>
    <row r="349" spans="1:64" s="633" customFormat="1" ht="6.75" hidden="1" customHeight="1" x14ac:dyDescent="0.2">
      <c r="A349" s="681"/>
      <c r="B349" s="681"/>
      <c r="C349" s="681"/>
      <c r="D349" s="681"/>
      <c r="E349" s="681"/>
      <c r="F349" s="681"/>
      <c r="G349" s="681"/>
      <c r="H349" s="681"/>
      <c r="I349" s="681"/>
      <c r="J349" s="681"/>
      <c r="K349" s="681"/>
      <c r="L349" s="681"/>
      <c r="M349" s="681"/>
      <c r="N349" s="681"/>
      <c r="O349" s="681"/>
      <c r="P349" s="681"/>
      <c r="Q349" s="681"/>
      <c r="R349" s="681"/>
      <c r="S349" s="681"/>
      <c r="T349" s="681"/>
      <c r="U349" s="681"/>
      <c r="V349" s="681"/>
      <c r="W349" s="681"/>
      <c r="X349" s="681"/>
      <c r="Y349" s="681"/>
      <c r="Z349" s="681"/>
      <c r="AA349" s="681"/>
      <c r="AB349" s="681"/>
      <c r="AC349" s="681"/>
      <c r="AD349" s="681"/>
      <c r="AE349" s="681"/>
      <c r="AF349" s="681"/>
      <c r="AG349" s="681"/>
      <c r="AH349" s="681"/>
      <c r="AI349" s="681"/>
      <c r="AJ349" s="681"/>
      <c r="AK349" s="681"/>
      <c r="AL349" s="681"/>
      <c r="AM349" s="681"/>
      <c r="AN349" s="681"/>
      <c r="AO349" s="681"/>
      <c r="AP349" s="681"/>
      <c r="AQ349" s="681"/>
      <c r="AR349" s="681"/>
      <c r="AS349" s="681"/>
      <c r="AT349" s="681"/>
      <c r="AU349" s="681"/>
      <c r="AV349" s="681"/>
      <c r="AW349" s="681"/>
      <c r="AX349" s="681"/>
      <c r="AY349" s="681"/>
      <c r="AZ349" s="681"/>
      <c r="BA349" s="681"/>
      <c r="BB349" s="681"/>
      <c r="BC349" s="681"/>
      <c r="BD349" s="681"/>
      <c r="BE349" s="681"/>
      <c r="BF349" s="681"/>
      <c r="BG349" s="681"/>
      <c r="BH349" s="681"/>
      <c r="BI349" s="681"/>
      <c r="BJ349" s="681"/>
      <c r="BK349" s="681"/>
    </row>
    <row r="350" spans="1:64" ht="18" hidden="1" customHeight="1" x14ac:dyDescent="0.2">
      <c r="A350" s="1324"/>
      <c r="B350" s="193"/>
      <c r="C350" s="125"/>
      <c r="D350" s="33"/>
      <c r="E350" s="33"/>
      <c r="F350" s="33"/>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324"/>
      <c r="AD350" s="1324"/>
      <c r="AE350" s="1324"/>
      <c r="AF350" s="1324"/>
      <c r="AG350" s="1324"/>
      <c r="AH350" s="1324"/>
      <c r="AI350" s="1324"/>
      <c r="AJ350" s="1324"/>
      <c r="AK350" s="1324"/>
      <c r="AL350" s="1324"/>
      <c r="AM350" s="1324"/>
      <c r="AN350" s="33"/>
      <c r="AO350" s="33"/>
      <c r="AP350" s="33"/>
      <c r="AQ350" s="33"/>
      <c r="AR350" s="33"/>
      <c r="AS350" s="264"/>
      <c r="AT350" s="264"/>
      <c r="AU350" s="264"/>
      <c r="AV350" s="264"/>
      <c r="AW350" s="264"/>
      <c r="AX350" s="264"/>
      <c r="AY350" s="264"/>
      <c r="AZ350" s="264"/>
      <c r="BA350" s="264"/>
      <c r="BB350" s="264"/>
      <c r="BC350" s="264"/>
      <c r="BD350" s="264"/>
      <c r="BE350" s="264"/>
      <c r="BF350" s="264"/>
      <c r="BG350" s="264"/>
      <c r="BH350" s="264"/>
      <c r="BI350" s="264"/>
      <c r="BJ350" s="264"/>
      <c r="BK350" s="264"/>
      <c r="BL350" s="264"/>
    </row>
    <row r="351" spans="1:64" ht="18" hidden="1" customHeight="1" x14ac:dyDescent="0.2">
      <c r="A351" s="1324"/>
      <c r="B351" s="1655" t="s">
        <v>542</v>
      </c>
      <c r="C351" s="1656"/>
      <c r="D351" s="1610" t="str">
        <f>D323</f>
        <v>Gennaio</v>
      </c>
      <c r="E351" s="1611"/>
      <c r="F351" s="1611"/>
      <c r="G351" s="1610" t="str">
        <f>G323</f>
        <v>Febbraio</v>
      </c>
      <c r="H351" s="1611"/>
      <c r="I351" s="1611"/>
      <c r="J351" s="1610" t="str">
        <f>J323</f>
        <v>Marzo</v>
      </c>
      <c r="K351" s="1611"/>
      <c r="L351" s="1611"/>
      <c r="M351" s="1610" t="str">
        <f>M323</f>
        <v>Aprile</v>
      </c>
      <c r="N351" s="1611"/>
      <c r="O351" s="1611"/>
      <c r="P351" s="1610" t="str">
        <f>P323</f>
        <v>Maggio</v>
      </c>
      <c r="Q351" s="1611"/>
      <c r="R351" s="1611"/>
      <c r="S351" s="1610" t="str">
        <f>S323</f>
        <v>Giugno</v>
      </c>
      <c r="T351" s="1611"/>
      <c r="U351" s="1611"/>
      <c r="V351" s="1610" t="str">
        <f>V323</f>
        <v>Luglio</v>
      </c>
      <c r="W351" s="1611"/>
      <c r="X351" s="1611"/>
      <c r="Y351" s="1610" t="str">
        <f>Y323</f>
        <v>Agosto</v>
      </c>
      <c r="Z351" s="1611"/>
      <c r="AA351" s="1611"/>
      <c r="AB351" s="1610" t="str">
        <f>AB323</f>
        <v>Settembre</v>
      </c>
      <c r="AC351" s="1611"/>
      <c r="AD351" s="1611"/>
      <c r="AE351" s="1610" t="str">
        <f>AE323</f>
        <v>Ottobre</v>
      </c>
      <c r="AF351" s="1611"/>
      <c r="AG351" s="1611"/>
      <c r="AH351" s="1610" t="str">
        <f>AH323</f>
        <v>Novembre</v>
      </c>
      <c r="AI351" s="1611"/>
      <c r="AJ351" s="1611"/>
      <c r="AK351" s="1610" t="str">
        <f>AK323</f>
        <v>Dicembre</v>
      </c>
      <c r="AL351" s="1611"/>
      <c r="AM351" s="1667"/>
      <c r="AN351" s="33"/>
      <c r="AO351" s="33"/>
      <c r="AP351" s="33"/>
      <c r="AQ351" s="33"/>
      <c r="AR351" s="33"/>
      <c r="AS351" s="264"/>
      <c r="AT351" s="264"/>
      <c r="AU351" s="264"/>
      <c r="AV351" s="264"/>
      <c r="AW351" s="264"/>
      <c r="AX351" s="264"/>
      <c r="AY351" s="264"/>
      <c r="AZ351" s="264"/>
      <c r="BA351" s="264"/>
      <c r="BB351" s="264"/>
      <c r="BC351" s="264"/>
      <c r="BD351" s="264"/>
      <c r="BE351" s="264"/>
      <c r="BF351" s="264"/>
      <c r="BG351" s="264"/>
      <c r="BH351" s="264"/>
      <c r="BI351" s="264"/>
      <c r="BJ351" s="264"/>
      <c r="BK351" s="264"/>
      <c r="BL351" s="264"/>
    </row>
    <row r="352" spans="1:64" ht="18" hidden="1" customHeight="1" x14ac:dyDescent="0.2">
      <c r="A352" s="1324"/>
      <c r="B352" s="1337">
        <f t="shared" ref="B352:C358" si="113">B324</f>
        <v>0</v>
      </c>
      <c r="C352" s="1326" t="str">
        <f t="shared" si="113"/>
        <v>21</v>
      </c>
      <c r="D352" s="1647">
        <f>SUMIF(GEN!$G$125:$M$125,$C352,GEN!$G$122:$M$122)</f>
        <v>0</v>
      </c>
      <c r="E352" s="1626"/>
      <c r="F352" s="1627"/>
      <c r="G352" s="1625">
        <f>SUMIF(FEB!$G$125:$M$125,$C352,FEB!$G$122:$M$122)</f>
        <v>0</v>
      </c>
      <c r="H352" s="1626"/>
      <c r="I352" s="1627"/>
      <c r="J352" s="1625">
        <f>SUMIF(MAR!$G$125:$M$125,$C352,MAR!$G$122:$M$122)</f>
        <v>0</v>
      </c>
      <c r="K352" s="1626"/>
      <c r="L352" s="1627"/>
      <c r="M352" s="1625">
        <f>SUMIF(APR!$G$125:$M$125,$C352,APR!$G$122:$M$122)</f>
        <v>0</v>
      </c>
      <c r="N352" s="1626"/>
      <c r="O352" s="1627"/>
      <c r="P352" s="1625">
        <f>SUMIF(MAG!$G$125:$M$125,$C352,MAG!$G$122:$M$122)</f>
        <v>0</v>
      </c>
      <c r="Q352" s="1626"/>
      <c r="R352" s="1627"/>
      <c r="S352" s="1625">
        <f>SUMIF(GIU!$G$125:$M$125,$C352,GIU!$G$122:$M$122)</f>
        <v>0</v>
      </c>
      <c r="T352" s="1626"/>
      <c r="U352" s="1627"/>
      <c r="V352" s="1625">
        <f>SUMIF(LUG!$G$125:$M$125,$C352,LUG!$G$122:$M$122)</f>
        <v>0</v>
      </c>
      <c r="W352" s="1626"/>
      <c r="X352" s="1627"/>
      <c r="Y352" s="1625">
        <f>SUMIF(AGO!$G$125:$M$125,$C352,AGO!$G$122:$M$122)</f>
        <v>0</v>
      </c>
      <c r="Z352" s="1626"/>
      <c r="AA352" s="1627"/>
      <c r="AB352" s="1625">
        <f>SUMIF(SET!$G$125:$M$125,$C352,SET!$G$122:$M$122)</f>
        <v>0</v>
      </c>
      <c r="AC352" s="1626"/>
      <c r="AD352" s="1627"/>
      <c r="AE352" s="1625">
        <f>SUMIF(OTT!$G$125:$M$125,$C352,OTT!$G$122:$M$122)</f>
        <v>0</v>
      </c>
      <c r="AF352" s="1626"/>
      <c r="AG352" s="1627"/>
      <c r="AH352" s="1625">
        <f>SUMIF(NOV!$G$125:$M$125,$C352,NOV!$G$122:$M$122)</f>
        <v>0</v>
      </c>
      <c r="AI352" s="1626"/>
      <c r="AJ352" s="1627"/>
      <c r="AK352" s="1625">
        <f>SUMIF(DIC!$G$125:$M$125,$C352,DIC!$G$122:$M$122)</f>
        <v>0</v>
      </c>
      <c r="AL352" s="1626"/>
      <c r="AM352" s="1631"/>
      <c r="AN352" s="1573">
        <f>SUM(D352:AM352)</f>
        <v>0</v>
      </c>
      <c r="AO352" s="1573"/>
      <c r="AP352" s="1574"/>
      <c r="AQ352" s="33"/>
      <c r="AR352" s="33"/>
      <c r="AS352" s="264"/>
      <c r="AT352" s="264"/>
      <c r="AU352" s="264"/>
      <c r="AV352" s="264"/>
      <c r="AW352" s="264"/>
      <c r="AX352" s="264"/>
      <c r="AY352" s="264"/>
      <c r="AZ352" s="264"/>
      <c r="BA352" s="264"/>
      <c r="BB352" s="264"/>
      <c r="BC352" s="264"/>
      <c r="BD352" s="264"/>
      <c r="BE352" s="264"/>
      <c r="BF352" s="264"/>
      <c r="BG352" s="264"/>
      <c r="BH352" s="264"/>
      <c r="BI352" s="264"/>
      <c r="BJ352" s="264"/>
      <c r="BK352" s="264"/>
      <c r="BL352" s="264"/>
    </row>
    <row r="353" spans="1:64" ht="18" hidden="1" customHeight="1" x14ac:dyDescent="0.2">
      <c r="A353" s="1324"/>
      <c r="B353" s="1337">
        <f t="shared" si="113"/>
        <v>0</v>
      </c>
      <c r="C353" s="1326" t="str">
        <f t="shared" si="113"/>
        <v>22</v>
      </c>
      <c r="D353" s="1639">
        <f>SUMIF(GEN!$G$125:$M$125,$C353,GEN!$G$122:$M$122)</f>
        <v>0</v>
      </c>
      <c r="E353" s="1573"/>
      <c r="F353" s="1574"/>
      <c r="G353" s="1572">
        <f>SUMIF(FEB!$G$125:$M$125,$C353,FEB!$G$122:$M$122)</f>
        <v>0</v>
      </c>
      <c r="H353" s="1573"/>
      <c r="I353" s="1574"/>
      <c r="J353" s="1572">
        <f>SUMIF(MAR!$G$125:$M$125,$C353,MAR!$G$122:$M$122)</f>
        <v>0</v>
      </c>
      <c r="K353" s="1573"/>
      <c r="L353" s="1574"/>
      <c r="M353" s="1572">
        <f>SUMIF(APR!$G$125:$M$125,$C353,APR!$G$122:$M$122)</f>
        <v>0</v>
      </c>
      <c r="N353" s="1573"/>
      <c r="O353" s="1574"/>
      <c r="P353" s="1572">
        <f>SUMIF(MAG!$G$125:$M$125,$C353,MAG!$G$122:$M$122)</f>
        <v>0</v>
      </c>
      <c r="Q353" s="1573"/>
      <c r="R353" s="1574"/>
      <c r="S353" s="1572">
        <f>SUMIF(GIU!$G$125:$M$125,$C353,GIU!$G$122:$M$122)</f>
        <v>0</v>
      </c>
      <c r="T353" s="1573"/>
      <c r="U353" s="1574"/>
      <c r="V353" s="1572">
        <f>SUMIF(LUG!$G$125:$M$125,$C353,LUG!$G$122:$M$122)</f>
        <v>0</v>
      </c>
      <c r="W353" s="1573"/>
      <c r="X353" s="1574"/>
      <c r="Y353" s="1572">
        <f>SUMIF(AGO!$G$125:$M$125,$C353,AGO!$G$122:$M$122)</f>
        <v>0</v>
      </c>
      <c r="Z353" s="1573"/>
      <c r="AA353" s="1574"/>
      <c r="AB353" s="1572">
        <f>SUMIF(SET!$G$125:$M$125,$C353,SET!$G$122:$M$122)</f>
        <v>0</v>
      </c>
      <c r="AC353" s="1573"/>
      <c r="AD353" s="1574"/>
      <c r="AE353" s="1572">
        <f>SUMIF(OTT!$G$125:$M$125,$C353,OTT!$G$122:$M$122)</f>
        <v>0</v>
      </c>
      <c r="AF353" s="1573"/>
      <c r="AG353" s="1574"/>
      <c r="AH353" s="1572">
        <f>SUMIF(NOV!$G$125:$M$125,$C353,NOV!$G$122:$M$122)</f>
        <v>0</v>
      </c>
      <c r="AI353" s="1573"/>
      <c r="AJ353" s="1574"/>
      <c r="AK353" s="1572">
        <f>SUMIF(DIC!$G$125:$M$125,$C353,DIC!$G$122:$M$122)</f>
        <v>0</v>
      </c>
      <c r="AL353" s="1573"/>
      <c r="AM353" s="1609"/>
      <c r="AN353" s="1573">
        <f t="shared" ref="AN353:AN359" si="114">SUM(D353:AM353)</f>
        <v>0</v>
      </c>
      <c r="AO353" s="1573"/>
      <c r="AP353" s="1574"/>
      <c r="AQ353" s="33"/>
      <c r="AR353" s="33"/>
      <c r="AS353" s="264"/>
      <c r="AT353" s="264"/>
      <c r="AU353" s="264"/>
      <c r="AV353" s="264"/>
      <c r="AW353" s="264"/>
      <c r="AX353" s="264"/>
      <c r="AY353" s="264"/>
      <c r="AZ353" s="264"/>
      <c r="BA353" s="264"/>
      <c r="BB353" s="264"/>
      <c r="BC353" s="264"/>
      <c r="BD353" s="264"/>
      <c r="BE353" s="264"/>
      <c r="BF353" s="264"/>
      <c r="BG353" s="264"/>
      <c r="BH353" s="264"/>
      <c r="BI353" s="264"/>
      <c r="BJ353" s="264"/>
      <c r="BK353" s="264"/>
      <c r="BL353" s="264"/>
    </row>
    <row r="354" spans="1:64" ht="18" hidden="1" customHeight="1" x14ac:dyDescent="0.2">
      <c r="A354" s="1324"/>
      <c r="B354" s="1337">
        <f t="shared" si="113"/>
        <v>0</v>
      </c>
      <c r="C354" s="1326" t="str">
        <f t="shared" si="113"/>
        <v>23</v>
      </c>
      <c r="D354" s="1639">
        <f>SUMIF(GEN!$G$125:$M$125,$C354,GEN!$G$122:$M$122)</f>
        <v>0</v>
      </c>
      <c r="E354" s="1573"/>
      <c r="F354" s="1574"/>
      <c r="G354" s="1572">
        <f>SUMIF(FEB!$G$125:$M$125,$C354,FEB!$G$122:$M$122)</f>
        <v>0</v>
      </c>
      <c r="H354" s="1573"/>
      <c r="I354" s="1574"/>
      <c r="J354" s="1572">
        <f>SUMIF(MAR!$G$125:$M$125,$C354,MAR!$G$122:$M$122)</f>
        <v>0</v>
      </c>
      <c r="K354" s="1573"/>
      <c r="L354" s="1574"/>
      <c r="M354" s="1572">
        <f>SUMIF(APR!$G$125:$M$125,$C354,APR!$G$122:$M$122)</f>
        <v>0</v>
      </c>
      <c r="N354" s="1573"/>
      <c r="O354" s="1574"/>
      <c r="P354" s="1572">
        <f>SUMIF(MAG!$G$125:$M$125,$C354,MAG!$G$122:$M$122)</f>
        <v>0</v>
      </c>
      <c r="Q354" s="1573"/>
      <c r="R354" s="1574"/>
      <c r="S354" s="1572">
        <f>SUMIF(GIU!$G$125:$M$125,$C354,GIU!$G$122:$M$122)</f>
        <v>0</v>
      </c>
      <c r="T354" s="1573"/>
      <c r="U354" s="1574"/>
      <c r="V354" s="1572">
        <f>SUMIF(LUG!$G$125:$M$125,$C354,LUG!$G$122:$M$122)</f>
        <v>0</v>
      </c>
      <c r="W354" s="1573"/>
      <c r="X354" s="1574"/>
      <c r="Y354" s="1572">
        <f>SUMIF(AGO!$G$125:$M$125,$C354,AGO!$G$122:$M$122)</f>
        <v>0</v>
      </c>
      <c r="Z354" s="1573"/>
      <c r="AA354" s="1574"/>
      <c r="AB354" s="1572">
        <f>SUMIF(SET!$G$125:$M$125,$C354,SET!$G$122:$M$122)</f>
        <v>0</v>
      </c>
      <c r="AC354" s="1573"/>
      <c r="AD354" s="1574"/>
      <c r="AE354" s="1572">
        <f>SUMIF(OTT!$G$125:$M$125,$C354,OTT!$G$122:$M$122)</f>
        <v>0</v>
      </c>
      <c r="AF354" s="1573"/>
      <c r="AG354" s="1574"/>
      <c r="AH354" s="1572">
        <f>SUMIF(NOV!$G$125:$M$125,$C354,NOV!$G$122:$M$122)</f>
        <v>0</v>
      </c>
      <c r="AI354" s="1573"/>
      <c r="AJ354" s="1574"/>
      <c r="AK354" s="1572">
        <f>SUMIF(DIC!$G$125:$M$125,$C354,DIC!$G$122:$M$122)</f>
        <v>0</v>
      </c>
      <c r="AL354" s="1573"/>
      <c r="AM354" s="1609"/>
      <c r="AN354" s="1573">
        <f t="shared" si="114"/>
        <v>0</v>
      </c>
      <c r="AO354" s="1573"/>
      <c r="AP354" s="1574"/>
      <c r="AQ354" s="33"/>
      <c r="AR354" s="33"/>
      <c r="AS354" s="264"/>
      <c r="AT354" s="264"/>
      <c r="AU354" s="264"/>
      <c r="AV354" s="264"/>
      <c r="AW354" s="264"/>
      <c r="AX354" s="264"/>
      <c r="AY354" s="264"/>
      <c r="AZ354" s="264"/>
      <c r="BA354" s="264"/>
      <c r="BB354" s="264"/>
      <c r="BC354" s="264"/>
      <c r="BD354" s="264"/>
      <c r="BE354" s="264"/>
      <c r="BF354" s="264"/>
      <c r="BG354" s="264"/>
      <c r="BH354" s="264"/>
      <c r="BI354" s="264"/>
      <c r="BJ354" s="264"/>
      <c r="BK354" s="264"/>
      <c r="BL354" s="264"/>
    </row>
    <row r="355" spans="1:64" ht="18" hidden="1" customHeight="1" x14ac:dyDescent="0.2">
      <c r="A355" s="1324"/>
      <c r="B355" s="1337">
        <f t="shared" si="113"/>
        <v>0</v>
      </c>
      <c r="C355" s="1326" t="str">
        <f t="shared" si="113"/>
        <v>24</v>
      </c>
      <c r="D355" s="1639">
        <f>SUMIF(GEN!$G$125:$M$125,$C355,GEN!$G$122:$M$122)</f>
        <v>0</v>
      </c>
      <c r="E355" s="1573"/>
      <c r="F355" s="1574"/>
      <c r="G355" s="1572">
        <f>SUMIF(FEB!$G$125:$M$125,$C355,FEB!$G$122:$M$122)</f>
        <v>0</v>
      </c>
      <c r="H355" s="1573"/>
      <c r="I355" s="1574"/>
      <c r="J355" s="1572">
        <f>SUMIF(MAR!$G$125:$M$125,$C355,MAR!$G$122:$M$122)</f>
        <v>0</v>
      </c>
      <c r="K355" s="1573"/>
      <c r="L355" s="1574"/>
      <c r="M355" s="1572">
        <f>SUMIF(APR!$G$125:$M$125,$C355,APR!$G$122:$M$122)</f>
        <v>0</v>
      </c>
      <c r="N355" s="1573"/>
      <c r="O355" s="1574"/>
      <c r="P355" s="1572">
        <f>SUMIF(MAG!$G$125:$M$125,$C355,MAG!$G$122:$M$122)</f>
        <v>0</v>
      </c>
      <c r="Q355" s="1573"/>
      <c r="R355" s="1574"/>
      <c r="S355" s="1572">
        <f>SUMIF(GIU!$G$125:$M$125,$C355,GIU!$G$122:$M$122)</f>
        <v>0</v>
      </c>
      <c r="T355" s="1573"/>
      <c r="U355" s="1574"/>
      <c r="V355" s="1572">
        <f>SUMIF(LUG!$G$125:$M$125,$C355,LUG!$G$122:$M$122)</f>
        <v>0</v>
      </c>
      <c r="W355" s="1573"/>
      <c r="X355" s="1574"/>
      <c r="Y355" s="1572">
        <f>SUMIF(AGO!$G$125:$M$125,$C355,AGO!$G$122:$M$122)</f>
        <v>0</v>
      </c>
      <c r="Z355" s="1573"/>
      <c r="AA355" s="1574"/>
      <c r="AB355" s="1572">
        <f>SUMIF(SET!$G$125:$M$125,$C355,SET!$G$122:$M$122)</f>
        <v>0</v>
      </c>
      <c r="AC355" s="1573"/>
      <c r="AD355" s="1574"/>
      <c r="AE355" s="1572">
        <f>SUMIF(OTT!$G$125:$M$125,$C355,OTT!$G$122:$M$122)</f>
        <v>0</v>
      </c>
      <c r="AF355" s="1573"/>
      <c r="AG355" s="1574"/>
      <c r="AH355" s="1572">
        <f>SUMIF(NOV!$G$125:$M$125,$C355,NOV!$G$122:$M$122)</f>
        <v>0</v>
      </c>
      <c r="AI355" s="1573"/>
      <c r="AJ355" s="1574"/>
      <c r="AK355" s="1572">
        <f>SUMIF(DIC!$G$125:$M$125,$C355,DIC!$G$122:$M$122)</f>
        <v>0</v>
      </c>
      <c r="AL355" s="1573"/>
      <c r="AM355" s="1609"/>
      <c r="AN355" s="1573">
        <f t="shared" si="114"/>
        <v>0</v>
      </c>
      <c r="AO355" s="1573"/>
      <c r="AP355" s="1574"/>
      <c r="AQ355" s="33"/>
      <c r="AR355" s="33"/>
      <c r="AS355" s="264"/>
      <c r="AT355" s="264"/>
      <c r="AU355" s="264"/>
      <c r="AV355" s="264"/>
      <c r="AW355" s="264"/>
      <c r="AX355" s="264"/>
      <c r="AY355" s="264"/>
      <c r="AZ355" s="264"/>
      <c r="BA355" s="264"/>
      <c r="BB355" s="264"/>
      <c r="BC355" s="264"/>
      <c r="BD355" s="264"/>
      <c r="BE355" s="264"/>
      <c r="BF355" s="264"/>
      <c r="BG355" s="264"/>
      <c r="BH355" s="264"/>
      <c r="BI355" s="264"/>
      <c r="BJ355" s="264"/>
      <c r="BK355" s="264"/>
      <c r="BL355" s="264"/>
    </row>
    <row r="356" spans="1:64" ht="18" hidden="1" customHeight="1" x14ac:dyDescent="0.2">
      <c r="A356" s="1324"/>
      <c r="B356" s="1337">
        <f t="shared" si="113"/>
        <v>0</v>
      </c>
      <c r="C356" s="1326" t="str">
        <f t="shared" si="113"/>
        <v>25</v>
      </c>
      <c r="D356" s="1639">
        <f>SUMIF(GEN!$G$125:$M$125,$C356,GEN!$G$122:$M$122)</f>
        <v>0</v>
      </c>
      <c r="E356" s="1573"/>
      <c r="F356" s="1574"/>
      <c r="G356" s="1572">
        <f>SUMIF(FEB!$G$125:$M$125,$C356,FEB!$G$122:$M$122)</f>
        <v>0</v>
      </c>
      <c r="H356" s="1573"/>
      <c r="I356" s="1574"/>
      <c r="J356" s="1572">
        <f>SUMIF(MAR!$G$125:$M$125,$C356,MAR!$G$122:$M$122)</f>
        <v>0</v>
      </c>
      <c r="K356" s="1573"/>
      <c r="L356" s="1574"/>
      <c r="M356" s="1572">
        <f>SUMIF(APR!$G$125:$M$125,$C356,APR!$G$122:$M$122)</f>
        <v>0</v>
      </c>
      <c r="N356" s="1573"/>
      <c r="O356" s="1574"/>
      <c r="P356" s="1572">
        <f>SUMIF(MAG!$G$125:$M$125,$C356,MAG!$G$122:$M$122)</f>
        <v>0</v>
      </c>
      <c r="Q356" s="1573"/>
      <c r="R356" s="1574"/>
      <c r="S356" s="1572">
        <f>SUMIF(GIU!$G$125:$M$125,$C356,GIU!$G$122:$M$122)</f>
        <v>0</v>
      </c>
      <c r="T356" s="1573"/>
      <c r="U356" s="1574"/>
      <c r="V356" s="1572">
        <f>SUMIF(LUG!$G$125:$M$125,$C356,LUG!$G$122:$M$122)</f>
        <v>0</v>
      </c>
      <c r="W356" s="1573"/>
      <c r="X356" s="1574"/>
      <c r="Y356" s="1572">
        <f>SUMIF(AGO!$G$125:$M$125,$C356,AGO!$G$122:$M$122)</f>
        <v>0</v>
      </c>
      <c r="Z356" s="1573"/>
      <c r="AA356" s="1574"/>
      <c r="AB356" s="1572">
        <f>SUMIF(SET!$G$125:$M$125,$C356,SET!$G$122:$M$122)</f>
        <v>0</v>
      </c>
      <c r="AC356" s="1573"/>
      <c r="AD356" s="1574"/>
      <c r="AE356" s="1572">
        <f>SUMIF(OTT!$G$125:$M$125,$C356,OTT!$G$122:$M$122)</f>
        <v>0</v>
      </c>
      <c r="AF356" s="1573"/>
      <c r="AG356" s="1574"/>
      <c r="AH356" s="1572">
        <f>SUMIF(NOV!$G$125:$M$125,$C356,NOV!$G$122:$M$122)</f>
        <v>0</v>
      </c>
      <c r="AI356" s="1573"/>
      <c r="AJ356" s="1574"/>
      <c r="AK356" s="1572">
        <f>SUMIF(DIC!$G$125:$M$125,$C356,DIC!$G$122:$M$122)</f>
        <v>0</v>
      </c>
      <c r="AL356" s="1573"/>
      <c r="AM356" s="1609"/>
      <c r="AN356" s="1573">
        <f t="shared" si="114"/>
        <v>0</v>
      </c>
      <c r="AO356" s="1573"/>
      <c r="AP356" s="1574"/>
      <c r="AQ356" s="33"/>
      <c r="AR356" s="33"/>
      <c r="AS356" s="264"/>
      <c r="AT356" s="264"/>
      <c r="AU356" s="264"/>
      <c r="AV356" s="264"/>
      <c r="AW356" s="264"/>
      <c r="AX356" s="264"/>
      <c r="AY356" s="264"/>
      <c r="AZ356" s="264"/>
      <c r="BA356" s="264"/>
      <c r="BB356" s="264"/>
      <c r="BC356" s="264"/>
      <c r="BD356" s="264"/>
      <c r="BE356" s="264"/>
      <c r="BF356" s="264"/>
      <c r="BG356" s="264"/>
      <c r="BH356" s="264"/>
      <c r="BI356" s="264"/>
      <c r="BJ356" s="264"/>
      <c r="BK356" s="264"/>
      <c r="BL356" s="264"/>
    </row>
    <row r="357" spans="1:64" ht="18" hidden="1" customHeight="1" x14ac:dyDescent="0.2">
      <c r="A357" s="1324"/>
      <c r="B357" s="1337">
        <f t="shared" si="113"/>
        <v>0</v>
      </c>
      <c r="C357" s="1326" t="str">
        <f t="shared" si="113"/>
        <v>26</v>
      </c>
      <c r="D357" s="1639">
        <f>SUMIF(GEN!$G$125:$M$125,$C357,GEN!$G$122:$M$122)</f>
        <v>0</v>
      </c>
      <c r="E357" s="1573"/>
      <c r="F357" s="1574"/>
      <c r="G357" s="1572">
        <f>SUMIF(FEB!$G$125:$M$125,$C357,FEB!$G$122:$M$122)</f>
        <v>0</v>
      </c>
      <c r="H357" s="1573"/>
      <c r="I357" s="1574"/>
      <c r="J357" s="1572">
        <f>SUMIF(MAR!$G$125:$M$125,$C357,MAR!$G$122:$M$122)</f>
        <v>0</v>
      </c>
      <c r="K357" s="1573"/>
      <c r="L357" s="1574"/>
      <c r="M357" s="1572">
        <f>SUMIF(APR!$G$125:$M$125,$C357,APR!$G$122:$M$122)</f>
        <v>0</v>
      </c>
      <c r="N357" s="1573"/>
      <c r="O357" s="1574"/>
      <c r="P357" s="1572">
        <f>SUMIF(MAG!$G$125:$M$125,$C357,MAG!$G$122:$M$122)</f>
        <v>0</v>
      </c>
      <c r="Q357" s="1573"/>
      <c r="R357" s="1574"/>
      <c r="S357" s="1572">
        <f>SUMIF(GIU!$G$125:$M$125,$C357,GIU!$G$122:$M$122)</f>
        <v>0</v>
      </c>
      <c r="T357" s="1573"/>
      <c r="U357" s="1574"/>
      <c r="V357" s="1572">
        <f>SUMIF(LUG!$G$125:$M$125,$C357,LUG!$G$122:$M$122)</f>
        <v>0</v>
      </c>
      <c r="W357" s="1573"/>
      <c r="X357" s="1574"/>
      <c r="Y357" s="1572">
        <f>SUMIF(AGO!$G$125:$M$125,$C357,AGO!$G$122:$M$122)</f>
        <v>0</v>
      </c>
      <c r="Z357" s="1573"/>
      <c r="AA357" s="1574"/>
      <c r="AB357" s="1572">
        <f>SUMIF(SET!$G$125:$M$125,$C357,SET!$G$122:$M$122)</f>
        <v>0</v>
      </c>
      <c r="AC357" s="1573"/>
      <c r="AD357" s="1574"/>
      <c r="AE357" s="1572">
        <f>SUMIF(OTT!$G$125:$M$125,$C357,OTT!$G$122:$M$122)</f>
        <v>0</v>
      </c>
      <c r="AF357" s="1573"/>
      <c r="AG357" s="1574"/>
      <c r="AH357" s="1572">
        <f>SUMIF(NOV!$G$125:$M$125,$C357,NOV!$G$122:$M$122)</f>
        <v>0</v>
      </c>
      <c r="AI357" s="1573"/>
      <c r="AJ357" s="1574"/>
      <c r="AK357" s="1572">
        <f>SUMIF(DIC!$G$125:$M$125,$C357,DIC!$G$122:$M$122)</f>
        <v>0</v>
      </c>
      <c r="AL357" s="1573"/>
      <c r="AM357" s="1609"/>
      <c r="AN357" s="1573">
        <f t="shared" si="114"/>
        <v>0</v>
      </c>
      <c r="AO357" s="1573"/>
      <c r="AP357" s="1574"/>
      <c r="AQ357" s="33"/>
      <c r="AR357" s="33"/>
      <c r="AS357" s="264"/>
      <c r="AT357" s="264"/>
      <c r="AU357" s="264"/>
      <c r="AV357" s="264"/>
      <c r="AW357" s="264"/>
      <c r="AX357" s="264"/>
      <c r="AY357" s="264"/>
      <c r="AZ357" s="264"/>
      <c r="BA357" s="264"/>
      <c r="BB357" s="264"/>
      <c r="BC357" s="264"/>
      <c r="BD357" s="264"/>
      <c r="BE357" s="264"/>
      <c r="BF357" s="264"/>
      <c r="BG357" s="264"/>
      <c r="BH357" s="264"/>
      <c r="BI357" s="264"/>
      <c r="BJ357" s="264"/>
      <c r="BK357" s="264"/>
      <c r="BL357" s="264"/>
    </row>
    <row r="358" spans="1:64" ht="18" hidden="1" customHeight="1" x14ac:dyDescent="0.2">
      <c r="A358" s="1324"/>
      <c r="B358" s="882">
        <f t="shared" si="113"/>
        <v>0</v>
      </c>
      <c r="C358" s="687" t="str">
        <f t="shared" si="113"/>
        <v>27</v>
      </c>
      <c r="D358" s="1663">
        <f>SUMIF(GEN!$G$125:$M$125,$C358,GEN!$G$122:$M$122)</f>
        <v>0</v>
      </c>
      <c r="E358" s="1616"/>
      <c r="F358" s="1617"/>
      <c r="G358" s="1615">
        <f>SUMIF(FEB!$G$125:$M$125,$C358,FEB!$G$122:$M$122)</f>
        <v>0</v>
      </c>
      <c r="H358" s="1616"/>
      <c r="I358" s="1617"/>
      <c r="J358" s="1615">
        <f>SUMIF(MAR!$G$125:$M$125,$C358,MAR!$G$122:$M$122)</f>
        <v>0</v>
      </c>
      <c r="K358" s="1616"/>
      <c r="L358" s="1617"/>
      <c r="M358" s="1615">
        <f>SUMIF(APR!$G$125:$M$125,$C358,APR!$G$122:$M$122)</f>
        <v>0</v>
      </c>
      <c r="N358" s="1616"/>
      <c r="O358" s="1617"/>
      <c r="P358" s="1615">
        <f>SUMIF(MAG!$G$125:$M$125,$C358,MAG!$G$122:$M$122)</f>
        <v>0</v>
      </c>
      <c r="Q358" s="1616"/>
      <c r="R358" s="1617"/>
      <c r="S358" s="1615">
        <f>SUMIF(GIU!$G$125:$M$125,$C358,GIU!$G$122:$M$122)</f>
        <v>0</v>
      </c>
      <c r="T358" s="1616"/>
      <c r="U358" s="1617"/>
      <c r="V358" s="1615">
        <f>SUMIF(LUG!$G$125:$M$125,$C358,LUG!$G$122:$M$122)</f>
        <v>0</v>
      </c>
      <c r="W358" s="1616"/>
      <c r="X358" s="1617"/>
      <c r="Y358" s="1615">
        <f>SUMIF(AGO!$G$125:$M$125,$C358,AGO!$G$122:$M$122)</f>
        <v>0</v>
      </c>
      <c r="Z358" s="1616"/>
      <c r="AA358" s="1617"/>
      <c r="AB358" s="1615">
        <f>SUMIF(SET!$G$125:$M$125,$C358,SET!$G$122:$M$122)</f>
        <v>0</v>
      </c>
      <c r="AC358" s="1616"/>
      <c r="AD358" s="1617"/>
      <c r="AE358" s="1615">
        <f>SUMIF(OTT!$G$125:$M$125,$C358,OTT!$G$122:$M$122)</f>
        <v>0</v>
      </c>
      <c r="AF358" s="1616"/>
      <c r="AG358" s="1617"/>
      <c r="AH358" s="1615">
        <f>SUMIF(NOV!$G$125:$M$125,$C358,NOV!$G$122:$M$122)</f>
        <v>0</v>
      </c>
      <c r="AI358" s="1616"/>
      <c r="AJ358" s="1617"/>
      <c r="AK358" s="1615">
        <f>SUMIF(DIC!$G$125:$M$125,$C358,DIC!$G$122:$M$122)</f>
        <v>0</v>
      </c>
      <c r="AL358" s="1616"/>
      <c r="AM358" s="1618"/>
      <c r="AN358" s="1616">
        <f t="shared" si="114"/>
        <v>0</v>
      </c>
      <c r="AO358" s="1616"/>
      <c r="AP358" s="1617"/>
      <c r="AQ358" s="33"/>
      <c r="AR358" s="33"/>
      <c r="AS358" s="264"/>
      <c r="AT358" s="264"/>
      <c r="AU358" s="264"/>
      <c r="AV358" s="264"/>
      <c r="AW358" s="264"/>
      <c r="AX358" s="264"/>
      <c r="AY358" s="264"/>
      <c r="AZ358" s="264"/>
      <c r="BA358" s="264"/>
      <c r="BB358" s="264"/>
      <c r="BC358" s="264"/>
      <c r="BD358" s="264"/>
      <c r="BE358" s="264"/>
      <c r="BF358" s="264"/>
      <c r="BG358" s="264"/>
      <c r="BH358" s="264"/>
      <c r="BI358" s="264"/>
      <c r="BJ358" s="264"/>
      <c r="BK358" s="264"/>
      <c r="BL358" s="264"/>
    </row>
    <row r="359" spans="1:64" ht="18" hidden="1" customHeight="1" x14ac:dyDescent="0.2">
      <c r="A359" s="1324"/>
      <c r="B359" s="33"/>
      <c r="C359" s="1327" t="s">
        <v>540</v>
      </c>
      <c r="D359" s="1612">
        <f>SUMIF(GEN!$G$125:$M$125,$C359,GEN!$G$122:$M$122)</f>
        <v>0</v>
      </c>
      <c r="E359" s="1613"/>
      <c r="F359" s="1614"/>
      <c r="G359" s="1612">
        <f>SUMIF(FEB!$G$125:$M$125,$C359,FEB!$G$122:$M$122)</f>
        <v>0</v>
      </c>
      <c r="H359" s="1613"/>
      <c r="I359" s="1614"/>
      <c r="J359" s="1612">
        <f>SUMIF(MAR!$G$125:$M$125,$C359,MAR!$G$122:$M$122)</f>
        <v>0</v>
      </c>
      <c r="K359" s="1613"/>
      <c r="L359" s="1614"/>
      <c r="M359" s="1612">
        <f>SUMIF(APR!$G$125:$M$125,$C359,APR!$G$122:$M$122)</f>
        <v>0</v>
      </c>
      <c r="N359" s="1613"/>
      <c r="O359" s="1614"/>
      <c r="P359" s="1612">
        <f>SUMIF(MAG!$G$125:$M$125,$C359,MAG!$G$122:$M$122)</f>
        <v>0</v>
      </c>
      <c r="Q359" s="1613"/>
      <c r="R359" s="1614"/>
      <c r="S359" s="1612">
        <f>SUMIF(GIU!$G$125:$M$125,$C359,GIU!$G$122:$M$122)</f>
        <v>0</v>
      </c>
      <c r="T359" s="1613"/>
      <c r="U359" s="1614"/>
      <c r="V359" s="1612">
        <f>SUMIF(LUG!$G$125:$M$125,$C359,LUG!$G$122:$M$122)</f>
        <v>0</v>
      </c>
      <c r="W359" s="1613"/>
      <c r="X359" s="1614"/>
      <c r="Y359" s="1612">
        <f>SUMIF(AGO!$G$125:$M$125,$C359,AGO!$G$122:$M$122)</f>
        <v>0</v>
      </c>
      <c r="Z359" s="1613"/>
      <c r="AA359" s="1614"/>
      <c r="AB359" s="1612">
        <f>SUMIF(SET!$G$125:$M$125,$C359,SET!$G$122:$M$122)</f>
        <v>0</v>
      </c>
      <c r="AC359" s="1613"/>
      <c r="AD359" s="1614"/>
      <c r="AE359" s="1612">
        <f>SUMIF(OTT!$G$125:$M$125,$C359,OTT!$G$122:$M$122)</f>
        <v>0</v>
      </c>
      <c r="AF359" s="1613"/>
      <c r="AG359" s="1614"/>
      <c r="AH359" s="1612">
        <f>SUMIF(NOV!$G$125:$M$125,$C359,NOV!$G$122:$M$122)</f>
        <v>0</v>
      </c>
      <c r="AI359" s="1613"/>
      <c r="AJ359" s="1614"/>
      <c r="AK359" s="1612">
        <f>SUMIF(DIC!$G$125:$M$125,$C359,DIC!$G$122:$M$122)</f>
        <v>0</v>
      </c>
      <c r="AL359" s="1613"/>
      <c r="AM359" s="1614"/>
      <c r="AN359" s="1628">
        <f t="shared" si="114"/>
        <v>0</v>
      </c>
      <c r="AO359" s="1629"/>
      <c r="AP359" s="1630"/>
      <c r="AQ359" s="33"/>
      <c r="AR359" s="33"/>
      <c r="AS359" s="264"/>
      <c r="AT359" s="264"/>
      <c r="AU359" s="264"/>
      <c r="AV359" s="264"/>
      <c r="AW359" s="264"/>
      <c r="AX359" s="264"/>
      <c r="AY359" s="264"/>
      <c r="AZ359" s="264"/>
      <c r="BA359" s="264"/>
      <c r="BB359" s="264"/>
      <c r="BC359" s="264"/>
      <c r="BD359" s="264"/>
      <c r="BE359" s="264"/>
      <c r="BF359" s="264"/>
      <c r="BG359" s="264"/>
      <c r="BH359" s="264"/>
      <c r="BI359" s="264"/>
      <c r="BJ359" s="264"/>
      <c r="BK359" s="264"/>
      <c r="BL359" s="264"/>
    </row>
    <row r="360" spans="1:64" ht="18" hidden="1" customHeight="1" x14ac:dyDescent="0.2">
      <c r="A360" s="1324"/>
      <c r="B360" s="33"/>
      <c r="C360" s="33"/>
      <c r="D360" s="1605">
        <f>SUM(D352:F359)</f>
        <v>0</v>
      </c>
      <c r="E360" s="1606"/>
      <c r="F360" s="1607"/>
      <c r="G360" s="1605">
        <f>SUM(G352:I359)</f>
        <v>0</v>
      </c>
      <c r="H360" s="1606"/>
      <c r="I360" s="1607"/>
      <c r="J360" s="1605">
        <f>SUM(J352:L359)</f>
        <v>0</v>
      </c>
      <c r="K360" s="1606"/>
      <c r="L360" s="1607"/>
      <c r="M360" s="1605">
        <f>SUM(M352:O359)</f>
        <v>0</v>
      </c>
      <c r="N360" s="1606"/>
      <c r="O360" s="1607"/>
      <c r="P360" s="1605">
        <f>SUM(P352:R359)</f>
        <v>0</v>
      </c>
      <c r="Q360" s="1606"/>
      <c r="R360" s="1607"/>
      <c r="S360" s="1605">
        <f>SUM(S352:U359)</f>
        <v>0</v>
      </c>
      <c r="T360" s="1606"/>
      <c r="U360" s="1607"/>
      <c r="V360" s="1605">
        <f>SUM(V352:X359)</f>
        <v>0</v>
      </c>
      <c r="W360" s="1606"/>
      <c r="X360" s="1607"/>
      <c r="Y360" s="1605">
        <f>SUM(Y352:AA359)</f>
        <v>0</v>
      </c>
      <c r="Z360" s="1606"/>
      <c r="AA360" s="1607"/>
      <c r="AB360" s="1605">
        <f>SUM(AB352:AD359)</f>
        <v>0</v>
      </c>
      <c r="AC360" s="1606"/>
      <c r="AD360" s="1607"/>
      <c r="AE360" s="1605">
        <f>SUM(AE352:AG359)</f>
        <v>0</v>
      </c>
      <c r="AF360" s="1606"/>
      <c r="AG360" s="1607"/>
      <c r="AH360" s="1605">
        <f>SUM(AH352:AJ359)</f>
        <v>0</v>
      </c>
      <c r="AI360" s="1606"/>
      <c r="AJ360" s="1607"/>
      <c r="AK360" s="1605">
        <f>SUM(AK352:AM359)</f>
        <v>0</v>
      </c>
      <c r="AL360" s="1606"/>
      <c r="AM360" s="1607"/>
      <c r="AN360" s="1605">
        <f>SUM(D360:AM360)</f>
        <v>0</v>
      </c>
      <c r="AO360" s="1606"/>
      <c r="AP360" s="1607"/>
      <c r="AQ360" s="33"/>
      <c r="AR360" s="33"/>
      <c r="AS360" s="264"/>
      <c r="AT360" s="264"/>
      <c r="AU360" s="264"/>
      <c r="AV360" s="264"/>
      <c r="AW360" s="264"/>
      <c r="AX360" s="264"/>
      <c r="AY360" s="264"/>
      <c r="AZ360" s="264"/>
      <c r="BA360" s="264"/>
      <c r="BB360" s="264"/>
      <c r="BC360" s="264"/>
      <c r="BD360" s="264"/>
      <c r="BE360" s="264"/>
      <c r="BF360" s="264"/>
      <c r="BG360" s="264"/>
      <c r="BH360" s="264"/>
      <c r="BI360" s="264"/>
      <c r="BJ360" s="264"/>
      <c r="BK360" s="264"/>
      <c r="BL360" s="264"/>
    </row>
    <row r="361" spans="1:64" ht="18" hidden="1" customHeight="1" x14ac:dyDescent="0.2">
      <c r="A361" s="1324"/>
      <c r="B361" s="33"/>
      <c r="C361" s="33"/>
      <c r="D361" s="1572">
        <f>D360</f>
        <v>0</v>
      </c>
      <c r="E361" s="1573"/>
      <c r="F361" s="1574"/>
      <c r="G361" s="1572">
        <f>G360+D361</f>
        <v>0</v>
      </c>
      <c r="H361" s="1573"/>
      <c r="I361" s="1574"/>
      <c r="J361" s="1572">
        <f>J360+G361</f>
        <v>0</v>
      </c>
      <c r="K361" s="1573"/>
      <c r="L361" s="1574"/>
      <c r="M361" s="1572">
        <f>M360+J361</f>
        <v>0</v>
      </c>
      <c r="N361" s="1573"/>
      <c r="O361" s="1574"/>
      <c r="P361" s="1572">
        <f>P360+M361</f>
        <v>0</v>
      </c>
      <c r="Q361" s="1573"/>
      <c r="R361" s="1574"/>
      <c r="S361" s="1572">
        <f>S360+P361</f>
        <v>0</v>
      </c>
      <c r="T361" s="1573"/>
      <c r="U361" s="1574"/>
      <c r="V361" s="1572">
        <f>V360+S361</f>
        <v>0</v>
      </c>
      <c r="W361" s="1573"/>
      <c r="X361" s="1574"/>
      <c r="Y361" s="1572">
        <f>Y360+V361</f>
        <v>0</v>
      </c>
      <c r="Z361" s="1573"/>
      <c r="AA361" s="1574"/>
      <c r="AB361" s="1572">
        <f>AB360+Y361</f>
        <v>0</v>
      </c>
      <c r="AC361" s="1573"/>
      <c r="AD361" s="1574"/>
      <c r="AE361" s="1572">
        <f>AE360+AB361</f>
        <v>0</v>
      </c>
      <c r="AF361" s="1573"/>
      <c r="AG361" s="1574"/>
      <c r="AH361" s="1572">
        <f>AH360+AE361</f>
        <v>0</v>
      </c>
      <c r="AI361" s="1573"/>
      <c r="AJ361" s="1574"/>
      <c r="AK361" s="1572">
        <f>AK360+AH361</f>
        <v>0</v>
      </c>
      <c r="AL361" s="1573"/>
      <c r="AM361" s="1574"/>
      <c r="AN361" s="33"/>
      <c r="AO361" s="33"/>
      <c r="AP361" s="33"/>
      <c r="AQ361" s="33"/>
      <c r="AR361" s="33"/>
      <c r="AS361" s="264"/>
      <c r="AT361" s="264"/>
      <c r="AU361" s="264"/>
      <c r="AV361" s="264"/>
      <c r="AW361" s="264"/>
      <c r="AX361" s="264"/>
      <c r="AY361" s="264"/>
      <c r="AZ361" s="264"/>
      <c r="BA361" s="264"/>
      <c r="BB361" s="264"/>
      <c r="BC361" s="264"/>
      <c r="BD361" s="264"/>
      <c r="BE361" s="264"/>
      <c r="BF361" s="264"/>
      <c r="BG361" s="264"/>
      <c r="BH361" s="264"/>
      <c r="BI361" s="264"/>
      <c r="BJ361" s="264"/>
      <c r="BK361" s="264"/>
      <c r="BL361" s="264"/>
    </row>
    <row r="362" spans="1:64" ht="18" hidden="1" customHeight="1" x14ac:dyDescent="0.2">
      <c r="A362" s="1324"/>
      <c r="B362" s="33"/>
      <c r="C362" s="33"/>
      <c r="D362" s="33"/>
      <c r="E362" s="33"/>
      <c r="F362" s="33"/>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324"/>
      <c r="AD362" s="1324"/>
      <c r="AE362" s="1324"/>
      <c r="AF362" s="1324"/>
      <c r="AG362" s="1324"/>
      <c r="AH362" s="1324"/>
      <c r="AI362" s="1324"/>
      <c r="AJ362" s="1324"/>
      <c r="AK362" s="1324"/>
      <c r="AL362" s="1324"/>
      <c r="AM362" s="1324"/>
      <c r="AN362" s="33"/>
      <c r="AO362" s="33"/>
      <c r="AP362" s="33"/>
      <c r="AQ362" s="33"/>
      <c r="AR362" s="33"/>
      <c r="AS362" s="264"/>
      <c r="AT362" s="264"/>
      <c r="AU362" s="264"/>
      <c r="AV362" s="264"/>
      <c r="AW362" s="264"/>
      <c r="AX362" s="264"/>
      <c r="AY362" s="264"/>
      <c r="AZ362" s="264"/>
      <c r="BA362" s="264"/>
      <c r="BB362" s="264"/>
      <c r="BC362" s="264"/>
      <c r="BD362" s="264"/>
      <c r="BE362" s="264"/>
      <c r="BF362" s="264"/>
      <c r="BG362" s="264"/>
      <c r="BH362" s="264"/>
      <c r="BI362" s="264"/>
      <c r="BJ362" s="264"/>
      <c r="BK362" s="264"/>
      <c r="BL362" s="264"/>
    </row>
    <row r="363" spans="1:64" s="633" customFormat="1" ht="6.75" hidden="1" customHeight="1" x14ac:dyDescent="0.2">
      <c r="A363" s="681"/>
      <c r="B363" s="681"/>
      <c r="C363" s="681"/>
      <c r="D363" s="681"/>
      <c r="E363" s="681"/>
      <c r="F363" s="681"/>
      <c r="G363" s="681"/>
      <c r="H363" s="681"/>
      <c r="I363" s="681"/>
      <c r="J363" s="681"/>
      <c r="K363" s="681"/>
      <c r="L363" s="681"/>
      <c r="M363" s="681"/>
      <c r="N363" s="681"/>
      <c r="O363" s="681"/>
      <c r="P363" s="681"/>
      <c r="Q363" s="681"/>
      <c r="R363" s="681"/>
      <c r="S363" s="681"/>
      <c r="T363" s="681"/>
      <c r="U363" s="681"/>
      <c r="V363" s="681"/>
      <c r="W363" s="681"/>
      <c r="X363" s="681"/>
      <c r="Y363" s="681"/>
      <c r="Z363" s="681"/>
      <c r="AA363" s="681"/>
      <c r="AB363" s="681"/>
      <c r="AC363" s="681"/>
      <c r="AD363" s="681"/>
      <c r="AE363" s="681"/>
      <c r="AF363" s="681"/>
      <c r="AG363" s="681"/>
      <c r="AH363" s="681"/>
      <c r="AI363" s="681"/>
      <c r="AJ363" s="681"/>
      <c r="AK363" s="681"/>
      <c r="AL363" s="681"/>
      <c r="AM363" s="681"/>
      <c r="AN363" s="681"/>
      <c r="AO363" s="681"/>
      <c r="AP363" s="681"/>
      <c r="AQ363" s="681"/>
      <c r="AR363" s="681"/>
      <c r="AS363" s="264"/>
      <c r="AT363" s="264"/>
      <c r="AU363" s="264"/>
      <c r="AV363" s="264"/>
      <c r="AW363" s="264"/>
      <c r="AX363" s="681"/>
      <c r="AY363" s="681"/>
      <c r="AZ363" s="681"/>
      <c r="BA363" s="681"/>
      <c r="BB363" s="681"/>
      <c r="BC363" s="681"/>
      <c r="BD363" s="681"/>
      <c r="BE363" s="681"/>
      <c r="BF363" s="681"/>
      <c r="BG363" s="681"/>
      <c r="BH363" s="681"/>
      <c r="BI363" s="681"/>
      <c r="BJ363" s="681"/>
      <c r="BK363" s="681"/>
    </row>
    <row r="364" spans="1:64" s="633" customFormat="1" ht="6.75" hidden="1" customHeight="1" x14ac:dyDescent="0.2">
      <c r="A364" s="681"/>
      <c r="B364" s="681"/>
      <c r="C364" s="681"/>
      <c r="D364" s="681"/>
      <c r="E364" s="681"/>
      <c r="F364" s="681"/>
      <c r="G364" s="681"/>
      <c r="H364" s="681"/>
      <c r="I364" s="681"/>
      <c r="J364" s="681"/>
      <c r="K364" s="681"/>
      <c r="L364" s="681"/>
      <c r="M364" s="681"/>
      <c r="N364" s="681"/>
      <c r="O364" s="681"/>
      <c r="P364" s="681"/>
      <c r="Q364" s="681"/>
      <c r="R364" s="681"/>
      <c r="S364" s="681"/>
      <c r="T364" s="681"/>
      <c r="U364" s="681"/>
      <c r="V364" s="681"/>
      <c r="W364" s="681"/>
      <c r="X364" s="681"/>
      <c r="Y364" s="681"/>
      <c r="Z364" s="681"/>
      <c r="AA364" s="681"/>
      <c r="AB364" s="681"/>
      <c r="AC364" s="681"/>
      <c r="AD364" s="681"/>
      <c r="AE364" s="681"/>
      <c r="AF364" s="681"/>
      <c r="AG364" s="681"/>
      <c r="AH364" s="681"/>
      <c r="AI364" s="681"/>
      <c r="AJ364" s="681"/>
      <c r="AK364" s="681"/>
      <c r="AL364" s="681"/>
      <c r="AM364" s="681"/>
      <c r="AN364" s="681"/>
      <c r="AO364" s="681"/>
      <c r="AP364" s="681"/>
      <c r="AQ364" s="681"/>
      <c r="AR364" s="681"/>
      <c r="AS364" s="264"/>
      <c r="AT364" s="264"/>
      <c r="AU364" s="264"/>
      <c r="AV364" s="264"/>
      <c r="AW364" s="264"/>
      <c r="AX364" s="681"/>
      <c r="AY364" s="681"/>
      <c r="AZ364" s="681"/>
      <c r="BA364" s="681"/>
      <c r="BB364" s="681"/>
      <c r="BC364" s="681"/>
      <c r="BD364" s="681"/>
      <c r="BE364" s="681"/>
      <c r="BF364" s="681"/>
      <c r="BG364" s="681"/>
      <c r="BH364" s="681"/>
      <c r="BI364" s="681"/>
      <c r="BJ364" s="681"/>
      <c r="BK364" s="681"/>
    </row>
    <row r="365" spans="1:64" ht="18" hidden="1" customHeight="1" x14ac:dyDescent="0.2">
      <c r="A365" s="1324"/>
      <c r="B365" s="33"/>
      <c r="C365" s="33"/>
      <c r="D365" s="33"/>
      <c r="E365" s="33"/>
      <c r="F365" s="33"/>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324"/>
      <c r="AD365" s="1324"/>
      <c r="AE365" s="1324"/>
      <c r="AF365" s="1324"/>
      <c r="AG365" s="1324"/>
      <c r="AH365" s="1324"/>
      <c r="AI365" s="1324"/>
      <c r="AJ365" s="1324"/>
      <c r="AK365" s="1324"/>
      <c r="AL365" s="1324"/>
      <c r="AM365" s="1324"/>
      <c r="AN365" s="33"/>
      <c r="AO365" s="33"/>
      <c r="AP365" s="33"/>
      <c r="AQ365" s="33"/>
      <c r="AR365" s="33"/>
      <c r="AS365" s="33"/>
      <c r="AT365" s="33"/>
      <c r="AU365" s="33"/>
      <c r="AV365" s="33"/>
      <c r="AW365" s="264"/>
      <c r="AX365" s="264"/>
      <c r="AY365" s="264"/>
      <c r="AZ365" s="264"/>
      <c r="BA365" s="264"/>
      <c r="BB365" s="264"/>
      <c r="BC365" s="264"/>
      <c r="BD365" s="264"/>
      <c r="BE365" s="264"/>
      <c r="BF365" s="264"/>
      <c r="BG365" s="264"/>
      <c r="BH365" s="264"/>
      <c r="BI365" s="264"/>
      <c r="BJ365" s="264"/>
      <c r="BK365" s="264"/>
      <c r="BL365" s="264"/>
    </row>
    <row r="366" spans="1:64" ht="18" hidden="1" customHeight="1" x14ac:dyDescent="0.2">
      <c r="A366" s="1324"/>
      <c r="B366" s="1655" t="s">
        <v>537</v>
      </c>
      <c r="C366" s="1656"/>
      <c r="D366" s="1610" t="str">
        <f>D351</f>
        <v>Gennaio</v>
      </c>
      <c r="E366" s="1611"/>
      <c r="F366" s="1611"/>
      <c r="G366" s="1610" t="str">
        <f t="shared" ref="G366" si="115">G351</f>
        <v>Febbraio</v>
      </c>
      <c r="H366" s="1611"/>
      <c r="I366" s="1611"/>
      <c r="J366" s="1610" t="str">
        <f t="shared" ref="J366" si="116">J351</f>
        <v>Marzo</v>
      </c>
      <c r="K366" s="1611"/>
      <c r="L366" s="1611"/>
      <c r="M366" s="1610" t="str">
        <f t="shared" ref="M366" si="117">M351</f>
        <v>Aprile</v>
      </c>
      <c r="N366" s="1611"/>
      <c r="O366" s="1611"/>
      <c r="P366" s="1610" t="str">
        <f t="shared" ref="P366" si="118">P351</f>
        <v>Maggio</v>
      </c>
      <c r="Q366" s="1611"/>
      <c r="R366" s="1611"/>
      <c r="S366" s="1610" t="str">
        <f t="shared" ref="S366" si="119">S351</f>
        <v>Giugno</v>
      </c>
      <c r="T366" s="1611"/>
      <c r="U366" s="1611"/>
      <c r="V366" s="1610" t="str">
        <f t="shared" ref="V366" si="120">V351</f>
        <v>Luglio</v>
      </c>
      <c r="W366" s="1611"/>
      <c r="X366" s="1611"/>
      <c r="Y366" s="1610" t="str">
        <f t="shared" ref="Y366" si="121">Y351</f>
        <v>Agosto</v>
      </c>
      <c r="Z366" s="1611"/>
      <c r="AA366" s="1611"/>
      <c r="AB366" s="1610" t="str">
        <f t="shared" ref="AB366" si="122">AB351</f>
        <v>Settembre</v>
      </c>
      <c r="AC366" s="1611"/>
      <c r="AD366" s="1611"/>
      <c r="AE366" s="1610" t="str">
        <f t="shared" ref="AE366" si="123">AE351</f>
        <v>Ottobre</v>
      </c>
      <c r="AF366" s="1611"/>
      <c r="AG366" s="1611"/>
      <c r="AH366" s="1610" t="str">
        <f t="shared" ref="AH366" si="124">AH351</f>
        <v>Novembre</v>
      </c>
      <c r="AI366" s="1611"/>
      <c r="AJ366" s="1611"/>
      <c r="AK366" s="1610" t="str">
        <f t="shared" ref="AK366" si="125">AK351</f>
        <v>Dicembre</v>
      </c>
      <c r="AL366" s="1611"/>
      <c r="AM366" s="1667"/>
      <c r="AN366" s="33"/>
      <c r="AO366" s="33"/>
      <c r="AP366" s="33"/>
      <c r="AQ366" s="33"/>
      <c r="AR366" s="33"/>
      <c r="AS366" s="33"/>
      <c r="AT366" s="33"/>
      <c r="AU366" s="33"/>
      <c r="AV366" s="33"/>
      <c r="AW366" s="264"/>
      <c r="AX366" s="264"/>
      <c r="AY366" s="264"/>
      <c r="AZ366" s="264"/>
      <c r="BA366" s="264"/>
      <c r="BB366" s="264"/>
      <c r="BC366" s="264"/>
      <c r="BD366" s="264"/>
      <c r="BE366" s="264"/>
      <c r="BF366" s="264"/>
      <c r="BG366" s="264"/>
      <c r="BH366" s="264"/>
      <c r="BI366" s="264"/>
      <c r="BJ366" s="264"/>
      <c r="BK366" s="264"/>
      <c r="BL366" s="264"/>
    </row>
    <row r="367" spans="1:64" ht="18" hidden="1" customHeight="1" x14ac:dyDescent="0.2">
      <c r="A367" s="685" t="str">
        <f>LEFT(B230,2)</f>
        <v/>
      </c>
      <c r="B367" s="1327">
        <f>IF(AN367=0,0,1)</f>
        <v>0</v>
      </c>
      <c r="C367" s="1326" t="str">
        <f t="shared" ref="C367:C376" si="126">B8</f>
        <v>01</v>
      </c>
      <c r="D367" s="1647">
        <f>SUMIF(GEN!$G$126:$M$126,$C367,GEN!$G$46:$M$46)</f>
        <v>0</v>
      </c>
      <c r="E367" s="1626"/>
      <c r="F367" s="1627"/>
      <c r="G367" s="1625">
        <f>SUMIF(FEB!$G$126:$M$126,$C367,FEB!$G$46:$M$46)</f>
        <v>0</v>
      </c>
      <c r="H367" s="1626"/>
      <c r="I367" s="1627"/>
      <c r="J367" s="1625">
        <f>SUMIF(MAR!$G$126:$M$126,$C367,MAR!$G$46:$M$46)</f>
        <v>0</v>
      </c>
      <c r="K367" s="1626"/>
      <c r="L367" s="1627"/>
      <c r="M367" s="1625">
        <f>SUMIF(APR!$G$126:$M$126,$C367,APR!$G$46:$M$46)</f>
        <v>0</v>
      </c>
      <c r="N367" s="1626"/>
      <c r="O367" s="1627"/>
      <c r="P367" s="1625">
        <f>SUMIF(MAG!$G$126:$M$126,$C367,MAG!$G$46:$M$46)</f>
        <v>0</v>
      </c>
      <c r="Q367" s="1626"/>
      <c r="R367" s="1627"/>
      <c r="S367" s="1625">
        <f>SUMIF(GIU!$G$126:$M$126,$C367,GIU!$G$46:$M$46)</f>
        <v>0</v>
      </c>
      <c r="T367" s="1626"/>
      <c r="U367" s="1627"/>
      <c r="V367" s="1625">
        <f>SUMIF(LUG!$G$126:$M$126,$C367,LUG!$G$46:$M$46)</f>
        <v>0</v>
      </c>
      <c r="W367" s="1626"/>
      <c r="X367" s="1627"/>
      <c r="Y367" s="1625">
        <f>SUMIF(AGO!$G$126:$M$126,$C367,AGO!$G$46:$M$46)</f>
        <v>0</v>
      </c>
      <c r="Z367" s="1626"/>
      <c r="AA367" s="1627"/>
      <c r="AB367" s="1625">
        <f>SUMIF(SET!$G$126:$M$126,$C367,SET!$G$46:$M$46)</f>
        <v>0</v>
      </c>
      <c r="AC367" s="1626"/>
      <c r="AD367" s="1627"/>
      <c r="AE367" s="1625">
        <f>SUMIF(OTT!$G$126:$M$126,$C367,OTT!$G$46:$M$46)</f>
        <v>0</v>
      </c>
      <c r="AF367" s="1626"/>
      <c r="AG367" s="1627"/>
      <c r="AH367" s="1625">
        <f>SUMIF(NOV!$G$126:$M$126,$C367,NOV!$G$46:$M$46)</f>
        <v>0</v>
      </c>
      <c r="AI367" s="1626"/>
      <c r="AJ367" s="1627"/>
      <c r="AK367" s="1625">
        <f>SUMIF(DIC!$G$126:$M$126,$C367,DIC!$G$46:$M$46)</f>
        <v>0</v>
      </c>
      <c r="AL367" s="1626"/>
      <c r="AM367" s="1631"/>
      <c r="AN367" s="1573">
        <f>SUM(D367:AM367)</f>
        <v>0</v>
      </c>
      <c r="AO367" s="1573"/>
      <c r="AP367" s="1573"/>
      <c r="AQ367" s="1660" t="str">
        <f t="shared" ref="AQ367:AQ376" si="127">K8</f>
        <v>Conto # 1</v>
      </c>
      <c r="AR367" s="1661"/>
      <c r="AS367" s="1661"/>
      <c r="AT367" s="1662"/>
      <c r="AU367" s="33"/>
      <c r="AV367" s="33"/>
      <c r="AW367" s="264"/>
      <c r="AX367" s="264"/>
      <c r="AY367" s="264"/>
      <c r="AZ367" s="264"/>
      <c r="BA367" s="264"/>
      <c r="BB367" s="264"/>
      <c r="BC367" s="264"/>
      <c r="BD367" s="264"/>
      <c r="BE367" s="264"/>
      <c r="BF367" s="264"/>
      <c r="BG367" s="264"/>
      <c r="BH367" s="264"/>
      <c r="BI367" s="264"/>
      <c r="BJ367" s="264"/>
      <c r="BK367" s="264"/>
      <c r="BL367" s="264"/>
    </row>
    <row r="368" spans="1:64" ht="18" hidden="1" customHeight="1" x14ac:dyDescent="0.2">
      <c r="A368" s="686" t="str">
        <f>LEFT(B233,2)</f>
        <v/>
      </c>
      <c r="B368" s="1337">
        <f>IF(AN368=0,0,COUNTIF(B$367:B367,"&gt;0")+1)</f>
        <v>0</v>
      </c>
      <c r="C368" s="1326" t="str">
        <f t="shared" si="126"/>
        <v>02</v>
      </c>
      <c r="D368" s="1639">
        <f>SUMIF(GEN!$G$126:$M$126,$C368,GEN!$G$46:$M$46)</f>
        <v>0</v>
      </c>
      <c r="E368" s="1573"/>
      <c r="F368" s="1574"/>
      <c r="G368" s="1572">
        <f>SUMIF(FEB!$G$126:$M$126,$C368,FEB!$G$46:$M$46)</f>
        <v>0</v>
      </c>
      <c r="H368" s="1573"/>
      <c r="I368" s="1574"/>
      <c r="J368" s="1572">
        <f>SUMIF(MAR!$G$126:$M$126,$C368,MAR!$G$46:$M$46)</f>
        <v>0</v>
      </c>
      <c r="K368" s="1573"/>
      <c r="L368" s="1574"/>
      <c r="M368" s="1572">
        <f>SUMIF(APR!$G$126:$M$126,$C368,APR!$G$46:$M$46)</f>
        <v>0</v>
      </c>
      <c r="N368" s="1573"/>
      <c r="O368" s="1574"/>
      <c r="P368" s="1572">
        <f>SUMIF(MAG!$G$126:$M$126,$C368,MAG!$G$46:$M$46)</f>
        <v>0</v>
      </c>
      <c r="Q368" s="1573"/>
      <c r="R368" s="1574"/>
      <c r="S368" s="1572">
        <f>SUMIF(GIU!$G$126:$M$126,$C368,GIU!$G$46:$M$46)</f>
        <v>0</v>
      </c>
      <c r="T368" s="1573"/>
      <c r="U368" s="1574"/>
      <c r="V368" s="1572">
        <f>SUMIF(LUG!$G$126:$M$126,$C368,LUG!$G$46:$M$46)</f>
        <v>0</v>
      </c>
      <c r="W368" s="1573"/>
      <c r="X368" s="1574"/>
      <c r="Y368" s="1572">
        <f>SUMIF(AGO!$G$126:$M$126,$C368,AGO!$G$46:$M$46)</f>
        <v>0</v>
      </c>
      <c r="Z368" s="1573"/>
      <c r="AA368" s="1574"/>
      <c r="AB368" s="1572">
        <f>SUMIF(SET!$G$126:$M$126,$C368,SET!$G$46:$M$46)</f>
        <v>0</v>
      </c>
      <c r="AC368" s="1573"/>
      <c r="AD368" s="1574"/>
      <c r="AE368" s="1572">
        <f>SUMIF(OTT!$G$126:$M$126,$C368,OTT!$G$46:$M$46)</f>
        <v>0</v>
      </c>
      <c r="AF368" s="1573"/>
      <c r="AG368" s="1574"/>
      <c r="AH368" s="1572">
        <f>SUMIF(NOV!$G$126:$M$126,$C368,NOV!$G$46:$M$46)</f>
        <v>0</v>
      </c>
      <c r="AI368" s="1573"/>
      <c r="AJ368" s="1574"/>
      <c r="AK368" s="1572">
        <f>SUMIF(DIC!$G$126:$M$126,$C368,DIC!$G$46:$M$46)</f>
        <v>0</v>
      </c>
      <c r="AL368" s="1573"/>
      <c r="AM368" s="1609"/>
      <c r="AN368" s="1573">
        <f t="shared" ref="AN368:AN374" si="128">SUM(D368:AM368)</f>
        <v>0</v>
      </c>
      <c r="AO368" s="1573"/>
      <c r="AP368" s="1573"/>
      <c r="AQ368" s="1660" t="str">
        <f t="shared" si="127"/>
        <v>Conto # 2</v>
      </c>
      <c r="AR368" s="1661"/>
      <c r="AS368" s="1661"/>
      <c r="AT368" s="1662"/>
      <c r="AU368" s="33"/>
      <c r="AV368" s="33"/>
      <c r="AW368" s="264"/>
      <c r="AX368" s="264"/>
      <c r="AY368" s="264"/>
      <c r="AZ368" s="264"/>
      <c r="BA368" s="264"/>
      <c r="BB368" s="264"/>
      <c r="BC368" s="264"/>
      <c r="BD368" s="264"/>
      <c r="BE368" s="264"/>
      <c r="BF368" s="264"/>
      <c r="BG368" s="264"/>
      <c r="BH368" s="264"/>
      <c r="BI368" s="264"/>
      <c r="BJ368" s="264"/>
      <c r="BK368" s="264"/>
      <c r="BL368" s="264"/>
    </row>
    <row r="369" spans="1:64" ht="18" hidden="1" customHeight="1" x14ac:dyDescent="0.2">
      <c r="A369" s="686" t="str">
        <f>LEFT(B236,2)</f>
        <v/>
      </c>
      <c r="B369" s="1337">
        <f>IF(AN369=0,0,COUNTIF(B$367:B368,"&gt;0")+1)</f>
        <v>0</v>
      </c>
      <c r="C369" s="1326" t="str">
        <f t="shared" si="126"/>
        <v>03</v>
      </c>
      <c r="D369" s="1639">
        <f>SUMIF(GEN!$G$126:$M$126,$C369,GEN!$G$46:$M$46)</f>
        <v>0</v>
      </c>
      <c r="E369" s="1573"/>
      <c r="F369" s="1574"/>
      <c r="G369" s="1572">
        <f>SUMIF(FEB!$G$126:$M$126,$C369,FEB!$G$46:$M$46)</f>
        <v>0</v>
      </c>
      <c r="H369" s="1573"/>
      <c r="I369" s="1574"/>
      <c r="J369" s="1572">
        <f>SUMIF(MAR!$G$126:$M$126,$C369,MAR!$G$46:$M$46)</f>
        <v>0</v>
      </c>
      <c r="K369" s="1573"/>
      <c r="L369" s="1574"/>
      <c r="M369" s="1572">
        <f>SUMIF(APR!$G$126:$M$126,$C369,APR!$G$46:$M$46)</f>
        <v>0</v>
      </c>
      <c r="N369" s="1573"/>
      <c r="O369" s="1574"/>
      <c r="P369" s="1572">
        <f>SUMIF(MAG!$G$126:$M$126,$C369,MAG!$G$46:$M$46)</f>
        <v>0</v>
      </c>
      <c r="Q369" s="1573"/>
      <c r="R369" s="1574"/>
      <c r="S369" s="1572">
        <f>SUMIF(GIU!$G$126:$M$126,$C369,GIU!$G$46:$M$46)</f>
        <v>0</v>
      </c>
      <c r="T369" s="1573"/>
      <c r="U369" s="1574"/>
      <c r="V369" s="1572">
        <f>SUMIF(LUG!$G$126:$M$126,$C369,LUG!$G$46:$M$46)</f>
        <v>0</v>
      </c>
      <c r="W369" s="1573"/>
      <c r="X369" s="1574"/>
      <c r="Y369" s="1572">
        <f>SUMIF(AGO!$G$126:$M$126,$C369,AGO!$G$46:$M$46)</f>
        <v>0</v>
      </c>
      <c r="Z369" s="1573"/>
      <c r="AA369" s="1574"/>
      <c r="AB369" s="1572">
        <f>SUMIF(SET!$G$126:$M$126,$C369,SET!$G$46:$M$46)</f>
        <v>0</v>
      </c>
      <c r="AC369" s="1573"/>
      <c r="AD369" s="1574"/>
      <c r="AE369" s="1572">
        <f>SUMIF(OTT!$G$126:$M$126,$C369,OTT!$G$46:$M$46)</f>
        <v>0</v>
      </c>
      <c r="AF369" s="1573"/>
      <c r="AG369" s="1574"/>
      <c r="AH369" s="1572">
        <f>SUMIF(NOV!$G$126:$M$126,$C369,NOV!$G$46:$M$46)</f>
        <v>0</v>
      </c>
      <c r="AI369" s="1573"/>
      <c r="AJ369" s="1574"/>
      <c r="AK369" s="1572">
        <f>SUMIF(DIC!$G$126:$M$126,$C369,DIC!$G$46:$M$46)</f>
        <v>0</v>
      </c>
      <c r="AL369" s="1573"/>
      <c r="AM369" s="1609"/>
      <c r="AN369" s="1573">
        <f t="shared" si="128"/>
        <v>0</v>
      </c>
      <c r="AO369" s="1573"/>
      <c r="AP369" s="1573"/>
      <c r="AQ369" s="1660" t="str">
        <f t="shared" si="127"/>
        <v>Conto # 3</v>
      </c>
      <c r="AR369" s="1661"/>
      <c r="AS369" s="1661"/>
      <c r="AT369" s="1662"/>
      <c r="AU369" s="33"/>
      <c r="AV369" s="33"/>
      <c r="AW369" s="264"/>
      <c r="AX369" s="264"/>
      <c r="AY369" s="264"/>
      <c r="AZ369" s="264"/>
      <c r="BA369" s="264"/>
      <c r="BB369" s="264"/>
      <c r="BC369" s="264"/>
      <c r="BD369" s="264"/>
      <c r="BE369" s="264"/>
      <c r="BF369" s="264"/>
      <c r="BG369" s="264"/>
      <c r="BH369" s="264"/>
      <c r="BI369" s="264"/>
      <c r="BJ369" s="264"/>
      <c r="BK369" s="264"/>
      <c r="BL369" s="264"/>
    </row>
    <row r="370" spans="1:64" ht="18" hidden="1" customHeight="1" x14ac:dyDescent="0.2">
      <c r="A370" s="686" t="str">
        <f>LEFT(B239,2)</f>
        <v/>
      </c>
      <c r="B370" s="1337">
        <f>IF(AN370=0,0,COUNTIF(B$367:B369,"&gt;0")+1)</f>
        <v>0</v>
      </c>
      <c r="C370" s="1326" t="str">
        <f t="shared" si="126"/>
        <v>04</v>
      </c>
      <c r="D370" s="1639">
        <f>SUMIF(GEN!$G$126:$M$126,$C370,GEN!$G$46:$M$46)</f>
        <v>0</v>
      </c>
      <c r="E370" s="1573"/>
      <c r="F370" s="1574"/>
      <c r="G370" s="1572">
        <f>SUMIF(FEB!$G$126:$M$126,$C370,FEB!$G$46:$M$46)</f>
        <v>0</v>
      </c>
      <c r="H370" s="1573"/>
      <c r="I370" s="1574"/>
      <c r="J370" s="1572">
        <f>SUMIF(MAR!$G$126:$M$126,$C370,MAR!$G$46:$M$46)</f>
        <v>0</v>
      </c>
      <c r="K370" s="1573"/>
      <c r="L370" s="1574"/>
      <c r="M370" s="1572">
        <f>SUMIF(APR!$G$126:$M$126,$C370,APR!$G$46:$M$46)</f>
        <v>0</v>
      </c>
      <c r="N370" s="1573"/>
      <c r="O370" s="1574"/>
      <c r="P370" s="1572">
        <f>SUMIF(MAG!$G$126:$M$126,$C370,MAG!$G$46:$M$46)</f>
        <v>0</v>
      </c>
      <c r="Q370" s="1573"/>
      <c r="R370" s="1574"/>
      <c r="S370" s="1572">
        <f>SUMIF(GIU!$G$126:$M$126,$C370,GIU!$G$46:$M$46)</f>
        <v>0</v>
      </c>
      <c r="T370" s="1573"/>
      <c r="U370" s="1574"/>
      <c r="V370" s="1572">
        <f>SUMIF(LUG!$G$126:$M$126,$C370,LUG!$G$46:$M$46)</f>
        <v>0</v>
      </c>
      <c r="W370" s="1573"/>
      <c r="X370" s="1574"/>
      <c r="Y370" s="1572">
        <f>SUMIF(AGO!$G$126:$M$126,$C370,AGO!$G$46:$M$46)</f>
        <v>0</v>
      </c>
      <c r="Z370" s="1573"/>
      <c r="AA370" s="1574"/>
      <c r="AB370" s="1572">
        <f>SUMIF(SET!$G$126:$M$126,$C370,SET!$G$46:$M$46)</f>
        <v>0</v>
      </c>
      <c r="AC370" s="1573"/>
      <c r="AD370" s="1574"/>
      <c r="AE370" s="1572">
        <f>SUMIF(OTT!$G$126:$M$126,$C370,OTT!$G$46:$M$46)</f>
        <v>0</v>
      </c>
      <c r="AF370" s="1573"/>
      <c r="AG370" s="1574"/>
      <c r="AH370" s="1572">
        <f>SUMIF(NOV!$G$126:$M$126,$C370,NOV!$G$46:$M$46)</f>
        <v>0</v>
      </c>
      <c r="AI370" s="1573"/>
      <c r="AJ370" s="1574"/>
      <c r="AK370" s="1572">
        <f>SUMIF(DIC!$G$126:$M$126,$C370,DIC!$G$46:$M$46)</f>
        <v>0</v>
      </c>
      <c r="AL370" s="1573"/>
      <c r="AM370" s="1609"/>
      <c r="AN370" s="1573">
        <f t="shared" si="128"/>
        <v>0</v>
      </c>
      <c r="AO370" s="1573"/>
      <c r="AP370" s="1573"/>
      <c r="AQ370" s="1660" t="str">
        <f t="shared" si="127"/>
        <v>Conto # 4</v>
      </c>
      <c r="AR370" s="1661"/>
      <c r="AS370" s="1661"/>
      <c r="AT370" s="1662"/>
      <c r="AU370" s="33"/>
      <c r="AV370" s="33"/>
      <c r="AW370" s="264"/>
      <c r="AX370" s="264"/>
      <c r="AY370" s="264"/>
      <c r="AZ370" s="264"/>
      <c r="BA370" s="264"/>
      <c r="BB370" s="264"/>
      <c r="BC370" s="264"/>
      <c r="BD370" s="264"/>
      <c r="BE370" s="264"/>
      <c r="BF370" s="264"/>
      <c r="BG370" s="264"/>
      <c r="BH370" s="264"/>
      <c r="BI370" s="264"/>
      <c r="BJ370" s="264"/>
      <c r="BK370" s="264"/>
      <c r="BL370" s="264"/>
    </row>
    <row r="371" spans="1:64" ht="18" hidden="1" customHeight="1" x14ac:dyDescent="0.2">
      <c r="A371" s="686" t="str">
        <f>LEFT(B242,2)</f>
        <v/>
      </c>
      <c r="B371" s="1337">
        <f>IF(AN371=0,0,COUNTIF(B$367:B370,"&gt;0")+1)</f>
        <v>0</v>
      </c>
      <c r="C371" s="1326" t="str">
        <f t="shared" si="126"/>
        <v>05</v>
      </c>
      <c r="D371" s="1639">
        <f>SUMIF(GEN!$G$126:$M$126,$C371,GEN!$G$46:$M$46)</f>
        <v>0</v>
      </c>
      <c r="E371" s="1573"/>
      <c r="F371" s="1574"/>
      <c r="G371" s="1572">
        <f>SUMIF(FEB!$G$126:$M$126,$C371,FEB!$G$46:$M$46)</f>
        <v>0</v>
      </c>
      <c r="H371" s="1573"/>
      <c r="I371" s="1574"/>
      <c r="J371" s="1572">
        <f>SUMIF(MAR!$G$126:$M$126,$C371,MAR!$G$46:$M$46)</f>
        <v>0</v>
      </c>
      <c r="K371" s="1573"/>
      <c r="L371" s="1574"/>
      <c r="M371" s="1572">
        <f>SUMIF(APR!$G$126:$M$126,$C371,APR!$G$46:$M$46)</f>
        <v>0</v>
      </c>
      <c r="N371" s="1573"/>
      <c r="O371" s="1574"/>
      <c r="P371" s="1572">
        <f>SUMIF(MAG!$G$126:$M$126,$C371,MAG!$G$46:$M$46)</f>
        <v>0</v>
      </c>
      <c r="Q371" s="1573"/>
      <c r="R371" s="1574"/>
      <c r="S371" s="1572">
        <f>SUMIF(GIU!$G$126:$M$126,$C371,GIU!$G$46:$M$46)</f>
        <v>0</v>
      </c>
      <c r="T371" s="1573"/>
      <c r="U371" s="1574"/>
      <c r="V371" s="1572">
        <f>SUMIF(LUG!$G$126:$M$126,$C371,LUG!$G$46:$M$46)</f>
        <v>0</v>
      </c>
      <c r="W371" s="1573"/>
      <c r="X371" s="1574"/>
      <c r="Y371" s="1572">
        <f>SUMIF(AGO!$G$126:$M$126,$C371,AGO!$G$46:$M$46)</f>
        <v>0</v>
      </c>
      <c r="Z371" s="1573"/>
      <c r="AA371" s="1574"/>
      <c r="AB371" s="1572">
        <f>SUMIF(SET!$G$126:$M$126,$C371,SET!$G$46:$M$46)</f>
        <v>0</v>
      </c>
      <c r="AC371" s="1573"/>
      <c r="AD371" s="1574"/>
      <c r="AE371" s="1572">
        <f>SUMIF(OTT!$G$126:$M$126,$C371,OTT!$G$46:$M$46)</f>
        <v>0</v>
      </c>
      <c r="AF371" s="1573"/>
      <c r="AG371" s="1574"/>
      <c r="AH371" s="1572">
        <f>SUMIF(NOV!$G$126:$M$126,$C371,NOV!$G$46:$M$46)</f>
        <v>0</v>
      </c>
      <c r="AI371" s="1573"/>
      <c r="AJ371" s="1574"/>
      <c r="AK371" s="1572">
        <f>SUMIF(DIC!$G$126:$M$126,$C371,DIC!$G$46:$M$46)</f>
        <v>0</v>
      </c>
      <c r="AL371" s="1573"/>
      <c r="AM371" s="1609"/>
      <c r="AN371" s="1573">
        <f t="shared" si="128"/>
        <v>0</v>
      </c>
      <c r="AO371" s="1573"/>
      <c r="AP371" s="1573"/>
      <c r="AQ371" s="1660">
        <f t="shared" si="127"/>
        <v>0</v>
      </c>
      <c r="AR371" s="1661"/>
      <c r="AS371" s="1661"/>
      <c r="AT371" s="1662"/>
      <c r="AU371" s="33"/>
      <c r="AV371" s="33"/>
      <c r="AW371" s="264"/>
      <c r="AX371" s="264"/>
      <c r="AY371" s="264"/>
      <c r="AZ371" s="264"/>
      <c r="BA371" s="264"/>
      <c r="BB371" s="264"/>
      <c r="BC371" s="264"/>
      <c r="BD371" s="264"/>
      <c r="BE371" s="264"/>
      <c r="BF371" s="264"/>
      <c r="BG371" s="264"/>
      <c r="BH371" s="264"/>
      <c r="BI371" s="264"/>
      <c r="BJ371" s="264"/>
      <c r="BK371" s="264"/>
      <c r="BL371" s="264"/>
    </row>
    <row r="372" spans="1:64" ht="18" hidden="1" customHeight="1" x14ac:dyDescent="0.2">
      <c r="A372" s="686" t="str">
        <f>LEFT(B245,2)</f>
        <v/>
      </c>
      <c r="B372" s="1337">
        <f>IF(AN372=0,0,COUNTIF(B$367:B371,"&gt;0")+1)</f>
        <v>0</v>
      </c>
      <c r="C372" s="1326" t="str">
        <f t="shared" si="126"/>
        <v>06</v>
      </c>
      <c r="D372" s="1639">
        <f>SUMIF(GEN!$G$126:$M$126,$C372,GEN!$G$46:$M$46)</f>
        <v>0</v>
      </c>
      <c r="E372" s="1573"/>
      <c r="F372" s="1574"/>
      <c r="G372" s="1572">
        <f>SUMIF(FEB!$G$126:$M$126,$C372,FEB!$G$46:$M$46)</f>
        <v>0</v>
      </c>
      <c r="H372" s="1573"/>
      <c r="I372" s="1574"/>
      <c r="J372" s="1572">
        <f>SUMIF(MAR!$G$126:$M$126,$C372,MAR!$G$46:$M$46)</f>
        <v>0</v>
      </c>
      <c r="K372" s="1573"/>
      <c r="L372" s="1574"/>
      <c r="M372" s="1572">
        <f>SUMIF(APR!$G$126:$M$126,$C372,APR!$G$46:$M$46)</f>
        <v>0</v>
      </c>
      <c r="N372" s="1573"/>
      <c r="O372" s="1574"/>
      <c r="P372" s="1572">
        <f>SUMIF(MAG!$G$126:$M$126,$C372,MAG!$G$46:$M$46)</f>
        <v>0</v>
      </c>
      <c r="Q372" s="1573"/>
      <c r="R372" s="1574"/>
      <c r="S372" s="1572">
        <f>SUMIF(GIU!$G$126:$M$126,$C372,GIU!$G$46:$M$46)</f>
        <v>0</v>
      </c>
      <c r="T372" s="1573"/>
      <c r="U372" s="1574"/>
      <c r="V372" s="1572">
        <f>SUMIF(LUG!$G$126:$M$126,$C372,LUG!$G$46:$M$46)</f>
        <v>0</v>
      </c>
      <c r="W372" s="1573"/>
      <c r="X372" s="1574"/>
      <c r="Y372" s="1572">
        <f>SUMIF(AGO!$G$126:$M$126,$C372,AGO!$G$46:$M$46)</f>
        <v>0</v>
      </c>
      <c r="Z372" s="1573"/>
      <c r="AA372" s="1574"/>
      <c r="AB372" s="1572">
        <f>SUMIF(SET!$G$126:$M$126,$C372,SET!$G$46:$M$46)</f>
        <v>0</v>
      </c>
      <c r="AC372" s="1573"/>
      <c r="AD372" s="1574"/>
      <c r="AE372" s="1572">
        <f>SUMIF(OTT!$G$126:$M$126,$C372,OTT!$G$46:$M$46)</f>
        <v>0</v>
      </c>
      <c r="AF372" s="1573"/>
      <c r="AG372" s="1574"/>
      <c r="AH372" s="1572">
        <f>SUMIF(NOV!$G$126:$M$126,$C372,NOV!$G$46:$M$46)</f>
        <v>0</v>
      </c>
      <c r="AI372" s="1573"/>
      <c r="AJ372" s="1574"/>
      <c r="AK372" s="1572">
        <f>SUMIF(DIC!$G$126:$M$126,$C372,DIC!$G$46:$M$46)</f>
        <v>0</v>
      </c>
      <c r="AL372" s="1573"/>
      <c r="AM372" s="1609"/>
      <c r="AN372" s="1573">
        <f t="shared" si="128"/>
        <v>0</v>
      </c>
      <c r="AO372" s="1573"/>
      <c r="AP372" s="1573"/>
      <c r="AQ372" s="1660">
        <f t="shared" si="127"/>
        <v>0</v>
      </c>
      <c r="AR372" s="1661"/>
      <c r="AS372" s="1661"/>
      <c r="AT372" s="1662"/>
      <c r="AU372" s="33"/>
      <c r="AV372" s="33"/>
      <c r="AW372" s="264"/>
      <c r="AX372" s="264"/>
      <c r="AY372" s="264"/>
      <c r="AZ372" s="264"/>
      <c r="BA372" s="264"/>
      <c r="BB372" s="264"/>
      <c r="BC372" s="264"/>
      <c r="BD372" s="264"/>
      <c r="BE372" s="264"/>
      <c r="BF372" s="264"/>
      <c r="BG372" s="264"/>
      <c r="BH372" s="264"/>
      <c r="BI372" s="264"/>
      <c r="BJ372" s="264"/>
      <c r="BK372" s="264"/>
      <c r="BL372" s="264"/>
    </row>
    <row r="373" spans="1:64" ht="18" hidden="1" customHeight="1" x14ac:dyDescent="0.2">
      <c r="A373" s="686" t="str">
        <f>LEFT(B248,2)</f>
        <v/>
      </c>
      <c r="B373" s="1337">
        <f>IF(AN373=0,0,COUNTIF(B$367:B372,"&gt;0")+1)</f>
        <v>0</v>
      </c>
      <c r="C373" s="1326" t="str">
        <f t="shared" si="126"/>
        <v>07</v>
      </c>
      <c r="D373" s="1639">
        <f>SUMIF(GEN!$G$126:$M$126,$C373,GEN!$G$46:$M$46)</f>
        <v>0</v>
      </c>
      <c r="E373" s="1573"/>
      <c r="F373" s="1574"/>
      <c r="G373" s="1572">
        <f>SUMIF(FEB!$G$126:$M$126,$C373,FEB!$G$46:$M$46)</f>
        <v>0</v>
      </c>
      <c r="H373" s="1573"/>
      <c r="I373" s="1574"/>
      <c r="J373" s="1572">
        <f>SUMIF(MAR!$G$126:$M$126,$C373,MAR!$G$46:$M$46)</f>
        <v>0</v>
      </c>
      <c r="K373" s="1573"/>
      <c r="L373" s="1574"/>
      <c r="M373" s="1572">
        <f>SUMIF(APR!$G$126:$M$126,$C373,APR!$G$46:$M$46)</f>
        <v>0</v>
      </c>
      <c r="N373" s="1573"/>
      <c r="O373" s="1574"/>
      <c r="P373" s="1572">
        <f>SUMIF(MAG!$G$126:$M$126,$C373,MAG!$G$46:$M$46)</f>
        <v>0</v>
      </c>
      <c r="Q373" s="1573"/>
      <c r="R373" s="1574"/>
      <c r="S373" s="1572">
        <f>SUMIF(GIU!$G$126:$M$126,$C373,GIU!$G$46:$M$46)</f>
        <v>0</v>
      </c>
      <c r="T373" s="1573"/>
      <c r="U373" s="1574"/>
      <c r="V373" s="1572">
        <f>SUMIF(LUG!$G$126:$M$126,$C373,LUG!$G$46:$M$46)</f>
        <v>0</v>
      </c>
      <c r="W373" s="1573"/>
      <c r="X373" s="1574"/>
      <c r="Y373" s="1572">
        <f>SUMIF(AGO!$G$126:$M$126,$C373,AGO!$G$46:$M$46)</f>
        <v>0</v>
      </c>
      <c r="Z373" s="1573"/>
      <c r="AA373" s="1574"/>
      <c r="AB373" s="1572">
        <f>SUMIF(SET!$G$126:$M$126,$C373,SET!$G$46:$M$46)</f>
        <v>0</v>
      </c>
      <c r="AC373" s="1573"/>
      <c r="AD373" s="1574"/>
      <c r="AE373" s="1572">
        <f>SUMIF(OTT!$G$126:$M$126,$C373,OTT!$G$46:$M$46)</f>
        <v>0</v>
      </c>
      <c r="AF373" s="1573"/>
      <c r="AG373" s="1574"/>
      <c r="AH373" s="1572">
        <f>SUMIF(NOV!$G$126:$M$126,$C373,NOV!$G$46:$M$46)</f>
        <v>0</v>
      </c>
      <c r="AI373" s="1573"/>
      <c r="AJ373" s="1574"/>
      <c r="AK373" s="1572">
        <f>SUMIF(DIC!$G$126:$M$126,$C373,DIC!$G$46:$M$46)</f>
        <v>0</v>
      </c>
      <c r="AL373" s="1573"/>
      <c r="AM373" s="1609"/>
      <c r="AN373" s="1573">
        <f t="shared" si="128"/>
        <v>0</v>
      </c>
      <c r="AO373" s="1573"/>
      <c r="AP373" s="1573"/>
      <c r="AQ373" s="1660">
        <f t="shared" si="127"/>
        <v>0</v>
      </c>
      <c r="AR373" s="1661"/>
      <c r="AS373" s="1661"/>
      <c r="AT373" s="1662"/>
      <c r="AU373" s="33"/>
      <c r="AV373" s="33"/>
      <c r="AW373" s="264"/>
      <c r="AX373" s="264"/>
      <c r="AY373" s="264"/>
      <c r="AZ373" s="264"/>
      <c r="BA373" s="264"/>
      <c r="BB373" s="264"/>
      <c r="BC373" s="264"/>
      <c r="BD373" s="264"/>
      <c r="BE373" s="264"/>
      <c r="BF373" s="264"/>
      <c r="BG373" s="264"/>
      <c r="BH373" s="264"/>
      <c r="BI373" s="264"/>
      <c r="BJ373" s="264"/>
      <c r="BK373" s="264"/>
      <c r="BL373" s="264"/>
    </row>
    <row r="374" spans="1:64" ht="18" hidden="1" customHeight="1" x14ac:dyDescent="0.2">
      <c r="A374" s="686" t="str">
        <f>LEFT(B251,2)</f>
        <v/>
      </c>
      <c r="B374" s="1337">
        <f>IF(AN374=0,0,COUNTIF(B$367:B373,"&gt;0")+1)</f>
        <v>0</v>
      </c>
      <c r="C374" s="1326" t="str">
        <f t="shared" si="126"/>
        <v>08</v>
      </c>
      <c r="D374" s="1639">
        <f>SUMIF(GEN!$G$126:$M$126,$C374,GEN!$G$46:$M$46)</f>
        <v>0</v>
      </c>
      <c r="E374" s="1573"/>
      <c r="F374" s="1574"/>
      <c r="G374" s="1572">
        <f>SUMIF(FEB!$G$126:$M$126,$C374,FEB!$G$46:$M$46)</f>
        <v>0</v>
      </c>
      <c r="H374" s="1573"/>
      <c r="I374" s="1574"/>
      <c r="J374" s="1572">
        <f>SUMIF(MAR!$G$126:$M$126,$C374,MAR!$G$46:$M$46)</f>
        <v>0</v>
      </c>
      <c r="K374" s="1573"/>
      <c r="L374" s="1574"/>
      <c r="M374" s="1572">
        <f>SUMIF(APR!$G$126:$M$126,$C374,APR!$G$46:$M$46)</f>
        <v>0</v>
      </c>
      <c r="N374" s="1573"/>
      <c r="O374" s="1574"/>
      <c r="P374" s="1572">
        <f>SUMIF(MAG!$G$126:$M$126,$C374,MAG!$G$46:$M$46)</f>
        <v>0</v>
      </c>
      <c r="Q374" s="1573"/>
      <c r="R374" s="1574"/>
      <c r="S374" s="1572">
        <f>SUMIF(GIU!$G$126:$M$126,$C374,GIU!$G$46:$M$46)</f>
        <v>0</v>
      </c>
      <c r="T374" s="1573"/>
      <c r="U374" s="1574"/>
      <c r="V374" s="1572">
        <f>SUMIF(LUG!$G$126:$M$126,$C374,LUG!$G$46:$M$46)</f>
        <v>0</v>
      </c>
      <c r="W374" s="1573"/>
      <c r="X374" s="1574"/>
      <c r="Y374" s="1572">
        <f>SUMIF(AGO!$G$126:$M$126,$C374,AGO!$G$46:$M$46)</f>
        <v>0</v>
      </c>
      <c r="Z374" s="1573"/>
      <c r="AA374" s="1574"/>
      <c r="AB374" s="1572">
        <f>SUMIF(SET!$G$126:$M$126,$C374,SET!$G$46:$M$46)</f>
        <v>0</v>
      </c>
      <c r="AC374" s="1573"/>
      <c r="AD374" s="1574"/>
      <c r="AE374" s="1572">
        <f>SUMIF(OTT!$G$126:$M$126,$C374,OTT!$G$46:$M$46)</f>
        <v>0</v>
      </c>
      <c r="AF374" s="1573"/>
      <c r="AG374" s="1574"/>
      <c r="AH374" s="1572">
        <f>SUMIF(NOV!$G$126:$M$126,$C374,NOV!$G$46:$M$46)</f>
        <v>0</v>
      </c>
      <c r="AI374" s="1573"/>
      <c r="AJ374" s="1574"/>
      <c r="AK374" s="1572">
        <f>SUMIF(DIC!$G$126:$M$126,$C374,DIC!$G$46:$M$46)</f>
        <v>0</v>
      </c>
      <c r="AL374" s="1573"/>
      <c r="AM374" s="1609"/>
      <c r="AN374" s="1573">
        <f t="shared" si="128"/>
        <v>0</v>
      </c>
      <c r="AO374" s="1573"/>
      <c r="AP374" s="1573"/>
      <c r="AQ374" s="1660">
        <f t="shared" si="127"/>
        <v>0</v>
      </c>
      <c r="AR374" s="1661"/>
      <c r="AS374" s="1661"/>
      <c r="AT374" s="1662"/>
      <c r="AU374" s="33"/>
      <c r="AV374" s="33"/>
      <c r="AW374" s="264"/>
      <c r="AX374" s="264"/>
      <c r="AY374" s="264"/>
      <c r="AZ374" s="264"/>
      <c r="BA374" s="264"/>
      <c r="BB374" s="264"/>
      <c r="BC374" s="264"/>
      <c r="BD374" s="264"/>
      <c r="BE374" s="264"/>
      <c r="BF374" s="264"/>
      <c r="BG374" s="264"/>
      <c r="BH374" s="264"/>
      <c r="BI374" s="264"/>
      <c r="BJ374" s="264"/>
      <c r="BK374" s="264"/>
      <c r="BL374" s="264"/>
    </row>
    <row r="375" spans="1:64" ht="18" hidden="1" customHeight="1" x14ac:dyDescent="0.2">
      <c r="A375" s="686" t="str">
        <f>LEFT(B254,2)</f>
        <v/>
      </c>
      <c r="B375" s="1337">
        <f>IF(AN375=0,0,COUNTIF(B$367:B374,"&gt;0")+1)</f>
        <v>0</v>
      </c>
      <c r="C375" s="1326" t="str">
        <f t="shared" si="126"/>
        <v>09</v>
      </c>
      <c r="D375" s="1639">
        <f>SUMIF(GEN!$G$126:$M$126,$C375,GEN!$G$46:$M$46)</f>
        <v>0</v>
      </c>
      <c r="E375" s="1573"/>
      <c r="F375" s="1574"/>
      <c r="G375" s="1572">
        <f>SUMIF(FEB!$G$126:$M$126,$C375,FEB!$G$46:$M$46)</f>
        <v>0</v>
      </c>
      <c r="H375" s="1573"/>
      <c r="I375" s="1574"/>
      <c r="J375" s="1572">
        <f>SUMIF(MAR!$G$126:$M$126,$C375,MAR!$G$46:$M$46)</f>
        <v>0</v>
      </c>
      <c r="K375" s="1573"/>
      <c r="L375" s="1574"/>
      <c r="M375" s="1572">
        <f>SUMIF(APR!$G$126:$M$126,$C375,APR!$G$46:$M$46)</f>
        <v>0</v>
      </c>
      <c r="N375" s="1573"/>
      <c r="O375" s="1574"/>
      <c r="P375" s="1572">
        <f>SUMIF(MAG!$G$126:$M$126,$C375,MAG!$G$46:$M$46)</f>
        <v>0</v>
      </c>
      <c r="Q375" s="1573"/>
      <c r="R375" s="1574"/>
      <c r="S375" s="1572">
        <f>SUMIF(GIU!$G$126:$M$126,$C375,GIU!$G$46:$M$46)</f>
        <v>0</v>
      </c>
      <c r="T375" s="1573"/>
      <c r="U375" s="1574"/>
      <c r="V375" s="1572">
        <f>SUMIF(LUG!$G$126:$M$126,$C375,LUG!$G$46:$M$46)</f>
        <v>0</v>
      </c>
      <c r="W375" s="1573"/>
      <c r="X375" s="1574"/>
      <c r="Y375" s="1572">
        <f>SUMIF(AGO!$G$126:$M$126,$C375,AGO!$G$46:$M$46)</f>
        <v>0</v>
      </c>
      <c r="Z375" s="1573"/>
      <c r="AA375" s="1574"/>
      <c r="AB375" s="1572">
        <f>SUMIF(SET!$G$126:$M$126,$C375,SET!$G$46:$M$46)</f>
        <v>0</v>
      </c>
      <c r="AC375" s="1573"/>
      <c r="AD375" s="1574"/>
      <c r="AE375" s="1572">
        <f>SUMIF(OTT!$G$126:$M$126,$C375,OTT!$G$46:$M$46)</f>
        <v>0</v>
      </c>
      <c r="AF375" s="1573"/>
      <c r="AG375" s="1574"/>
      <c r="AH375" s="1572">
        <f>SUMIF(NOV!$G$126:$M$126,$C375,NOV!$G$46:$M$46)</f>
        <v>0</v>
      </c>
      <c r="AI375" s="1573"/>
      <c r="AJ375" s="1574"/>
      <c r="AK375" s="1572">
        <f>SUMIF(DIC!$G$126:$M$126,$C375,DIC!$G$46:$M$46)</f>
        <v>0</v>
      </c>
      <c r="AL375" s="1573"/>
      <c r="AM375" s="1609"/>
      <c r="AN375" s="1573">
        <f t="shared" ref="AN375" si="129">SUM(D375:AM375)</f>
        <v>0</v>
      </c>
      <c r="AO375" s="1573"/>
      <c r="AP375" s="1573"/>
      <c r="AQ375" s="1660">
        <f t="shared" si="127"/>
        <v>0</v>
      </c>
      <c r="AR375" s="1661"/>
      <c r="AS375" s="1661"/>
      <c r="AT375" s="1662"/>
      <c r="AU375" s="33"/>
      <c r="AV375" s="33"/>
      <c r="AW375" s="264"/>
      <c r="AX375" s="264"/>
      <c r="AY375" s="264"/>
      <c r="AZ375" s="264"/>
      <c r="BA375" s="264"/>
      <c r="BB375" s="264"/>
      <c r="BC375" s="264"/>
      <c r="BD375" s="264"/>
      <c r="BE375" s="264"/>
      <c r="BF375" s="264"/>
      <c r="BG375" s="264"/>
      <c r="BH375" s="264"/>
      <c r="BI375" s="264"/>
      <c r="BJ375" s="264"/>
      <c r="BK375" s="264"/>
      <c r="BL375" s="264"/>
    </row>
    <row r="376" spans="1:64" ht="18" hidden="1" customHeight="1" x14ac:dyDescent="0.2">
      <c r="A376" s="688" t="str">
        <f>LEFT(B257,2)</f>
        <v/>
      </c>
      <c r="B376" s="1337">
        <f>IF(AN376=0,0,COUNTIF(B$367:B375,"&gt;0")+1)</f>
        <v>0</v>
      </c>
      <c r="C376" s="1326" t="str">
        <f t="shared" si="126"/>
        <v>10</v>
      </c>
      <c r="D376" s="1663">
        <f>SUMIF(GEN!$G$126:$M$126,$C376,GEN!$G$46:$M$46)</f>
        <v>0</v>
      </c>
      <c r="E376" s="1616"/>
      <c r="F376" s="1617"/>
      <c r="G376" s="1615">
        <f>SUMIF(FEB!$G$126:$M$126,$C376,FEB!$G$46:$M$46)</f>
        <v>0</v>
      </c>
      <c r="H376" s="1616"/>
      <c r="I376" s="1617"/>
      <c r="J376" s="1615">
        <f>SUMIF(MAR!$G$126:$M$126,$C376,MAR!$G$46:$M$46)</f>
        <v>0</v>
      </c>
      <c r="K376" s="1616"/>
      <c r="L376" s="1617"/>
      <c r="M376" s="1615">
        <f>SUMIF(APR!$G$126:$M$126,$C376,APR!$G$46:$M$46)</f>
        <v>0</v>
      </c>
      <c r="N376" s="1616"/>
      <c r="O376" s="1617"/>
      <c r="P376" s="1615">
        <f>SUMIF(MAG!$G$126:$M$126,$C376,MAG!$G$46:$M$46)</f>
        <v>0</v>
      </c>
      <c r="Q376" s="1616"/>
      <c r="R376" s="1617"/>
      <c r="S376" s="1615">
        <f>SUMIF(GIU!$G$126:$M$126,$C376,GIU!$G$46:$M$46)</f>
        <v>0</v>
      </c>
      <c r="T376" s="1616"/>
      <c r="U376" s="1617"/>
      <c r="V376" s="1615">
        <f>SUMIF(LUG!$G$126:$M$126,$C376,LUG!$G$46:$M$46)</f>
        <v>0</v>
      </c>
      <c r="W376" s="1616"/>
      <c r="X376" s="1617"/>
      <c r="Y376" s="1615">
        <f>SUMIF(AGO!$G$126:$M$126,$C376,AGO!$G$46:$M$46)</f>
        <v>0</v>
      </c>
      <c r="Z376" s="1616"/>
      <c r="AA376" s="1617"/>
      <c r="AB376" s="1615">
        <f>SUMIF(SET!$G$126:$M$126,$C376,SET!$G$46:$M$46)</f>
        <v>0</v>
      </c>
      <c r="AC376" s="1616"/>
      <c r="AD376" s="1617"/>
      <c r="AE376" s="1615">
        <f>SUMIF(OTT!$G$126:$M$126,$C376,OTT!$G$46:$M$46)</f>
        <v>0</v>
      </c>
      <c r="AF376" s="1616"/>
      <c r="AG376" s="1617"/>
      <c r="AH376" s="1615">
        <f>SUMIF(NOV!$G$126:$M$126,$C376,NOV!$G$46:$M$46)</f>
        <v>0</v>
      </c>
      <c r="AI376" s="1616"/>
      <c r="AJ376" s="1617"/>
      <c r="AK376" s="1615">
        <f>SUMIF(DIC!$G$126:$M$126,$C376,DIC!$G$46:$M$46)</f>
        <v>0</v>
      </c>
      <c r="AL376" s="1616"/>
      <c r="AM376" s="1618"/>
      <c r="AN376" s="1573">
        <f>SUM(D376:AM376)</f>
        <v>0</v>
      </c>
      <c r="AO376" s="1573"/>
      <c r="AP376" s="1573"/>
      <c r="AQ376" s="1660">
        <f t="shared" si="127"/>
        <v>0</v>
      </c>
      <c r="AR376" s="1661"/>
      <c r="AS376" s="1661"/>
      <c r="AT376" s="1662"/>
      <c r="AU376" s="33"/>
      <c r="AV376" s="33"/>
      <c r="AW376" s="264"/>
      <c r="AX376" s="264"/>
      <c r="AY376" s="264"/>
      <c r="AZ376" s="264"/>
      <c r="BA376" s="264"/>
      <c r="BB376" s="264"/>
      <c r="BC376" s="264"/>
      <c r="BD376" s="264"/>
      <c r="BE376" s="264"/>
      <c r="BF376" s="264"/>
      <c r="BG376" s="264"/>
      <c r="BH376" s="264"/>
      <c r="BI376" s="264"/>
      <c r="BJ376" s="264"/>
      <c r="BK376" s="264"/>
      <c r="BL376" s="264"/>
    </row>
    <row r="377" spans="1:64" s="633" customFormat="1" ht="18" hidden="1" customHeight="1" x14ac:dyDescent="0.2">
      <c r="A377" s="672"/>
      <c r="B377" s="881">
        <f>COUNTIF(A367:A376,C377)</f>
        <v>0</v>
      </c>
      <c r="C377" s="1327" t="s">
        <v>540</v>
      </c>
      <c r="D377" s="1612">
        <f>SUMIF(GEN!$G$126:$M$126,$C377,GEN!$G$46:$M$46)</f>
        <v>1000</v>
      </c>
      <c r="E377" s="1613"/>
      <c r="F377" s="1614"/>
      <c r="G377" s="1612">
        <f>SUMIF(FEB!$G$126:$M$126,$C377,FEB!$G$46:$M$46)</f>
        <v>0</v>
      </c>
      <c r="H377" s="1613"/>
      <c r="I377" s="1614"/>
      <c r="J377" s="1612">
        <f>SUMIF(MAR!$G$126:$M$126,$C377,MAR!$G$46:$M$46)</f>
        <v>0</v>
      </c>
      <c r="K377" s="1613"/>
      <c r="L377" s="1614"/>
      <c r="M377" s="1612">
        <f>SUMIF(APR!$G$126:$M$126,$C377,APR!$G$46:$M$46)</f>
        <v>0</v>
      </c>
      <c r="N377" s="1613"/>
      <c r="O377" s="1614"/>
      <c r="P377" s="1612">
        <f>SUMIF(MAG!$G$126:$M$126,$C377,MAG!$G$46:$M$46)</f>
        <v>0</v>
      </c>
      <c r="Q377" s="1613"/>
      <c r="R377" s="1614"/>
      <c r="S377" s="1612">
        <f>SUMIF(GIU!$G$126:$M$126,$C377,GIU!$G$46:$M$46)</f>
        <v>0</v>
      </c>
      <c r="T377" s="1613"/>
      <c r="U377" s="1614"/>
      <c r="V377" s="1612">
        <f>SUMIF(LUG!$G$126:$M$126,$C377,LUG!$G$46:$M$46)</f>
        <v>0</v>
      </c>
      <c r="W377" s="1613"/>
      <c r="X377" s="1614"/>
      <c r="Y377" s="1612">
        <f>SUMIF(AGO!$G$126:$M$126,$C377,AGO!$G$46:$M$46)</f>
        <v>0</v>
      </c>
      <c r="Z377" s="1613"/>
      <c r="AA377" s="1614"/>
      <c r="AB377" s="1612">
        <f>SUMIF(SET!$G$126:$M$126,$C377,SET!$G$46:$M$46)</f>
        <v>0</v>
      </c>
      <c r="AC377" s="1613"/>
      <c r="AD377" s="1614"/>
      <c r="AE377" s="1612">
        <f>SUMIF(OTT!$G$126:$M$126,$C377,OTT!$G$46:$M$46)</f>
        <v>0</v>
      </c>
      <c r="AF377" s="1613"/>
      <c r="AG377" s="1614"/>
      <c r="AH377" s="1612">
        <f>SUMIF(NOV!$G$126:$M$126,$C377,NOV!$G$46:$M$46)</f>
        <v>0</v>
      </c>
      <c r="AI377" s="1613"/>
      <c r="AJ377" s="1614"/>
      <c r="AK377" s="1612">
        <f>SUMIF(DIC!$G$126:$M$126,$C377,DIC!$G$46:$M$46)</f>
        <v>0</v>
      </c>
      <c r="AL377" s="1613"/>
      <c r="AM377" s="1614"/>
      <c r="AN377" s="1664">
        <f>SUM(D377:AM377)</f>
        <v>1000</v>
      </c>
      <c r="AO377" s="1665"/>
      <c r="AP377" s="1666"/>
      <c r="AQ377" s="140"/>
      <c r="AR377" s="140"/>
      <c r="AS377" s="140"/>
      <c r="AT377" s="140"/>
      <c r="AU377" s="631"/>
      <c r="AV377" s="631"/>
      <c r="AW377" s="681"/>
      <c r="AX377" s="681"/>
      <c r="AY377" s="681"/>
      <c r="AZ377" s="681"/>
      <c r="BA377" s="681"/>
      <c r="BB377" s="681"/>
      <c r="BC377" s="681"/>
      <c r="BD377" s="681"/>
      <c r="BE377" s="681"/>
      <c r="BF377" s="681"/>
      <c r="BG377" s="681"/>
      <c r="BH377" s="681"/>
      <c r="BI377" s="681"/>
      <c r="BJ377" s="681"/>
      <c r="BK377" s="681"/>
      <c r="BL377" s="681"/>
    </row>
    <row r="378" spans="1:64" ht="18" hidden="1" customHeight="1" x14ac:dyDescent="0.2">
      <c r="A378" s="1324"/>
      <c r="B378" s="631"/>
      <c r="C378" s="631"/>
      <c r="D378" s="1605">
        <f>SUM(D367:F377)</f>
        <v>1000</v>
      </c>
      <c r="E378" s="1606"/>
      <c r="F378" s="1607"/>
      <c r="G378" s="1605">
        <f t="shared" ref="G378" si="130">SUM(G367:I377)</f>
        <v>0</v>
      </c>
      <c r="H378" s="1606"/>
      <c r="I378" s="1607"/>
      <c r="J378" s="1605">
        <f t="shared" ref="J378" si="131">SUM(J367:L377)</f>
        <v>0</v>
      </c>
      <c r="K378" s="1606"/>
      <c r="L378" s="1607"/>
      <c r="M378" s="1605">
        <f t="shared" ref="M378" si="132">SUM(M367:O377)</f>
        <v>0</v>
      </c>
      <c r="N378" s="1606"/>
      <c r="O378" s="1607"/>
      <c r="P378" s="1605">
        <f t="shared" ref="P378" si="133">SUM(P367:R377)</f>
        <v>0</v>
      </c>
      <c r="Q378" s="1606"/>
      <c r="R378" s="1607"/>
      <c r="S378" s="1605">
        <f t="shared" ref="S378" si="134">SUM(S367:U377)</f>
        <v>0</v>
      </c>
      <c r="T378" s="1606"/>
      <c r="U378" s="1607"/>
      <c r="V378" s="1605">
        <f t="shared" ref="V378" si="135">SUM(V367:X377)</f>
        <v>0</v>
      </c>
      <c r="W378" s="1606"/>
      <c r="X378" s="1607"/>
      <c r="Y378" s="1605">
        <f t="shared" ref="Y378" si="136">SUM(Y367:AA377)</f>
        <v>0</v>
      </c>
      <c r="Z378" s="1606"/>
      <c r="AA378" s="1607"/>
      <c r="AB378" s="1605">
        <f t="shared" ref="AB378" si="137">SUM(AB367:AD377)</f>
        <v>0</v>
      </c>
      <c r="AC378" s="1606"/>
      <c r="AD378" s="1607"/>
      <c r="AE378" s="1605">
        <f t="shared" ref="AE378" si="138">SUM(AE367:AG377)</f>
        <v>0</v>
      </c>
      <c r="AF378" s="1606"/>
      <c r="AG378" s="1607"/>
      <c r="AH378" s="1605">
        <f t="shared" ref="AH378" si="139">SUM(AH367:AJ377)</f>
        <v>0</v>
      </c>
      <c r="AI378" s="1606"/>
      <c r="AJ378" s="1607"/>
      <c r="AK378" s="1605">
        <f t="shared" ref="AK378" si="140">SUM(AK367:AM377)</f>
        <v>0</v>
      </c>
      <c r="AL378" s="1606"/>
      <c r="AM378" s="1607"/>
      <c r="AN378" s="1605">
        <f>SUM(D378:AM378)</f>
        <v>1000</v>
      </c>
      <c r="AO378" s="1606"/>
      <c r="AP378" s="1607"/>
      <c r="AQ378" s="33"/>
      <c r="AR378" s="33"/>
      <c r="AS378" s="33"/>
      <c r="AT378" s="33"/>
      <c r="AU378" s="33"/>
      <c r="AV378" s="33"/>
      <c r="AW378" s="264"/>
      <c r="AX378" s="264"/>
      <c r="AY378" s="264"/>
      <c r="AZ378" s="264"/>
      <c r="BA378" s="264"/>
      <c r="BB378" s="264"/>
      <c r="BC378" s="264"/>
      <c r="BD378" s="264"/>
      <c r="BE378" s="264"/>
      <c r="BF378" s="264"/>
      <c r="BG378" s="264"/>
      <c r="BH378" s="264"/>
      <c r="BI378" s="264"/>
      <c r="BJ378" s="264"/>
      <c r="BK378" s="264"/>
      <c r="BL378" s="264"/>
    </row>
    <row r="379" spans="1:64" ht="18" hidden="1" customHeight="1" x14ac:dyDescent="0.2">
      <c r="A379" s="1324"/>
      <c r="B379" s="631"/>
      <c r="C379" s="631"/>
      <c r="D379" s="1572">
        <f>D378</f>
        <v>1000</v>
      </c>
      <c r="E379" s="1573"/>
      <c r="F379" s="1574"/>
      <c r="G379" s="1572">
        <f>G378+D379</f>
        <v>1000</v>
      </c>
      <c r="H379" s="1573"/>
      <c r="I379" s="1574"/>
      <c r="J379" s="1572">
        <f>J378+G379</f>
        <v>1000</v>
      </c>
      <c r="K379" s="1573"/>
      <c r="L379" s="1574"/>
      <c r="M379" s="1572">
        <f>M378+J379</f>
        <v>1000</v>
      </c>
      <c r="N379" s="1573"/>
      <c r="O379" s="1574"/>
      <c r="P379" s="1572">
        <f>P378+M379</f>
        <v>1000</v>
      </c>
      <c r="Q379" s="1573"/>
      <c r="R379" s="1574"/>
      <c r="S379" s="1572">
        <f>S378+P379</f>
        <v>1000</v>
      </c>
      <c r="T379" s="1573"/>
      <c r="U379" s="1574"/>
      <c r="V379" s="1572">
        <f>V378+S379</f>
        <v>1000</v>
      </c>
      <c r="W379" s="1573"/>
      <c r="X379" s="1574"/>
      <c r="Y379" s="1572">
        <f>Y378+V379</f>
        <v>1000</v>
      </c>
      <c r="Z379" s="1573"/>
      <c r="AA379" s="1574"/>
      <c r="AB379" s="1572">
        <f>AB378+Y379</f>
        <v>1000</v>
      </c>
      <c r="AC379" s="1573"/>
      <c r="AD379" s="1574"/>
      <c r="AE379" s="1572">
        <f>AE378+AB379</f>
        <v>1000</v>
      </c>
      <c r="AF379" s="1573"/>
      <c r="AG379" s="1574"/>
      <c r="AH379" s="1572">
        <f>AH378+AE379</f>
        <v>1000</v>
      </c>
      <c r="AI379" s="1573"/>
      <c r="AJ379" s="1574"/>
      <c r="AK379" s="1572">
        <f>AK378+AH379</f>
        <v>1000</v>
      </c>
      <c r="AL379" s="1573"/>
      <c r="AM379" s="1574"/>
      <c r="AN379" s="33"/>
      <c r="AO379" s="33"/>
      <c r="AP379" s="33"/>
      <c r="AQ379" s="33"/>
      <c r="AR379" s="33"/>
      <c r="AS379" s="33"/>
      <c r="AT379" s="33"/>
      <c r="AU379" s="33"/>
      <c r="AV379" s="33"/>
      <c r="AW379" s="264"/>
      <c r="AX379" s="264"/>
      <c r="AY379" s="264"/>
      <c r="AZ379" s="264"/>
      <c r="BA379" s="264"/>
      <c r="BB379" s="264"/>
      <c r="BC379" s="264"/>
      <c r="BD379" s="264"/>
      <c r="BE379" s="264"/>
      <c r="BF379" s="264"/>
      <c r="BG379" s="264"/>
      <c r="BH379" s="264"/>
      <c r="BI379" s="264"/>
      <c r="BJ379" s="264"/>
      <c r="BK379" s="264"/>
      <c r="BL379" s="264"/>
    </row>
    <row r="380" spans="1:64" ht="18" hidden="1" customHeight="1" x14ac:dyDescent="0.2">
      <c r="A380" s="1324"/>
      <c r="B380" s="33"/>
      <c r="C380" s="33"/>
      <c r="D380" s="33"/>
      <c r="E380" s="33"/>
      <c r="F380" s="33"/>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324"/>
      <c r="AD380" s="1324"/>
      <c r="AE380" s="1324"/>
      <c r="AF380" s="1324"/>
      <c r="AG380" s="1324"/>
      <c r="AH380" s="1324"/>
      <c r="AI380" s="1324"/>
      <c r="AJ380" s="1324"/>
      <c r="AK380" s="1324"/>
      <c r="AL380" s="1324"/>
      <c r="AM380" s="1324"/>
      <c r="AN380" s="33"/>
      <c r="AO380" s="33"/>
      <c r="AP380" s="33"/>
      <c r="AQ380" s="33"/>
      <c r="AR380" s="33"/>
      <c r="AS380" s="264"/>
      <c r="AT380" s="264"/>
      <c r="AU380" s="264"/>
      <c r="AV380" s="264"/>
      <c r="AW380" s="264"/>
      <c r="AX380" s="264"/>
      <c r="AY380" s="264"/>
      <c r="AZ380" s="264"/>
      <c r="BA380" s="264"/>
      <c r="BB380" s="264"/>
      <c r="BC380" s="264"/>
      <c r="BD380" s="264"/>
      <c r="BE380" s="264"/>
      <c r="BF380" s="264"/>
      <c r="BG380" s="264"/>
      <c r="BH380" s="264"/>
      <c r="BI380" s="264"/>
      <c r="BJ380" s="264"/>
      <c r="BK380" s="264"/>
      <c r="BL380" s="264"/>
    </row>
    <row r="381" spans="1:64" ht="18" hidden="1" customHeight="1" x14ac:dyDescent="0.2">
      <c r="A381" s="1324"/>
      <c r="B381" s="1655" t="s">
        <v>515</v>
      </c>
      <c r="C381" s="1656"/>
      <c r="D381" s="1610" t="str">
        <f>D366</f>
        <v>Gennaio</v>
      </c>
      <c r="E381" s="1611"/>
      <c r="F381" s="1611"/>
      <c r="G381" s="1610" t="str">
        <f t="shared" ref="G381" si="141">G366</f>
        <v>Febbraio</v>
      </c>
      <c r="H381" s="1611"/>
      <c r="I381" s="1611"/>
      <c r="J381" s="1610" t="str">
        <f t="shared" ref="J381" si="142">J366</f>
        <v>Marzo</v>
      </c>
      <c r="K381" s="1611"/>
      <c r="L381" s="1611"/>
      <c r="M381" s="1610" t="str">
        <f t="shared" ref="M381" si="143">M366</f>
        <v>Aprile</v>
      </c>
      <c r="N381" s="1611"/>
      <c r="O381" s="1611"/>
      <c r="P381" s="1610" t="str">
        <f t="shared" ref="P381" si="144">P366</f>
        <v>Maggio</v>
      </c>
      <c r="Q381" s="1611"/>
      <c r="R381" s="1611"/>
      <c r="S381" s="1610" t="str">
        <f t="shared" ref="S381" si="145">S366</f>
        <v>Giugno</v>
      </c>
      <c r="T381" s="1611"/>
      <c r="U381" s="1611"/>
      <c r="V381" s="1610" t="str">
        <f t="shared" ref="V381" si="146">V366</f>
        <v>Luglio</v>
      </c>
      <c r="W381" s="1611"/>
      <c r="X381" s="1611"/>
      <c r="Y381" s="1610" t="str">
        <f t="shared" ref="Y381" si="147">Y366</f>
        <v>Agosto</v>
      </c>
      <c r="Z381" s="1611"/>
      <c r="AA381" s="1611"/>
      <c r="AB381" s="1610" t="str">
        <f t="shared" ref="AB381" si="148">AB366</f>
        <v>Settembre</v>
      </c>
      <c r="AC381" s="1611"/>
      <c r="AD381" s="1611"/>
      <c r="AE381" s="1610" t="str">
        <f t="shared" ref="AE381" si="149">AE366</f>
        <v>Ottobre</v>
      </c>
      <c r="AF381" s="1611"/>
      <c r="AG381" s="1611"/>
      <c r="AH381" s="1610" t="str">
        <f t="shared" ref="AH381" si="150">AH366</f>
        <v>Novembre</v>
      </c>
      <c r="AI381" s="1611"/>
      <c r="AJ381" s="1611"/>
      <c r="AK381" s="1610" t="str">
        <f t="shared" ref="AK381" si="151">AK366</f>
        <v>Dicembre</v>
      </c>
      <c r="AL381" s="1611"/>
      <c r="AM381" s="1667"/>
      <c r="AN381" s="33"/>
      <c r="AO381" s="33"/>
      <c r="AP381" s="33"/>
      <c r="AQ381" s="33"/>
      <c r="AR381" s="33"/>
      <c r="AS381" s="264"/>
      <c r="AT381" s="264"/>
      <c r="AU381" s="264"/>
      <c r="AV381" s="264"/>
      <c r="AW381" s="264"/>
      <c r="AX381" s="264"/>
      <c r="AY381" s="264"/>
      <c r="AZ381" s="264"/>
      <c r="BA381" s="264"/>
      <c r="BB381" s="264"/>
      <c r="BC381" s="264"/>
      <c r="BD381" s="264"/>
      <c r="BE381" s="264"/>
      <c r="BF381" s="264"/>
      <c r="BG381" s="264"/>
      <c r="BH381" s="264"/>
      <c r="BI381" s="264"/>
      <c r="BJ381" s="264"/>
      <c r="BK381" s="264"/>
      <c r="BL381" s="264"/>
    </row>
    <row r="382" spans="1:64" ht="18" hidden="1" customHeight="1" x14ac:dyDescent="0.2">
      <c r="A382" s="1324"/>
      <c r="B382" s="1337">
        <f>B367</f>
        <v>0</v>
      </c>
      <c r="C382" s="1326" t="str">
        <f>C367</f>
        <v>01</v>
      </c>
      <c r="D382" s="1934">
        <f>SUMIF(GEN!$G$126:$M$126,$C382,GEN!$G$47:$M$47)</f>
        <v>0</v>
      </c>
      <c r="E382" s="1930"/>
      <c r="F382" s="1931"/>
      <c r="G382" s="1929">
        <f>SUMIF(FEB!$G$126:$M$126,$C382,FEB!$G$47:$M$47)</f>
        <v>0</v>
      </c>
      <c r="H382" s="1930"/>
      <c r="I382" s="1931"/>
      <c r="J382" s="1929">
        <f>SUMIF(MAR!$G$126:$M$126,$C382,MAR!$G$47:$M$47)</f>
        <v>0</v>
      </c>
      <c r="K382" s="1930"/>
      <c r="L382" s="1931"/>
      <c r="M382" s="1929">
        <f>SUMIF(APR!$G$126:$M$126,$C382,APR!$G$47:$M$47)</f>
        <v>0</v>
      </c>
      <c r="N382" s="1930"/>
      <c r="O382" s="1931"/>
      <c r="P382" s="1929">
        <f>SUMIF(MAG!$G$126:$M$126,$C382,MAG!$G$47:$M$47)</f>
        <v>0</v>
      </c>
      <c r="Q382" s="1930"/>
      <c r="R382" s="1931"/>
      <c r="S382" s="1929">
        <f>SUMIF(GIU!$G$126:$M$126,$C382,GIU!$G$47:$M$47)</f>
        <v>0</v>
      </c>
      <c r="T382" s="1930"/>
      <c r="U382" s="1931"/>
      <c r="V382" s="1929">
        <f>SUMIF(LUG!$G$126:$M$126,$C382,LUG!$G$47:$M$47)</f>
        <v>0</v>
      </c>
      <c r="W382" s="1930"/>
      <c r="X382" s="1931"/>
      <c r="Y382" s="1929">
        <f>SUMIF(AGO!$G$126:$M$126,$C382,AGO!$G$47:$M$47)</f>
        <v>0</v>
      </c>
      <c r="Z382" s="1930"/>
      <c r="AA382" s="1931"/>
      <c r="AB382" s="1929">
        <f>SUMIF(SET!$G$126:$M$126,$C382,SET!$G$47:$M$47)</f>
        <v>0</v>
      </c>
      <c r="AC382" s="1930"/>
      <c r="AD382" s="1931"/>
      <c r="AE382" s="1929">
        <f>SUMIF(OTT!$G$126:$M$126,$C382,OTT!$G$47:$M$47)</f>
        <v>0</v>
      </c>
      <c r="AF382" s="1930"/>
      <c r="AG382" s="1931"/>
      <c r="AH382" s="1929">
        <f>SUMIF(NOV!$G$126:$M$126,$C382,NOV!$G$47:$M$47)</f>
        <v>0</v>
      </c>
      <c r="AI382" s="1930"/>
      <c r="AJ382" s="1931"/>
      <c r="AK382" s="1929">
        <f>SUMIF(DIC!$G$126:$M$126,$C382,DIC!$G$47:$M$47)</f>
        <v>0</v>
      </c>
      <c r="AL382" s="1930"/>
      <c r="AM382" s="1932"/>
      <c r="AN382" s="1573">
        <f>SUM(D382:AM382)</f>
        <v>0</v>
      </c>
      <c r="AO382" s="1573"/>
      <c r="AP382" s="1574"/>
      <c r="AQ382" s="33"/>
      <c r="AR382" s="33"/>
      <c r="AS382" s="264"/>
      <c r="AT382" s="264"/>
      <c r="AU382" s="264"/>
      <c r="AV382" s="264"/>
      <c r="AW382" s="264"/>
      <c r="AX382" s="264"/>
      <c r="AY382" s="264"/>
      <c r="AZ382" s="264"/>
      <c r="BA382" s="264"/>
      <c r="BB382" s="264"/>
      <c r="BC382" s="264"/>
      <c r="BD382" s="264"/>
      <c r="BE382" s="264"/>
      <c r="BF382" s="264"/>
      <c r="BG382" s="264"/>
      <c r="BH382" s="264"/>
      <c r="BI382" s="264"/>
      <c r="BJ382" s="264"/>
      <c r="BK382" s="264"/>
      <c r="BL382" s="264"/>
    </row>
    <row r="383" spans="1:64" ht="18" hidden="1" customHeight="1" x14ac:dyDescent="0.2">
      <c r="A383" s="1324"/>
      <c r="B383" s="1337">
        <f t="shared" ref="B383:B391" si="152">B368</f>
        <v>0</v>
      </c>
      <c r="C383" s="1326" t="str">
        <f t="shared" ref="C383:C391" si="153">C368</f>
        <v>02</v>
      </c>
      <c r="D383" s="1935">
        <f>SUMIF(GEN!$G$126:$M$126,$C383,GEN!$G$47:$M$47)</f>
        <v>0</v>
      </c>
      <c r="E383" s="1665"/>
      <c r="F383" s="1666"/>
      <c r="G383" s="1664">
        <f>SUMIF(FEB!$G$126:$M$126,$C383,FEB!$G$47:$M$47)</f>
        <v>0</v>
      </c>
      <c r="H383" s="1665"/>
      <c r="I383" s="1666"/>
      <c r="J383" s="1664">
        <f>SUMIF(MAR!$G$126:$M$126,$C383,MAR!$G$47:$M$47)</f>
        <v>0</v>
      </c>
      <c r="K383" s="1665"/>
      <c r="L383" s="1666"/>
      <c r="M383" s="1664">
        <f>SUMIF(APR!$G$126:$M$126,$C383,APR!$G$47:$M$47)</f>
        <v>0</v>
      </c>
      <c r="N383" s="1665"/>
      <c r="O383" s="1666"/>
      <c r="P383" s="1664">
        <f>SUMIF(MAG!$G$126:$M$126,$C383,MAG!$G$47:$M$47)</f>
        <v>0</v>
      </c>
      <c r="Q383" s="1665"/>
      <c r="R383" s="1666"/>
      <c r="S383" s="1664">
        <f>SUMIF(GIU!$G$126:$M$126,$C383,GIU!$G$47:$M$47)</f>
        <v>0</v>
      </c>
      <c r="T383" s="1665"/>
      <c r="U383" s="1666"/>
      <c r="V383" s="1664">
        <f>SUMIF(LUG!$G$126:$M$126,$C383,LUG!$G$47:$M$47)</f>
        <v>0</v>
      </c>
      <c r="W383" s="1665"/>
      <c r="X383" s="1666"/>
      <c r="Y383" s="1664">
        <f>SUMIF(AGO!$G$126:$M$126,$C383,AGO!$G$47:$M$47)</f>
        <v>0</v>
      </c>
      <c r="Z383" s="1665"/>
      <c r="AA383" s="1666"/>
      <c r="AB383" s="1664">
        <f>SUMIF(SET!$G$126:$M$126,$C383,SET!$G$47:$M$47)</f>
        <v>0</v>
      </c>
      <c r="AC383" s="1665"/>
      <c r="AD383" s="1666"/>
      <c r="AE383" s="1664">
        <f>SUMIF(OTT!$G$126:$M$126,$C383,OTT!$G$47:$M$47)</f>
        <v>0</v>
      </c>
      <c r="AF383" s="1665"/>
      <c r="AG383" s="1666"/>
      <c r="AH383" s="1664">
        <f>SUMIF(NOV!$G$126:$M$126,$C383,NOV!$G$47:$M$47)</f>
        <v>0</v>
      </c>
      <c r="AI383" s="1665"/>
      <c r="AJ383" s="1666"/>
      <c r="AK383" s="1664">
        <f>SUMIF(DIC!$G$126:$M$126,$C383,DIC!$G$47:$M$47)</f>
        <v>0</v>
      </c>
      <c r="AL383" s="1665"/>
      <c r="AM383" s="1933"/>
      <c r="AN383" s="1573">
        <f t="shared" ref="AN383:AN389" si="154">SUM(D383:AM383)</f>
        <v>0</v>
      </c>
      <c r="AO383" s="1573"/>
      <c r="AP383" s="1574"/>
      <c r="AQ383" s="33"/>
      <c r="AR383" s="33"/>
      <c r="AS383" s="264"/>
      <c r="AT383" s="264"/>
      <c r="AU383" s="264"/>
      <c r="AV383" s="264"/>
      <c r="AW383" s="264"/>
      <c r="AX383" s="264"/>
      <c r="AY383" s="264"/>
      <c r="AZ383" s="264"/>
      <c r="BA383" s="264"/>
      <c r="BB383" s="264"/>
      <c r="BC383" s="264"/>
      <c r="BD383" s="264"/>
      <c r="BE383" s="264"/>
      <c r="BF383" s="264"/>
      <c r="BG383" s="264"/>
      <c r="BH383" s="264"/>
      <c r="BI383" s="264"/>
      <c r="BJ383" s="264"/>
      <c r="BK383" s="264"/>
      <c r="BL383" s="264"/>
    </row>
    <row r="384" spans="1:64" ht="18" hidden="1" customHeight="1" x14ac:dyDescent="0.2">
      <c r="A384" s="1324"/>
      <c r="B384" s="1337">
        <f t="shared" si="152"/>
        <v>0</v>
      </c>
      <c r="C384" s="1326" t="str">
        <f t="shared" si="153"/>
        <v>03</v>
      </c>
      <c r="D384" s="1935">
        <f>SUMIF(GEN!$G$126:$M$126,$C384,GEN!$G$47:$M$47)</f>
        <v>0</v>
      </c>
      <c r="E384" s="1665"/>
      <c r="F384" s="1666"/>
      <c r="G384" s="1664">
        <f>SUMIF(FEB!$G$126:$M$126,$C384,FEB!$G$47:$M$47)</f>
        <v>0</v>
      </c>
      <c r="H384" s="1665"/>
      <c r="I384" s="1666"/>
      <c r="J384" s="1664">
        <f>SUMIF(MAR!$G$126:$M$126,$C384,MAR!$G$47:$M$47)</f>
        <v>0</v>
      </c>
      <c r="K384" s="1665"/>
      <c r="L384" s="1666"/>
      <c r="M384" s="1664">
        <f>SUMIF(APR!$G$126:$M$126,$C384,APR!$G$47:$M$47)</f>
        <v>0</v>
      </c>
      <c r="N384" s="1665"/>
      <c r="O384" s="1666"/>
      <c r="P384" s="1664">
        <f>SUMIF(MAG!$G$126:$M$126,$C384,MAG!$G$47:$M$47)</f>
        <v>0</v>
      </c>
      <c r="Q384" s="1665"/>
      <c r="R384" s="1666"/>
      <c r="S384" s="1664">
        <f>SUMIF(GIU!$G$126:$M$126,$C384,GIU!$G$47:$M$47)</f>
        <v>0</v>
      </c>
      <c r="T384" s="1665"/>
      <c r="U384" s="1666"/>
      <c r="V384" s="1664">
        <f>SUMIF(LUG!$G$126:$M$126,$C384,LUG!$G$47:$M$47)</f>
        <v>0</v>
      </c>
      <c r="W384" s="1665"/>
      <c r="X384" s="1666"/>
      <c r="Y384" s="1664">
        <f>SUMIF(AGO!$G$126:$M$126,$C384,AGO!$G$47:$M$47)</f>
        <v>0</v>
      </c>
      <c r="Z384" s="1665"/>
      <c r="AA384" s="1666"/>
      <c r="AB384" s="1664">
        <f>SUMIF(SET!$G$126:$M$126,$C384,SET!$G$47:$M$47)</f>
        <v>0</v>
      </c>
      <c r="AC384" s="1665"/>
      <c r="AD384" s="1666"/>
      <c r="AE384" s="1664">
        <f>SUMIF(OTT!$G$126:$M$126,$C384,OTT!$G$47:$M$47)</f>
        <v>0</v>
      </c>
      <c r="AF384" s="1665"/>
      <c r="AG384" s="1666"/>
      <c r="AH384" s="1664">
        <f>SUMIF(NOV!$G$126:$M$126,$C384,NOV!$G$47:$M$47)</f>
        <v>0</v>
      </c>
      <c r="AI384" s="1665"/>
      <c r="AJ384" s="1666"/>
      <c r="AK384" s="1664">
        <f>SUMIF(DIC!$G$126:$M$126,$C384,DIC!$G$47:$M$47)</f>
        <v>0</v>
      </c>
      <c r="AL384" s="1665"/>
      <c r="AM384" s="1933"/>
      <c r="AN384" s="1573">
        <f t="shared" si="154"/>
        <v>0</v>
      </c>
      <c r="AO384" s="1573"/>
      <c r="AP384" s="1574"/>
      <c r="AQ384" s="33"/>
      <c r="AR384" s="33"/>
      <c r="AS384" s="264"/>
      <c r="AT384" s="264"/>
      <c r="AU384" s="264"/>
      <c r="AV384" s="264"/>
      <c r="AW384" s="264"/>
      <c r="AX384" s="264"/>
      <c r="AY384" s="264"/>
      <c r="AZ384" s="264"/>
      <c r="BA384" s="264"/>
      <c r="BB384" s="264"/>
      <c r="BC384" s="264"/>
      <c r="BD384" s="264"/>
      <c r="BE384" s="264"/>
      <c r="BF384" s="264"/>
      <c r="BG384" s="264"/>
      <c r="BH384" s="264"/>
      <c r="BI384" s="264"/>
      <c r="BJ384" s="264"/>
      <c r="BK384" s="264"/>
      <c r="BL384" s="264"/>
    </row>
    <row r="385" spans="1:64" ht="18" hidden="1" customHeight="1" x14ac:dyDescent="0.2">
      <c r="A385" s="1324"/>
      <c r="B385" s="1337">
        <f t="shared" si="152"/>
        <v>0</v>
      </c>
      <c r="C385" s="1326" t="str">
        <f t="shared" si="153"/>
        <v>04</v>
      </c>
      <c r="D385" s="1935">
        <f>SUMIF(GEN!$G$126:$M$126,$C385,GEN!$G$47:$M$47)</f>
        <v>0</v>
      </c>
      <c r="E385" s="1665"/>
      <c r="F385" s="1666"/>
      <c r="G385" s="1664">
        <f>SUMIF(FEB!$G$126:$M$126,$C385,FEB!$G$47:$M$47)</f>
        <v>0</v>
      </c>
      <c r="H385" s="1665"/>
      <c r="I385" s="1666"/>
      <c r="J385" s="1664">
        <f>SUMIF(MAR!$G$126:$M$126,$C385,MAR!$G$47:$M$47)</f>
        <v>0</v>
      </c>
      <c r="K385" s="1665"/>
      <c r="L385" s="1666"/>
      <c r="M385" s="1664">
        <f>SUMIF(APR!$G$126:$M$126,$C385,APR!$G$47:$M$47)</f>
        <v>0</v>
      </c>
      <c r="N385" s="1665"/>
      <c r="O385" s="1666"/>
      <c r="P385" s="1664">
        <f>SUMIF(MAG!$G$126:$M$126,$C385,MAG!$G$47:$M$47)</f>
        <v>0</v>
      </c>
      <c r="Q385" s="1665"/>
      <c r="R385" s="1666"/>
      <c r="S385" s="1664">
        <f>SUMIF(GIU!$G$126:$M$126,$C385,GIU!$G$47:$M$47)</f>
        <v>0</v>
      </c>
      <c r="T385" s="1665"/>
      <c r="U385" s="1666"/>
      <c r="V385" s="1664">
        <f>SUMIF(LUG!$G$126:$M$126,$C385,LUG!$G$47:$M$47)</f>
        <v>0</v>
      </c>
      <c r="W385" s="1665"/>
      <c r="X385" s="1666"/>
      <c r="Y385" s="1664">
        <f>SUMIF(AGO!$G$126:$M$126,$C385,AGO!$G$47:$M$47)</f>
        <v>0</v>
      </c>
      <c r="Z385" s="1665"/>
      <c r="AA385" s="1666"/>
      <c r="AB385" s="1664">
        <f>SUMIF(SET!$G$126:$M$126,$C385,SET!$G$47:$M$47)</f>
        <v>0</v>
      </c>
      <c r="AC385" s="1665"/>
      <c r="AD385" s="1666"/>
      <c r="AE385" s="1664">
        <f>SUMIF(OTT!$G$126:$M$126,$C385,OTT!$G$47:$M$47)</f>
        <v>0</v>
      </c>
      <c r="AF385" s="1665"/>
      <c r="AG385" s="1666"/>
      <c r="AH385" s="1664">
        <f>SUMIF(NOV!$G$126:$M$126,$C385,NOV!$G$47:$M$47)</f>
        <v>0</v>
      </c>
      <c r="AI385" s="1665"/>
      <c r="AJ385" s="1666"/>
      <c r="AK385" s="1664">
        <f>SUMIF(DIC!$G$126:$M$126,$C385,DIC!$G$47:$M$47)</f>
        <v>0</v>
      </c>
      <c r="AL385" s="1665"/>
      <c r="AM385" s="1933"/>
      <c r="AN385" s="1573">
        <f t="shared" si="154"/>
        <v>0</v>
      </c>
      <c r="AO385" s="1573"/>
      <c r="AP385" s="1574"/>
      <c r="AQ385" s="33"/>
      <c r="AR385" s="33"/>
      <c r="AS385" s="264"/>
      <c r="AT385" s="264"/>
      <c r="AU385" s="264"/>
      <c r="AV385" s="264"/>
      <c r="AW385" s="264"/>
      <c r="AX385" s="264"/>
      <c r="AY385" s="264"/>
      <c r="AZ385" s="264"/>
      <c r="BA385" s="264"/>
      <c r="BB385" s="264"/>
      <c r="BC385" s="264"/>
      <c r="BD385" s="264"/>
      <c r="BE385" s="264"/>
      <c r="BF385" s="264"/>
      <c r="BG385" s="264"/>
      <c r="BH385" s="264"/>
      <c r="BI385" s="264"/>
      <c r="BJ385" s="264"/>
      <c r="BK385" s="264"/>
      <c r="BL385" s="264"/>
    </row>
    <row r="386" spans="1:64" ht="18" hidden="1" customHeight="1" x14ac:dyDescent="0.2">
      <c r="A386" s="1324"/>
      <c r="B386" s="1337">
        <f t="shared" si="152"/>
        <v>0</v>
      </c>
      <c r="C386" s="1326" t="str">
        <f t="shared" si="153"/>
        <v>05</v>
      </c>
      <c r="D386" s="1935">
        <f>SUMIF(GEN!$G$126:$M$126,$C386,GEN!$G$47:$M$47)</f>
        <v>0</v>
      </c>
      <c r="E386" s="1665"/>
      <c r="F386" s="1666"/>
      <c r="G386" s="1664">
        <f>SUMIF(FEB!$G$126:$M$126,$C386,FEB!$G$47:$M$47)</f>
        <v>0</v>
      </c>
      <c r="H386" s="1665"/>
      <c r="I386" s="1666"/>
      <c r="J386" s="1664">
        <f>SUMIF(MAR!$G$126:$M$126,$C386,MAR!$G$47:$M$47)</f>
        <v>0</v>
      </c>
      <c r="K386" s="1665"/>
      <c r="L386" s="1666"/>
      <c r="M386" s="1664">
        <f>SUMIF(APR!$G$126:$M$126,$C386,APR!$G$47:$M$47)</f>
        <v>0</v>
      </c>
      <c r="N386" s="1665"/>
      <c r="O386" s="1666"/>
      <c r="P386" s="1664">
        <f>SUMIF(MAG!$G$126:$M$126,$C386,MAG!$G$47:$M$47)</f>
        <v>0</v>
      </c>
      <c r="Q386" s="1665"/>
      <c r="R386" s="1666"/>
      <c r="S386" s="1664">
        <f>SUMIF(GIU!$G$126:$M$126,$C386,GIU!$G$47:$M$47)</f>
        <v>0</v>
      </c>
      <c r="T386" s="1665"/>
      <c r="U386" s="1666"/>
      <c r="V386" s="1664">
        <f>SUMIF(LUG!$G$126:$M$126,$C386,LUG!$G$47:$M$47)</f>
        <v>0</v>
      </c>
      <c r="W386" s="1665"/>
      <c r="X386" s="1666"/>
      <c r="Y386" s="1664">
        <f>SUMIF(AGO!$G$126:$M$126,$C386,AGO!$G$47:$M$47)</f>
        <v>0</v>
      </c>
      <c r="Z386" s="1665"/>
      <c r="AA386" s="1666"/>
      <c r="AB386" s="1664">
        <f>SUMIF(SET!$G$126:$M$126,$C386,SET!$G$47:$M$47)</f>
        <v>0</v>
      </c>
      <c r="AC386" s="1665"/>
      <c r="AD386" s="1666"/>
      <c r="AE386" s="1664">
        <f>SUMIF(OTT!$G$126:$M$126,$C386,OTT!$G$47:$M$47)</f>
        <v>0</v>
      </c>
      <c r="AF386" s="1665"/>
      <c r="AG386" s="1666"/>
      <c r="AH386" s="1664">
        <f>SUMIF(NOV!$G$126:$M$126,$C386,NOV!$G$47:$M$47)</f>
        <v>0</v>
      </c>
      <c r="AI386" s="1665"/>
      <c r="AJ386" s="1666"/>
      <c r="AK386" s="1664">
        <f>SUMIF(DIC!$G$126:$M$126,$C386,DIC!$G$47:$M$47)</f>
        <v>0</v>
      </c>
      <c r="AL386" s="1665"/>
      <c r="AM386" s="1933"/>
      <c r="AN386" s="1573">
        <f t="shared" si="154"/>
        <v>0</v>
      </c>
      <c r="AO386" s="1573"/>
      <c r="AP386" s="1574"/>
      <c r="AQ386" s="33"/>
      <c r="AR386" s="33"/>
      <c r="AS386" s="264"/>
      <c r="AT386" s="264"/>
      <c r="AU386" s="264"/>
      <c r="AV386" s="264"/>
      <c r="AW386" s="264"/>
      <c r="AX386" s="264"/>
      <c r="AY386" s="264"/>
      <c r="AZ386" s="264"/>
      <c r="BA386" s="264"/>
      <c r="BB386" s="264"/>
      <c r="BC386" s="264"/>
      <c r="BD386" s="264"/>
      <c r="BE386" s="264"/>
      <c r="BF386" s="264"/>
      <c r="BG386" s="264"/>
      <c r="BH386" s="264"/>
      <c r="BI386" s="264"/>
      <c r="BJ386" s="264"/>
      <c r="BK386" s="264"/>
      <c r="BL386" s="264"/>
    </row>
    <row r="387" spans="1:64" ht="18" hidden="1" customHeight="1" x14ac:dyDescent="0.2">
      <c r="A387" s="1324"/>
      <c r="B387" s="1337">
        <f t="shared" si="152"/>
        <v>0</v>
      </c>
      <c r="C387" s="1326" t="str">
        <f t="shared" si="153"/>
        <v>06</v>
      </c>
      <c r="D387" s="1935">
        <f>SUMIF(GEN!$G$126:$M$126,$C387,GEN!$G$47:$M$47)</f>
        <v>0</v>
      </c>
      <c r="E387" s="1665"/>
      <c r="F387" s="1666"/>
      <c r="G387" s="1664">
        <f>SUMIF(FEB!$G$126:$M$126,$C387,FEB!$G$47:$M$47)</f>
        <v>0</v>
      </c>
      <c r="H387" s="1665"/>
      <c r="I387" s="1666"/>
      <c r="J387" s="1664">
        <f>SUMIF(MAR!$G$126:$M$126,$C387,MAR!$G$47:$M$47)</f>
        <v>0</v>
      </c>
      <c r="K387" s="1665"/>
      <c r="L387" s="1666"/>
      <c r="M387" s="1664">
        <f>SUMIF(APR!$G$126:$M$126,$C387,APR!$G$47:$M$47)</f>
        <v>0</v>
      </c>
      <c r="N387" s="1665"/>
      <c r="O387" s="1666"/>
      <c r="P387" s="1664">
        <f>SUMIF(MAG!$G$126:$M$126,$C387,MAG!$G$47:$M$47)</f>
        <v>0</v>
      </c>
      <c r="Q387" s="1665"/>
      <c r="R387" s="1666"/>
      <c r="S387" s="1664">
        <f>SUMIF(GIU!$G$126:$M$126,$C387,GIU!$G$47:$M$47)</f>
        <v>0</v>
      </c>
      <c r="T387" s="1665"/>
      <c r="U387" s="1666"/>
      <c r="V387" s="1664">
        <f>SUMIF(LUG!$G$126:$M$126,$C387,LUG!$G$47:$M$47)</f>
        <v>0</v>
      </c>
      <c r="W387" s="1665"/>
      <c r="X387" s="1666"/>
      <c r="Y387" s="1664">
        <f>SUMIF(AGO!$G$126:$M$126,$C387,AGO!$G$47:$M$47)</f>
        <v>0</v>
      </c>
      <c r="Z387" s="1665"/>
      <c r="AA387" s="1666"/>
      <c r="AB387" s="1664">
        <f>SUMIF(SET!$G$126:$M$126,$C387,SET!$G$47:$M$47)</f>
        <v>0</v>
      </c>
      <c r="AC387" s="1665"/>
      <c r="AD387" s="1666"/>
      <c r="AE387" s="1664">
        <f>SUMIF(OTT!$G$126:$M$126,$C387,OTT!$G$47:$M$47)</f>
        <v>0</v>
      </c>
      <c r="AF387" s="1665"/>
      <c r="AG387" s="1666"/>
      <c r="AH387" s="1664">
        <f>SUMIF(NOV!$G$126:$M$126,$C387,NOV!$G$47:$M$47)</f>
        <v>0</v>
      </c>
      <c r="AI387" s="1665"/>
      <c r="AJ387" s="1666"/>
      <c r="AK387" s="1664">
        <f>SUMIF(DIC!$G$126:$M$126,$C387,DIC!$G$47:$M$47)</f>
        <v>0</v>
      </c>
      <c r="AL387" s="1665"/>
      <c r="AM387" s="1933"/>
      <c r="AN387" s="1573">
        <f t="shared" si="154"/>
        <v>0</v>
      </c>
      <c r="AO387" s="1573"/>
      <c r="AP387" s="1574"/>
      <c r="AQ387" s="33"/>
      <c r="AR387" s="33"/>
      <c r="AS387" s="264"/>
      <c r="AT387" s="264"/>
      <c r="AU387" s="264"/>
      <c r="AV387" s="264"/>
      <c r="AW387" s="264"/>
      <c r="AX387" s="264"/>
      <c r="AY387" s="264"/>
      <c r="AZ387" s="264"/>
      <c r="BA387" s="264"/>
      <c r="BB387" s="264"/>
      <c r="BC387" s="264"/>
      <c r="BD387" s="264"/>
      <c r="BE387" s="264"/>
      <c r="BF387" s="264"/>
      <c r="BG387" s="264"/>
      <c r="BH387" s="264"/>
      <c r="BI387" s="264"/>
      <c r="BJ387" s="264"/>
      <c r="BK387" s="264"/>
      <c r="BL387" s="264"/>
    </row>
    <row r="388" spans="1:64" ht="18" hidden="1" customHeight="1" x14ac:dyDescent="0.2">
      <c r="A388" s="1324"/>
      <c r="B388" s="1337">
        <f t="shared" si="152"/>
        <v>0</v>
      </c>
      <c r="C388" s="1326" t="str">
        <f t="shared" si="153"/>
        <v>07</v>
      </c>
      <c r="D388" s="1935">
        <f>SUMIF(GEN!$G$126:$M$126,$C388,GEN!$G$47:$M$47)</f>
        <v>0</v>
      </c>
      <c r="E388" s="1665"/>
      <c r="F388" s="1666"/>
      <c r="G388" s="1664">
        <f>SUMIF(FEB!$G$126:$M$126,$C388,FEB!$G$47:$M$47)</f>
        <v>0</v>
      </c>
      <c r="H388" s="1665"/>
      <c r="I388" s="1666"/>
      <c r="J388" s="1664">
        <f>SUMIF(MAR!$G$126:$M$126,$C388,MAR!$G$47:$M$47)</f>
        <v>0</v>
      </c>
      <c r="K388" s="1665"/>
      <c r="L388" s="1666"/>
      <c r="M388" s="1664">
        <f>SUMIF(APR!$G$126:$M$126,$C388,APR!$G$47:$M$47)</f>
        <v>0</v>
      </c>
      <c r="N388" s="1665"/>
      <c r="O388" s="1666"/>
      <c r="P388" s="1664">
        <f>SUMIF(MAG!$G$126:$M$126,$C388,MAG!$G$47:$M$47)</f>
        <v>0</v>
      </c>
      <c r="Q388" s="1665"/>
      <c r="R388" s="1666"/>
      <c r="S388" s="1664">
        <f>SUMIF(GIU!$G$126:$M$126,$C388,GIU!$G$47:$M$47)</f>
        <v>0</v>
      </c>
      <c r="T388" s="1665"/>
      <c r="U388" s="1666"/>
      <c r="V388" s="1664">
        <f>SUMIF(LUG!$G$126:$M$126,$C388,LUG!$G$47:$M$47)</f>
        <v>0</v>
      </c>
      <c r="W388" s="1665"/>
      <c r="X388" s="1666"/>
      <c r="Y388" s="1664">
        <f>SUMIF(AGO!$G$126:$M$126,$C388,AGO!$G$47:$M$47)</f>
        <v>0</v>
      </c>
      <c r="Z388" s="1665"/>
      <c r="AA388" s="1666"/>
      <c r="AB388" s="1664">
        <f>SUMIF(SET!$G$126:$M$126,$C388,SET!$G$47:$M$47)</f>
        <v>0</v>
      </c>
      <c r="AC388" s="1665"/>
      <c r="AD388" s="1666"/>
      <c r="AE388" s="1664">
        <f>SUMIF(OTT!$G$126:$M$126,$C388,OTT!$G$47:$M$47)</f>
        <v>0</v>
      </c>
      <c r="AF388" s="1665"/>
      <c r="AG388" s="1666"/>
      <c r="AH388" s="1664">
        <f>SUMIF(NOV!$G$126:$M$126,$C388,NOV!$G$47:$M$47)</f>
        <v>0</v>
      </c>
      <c r="AI388" s="1665"/>
      <c r="AJ388" s="1666"/>
      <c r="AK388" s="1664">
        <f>SUMIF(DIC!$G$126:$M$126,$C388,DIC!$G$47:$M$47)</f>
        <v>0</v>
      </c>
      <c r="AL388" s="1665"/>
      <c r="AM388" s="1933"/>
      <c r="AN388" s="1573">
        <f t="shared" si="154"/>
        <v>0</v>
      </c>
      <c r="AO388" s="1573"/>
      <c r="AP388" s="1574"/>
      <c r="AQ388" s="33"/>
      <c r="AR388" s="33"/>
      <c r="AS388" s="264"/>
      <c r="AT388" s="264"/>
      <c r="AU388" s="264"/>
      <c r="AV388" s="264"/>
      <c r="AW388" s="264"/>
      <c r="AX388" s="264"/>
      <c r="AY388" s="264"/>
      <c r="AZ388" s="264"/>
      <c r="BA388" s="264"/>
      <c r="BB388" s="264"/>
      <c r="BC388" s="264"/>
      <c r="BD388" s="264"/>
      <c r="BE388" s="264"/>
      <c r="BF388" s="264"/>
      <c r="BG388" s="264"/>
      <c r="BH388" s="264"/>
      <c r="BI388" s="264"/>
      <c r="BJ388" s="264"/>
      <c r="BK388" s="264"/>
      <c r="BL388" s="264"/>
    </row>
    <row r="389" spans="1:64" ht="18" hidden="1" customHeight="1" x14ac:dyDescent="0.2">
      <c r="A389" s="1324"/>
      <c r="B389" s="1337">
        <f t="shared" si="152"/>
        <v>0</v>
      </c>
      <c r="C389" s="1326" t="str">
        <f t="shared" si="153"/>
        <v>08</v>
      </c>
      <c r="D389" s="1935">
        <f>SUMIF(GEN!$G$126:$M$126,$C389,GEN!$G$47:$M$47)</f>
        <v>0</v>
      </c>
      <c r="E389" s="1665"/>
      <c r="F389" s="1666"/>
      <c r="G389" s="1664">
        <f>SUMIF(FEB!$G$126:$M$126,$C389,FEB!$G$47:$M$47)</f>
        <v>0</v>
      </c>
      <c r="H389" s="1665"/>
      <c r="I389" s="1666"/>
      <c r="J389" s="1664">
        <f>SUMIF(MAR!$G$126:$M$126,$C389,MAR!$G$47:$M$47)</f>
        <v>0</v>
      </c>
      <c r="K389" s="1665"/>
      <c r="L389" s="1666"/>
      <c r="M389" s="1664">
        <f>SUMIF(APR!$G$126:$M$126,$C389,APR!$G$47:$M$47)</f>
        <v>0</v>
      </c>
      <c r="N389" s="1665"/>
      <c r="O389" s="1666"/>
      <c r="P389" s="1664">
        <f>SUMIF(MAG!$G$126:$M$126,$C389,MAG!$G$47:$M$47)</f>
        <v>0</v>
      </c>
      <c r="Q389" s="1665"/>
      <c r="R389" s="1666"/>
      <c r="S389" s="1664">
        <f>SUMIF(GIU!$G$126:$M$126,$C389,GIU!$G$47:$M$47)</f>
        <v>0</v>
      </c>
      <c r="T389" s="1665"/>
      <c r="U389" s="1666"/>
      <c r="V389" s="1664">
        <f>SUMIF(LUG!$G$126:$M$126,$C389,LUG!$G$47:$M$47)</f>
        <v>0</v>
      </c>
      <c r="W389" s="1665"/>
      <c r="X389" s="1666"/>
      <c r="Y389" s="1664">
        <f>SUMIF(AGO!$G$126:$M$126,$C389,AGO!$G$47:$M$47)</f>
        <v>0</v>
      </c>
      <c r="Z389" s="1665"/>
      <c r="AA389" s="1666"/>
      <c r="AB389" s="1664">
        <f>SUMIF(SET!$G$126:$M$126,$C389,SET!$G$47:$M$47)</f>
        <v>0</v>
      </c>
      <c r="AC389" s="1665"/>
      <c r="AD389" s="1666"/>
      <c r="AE389" s="1664">
        <f>SUMIF(OTT!$G$126:$M$126,$C389,OTT!$G$47:$M$47)</f>
        <v>0</v>
      </c>
      <c r="AF389" s="1665"/>
      <c r="AG389" s="1666"/>
      <c r="AH389" s="1664">
        <f>SUMIF(NOV!$G$126:$M$126,$C389,NOV!$G$47:$M$47)</f>
        <v>0</v>
      </c>
      <c r="AI389" s="1665"/>
      <c r="AJ389" s="1666"/>
      <c r="AK389" s="1664">
        <f>SUMIF(DIC!$G$126:$M$126,$C389,DIC!$G$47:$M$47)</f>
        <v>0</v>
      </c>
      <c r="AL389" s="1665"/>
      <c r="AM389" s="1933"/>
      <c r="AN389" s="1573">
        <f t="shared" si="154"/>
        <v>0</v>
      </c>
      <c r="AO389" s="1573"/>
      <c r="AP389" s="1574"/>
      <c r="AQ389" s="33"/>
      <c r="AR389" s="33"/>
      <c r="AS389" s="264"/>
      <c r="AT389" s="264"/>
      <c r="AU389" s="264"/>
      <c r="AV389" s="264"/>
      <c r="AW389" s="264"/>
      <c r="AX389" s="264"/>
      <c r="AY389" s="264"/>
      <c r="AZ389" s="264"/>
      <c r="BA389" s="264"/>
      <c r="BB389" s="264"/>
      <c r="BC389" s="264"/>
      <c r="BD389" s="264"/>
      <c r="BE389" s="264"/>
      <c r="BF389" s="264"/>
      <c r="BG389" s="264"/>
      <c r="BH389" s="264"/>
      <c r="BI389" s="264"/>
      <c r="BJ389" s="264"/>
      <c r="BK389" s="264"/>
      <c r="BL389" s="264"/>
    </row>
    <row r="390" spans="1:64" ht="18" hidden="1" customHeight="1" x14ac:dyDescent="0.2">
      <c r="A390" s="1324"/>
      <c r="B390" s="1337">
        <f t="shared" si="152"/>
        <v>0</v>
      </c>
      <c r="C390" s="1326" t="str">
        <f t="shared" si="153"/>
        <v>09</v>
      </c>
      <c r="D390" s="1935">
        <f>SUMIF(GEN!$G$126:$M$126,$C390,GEN!$G$47:$M$47)</f>
        <v>0</v>
      </c>
      <c r="E390" s="1665"/>
      <c r="F390" s="1666"/>
      <c r="G390" s="1664">
        <f>SUMIF(FEB!$G$126:$M$126,$C390,FEB!$G$47:$M$47)</f>
        <v>0</v>
      </c>
      <c r="H390" s="1665"/>
      <c r="I390" s="1666"/>
      <c r="J390" s="1664">
        <f>SUMIF(MAR!$G$126:$M$126,$C390,MAR!$G$47:$M$47)</f>
        <v>0</v>
      </c>
      <c r="K390" s="1665"/>
      <c r="L390" s="1666"/>
      <c r="M390" s="1664">
        <f>SUMIF(APR!$G$126:$M$126,$C390,APR!$G$47:$M$47)</f>
        <v>0</v>
      </c>
      <c r="N390" s="1665"/>
      <c r="O390" s="1666"/>
      <c r="P390" s="1664">
        <f>SUMIF(MAG!$G$126:$M$126,$C390,MAG!$G$47:$M$47)</f>
        <v>0</v>
      </c>
      <c r="Q390" s="1665"/>
      <c r="R390" s="1666"/>
      <c r="S390" s="1664">
        <f>SUMIF(GIU!$G$126:$M$126,$C390,GIU!$G$47:$M$47)</f>
        <v>0</v>
      </c>
      <c r="T390" s="1665"/>
      <c r="U390" s="1666"/>
      <c r="V390" s="1664">
        <f>SUMIF(LUG!$G$126:$M$126,$C390,LUG!$G$47:$M$47)</f>
        <v>0</v>
      </c>
      <c r="W390" s="1665"/>
      <c r="X390" s="1666"/>
      <c r="Y390" s="1664">
        <f>SUMIF(AGO!$G$126:$M$126,$C390,AGO!$G$47:$M$47)</f>
        <v>0</v>
      </c>
      <c r="Z390" s="1665"/>
      <c r="AA390" s="1666"/>
      <c r="AB390" s="1664">
        <f>SUMIF(SET!$G$126:$M$126,$C390,SET!$G$47:$M$47)</f>
        <v>0</v>
      </c>
      <c r="AC390" s="1665"/>
      <c r="AD390" s="1666"/>
      <c r="AE390" s="1664">
        <f>SUMIF(OTT!$G$126:$M$126,$C390,OTT!$G$47:$M$47)</f>
        <v>0</v>
      </c>
      <c r="AF390" s="1665"/>
      <c r="AG390" s="1666"/>
      <c r="AH390" s="1664">
        <f>SUMIF(NOV!$G$126:$M$126,$C390,NOV!$G$47:$M$47)</f>
        <v>0</v>
      </c>
      <c r="AI390" s="1665"/>
      <c r="AJ390" s="1666"/>
      <c r="AK390" s="1664">
        <f>SUMIF(DIC!$G$126:$M$126,$C390,DIC!$G$47:$M$47)</f>
        <v>0</v>
      </c>
      <c r="AL390" s="1665"/>
      <c r="AM390" s="1933"/>
      <c r="AN390" s="1573">
        <f t="shared" ref="AN390" si="155">SUM(D390:AM390)</f>
        <v>0</v>
      </c>
      <c r="AO390" s="1573"/>
      <c r="AP390" s="1574"/>
      <c r="AQ390" s="33"/>
      <c r="AR390" s="33"/>
      <c r="AS390" s="264"/>
      <c r="AT390" s="264"/>
      <c r="AU390" s="264"/>
      <c r="AV390" s="264"/>
      <c r="AW390" s="264"/>
      <c r="AX390" s="264"/>
      <c r="AY390" s="264"/>
      <c r="AZ390" s="264"/>
      <c r="BA390" s="264"/>
      <c r="BB390" s="264"/>
      <c r="BC390" s="264"/>
      <c r="BD390" s="264"/>
      <c r="BE390" s="264"/>
      <c r="BF390" s="264"/>
      <c r="BG390" s="264"/>
      <c r="BH390" s="264"/>
      <c r="BI390" s="264"/>
      <c r="BJ390" s="264"/>
      <c r="BK390" s="264"/>
      <c r="BL390" s="264"/>
    </row>
    <row r="391" spans="1:64" ht="18" hidden="1" customHeight="1" x14ac:dyDescent="0.2">
      <c r="A391" s="1324"/>
      <c r="B391" s="1337">
        <f t="shared" si="152"/>
        <v>0</v>
      </c>
      <c r="C391" s="1326" t="str">
        <f t="shared" si="153"/>
        <v>10</v>
      </c>
      <c r="D391" s="1940">
        <f>SUMIF(GEN!$G$126:$M$126,$C391,GEN!$G$47:$M$47)</f>
        <v>0</v>
      </c>
      <c r="E391" s="1937"/>
      <c r="F391" s="1938"/>
      <c r="G391" s="1936">
        <f>SUMIF(FEB!$G$126:$M$126,$C391,FEB!$G$47:$M$47)</f>
        <v>0</v>
      </c>
      <c r="H391" s="1937"/>
      <c r="I391" s="1938"/>
      <c r="J391" s="1936">
        <f>SUMIF(MAR!$G$126:$M$126,$C391,MAR!$G$47:$M$47)</f>
        <v>0</v>
      </c>
      <c r="K391" s="1937"/>
      <c r="L391" s="1938"/>
      <c r="M391" s="1936">
        <f>SUMIF(APR!$G$126:$M$126,$C391,APR!$G$47:$M$47)</f>
        <v>0</v>
      </c>
      <c r="N391" s="1937"/>
      <c r="O391" s="1938"/>
      <c r="P391" s="1936">
        <f>SUMIF(MAG!$G$126:$M$126,$C391,MAG!$G$47:$M$47)</f>
        <v>0</v>
      </c>
      <c r="Q391" s="1937"/>
      <c r="R391" s="1938"/>
      <c r="S391" s="1936">
        <f>SUMIF(GIU!$G$126:$M$126,$C391,GIU!$G$47:$M$47)</f>
        <v>0</v>
      </c>
      <c r="T391" s="1937"/>
      <c r="U391" s="1938"/>
      <c r="V391" s="1936">
        <f>SUMIF(LUG!$G$126:$M$126,$C391,LUG!$G$47:$M$47)</f>
        <v>0</v>
      </c>
      <c r="W391" s="1937"/>
      <c r="X391" s="1938"/>
      <c r="Y391" s="1936">
        <f>SUMIF(AGO!$G$126:$M$126,$C391,AGO!$G$47:$M$47)</f>
        <v>0</v>
      </c>
      <c r="Z391" s="1937"/>
      <c r="AA391" s="1938"/>
      <c r="AB391" s="1936">
        <f>SUMIF(SET!$G$126:$M$126,$C391,SET!$G$47:$M$47)</f>
        <v>0</v>
      </c>
      <c r="AC391" s="1937"/>
      <c r="AD391" s="1938"/>
      <c r="AE391" s="1936">
        <f>SUMIF(OTT!$G$126:$M$126,$C391,OTT!$G$47:$M$47)</f>
        <v>0</v>
      </c>
      <c r="AF391" s="1937"/>
      <c r="AG391" s="1938"/>
      <c r="AH391" s="1936">
        <f>SUMIF(NOV!$G$126:$M$126,$C391,NOV!$G$47:$M$47)</f>
        <v>0</v>
      </c>
      <c r="AI391" s="1937"/>
      <c r="AJ391" s="1938"/>
      <c r="AK391" s="1936">
        <f>SUMIF(DIC!$G$126:$M$126,$C391,DIC!$G$47:$M$47)</f>
        <v>0</v>
      </c>
      <c r="AL391" s="1937"/>
      <c r="AM391" s="1939"/>
      <c r="AN391" s="1573">
        <f>SUM(D391:AM391)</f>
        <v>0</v>
      </c>
      <c r="AO391" s="1573"/>
      <c r="AP391" s="1574"/>
      <c r="AQ391" s="33"/>
      <c r="AR391" s="33"/>
      <c r="AS391" s="264"/>
      <c r="AT391" s="264"/>
      <c r="AU391" s="264"/>
      <c r="AV391" s="264"/>
      <c r="AW391" s="264"/>
      <c r="AX391" s="264"/>
      <c r="AY391" s="264"/>
      <c r="AZ391" s="264"/>
      <c r="BA391" s="264"/>
      <c r="BB391" s="264"/>
      <c r="BC391" s="264"/>
      <c r="BD391" s="264"/>
      <c r="BE391" s="264"/>
      <c r="BF391" s="264"/>
      <c r="BG391" s="264"/>
      <c r="BH391" s="264"/>
      <c r="BI391" s="264"/>
      <c r="BJ391" s="264"/>
      <c r="BK391" s="264"/>
      <c r="BL391" s="264"/>
    </row>
    <row r="392" spans="1:64" s="633" customFormat="1" ht="18" hidden="1" customHeight="1" x14ac:dyDescent="0.2">
      <c r="A392" s="672"/>
      <c r="B392" s="880"/>
      <c r="C392" s="1327" t="s">
        <v>540</v>
      </c>
      <c r="D392" s="1612">
        <f>SUMIF(GEN!$G$126:$M$126,$C392,GEN!$G$47:$M$47)</f>
        <v>1000</v>
      </c>
      <c r="E392" s="1613"/>
      <c r="F392" s="1614"/>
      <c r="G392" s="1612">
        <f>SUMIF(FEB!$G$126:$M$126,$C392,FEB!$G$47:$M$47)</f>
        <v>0</v>
      </c>
      <c r="H392" s="1613"/>
      <c r="I392" s="1614"/>
      <c r="J392" s="1612">
        <f>SUMIF(MAR!$G$126:$M$126,$C392,MAR!$G$47:$M$47)</f>
        <v>0</v>
      </c>
      <c r="K392" s="1613"/>
      <c r="L392" s="1614"/>
      <c r="M392" s="1612">
        <f>SUMIF(APR!$G$126:$M$126,$C392,APR!$G$47:$M$47)</f>
        <v>0</v>
      </c>
      <c r="N392" s="1613"/>
      <c r="O392" s="1614"/>
      <c r="P392" s="1612">
        <f>SUMIF(MAG!$G$126:$M$126,$C392,MAG!$G$47:$M$47)</f>
        <v>0</v>
      </c>
      <c r="Q392" s="1613"/>
      <c r="R392" s="1614"/>
      <c r="S392" s="1612">
        <f>SUMIF(GIU!$G$126:$M$126,$C392,GIU!$G$47:$M$47)</f>
        <v>0</v>
      </c>
      <c r="T392" s="1613"/>
      <c r="U392" s="1614"/>
      <c r="V392" s="1612">
        <f>SUMIF(LUG!$G$126:$M$126,$C392,LUG!$G$47:$M$47)</f>
        <v>0</v>
      </c>
      <c r="W392" s="1613"/>
      <c r="X392" s="1614"/>
      <c r="Y392" s="1612">
        <f>SUMIF(AGO!$G$126:$M$126,$C392,AGO!$G$47:$M$47)</f>
        <v>0</v>
      </c>
      <c r="Z392" s="1613"/>
      <c r="AA392" s="1614"/>
      <c r="AB392" s="1612">
        <f>SUMIF(SET!$G$126:$M$126,$C392,SET!$G$47:$M$47)</f>
        <v>0</v>
      </c>
      <c r="AC392" s="1613"/>
      <c r="AD392" s="1614"/>
      <c r="AE392" s="1612">
        <f>SUMIF(OTT!$G$126:$M$126,$C392,OTT!$G$47:$M$47)</f>
        <v>0</v>
      </c>
      <c r="AF392" s="1613"/>
      <c r="AG392" s="1614"/>
      <c r="AH392" s="1612">
        <f>SUMIF(NOV!$G$126:$M$126,$C392,NOV!$G$47:$M$47)</f>
        <v>0</v>
      </c>
      <c r="AI392" s="1613"/>
      <c r="AJ392" s="1614"/>
      <c r="AK392" s="1612">
        <f>SUMIF(DIC!$G$126:$M$126,$C392,DIC!$G$47:$M$47)</f>
        <v>0</v>
      </c>
      <c r="AL392" s="1613"/>
      <c r="AM392" s="1614"/>
      <c r="AN392" s="1664">
        <f>SUM(D392:AM392)</f>
        <v>1000</v>
      </c>
      <c r="AO392" s="1665"/>
      <c r="AP392" s="1666"/>
      <c r="AQ392" s="140"/>
      <c r="AR392" s="140"/>
      <c r="AS392" s="140"/>
      <c r="AT392" s="140"/>
      <c r="AU392" s="631"/>
      <c r="AV392" s="631"/>
      <c r="AW392" s="681"/>
      <c r="AX392" s="681"/>
      <c r="AY392" s="681"/>
      <c r="AZ392" s="681"/>
      <c r="BA392" s="681"/>
      <c r="BB392" s="681"/>
      <c r="BC392" s="681"/>
      <c r="BD392" s="681"/>
      <c r="BE392" s="681"/>
      <c r="BF392" s="681"/>
      <c r="BG392" s="681"/>
      <c r="BH392" s="681"/>
      <c r="BI392" s="681"/>
      <c r="BJ392" s="681"/>
      <c r="BK392" s="681"/>
      <c r="BL392" s="681"/>
    </row>
    <row r="393" spans="1:64" ht="18" hidden="1" customHeight="1" x14ac:dyDescent="0.2">
      <c r="A393" s="1324"/>
      <c r="B393" s="631"/>
      <c r="C393" s="631"/>
      <c r="D393" s="1605">
        <f>SUM(D382:F392)</f>
        <v>1000</v>
      </c>
      <c r="E393" s="1606"/>
      <c r="F393" s="1607"/>
      <c r="G393" s="1605">
        <f t="shared" ref="G393" si="156">SUM(G382:I392)</f>
        <v>0</v>
      </c>
      <c r="H393" s="1606"/>
      <c r="I393" s="1607"/>
      <c r="J393" s="1605">
        <f t="shared" ref="J393" si="157">SUM(J382:L392)</f>
        <v>0</v>
      </c>
      <c r="K393" s="1606"/>
      <c r="L393" s="1607"/>
      <c r="M393" s="1605">
        <f t="shared" ref="M393" si="158">SUM(M382:O392)</f>
        <v>0</v>
      </c>
      <c r="N393" s="1606"/>
      <c r="O393" s="1607"/>
      <c r="P393" s="1605">
        <f t="shared" ref="P393" si="159">SUM(P382:R392)</f>
        <v>0</v>
      </c>
      <c r="Q393" s="1606"/>
      <c r="R393" s="1607"/>
      <c r="S393" s="1605">
        <f t="shared" ref="S393" si="160">SUM(S382:U392)</f>
        <v>0</v>
      </c>
      <c r="T393" s="1606"/>
      <c r="U393" s="1607"/>
      <c r="V393" s="1605">
        <f t="shared" ref="V393" si="161">SUM(V382:X392)</f>
        <v>0</v>
      </c>
      <c r="W393" s="1606"/>
      <c r="X393" s="1607"/>
      <c r="Y393" s="1605">
        <f t="shared" ref="Y393" si="162">SUM(Y382:AA392)</f>
        <v>0</v>
      </c>
      <c r="Z393" s="1606"/>
      <c r="AA393" s="1607"/>
      <c r="AB393" s="1605">
        <f t="shared" ref="AB393" si="163">SUM(AB382:AD392)</f>
        <v>0</v>
      </c>
      <c r="AC393" s="1606"/>
      <c r="AD393" s="1607"/>
      <c r="AE393" s="1605">
        <f t="shared" ref="AE393" si="164">SUM(AE382:AG392)</f>
        <v>0</v>
      </c>
      <c r="AF393" s="1606"/>
      <c r="AG393" s="1607"/>
      <c r="AH393" s="1605">
        <f t="shared" ref="AH393" si="165">SUM(AH382:AJ392)</f>
        <v>0</v>
      </c>
      <c r="AI393" s="1606"/>
      <c r="AJ393" s="1607"/>
      <c r="AK393" s="1605">
        <f t="shared" ref="AK393" si="166">SUM(AK382:AM392)</f>
        <v>0</v>
      </c>
      <c r="AL393" s="1606"/>
      <c r="AM393" s="1607"/>
      <c r="AN393" s="1605">
        <f>SUM(D393:AM393)</f>
        <v>1000</v>
      </c>
      <c r="AO393" s="1606"/>
      <c r="AP393" s="1607"/>
      <c r="AQ393" s="33"/>
      <c r="AR393" s="33"/>
      <c r="AS393" s="264"/>
      <c r="AT393" s="264"/>
      <c r="AU393" s="264"/>
      <c r="AV393" s="264"/>
      <c r="AW393" s="264"/>
      <c r="AX393" s="264"/>
      <c r="AY393" s="264"/>
      <c r="AZ393" s="264"/>
      <c r="BA393" s="264"/>
      <c r="BB393" s="264"/>
      <c r="BC393" s="264"/>
      <c r="BD393" s="264"/>
      <c r="BE393" s="264"/>
      <c r="BF393" s="264"/>
      <c r="BG393" s="264"/>
      <c r="BH393" s="264"/>
      <c r="BI393" s="264"/>
      <c r="BJ393" s="264"/>
      <c r="BK393" s="264"/>
      <c r="BL393" s="264"/>
    </row>
    <row r="394" spans="1:64" ht="18" hidden="1" customHeight="1" x14ac:dyDescent="0.2">
      <c r="A394" s="1324"/>
      <c r="B394" s="631"/>
      <c r="C394" s="631"/>
      <c r="D394" s="1572">
        <f>D393</f>
        <v>1000</v>
      </c>
      <c r="E394" s="1573"/>
      <c r="F394" s="1574"/>
      <c r="G394" s="1572">
        <f>G393+D394</f>
        <v>1000</v>
      </c>
      <c r="H394" s="1573"/>
      <c r="I394" s="1574"/>
      <c r="J394" s="1572">
        <f>J393+G394</f>
        <v>1000</v>
      </c>
      <c r="K394" s="1573"/>
      <c r="L394" s="1574"/>
      <c r="M394" s="1572">
        <f>M393+J394</f>
        <v>1000</v>
      </c>
      <c r="N394" s="1573"/>
      <c r="O394" s="1574"/>
      <c r="P394" s="1572">
        <f>P393+M394</f>
        <v>1000</v>
      </c>
      <c r="Q394" s="1573"/>
      <c r="R394" s="1574"/>
      <c r="S394" s="1572">
        <f>S393+P394</f>
        <v>1000</v>
      </c>
      <c r="T394" s="1573"/>
      <c r="U394" s="1574"/>
      <c r="V394" s="1572">
        <f>V393+S394</f>
        <v>1000</v>
      </c>
      <c r="W394" s="1573"/>
      <c r="X394" s="1574"/>
      <c r="Y394" s="1572">
        <f>Y393+V394</f>
        <v>1000</v>
      </c>
      <c r="Z394" s="1573"/>
      <c r="AA394" s="1574"/>
      <c r="AB394" s="1572">
        <f>AB393+Y394</f>
        <v>1000</v>
      </c>
      <c r="AC394" s="1573"/>
      <c r="AD394" s="1574"/>
      <c r="AE394" s="1572">
        <f>AE393+AB394</f>
        <v>1000</v>
      </c>
      <c r="AF394" s="1573"/>
      <c r="AG394" s="1574"/>
      <c r="AH394" s="1572">
        <f>AH393+AE394</f>
        <v>1000</v>
      </c>
      <c r="AI394" s="1573"/>
      <c r="AJ394" s="1574"/>
      <c r="AK394" s="1572">
        <f>AK393+AH394</f>
        <v>1000</v>
      </c>
      <c r="AL394" s="1573"/>
      <c r="AM394" s="1574"/>
      <c r="AN394" s="33"/>
      <c r="AO394" s="33"/>
      <c r="AP394" s="33"/>
      <c r="AQ394" s="33"/>
      <c r="AR394" s="33"/>
      <c r="AS394" s="264"/>
      <c r="AT394" s="264"/>
      <c r="AU394" s="264"/>
      <c r="AV394" s="264"/>
      <c r="AW394" s="264"/>
      <c r="AX394" s="264"/>
      <c r="AY394" s="264"/>
      <c r="AZ394" s="264"/>
      <c r="BA394" s="264"/>
      <c r="BB394" s="264"/>
      <c r="BC394" s="264"/>
      <c r="BD394" s="264"/>
      <c r="BE394" s="264"/>
      <c r="BF394" s="264"/>
      <c r="BG394" s="264"/>
      <c r="BH394" s="264"/>
      <c r="BI394" s="264"/>
      <c r="BJ394" s="264"/>
      <c r="BK394" s="264"/>
      <c r="BL394" s="264"/>
    </row>
    <row r="395" spans="1:64" ht="18" hidden="1" customHeight="1" x14ac:dyDescent="0.2">
      <c r="A395" s="1324"/>
      <c r="B395" s="33"/>
      <c r="C395" s="33"/>
      <c r="D395" s="33"/>
      <c r="E395" s="33"/>
      <c r="F395" s="33"/>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324"/>
      <c r="AD395" s="1324"/>
      <c r="AE395" s="1324"/>
      <c r="AF395" s="1324"/>
      <c r="AG395" s="1324"/>
      <c r="AH395" s="1324"/>
      <c r="AI395" s="1324"/>
      <c r="AJ395" s="1324"/>
      <c r="AK395" s="1324"/>
      <c r="AL395" s="1324"/>
      <c r="AM395" s="1324"/>
      <c r="AN395" s="33"/>
      <c r="AO395" s="33"/>
      <c r="AP395" s="33"/>
      <c r="AQ395" s="33"/>
      <c r="AR395" s="33"/>
      <c r="AS395" s="264"/>
      <c r="AT395" s="264"/>
      <c r="AU395" s="264"/>
      <c r="AV395" s="264"/>
      <c r="AW395" s="264"/>
      <c r="AX395" s="264"/>
      <c r="AY395" s="264"/>
      <c r="AZ395" s="264"/>
      <c r="BA395" s="264"/>
      <c r="BB395" s="264"/>
      <c r="BC395" s="264"/>
      <c r="BD395" s="264"/>
      <c r="BE395" s="264"/>
      <c r="BF395" s="264"/>
      <c r="BG395" s="264"/>
      <c r="BH395" s="264"/>
      <c r="BI395" s="264"/>
      <c r="BJ395" s="264"/>
      <c r="BK395" s="264"/>
      <c r="BL395" s="264"/>
    </row>
    <row r="396" spans="1:64" ht="18" hidden="1" customHeight="1" x14ac:dyDescent="0.2">
      <c r="A396" s="1324"/>
      <c r="B396" s="1655" t="s">
        <v>538</v>
      </c>
      <c r="C396" s="1656"/>
      <c r="D396" s="1610" t="str">
        <f>D366</f>
        <v>Gennaio</v>
      </c>
      <c r="E396" s="1611"/>
      <c r="F396" s="1611"/>
      <c r="G396" s="1610" t="str">
        <f>G366</f>
        <v>Febbraio</v>
      </c>
      <c r="H396" s="1611"/>
      <c r="I396" s="1611"/>
      <c r="J396" s="1610" t="str">
        <f>J366</f>
        <v>Marzo</v>
      </c>
      <c r="K396" s="1611"/>
      <c r="L396" s="1611"/>
      <c r="M396" s="1610" t="str">
        <f>M366</f>
        <v>Aprile</v>
      </c>
      <c r="N396" s="1611"/>
      <c r="O396" s="1611"/>
      <c r="P396" s="1610" t="str">
        <f>P366</f>
        <v>Maggio</v>
      </c>
      <c r="Q396" s="1611"/>
      <c r="R396" s="1611"/>
      <c r="S396" s="1610" t="str">
        <f>S366</f>
        <v>Giugno</v>
      </c>
      <c r="T396" s="1611"/>
      <c r="U396" s="1611"/>
      <c r="V396" s="1610" t="str">
        <f>V366</f>
        <v>Luglio</v>
      </c>
      <c r="W396" s="1611"/>
      <c r="X396" s="1611"/>
      <c r="Y396" s="1610" t="str">
        <f>Y366</f>
        <v>Agosto</v>
      </c>
      <c r="Z396" s="1611"/>
      <c r="AA396" s="1611"/>
      <c r="AB396" s="1610" t="str">
        <f>AB366</f>
        <v>Settembre</v>
      </c>
      <c r="AC396" s="1611"/>
      <c r="AD396" s="1611"/>
      <c r="AE396" s="1610" t="str">
        <f>AE366</f>
        <v>Ottobre</v>
      </c>
      <c r="AF396" s="1611"/>
      <c r="AG396" s="1611"/>
      <c r="AH396" s="1610" t="str">
        <f>AH366</f>
        <v>Novembre</v>
      </c>
      <c r="AI396" s="1611"/>
      <c r="AJ396" s="1611"/>
      <c r="AK396" s="1610" t="str">
        <f>AK366</f>
        <v>Dicembre</v>
      </c>
      <c r="AL396" s="1611"/>
      <c r="AM396" s="1667"/>
      <c r="AN396" s="33"/>
      <c r="AO396" s="33"/>
      <c r="AP396" s="33"/>
      <c r="AQ396" s="33"/>
      <c r="AR396" s="33"/>
      <c r="AS396" s="264"/>
      <c r="AT396" s="264"/>
      <c r="AU396" s="264"/>
      <c r="AV396" s="264"/>
      <c r="AW396" s="264"/>
      <c r="AX396" s="264"/>
      <c r="AY396" s="264"/>
      <c r="AZ396" s="264"/>
      <c r="BA396" s="264"/>
      <c r="BB396" s="264"/>
      <c r="BC396" s="264"/>
      <c r="BD396" s="264"/>
      <c r="BE396" s="264"/>
      <c r="BF396" s="264"/>
      <c r="BG396" s="264"/>
      <c r="BH396" s="264"/>
      <c r="BI396" s="264"/>
      <c r="BJ396" s="264"/>
      <c r="BK396" s="264"/>
      <c r="BL396" s="264"/>
    </row>
    <row r="397" spans="1:64" ht="18" hidden="1" customHeight="1" x14ac:dyDescent="0.2">
      <c r="A397" s="1324"/>
      <c r="B397" s="1337">
        <f t="shared" ref="B397:C406" si="167">B367</f>
        <v>0</v>
      </c>
      <c r="C397" s="1326" t="str">
        <f t="shared" si="167"/>
        <v>01</v>
      </c>
      <c r="D397" s="1647">
        <f>SUMIF(GEN!$G$126:$M$126,$C397,GEN!$G$122:$M$122)</f>
        <v>0</v>
      </c>
      <c r="E397" s="1626"/>
      <c r="F397" s="1627"/>
      <c r="G397" s="1625">
        <f>SUMIF(FEB!$G$126:$M$126,$C397,FEB!$G$122:$M$122)</f>
        <v>0</v>
      </c>
      <c r="H397" s="1626"/>
      <c r="I397" s="1627"/>
      <c r="J397" s="1625">
        <f>SUMIF(MAR!$G$126:$M$126,$C397,MAR!$G$122:$M$122)</f>
        <v>0</v>
      </c>
      <c r="K397" s="1626"/>
      <c r="L397" s="1627"/>
      <c r="M397" s="1625">
        <f>SUMIF(APR!$G$126:$M$126,$C397,APR!$G$122:$M$122)</f>
        <v>0</v>
      </c>
      <c r="N397" s="1626"/>
      <c r="O397" s="1627"/>
      <c r="P397" s="1625">
        <f>SUMIF(MAG!$G$126:$M$126,$C397,MAG!$G$122:$M$122)</f>
        <v>0</v>
      </c>
      <c r="Q397" s="1626"/>
      <c r="R397" s="1627"/>
      <c r="S397" s="1625">
        <f>SUMIF(GIU!$G$126:$M$126,$C397,GIU!$G$122:$M$122)</f>
        <v>0</v>
      </c>
      <c r="T397" s="1626"/>
      <c r="U397" s="1627"/>
      <c r="V397" s="1625">
        <f>SUMIF(LUG!$G$126:$M$126,$C397,LUG!$G$122:$M$122)</f>
        <v>0</v>
      </c>
      <c r="W397" s="1626"/>
      <c r="X397" s="1627"/>
      <c r="Y397" s="1625">
        <f>SUMIF(AGO!$G$126:$M$126,$C397,AGO!$G$122:$M$122)</f>
        <v>0</v>
      </c>
      <c r="Z397" s="1626"/>
      <c r="AA397" s="1627"/>
      <c r="AB397" s="1625">
        <f>SUMIF(SET!$G$126:$M$126,$C397,SET!$G$122:$M$122)</f>
        <v>0</v>
      </c>
      <c r="AC397" s="1626"/>
      <c r="AD397" s="1627"/>
      <c r="AE397" s="1625">
        <f>SUMIF(OTT!$G$126:$M$126,$C397,OTT!$G$122:$M$122)</f>
        <v>0</v>
      </c>
      <c r="AF397" s="1626"/>
      <c r="AG397" s="1627"/>
      <c r="AH397" s="1625">
        <f>SUMIF(NOV!$G$126:$M$126,$C397,NOV!$G$122:$M$122)</f>
        <v>0</v>
      </c>
      <c r="AI397" s="1626"/>
      <c r="AJ397" s="1627"/>
      <c r="AK397" s="1625">
        <f>SUMIF(DIC!$G$126:$M$126,$C397,DIC!$G$122:$M$122)</f>
        <v>0</v>
      </c>
      <c r="AL397" s="1626"/>
      <c r="AM397" s="1631"/>
      <c r="AN397" s="1573">
        <f>SUM(D397:AM397)</f>
        <v>0</v>
      </c>
      <c r="AO397" s="1573"/>
      <c r="AP397" s="1574"/>
      <c r="AQ397" s="33"/>
      <c r="AR397" s="33"/>
      <c r="AS397" s="264"/>
      <c r="AT397" s="264"/>
      <c r="AU397" s="264"/>
      <c r="AV397" s="264"/>
      <c r="AW397" s="264"/>
      <c r="AX397" s="264"/>
      <c r="AY397" s="264"/>
      <c r="AZ397" s="264"/>
      <c r="BA397" s="264"/>
      <c r="BB397" s="264"/>
      <c r="BC397" s="264"/>
      <c r="BD397" s="264"/>
      <c r="BE397" s="264"/>
      <c r="BF397" s="264"/>
      <c r="BG397" s="264"/>
      <c r="BH397" s="264"/>
      <c r="BI397" s="264"/>
      <c r="BJ397" s="264"/>
      <c r="BK397" s="264"/>
      <c r="BL397" s="264"/>
    </row>
    <row r="398" spans="1:64" ht="18" hidden="1" customHeight="1" x14ac:dyDescent="0.2">
      <c r="A398" s="1324"/>
      <c r="B398" s="1337">
        <f t="shared" si="167"/>
        <v>0</v>
      </c>
      <c r="C398" s="1326" t="str">
        <f t="shared" si="167"/>
        <v>02</v>
      </c>
      <c r="D398" s="1639">
        <f>SUMIF(GEN!$G$126:$M$126,$C398,GEN!$G$122:$M$122)</f>
        <v>0</v>
      </c>
      <c r="E398" s="1573"/>
      <c r="F398" s="1574"/>
      <c r="G398" s="1572">
        <f>SUMIF(FEB!$G$126:$M$126,$C398,FEB!$G$122:$M$122)</f>
        <v>0</v>
      </c>
      <c r="H398" s="1573"/>
      <c r="I398" s="1574"/>
      <c r="J398" s="1572">
        <f>SUMIF(MAR!$G$126:$M$126,$C398,MAR!$G$122:$M$122)</f>
        <v>0</v>
      </c>
      <c r="K398" s="1573"/>
      <c r="L398" s="1574"/>
      <c r="M398" s="1572">
        <f>SUMIF(APR!$G$126:$M$126,$C398,APR!$G$122:$M$122)</f>
        <v>0</v>
      </c>
      <c r="N398" s="1573"/>
      <c r="O398" s="1574"/>
      <c r="P398" s="1572">
        <f>SUMIF(MAG!$G$126:$M$126,$C398,MAG!$G$122:$M$122)</f>
        <v>0</v>
      </c>
      <c r="Q398" s="1573"/>
      <c r="R398" s="1574"/>
      <c r="S398" s="1572">
        <f>SUMIF(GIU!$G$126:$M$126,$C398,GIU!$G$122:$M$122)</f>
        <v>0</v>
      </c>
      <c r="T398" s="1573"/>
      <c r="U398" s="1574"/>
      <c r="V398" s="1572">
        <f>SUMIF(LUG!$G$126:$M$126,$C398,LUG!$G$122:$M$122)</f>
        <v>0</v>
      </c>
      <c r="W398" s="1573"/>
      <c r="X398" s="1574"/>
      <c r="Y398" s="1572">
        <f>SUMIF(AGO!$G$126:$M$126,$C398,AGO!$G$122:$M$122)</f>
        <v>0</v>
      </c>
      <c r="Z398" s="1573"/>
      <c r="AA398" s="1574"/>
      <c r="AB398" s="1572">
        <f>SUMIF(SET!$G$126:$M$126,$C398,SET!$G$122:$M$122)</f>
        <v>0</v>
      </c>
      <c r="AC398" s="1573"/>
      <c r="AD398" s="1574"/>
      <c r="AE398" s="1572">
        <f>SUMIF(OTT!$G$126:$M$126,$C398,OTT!$G$122:$M$122)</f>
        <v>0</v>
      </c>
      <c r="AF398" s="1573"/>
      <c r="AG398" s="1574"/>
      <c r="AH398" s="1572">
        <f>SUMIF(NOV!$G$126:$M$126,$C398,NOV!$G$122:$M$122)</f>
        <v>0</v>
      </c>
      <c r="AI398" s="1573"/>
      <c r="AJ398" s="1574"/>
      <c r="AK398" s="1572">
        <f>SUMIF(DIC!$G$126:$M$126,$C398,DIC!$G$122:$M$122)</f>
        <v>0</v>
      </c>
      <c r="AL398" s="1573"/>
      <c r="AM398" s="1609"/>
      <c r="AN398" s="1573">
        <f t="shared" ref="AN398:AN404" si="168">SUM(D398:AM398)</f>
        <v>0</v>
      </c>
      <c r="AO398" s="1573"/>
      <c r="AP398" s="1574"/>
      <c r="AQ398" s="33"/>
      <c r="AR398" s="33"/>
      <c r="AS398" s="264"/>
      <c r="AT398" s="264"/>
      <c r="AU398" s="264"/>
      <c r="AV398" s="264"/>
      <c r="AW398" s="264"/>
      <c r="AX398" s="264"/>
      <c r="AY398" s="264"/>
      <c r="AZ398" s="264"/>
      <c r="BA398" s="264"/>
      <c r="BB398" s="264"/>
      <c r="BC398" s="264"/>
      <c r="BD398" s="264"/>
      <c r="BE398" s="264"/>
      <c r="BF398" s="264"/>
      <c r="BG398" s="264"/>
      <c r="BH398" s="264"/>
      <c r="BI398" s="264"/>
      <c r="BJ398" s="264"/>
      <c r="BK398" s="264"/>
      <c r="BL398" s="264"/>
    </row>
    <row r="399" spans="1:64" ht="18" hidden="1" customHeight="1" x14ac:dyDescent="0.2">
      <c r="A399" s="1324"/>
      <c r="B399" s="1337">
        <f t="shared" si="167"/>
        <v>0</v>
      </c>
      <c r="C399" s="1326" t="str">
        <f t="shared" si="167"/>
        <v>03</v>
      </c>
      <c r="D399" s="1639">
        <f>SUMIF(GEN!$G$126:$M$126,$C399,GEN!$G$122:$M$122)</f>
        <v>0</v>
      </c>
      <c r="E399" s="1573"/>
      <c r="F399" s="1574"/>
      <c r="G399" s="1572">
        <f>SUMIF(FEB!$G$126:$M$126,$C399,FEB!$G$122:$M$122)</f>
        <v>0</v>
      </c>
      <c r="H399" s="1573"/>
      <c r="I399" s="1574"/>
      <c r="J399" s="1572">
        <f>SUMIF(MAR!$G$126:$M$126,$C399,MAR!$G$122:$M$122)</f>
        <v>0</v>
      </c>
      <c r="K399" s="1573"/>
      <c r="L399" s="1574"/>
      <c r="M399" s="1572">
        <f>SUMIF(APR!$G$126:$M$126,$C399,APR!$G$122:$M$122)</f>
        <v>0</v>
      </c>
      <c r="N399" s="1573"/>
      <c r="O399" s="1574"/>
      <c r="P399" s="1572">
        <f>SUMIF(MAG!$G$126:$M$126,$C399,MAG!$G$122:$M$122)</f>
        <v>0</v>
      </c>
      <c r="Q399" s="1573"/>
      <c r="R399" s="1574"/>
      <c r="S399" s="1572">
        <f>SUMIF(GIU!$G$126:$M$126,$C399,GIU!$G$122:$M$122)</f>
        <v>0</v>
      </c>
      <c r="T399" s="1573"/>
      <c r="U399" s="1574"/>
      <c r="V399" s="1572">
        <f>SUMIF(LUG!$G$126:$M$126,$C399,LUG!$G$122:$M$122)</f>
        <v>0</v>
      </c>
      <c r="W399" s="1573"/>
      <c r="X399" s="1574"/>
      <c r="Y399" s="1572">
        <f>SUMIF(AGO!$G$126:$M$126,$C399,AGO!$G$122:$M$122)</f>
        <v>0</v>
      </c>
      <c r="Z399" s="1573"/>
      <c r="AA399" s="1574"/>
      <c r="AB399" s="1572">
        <f>SUMIF(SET!$G$126:$M$126,$C399,SET!$G$122:$M$122)</f>
        <v>0</v>
      </c>
      <c r="AC399" s="1573"/>
      <c r="AD399" s="1574"/>
      <c r="AE399" s="1572">
        <f>SUMIF(OTT!$G$126:$M$126,$C399,OTT!$G$122:$M$122)</f>
        <v>0</v>
      </c>
      <c r="AF399" s="1573"/>
      <c r="AG399" s="1574"/>
      <c r="AH399" s="1572">
        <f>SUMIF(NOV!$G$126:$M$126,$C399,NOV!$G$122:$M$122)</f>
        <v>0</v>
      </c>
      <c r="AI399" s="1573"/>
      <c r="AJ399" s="1574"/>
      <c r="AK399" s="1572">
        <f>SUMIF(DIC!$G$126:$M$126,$C399,DIC!$G$122:$M$122)</f>
        <v>0</v>
      </c>
      <c r="AL399" s="1573"/>
      <c r="AM399" s="1609"/>
      <c r="AN399" s="1573">
        <f t="shared" si="168"/>
        <v>0</v>
      </c>
      <c r="AO399" s="1573"/>
      <c r="AP399" s="1574"/>
      <c r="AQ399" s="33"/>
      <c r="AR399" s="33"/>
      <c r="AS399" s="264"/>
      <c r="AT399" s="264"/>
      <c r="AU399" s="264"/>
      <c r="AV399" s="264"/>
      <c r="AW399" s="264"/>
      <c r="AX399" s="264"/>
      <c r="AY399" s="264"/>
      <c r="AZ399" s="264"/>
      <c r="BA399" s="264"/>
      <c r="BB399" s="264"/>
      <c r="BC399" s="264"/>
      <c r="BD399" s="264"/>
      <c r="BE399" s="264"/>
      <c r="BF399" s="264"/>
      <c r="BG399" s="264"/>
      <c r="BH399" s="264"/>
      <c r="BI399" s="264"/>
      <c r="BJ399" s="264"/>
      <c r="BK399" s="264"/>
      <c r="BL399" s="264"/>
    </row>
    <row r="400" spans="1:64" ht="18" hidden="1" customHeight="1" x14ac:dyDescent="0.2">
      <c r="A400" s="1324"/>
      <c r="B400" s="1337">
        <f t="shared" si="167"/>
        <v>0</v>
      </c>
      <c r="C400" s="1326" t="str">
        <f t="shared" si="167"/>
        <v>04</v>
      </c>
      <c r="D400" s="1639">
        <f>SUMIF(GEN!$G$126:$M$126,$C400,GEN!$G$122:$M$122)</f>
        <v>0</v>
      </c>
      <c r="E400" s="1573"/>
      <c r="F400" s="1574"/>
      <c r="G400" s="1572">
        <f>SUMIF(FEB!$G$126:$M$126,$C400,FEB!$G$122:$M$122)</f>
        <v>0</v>
      </c>
      <c r="H400" s="1573"/>
      <c r="I400" s="1574"/>
      <c r="J400" s="1572">
        <f>SUMIF(MAR!$G$126:$M$126,$C400,MAR!$G$122:$M$122)</f>
        <v>0</v>
      </c>
      <c r="K400" s="1573"/>
      <c r="L400" s="1574"/>
      <c r="M400" s="1572">
        <f>SUMIF(APR!$G$126:$M$126,$C400,APR!$G$122:$M$122)</f>
        <v>0</v>
      </c>
      <c r="N400" s="1573"/>
      <c r="O400" s="1574"/>
      <c r="P400" s="1572">
        <f>SUMIF(MAG!$G$126:$M$126,$C400,MAG!$G$122:$M$122)</f>
        <v>0</v>
      </c>
      <c r="Q400" s="1573"/>
      <c r="R400" s="1574"/>
      <c r="S400" s="1572">
        <f>SUMIF(GIU!$G$126:$M$126,$C400,GIU!$G$122:$M$122)</f>
        <v>0</v>
      </c>
      <c r="T400" s="1573"/>
      <c r="U400" s="1574"/>
      <c r="V400" s="1572">
        <f>SUMIF(LUG!$G$126:$M$126,$C400,LUG!$G$122:$M$122)</f>
        <v>0</v>
      </c>
      <c r="W400" s="1573"/>
      <c r="X400" s="1574"/>
      <c r="Y400" s="1572">
        <f>SUMIF(AGO!$G$126:$M$126,$C400,AGO!$G$122:$M$122)</f>
        <v>0</v>
      </c>
      <c r="Z400" s="1573"/>
      <c r="AA400" s="1574"/>
      <c r="AB400" s="1572">
        <f>SUMIF(SET!$G$126:$M$126,$C400,SET!$G$122:$M$122)</f>
        <v>0</v>
      </c>
      <c r="AC400" s="1573"/>
      <c r="AD400" s="1574"/>
      <c r="AE400" s="1572">
        <f>SUMIF(OTT!$G$126:$M$126,$C400,OTT!$G$122:$M$122)</f>
        <v>0</v>
      </c>
      <c r="AF400" s="1573"/>
      <c r="AG400" s="1574"/>
      <c r="AH400" s="1572">
        <f>SUMIF(NOV!$G$126:$M$126,$C400,NOV!$G$122:$M$122)</f>
        <v>0</v>
      </c>
      <c r="AI400" s="1573"/>
      <c r="AJ400" s="1574"/>
      <c r="AK400" s="1572">
        <f>SUMIF(DIC!$G$126:$M$126,$C400,DIC!$G$122:$M$122)</f>
        <v>0</v>
      </c>
      <c r="AL400" s="1573"/>
      <c r="AM400" s="1609"/>
      <c r="AN400" s="1573">
        <f t="shared" si="168"/>
        <v>0</v>
      </c>
      <c r="AO400" s="1573"/>
      <c r="AP400" s="1574"/>
      <c r="AQ400" s="33"/>
      <c r="AR400" s="33"/>
      <c r="AS400" s="264"/>
      <c r="AT400" s="264"/>
      <c r="AU400" s="264"/>
      <c r="AV400" s="264"/>
      <c r="AW400" s="264"/>
      <c r="AX400" s="264"/>
      <c r="AY400" s="264"/>
      <c r="AZ400" s="264"/>
      <c r="BA400" s="264"/>
      <c r="BB400" s="264"/>
      <c r="BC400" s="264"/>
      <c r="BD400" s="264"/>
      <c r="BE400" s="264"/>
      <c r="BF400" s="264"/>
      <c r="BG400" s="264"/>
      <c r="BH400" s="264"/>
      <c r="BI400" s="264"/>
      <c r="BJ400" s="264"/>
      <c r="BK400" s="264"/>
      <c r="BL400" s="264"/>
    </row>
    <row r="401" spans="1:64" ht="18" hidden="1" customHeight="1" x14ac:dyDescent="0.2">
      <c r="A401" s="1324"/>
      <c r="B401" s="1337">
        <f t="shared" si="167"/>
        <v>0</v>
      </c>
      <c r="C401" s="1326" t="str">
        <f t="shared" si="167"/>
        <v>05</v>
      </c>
      <c r="D401" s="1639">
        <f>SUMIF(GEN!$G$126:$M$126,$C401,GEN!$G$122:$M$122)</f>
        <v>0</v>
      </c>
      <c r="E401" s="1573"/>
      <c r="F401" s="1574"/>
      <c r="G401" s="1572">
        <f>SUMIF(FEB!$G$126:$M$126,$C401,FEB!$G$122:$M$122)</f>
        <v>0</v>
      </c>
      <c r="H401" s="1573"/>
      <c r="I401" s="1574"/>
      <c r="J401" s="1572">
        <f>SUMIF(MAR!$G$126:$M$126,$C401,MAR!$G$122:$M$122)</f>
        <v>0</v>
      </c>
      <c r="K401" s="1573"/>
      <c r="L401" s="1574"/>
      <c r="M401" s="1572">
        <f>SUMIF(APR!$G$126:$M$126,$C401,APR!$G$122:$M$122)</f>
        <v>0</v>
      </c>
      <c r="N401" s="1573"/>
      <c r="O401" s="1574"/>
      <c r="P401" s="1572">
        <f>SUMIF(MAG!$G$126:$M$126,$C401,MAG!$G$122:$M$122)</f>
        <v>0</v>
      </c>
      <c r="Q401" s="1573"/>
      <c r="R401" s="1574"/>
      <c r="S401" s="1572">
        <f>SUMIF(GIU!$G$126:$M$126,$C401,GIU!$G$122:$M$122)</f>
        <v>0</v>
      </c>
      <c r="T401" s="1573"/>
      <c r="U401" s="1574"/>
      <c r="V401" s="1572">
        <f>SUMIF(LUG!$G$126:$M$126,$C401,LUG!$G$122:$M$122)</f>
        <v>0</v>
      </c>
      <c r="W401" s="1573"/>
      <c r="X401" s="1574"/>
      <c r="Y401" s="1572">
        <f>SUMIF(AGO!$G$126:$M$126,$C401,AGO!$G$122:$M$122)</f>
        <v>0</v>
      </c>
      <c r="Z401" s="1573"/>
      <c r="AA401" s="1574"/>
      <c r="AB401" s="1572">
        <f>SUMIF(SET!$G$126:$M$126,$C401,SET!$G$122:$M$122)</f>
        <v>0</v>
      </c>
      <c r="AC401" s="1573"/>
      <c r="AD401" s="1574"/>
      <c r="AE401" s="1572">
        <f>SUMIF(OTT!$G$126:$M$126,$C401,OTT!$G$122:$M$122)</f>
        <v>0</v>
      </c>
      <c r="AF401" s="1573"/>
      <c r="AG401" s="1574"/>
      <c r="AH401" s="1572">
        <f>SUMIF(NOV!$G$126:$M$126,$C401,NOV!$G$122:$M$122)</f>
        <v>0</v>
      </c>
      <c r="AI401" s="1573"/>
      <c r="AJ401" s="1574"/>
      <c r="AK401" s="1572">
        <f>SUMIF(DIC!$G$126:$M$126,$C401,DIC!$G$122:$M$122)</f>
        <v>0</v>
      </c>
      <c r="AL401" s="1573"/>
      <c r="AM401" s="1609"/>
      <c r="AN401" s="1573">
        <f t="shared" si="168"/>
        <v>0</v>
      </c>
      <c r="AO401" s="1573"/>
      <c r="AP401" s="1574"/>
      <c r="AQ401" s="33"/>
      <c r="AR401" s="33"/>
      <c r="AS401" s="264"/>
      <c r="AT401" s="264"/>
      <c r="AU401" s="264"/>
      <c r="AV401" s="264"/>
      <c r="AW401" s="264"/>
      <c r="AX401" s="264"/>
      <c r="AY401" s="264"/>
      <c r="AZ401" s="264"/>
      <c r="BA401" s="264"/>
      <c r="BB401" s="264"/>
      <c r="BC401" s="264"/>
      <c r="BD401" s="264"/>
      <c r="BE401" s="264"/>
      <c r="BF401" s="264"/>
      <c r="BG401" s="264"/>
      <c r="BH401" s="264"/>
      <c r="BI401" s="264"/>
      <c r="BJ401" s="264"/>
      <c r="BK401" s="264"/>
      <c r="BL401" s="264"/>
    </row>
    <row r="402" spans="1:64" ht="18" hidden="1" customHeight="1" x14ac:dyDescent="0.2">
      <c r="A402" s="1324"/>
      <c r="B402" s="1337">
        <f t="shared" si="167"/>
        <v>0</v>
      </c>
      <c r="C402" s="1326" t="str">
        <f t="shared" si="167"/>
        <v>06</v>
      </c>
      <c r="D402" s="1639">
        <f>SUMIF(GEN!$G$126:$M$126,$C402,GEN!$G$122:$M$122)</f>
        <v>0</v>
      </c>
      <c r="E402" s="1573"/>
      <c r="F402" s="1574"/>
      <c r="G402" s="1572">
        <f>SUMIF(FEB!$G$126:$M$126,$C402,FEB!$G$122:$M$122)</f>
        <v>0</v>
      </c>
      <c r="H402" s="1573"/>
      <c r="I402" s="1574"/>
      <c r="J402" s="1572">
        <f>SUMIF(MAR!$G$126:$M$126,$C402,MAR!$G$122:$M$122)</f>
        <v>0</v>
      </c>
      <c r="K402" s="1573"/>
      <c r="L402" s="1574"/>
      <c r="M402" s="1572">
        <f>SUMIF(APR!$G$126:$M$126,$C402,APR!$G$122:$M$122)</f>
        <v>0</v>
      </c>
      <c r="N402" s="1573"/>
      <c r="O402" s="1574"/>
      <c r="P402" s="1572">
        <f>SUMIF(MAG!$G$126:$M$126,$C402,MAG!$G$122:$M$122)</f>
        <v>0</v>
      </c>
      <c r="Q402" s="1573"/>
      <c r="R402" s="1574"/>
      <c r="S402" s="1572">
        <f>SUMIF(GIU!$G$126:$M$126,$C402,GIU!$G$122:$M$122)</f>
        <v>0</v>
      </c>
      <c r="T402" s="1573"/>
      <c r="U402" s="1574"/>
      <c r="V402" s="1572">
        <f>SUMIF(LUG!$G$126:$M$126,$C402,LUG!$G$122:$M$122)</f>
        <v>0</v>
      </c>
      <c r="W402" s="1573"/>
      <c r="X402" s="1574"/>
      <c r="Y402" s="1572">
        <f>SUMIF(AGO!$G$126:$M$126,$C402,AGO!$G$122:$M$122)</f>
        <v>0</v>
      </c>
      <c r="Z402" s="1573"/>
      <c r="AA402" s="1574"/>
      <c r="AB402" s="1572">
        <f>SUMIF(SET!$G$126:$M$126,$C402,SET!$G$122:$M$122)</f>
        <v>0</v>
      </c>
      <c r="AC402" s="1573"/>
      <c r="AD402" s="1574"/>
      <c r="AE402" s="1572">
        <f>SUMIF(OTT!$G$126:$M$126,$C402,OTT!$G$122:$M$122)</f>
        <v>0</v>
      </c>
      <c r="AF402" s="1573"/>
      <c r="AG402" s="1574"/>
      <c r="AH402" s="1572">
        <f>SUMIF(NOV!$G$126:$M$126,$C402,NOV!$G$122:$M$122)</f>
        <v>0</v>
      </c>
      <c r="AI402" s="1573"/>
      <c r="AJ402" s="1574"/>
      <c r="AK402" s="1572">
        <f>SUMIF(DIC!$G$126:$M$126,$C402,DIC!$G$122:$M$122)</f>
        <v>0</v>
      </c>
      <c r="AL402" s="1573"/>
      <c r="AM402" s="1609"/>
      <c r="AN402" s="1573">
        <f t="shared" si="168"/>
        <v>0</v>
      </c>
      <c r="AO402" s="1573"/>
      <c r="AP402" s="1574"/>
      <c r="AQ402" s="33"/>
      <c r="AR402" s="33"/>
      <c r="AS402" s="264"/>
      <c r="AT402" s="264"/>
      <c r="AU402" s="264"/>
      <c r="AV402" s="264"/>
      <c r="AW402" s="264"/>
      <c r="AX402" s="264"/>
      <c r="AY402" s="264"/>
      <c r="AZ402" s="264"/>
      <c r="BA402" s="264"/>
      <c r="BB402" s="264"/>
      <c r="BC402" s="264"/>
      <c r="BD402" s="264"/>
      <c r="BE402" s="264"/>
      <c r="BF402" s="264"/>
      <c r="BG402" s="264"/>
      <c r="BH402" s="264"/>
      <c r="BI402" s="264"/>
      <c r="BJ402" s="264"/>
      <c r="BK402" s="264"/>
      <c r="BL402" s="264"/>
    </row>
    <row r="403" spans="1:64" ht="18" hidden="1" customHeight="1" x14ac:dyDescent="0.2">
      <c r="A403" s="1324"/>
      <c r="B403" s="1337">
        <f t="shared" si="167"/>
        <v>0</v>
      </c>
      <c r="C403" s="1326" t="str">
        <f t="shared" si="167"/>
        <v>07</v>
      </c>
      <c r="D403" s="1639">
        <f>SUMIF(GEN!$G$126:$M$126,$C403,GEN!$G$122:$M$122)</f>
        <v>0</v>
      </c>
      <c r="E403" s="1573"/>
      <c r="F403" s="1574"/>
      <c r="G403" s="1572">
        <f>SUMIF(FEB!$G$126:$M$126,$C403,FEB!$G$122:$M$122)</f>
        <v>0</v>
      </c>
      <c r="H403" s="1573"/>
      <c r="I403" s="1574"/>
      <c r="J403" s="1572">
        <f>SUMIF(MAR!$G$126:$M$126,$C403,MAR!$G$122:$M$122)</f>
        <v>0</v>
      </c>
      <c r="K403" s="1573"/>
      <c r="L403" s="1574"/>
      <c r="M403" s="1572">
        <f>SUMIF(APR!$G$126:$M$126,$C403,APR!$G$122:$M$122)</f>
        <v>0</v>
      </c>
      <c r="N403" s="1573"/>
      <c r="O403" s="1574"/>
      <c r="P403" s="1572">
        <f>SUMIF(MAG!$G$126:$M$126,$C403,MAG!$G$122:$M$122)</f>
        <v>0</v>
      </c>
      <c r="Q403" s="1573"/>
      <c r="R403" s="1574"/>
      <c r="S403" s="1572">
        <f>SUMIF(GIU!$G$126:$M$126,$C403,GIU!$G$122:$M$122)</f>
        <v>0</v>
      </c>
      <c r="T403" s="1573"/>
      <c r="U403" s="1574"/>
      <c r="V403" s="1572">
        <f>SUMIF(LUG!$G$126:$M$126,$C403,LUG!$G$122:$M$122)</f>
        <v>0</v>
      </c>
      <c r="W403" s="1573"/>
      <c r="X403" s="1574"/>
      <c r="Y403" s="1572">
        <f>SUMIF(AGO!$G$126:$M$126,$C403,AGO!$G$122:$M$122)</f>
        <v>0</v>
      </c>
      <c r="Z403" s="1573"/>
      <c r="AA403" s="1574"/>
      <c r="AB403" s="1572">
        <f>SUMIF(SET!$G$126:$M$126,$C403,SET!$G$122:$M$122)</f>
        <v>0</v>
      </c>
      <c r="AC403" s="1573"/>
      <c r="AD403" s="1574"/>
      <c r="AE403" s="1572">
        <f>SUMIF(OTT!$G$126:$M$126,$C403,OTT!$G$122:$M$122)</f>
        <v>0</v>
      </c>
      <c r="AF403" s="1573"/>
      <c r="AG403" s="1574"/>
      <c r="AH403" s="1572">
        <f>SUMIF(NOV!$G$126:$M$126,$C403,NOV!$G$122:$M$122)</f>
        <v>0</v>
      </c>
      <c r="AI403" s="1573"/>
      <c r="AJ403" s="1574"/>
      <c r="AK403" s="1572">
        <f>SUMIF(DIC!$G$126:$M$126,$C403,DIC!$G$122:$M$122)</f>
        <v>0</v>
      </c>
      <c r="AL403" s="1573"/>
      <c r="AM403" s="1609"/>
      <c r="AN403" s="1573">
        <f t="shared" si="168"/>
        <v>0</v>
      </c>
      <c r="AO403" s="1573"/>
      <c r="AP403" s="1574"/>
      <c r="AQ403" s="33"/>
      <c r="AR403" s="33"/>
      <c r="AS403" s="264"/>
      <c r="AT403" s="264"/>
      <c r="AU403" s="264"/>
      <c r="AV403" s="264"/>
      <c r="AW403" s="264"/>
      <c r="AX403" s="264"/>
      <c r="AY403" s="264"/>
      <c r="AZ403" s="264"/>
      <c r="BA403" s="264"/>
      <c r="BB403" s="264"/>
      <c r="BC403" s="264"/>
      <c r="BD403" s="264"/>
      <c r="BE403" s="264"/>
      <c r="BF403" s="264"/>
      <c r="BG403" s="264"/>
      <c r="BH403" s="264"/>
      <c r="BI403" s="264"/>
      <c r="BJ403" s="264"/>
      <c r="BK403" s="264"/>
      <c r="BL403" s="264"/>
    </row>
    <row r="404" spans="1:64" ht="18" hidden="1" customHeight="1" x14ac:dyDescent="0.2">
      <c r="A404" s="1324"/>
      <c r="B404" s="1337">
        <f t="shared" si="167"/>
        <v>0</v>
      </c>
      <c r="C404" s="1326" t="str">
        <f t="shared" si="167"/>
        <v>08</v>
      </c>
      <c r="D404" s="1639">
        <f>SUMIF(GEN!$G$126:$M$126,$C404,GEN!$G$122:$M$122)</f>
        <v>0</v>
      </c>
      <c r="E404" s="1573"/>
      <c r="F404" s="1574"/>
      <c r="G404" s="1572">
        <f>SUMIF(FEB!$G$126:$M$126,$C404,FEB!$G$122:$M$122)</f>
        <v>0</v>
      </c>
      <c r="H404" s="1573"/>
      <c r="I404" s="1574"/>
      <c r="J404" s="1572">
        <f>SUMIF(MAR!$G$126:$M$126,$C404,MAR!$G$122:$M$122)</f>
        <v>0</v>
      </c>
      <c r="K404" s="1573"/>
      <c r="L404" s="1574"/>
      <c r="M404" s="1572">
        <f>SUMIF(APR!$G$126:$M$126,$C404,APR!$G$122:$M$122)</f>
        <v>0</v>
      </c>
      <c r="N404" s="1573"/>
      <c r="O404" s="1574"/>
      <c r="P404" s="1572">
        <f>SUMIF(MAG!$G$126:$M$126,$C404,MAG!$G$122:$M$122)</f>
        <v>0</v>
      </c>
      <c r="Q404" s="1573"/>
      <c r="R404" s="1574"/>
      <c r="S404" s="1572">
        <f>SUMIF(GIU!$G$126:$M$126,$C404,GIU!$G$122:$M$122)</f>
        <v>0</v>
      </c>
      <c r="T404" s="1573"/>
      <c r="U404" s="1574"/>
      <c r="V404" s="1572">
        <f>SUMIF(LUG!$G$126:$M$126,$C404,LUG!$G$122:$M$122)</f>
        <v>0</v>
      </c>
      <c r="W404" s="1573"/>
      <c r="X404" s="1574"/>
      <c r="Y404" s="1572">
        <f>SUMIF(AGO!$G$126:$M$126,$C404,AGO!$G$122:$M$122)</f>
        <v>0</v>
      </c>
      <c r="Z404" s="1573"/>
      <c r="AA404" s="1574"/>
      <c r="AB404" s="1572">
        <f>SUMIF(SET!$G$126:$M$126,$C404,SET!$G$122:$M$122)</f>
        <v>0</v>
      </c>
      <c r="AC404" s="1573"/>
      <c r="AD404" s="1574"/>
      <c r="AE404" s="1572">
        <f>SUMIF(OTT!$G$126:$M$126,$C404,OTT!$G$122:$M$122)</f>
        <v>0</v>
      </c>
      <c r="AF404" s="1573"/>
      <c r="AG404" s="1574"/>
      <c r="AH404" s="1572">
        <f>SUMIF(NOV!$G$126:$M$126,$C404,NOV!$G$122:$M$122)</f>
        <v>0</v>
      </c>
      <c r="AI404" s="1573"/>
      <c r="AJ404" s="1574"/>
      <c r="AK404" s="1572">
        <f>SUMIF(DIC!$G$126:$M$126,$C404,DIC!$G$122:$M$122)</f>
        <v>0</v>
      </c>
      <c r="AL404" s="1573"/>
      <c r="AM404" s="1609"/>
      <c r="AN404" s="1573">
        <f t="shared" si="168"/>
        <v>0</v>
      </c>
      <c r="AO404" s="1573"/>
      <c r="AP404" s="1574"/>
      <c r="AQ404" s="33"/>
      <c r="AR404" s="33"/>
      <c r="AS404" s="264"/>
      <c r="AT404" s="264"/>
      <c r="AU404" s="264"/>
      <c r="AV404" s="264"/>
      <c r="AW404" s="264"/>
      <c r="AX404" s="264"/>
      <c r="AY404" s="264"/>
      <c r="AZ404" s="264"/>
      <c r="BA404" s="264"/>
      <c r="BB404" s="264"/>
      <c r="BC404" s="264"/>
      <c r="BD404" s="264"/>
      <c r="BE404" s="264"/>
      <c r="BF404" s="264"/>
      <c r="BG404" s="264"/>
      <c r="BH404" s="264"/>
      <c r="BI404" s="264"/>
      <c r="BJ404" s="264"/>
      <c r="BK404" s="264"/>
      <c r="BL404" s="264"/>
    </row>
    <row r="405" spans="1:64" ht="18" hidden="1" customHeight="1" x14ac:dyDescent="0.2">
      <c r="A405" s="1324"/>
      <c r="B405" s="1337">
        <f t="shared" si="167"/>
        <v>0</v>
      </c>
      <c r="C405" s="1326" t="str">
        <f t="shared" si="167"/>
        <v>09</v>
      </c>
      <c r="D405" s="1639">
        <f>SUMIF(GEN!$G$126:$M$126,$C405,GEN!$G$122:$M$122)</f>
        <v>0</v>
      </c>
      <c r="E405" s="1573"/>
      <c r="F405" s="1574"/>
      <c r="G405" s="1572">
        <f>SUMIF(FEB!$G$126:$M$126,$C405,FEB!$G$122:$M$122)</f>
        <v>0</v>
      </c>
      <c r="H405" s="1573"/>
      <c r="I405" s="1574"/>
      <c r="J405" s="1572">
        <f>SUMIF(MAR!$G$126:$M$126,$C405,MAR!$G$122:$M$122)</f>
        <v>0</v>
      </c>
      <c r="K405" s="1573"/>
      <c r="L405" s="1574"/>
      <c r="M405" s="1572">
        <f>SUMIF(APR!$G$126:$M$126,$C405,APR!$G$122:$M$122)</f>
        <v>0</v>
      </c>
      <c r="N405" s="1573"/>
      <c r="O405" s="1574"/>
      <c r="P405" s="1572">
        <f>SUMIF(MAG!$G$126:$M$126,$C405,MAG!$G$122:$M$122)</f>
        <v>0</v>
      </c>
      <c r="Q405" s="1573"/>
      <c r="R405" s="1574"/>
      <c r="S405" s="1572">
        <f>SUMIF(GIU!$G$126:$M$126,$C405,GIU!$G$122:$M$122)</f>
        <v>0</v>
      </c>
      <c r="T405" s="1573"/>
      <c r="U405" s="1574"/>
      <c r="V405" s="1572">
        <f>SUMIF(LUG!$G$126:$M$126,$C405,LUG!$G$122:$M$122)</f>
        <v>0</v>
      </c>
      <c r="W405" s="1573"/>
      <c r="X405" s="1574"/>
      <c r="Y405" s="1572">
        <f>SUMIF(AGO!$G$126:$M$126,$C405,AGO!$G$122:$M$122)</f>
        <v>0</v>
      </c>
      <c r="Z405" s="1573"/>
      <c r="AA405" s="1574"/>
      <c r="AB405" s="1572">
        <f>SUMIF(SET!$G$126:$M$126,$C405,SET!$G$122:$M$122)</f>
        <v>0</v>
      </c>
      <c r="AC405" s="1573"/>
      <c r="AD405" s="1574"/>
      <c r="AE405" s="1572">
        <f>SUMIF(OTT!$G$126:$M$126,$C405,OTT!$G$122:$M$122)</f>
        <v>0</v>
      </c>
      <c r="AF405" s="1573"/>
      <c r="AG405" s="1574"/>
      <c r="AH405" s="1572">
        <f>SUMIF(NOV!$G$126:$M$126,$C405,NOV!$G$122:$M$122)</f>
        <v>0</v>
      </c>
      <c r="AI405" s="1573"/>
      <c r="AJ405" s="1574"/>
      <c r="AK405" s="1572">
        <f>SUMIF(DIC!$G$126:$M$126,$C405,DIC!$G$122:$M$122)</f>
        <v>0</v>
      </c>
      <c r="AL405" s="1573"/>
      <c r="AM405" s="1609"/>
      <c r="AN405" s="1573">
        <f t="shared" ref="AN405" si="169">SUM(D405:AM405)</f>
        <v>0</v>
      </c>
      <c r="AO405" s="1573"/>
      <c r="AP405" s="1574"/>
      <c r="AQ405" s="33"/>
      <c r="AR405" s="33"/>
      <c r="AS405" s="264"/>
      <c r="AT405" s="264"/>
      <c r="AU405" s="264"/>
      <c r="AV405" s="264"/>
      <c r="AW405" s="264"/>
      <c r="AX405" s="264"/>
      <c r="AY405" s="264"/>
      <c r="AZ405" s="264"/>
      <c r="BA405" s="264"/>
      <c r="BB405" s="264"/>
      <c r="BC405" s="264"/>
      <c r="BD405" s="264"/>
      <c r="BE405" s="264"/>
      <c r="BF405" s="264"/>
      <c r="BG405" s="264"/>
      <c r="BH405" s="264"/>
      <c r="BI405" s="264"/>
      <c r="BJ405" s="264"/>
      <c r="BK405" s="264"/>
      <c r="BL405" s="264"/>
    </row>
    <row r="406" spans="1:64" ht="18" hidden="1" customHeight="1" x14ac:dyDescent="0.2">
      <c r="A406" s="1324"/>
      <c r="B406" s="1337">
        <f t="shared" si="167"/>
        <v>0</v>
      </c>
      <c r="C406" s="1326" t="str">
        <f t="shared" si="167"/>
        <v>10</v>
      </c>
      <c r="D406" s="1663">
        <f>SUMIF(GEN!$G$126:$M$126,$C406,GEN!$G$122:$M$122)</f>
        <v>0</v>
      </c>
      <c r="E406" s="1616"/>
      <c r="F406" s="1617"/>
      <c r="G406" s="1615">
        <f>SUMIF(FEB!$G$126:$M$126,$C406,FEB!$G$122:$M$122)</f>
        <v>0</v>
      </c>
      <c r="H406" s="1616"/>
      <c r="I406" s="1617"/>
      <c r="J406" s="1615">
        <f>SUMIF(MAR!$G$126:$M$126,$C406,MAR!$G$122:$M$122)</f>
        <v>0</v>
      </c>
      <c r="K406" s="1616"/>
      <c r="L406" s="1617"/>
      <c r="M406" s="1615">
        <f>SUMIF(APR!$G$126:$M$126,$C406,APR!$G$122:$M$122)</f>
        <v>0</v>
      </c>
      <c r="N406" s="1616"/>
      <c r="O406" s="1617"/>
      <c r="P406" s="1615">
        <f>SUMIF(MAG!$G$126:$M$126,$C406,MAG!$G$122:$M$122)</f>
        <v>0</v>
      </c>
      <c r="Q406" s="1616"/>
      <c r="R406" s="1617"/>
      <c r="S406" s="1615">
        <f>SUMIF(GIU!$G$126:$M$126,$C406,GIU!$G$122:$M$122)</f>
        <v>0</v>
      </c>
      <c r="T406" s="1616"/>
      <c r="U406" s="1617"/>
      <c r="V406" s="1615">
        <f>SUMIF(LUG!$G$126:$M$126,$C406,LUG!$G$122:$M$122)</f>
        <v>0</v>
      </c>
      <c r="W406" s="1616"/>
      <c r="X406" s="1617"/>
      <c r="Y406" s="1615">
        <f>SUMIF(AGO!$G$126:$M$126,$C406,AGO!$G$122:$M$122)</f>
        <v>0</v>
      </c>
      <c r="Z406" s="1616"/>
      <c r="AA406" s="1617"/>
      <c r="AB406" s="1615">
        <f>SUMIF(SET!$G$126:$M$126,$C406,SET!$G$122:$M$122)</f>
        <v>0</v>
      </c>
      <c r="AC406" s="1616"/>
      <c r="AD406" s="1617"/>
      <c r="AE406" s="1615">
        <f>SUMIF(OTT!$G$126:$M$126,$C406,OTT!$G$122:$M$122)</f>
        <v>0</v>
      </c>
      <c r="AF406" s="1616"/>
      <c r="AG406" s="1617"/>
      <c r="AH406" s="1615">
        <f>SUMIF(NOV!$G$126:$M$126,$C406,NOV!$G$122:$M$122)</f>
        <v>0</v>
      </c>
      <c r="AI406" s="1616"/>
      <c r="AJ406" s="1617"/>
      <c r="AK406" s="1615">
        <f>SUMIF(DIC!$G$126:$M$126,$C406,DIC!$G$122:$M$122)</f>
        <v>0</v>
      </c>
      <c r="AL406" s="1616"/>
      <c r="AM406" s="1618"/>
      <c r="AN406" s="1573">
        <f>SUM(D406:AM406)</f>
        <v>0</v>
      </c>
      <c r="AO406" s="1573"/>
      <c r="AP406" s="1574"/>
      <c r="AQ406" s="33"/>
      <c r="AR406" s="33"/>
      <c r="AS406" s="264"/>
      <c r="AT406" s="264"/>
      <c r="AU406" s="264"/>
      <c r="AV406" s="264"/>
      <c r="AW406" s="264"/>
      <c r="AX406" s="264"/>
      <c r="AY406" s="264"/>
      <c r="AZ406" s="264"/>
      <c r="BA406" s="264"/>
      <c r="BB406" s="264"/>
      <c r="BC406" s="264"/>
      <c r="BD406" s="264"/>
      <c r="BE406" s="264"/>
      <c r="BF406" s="264"/>
      <c r="BG406" s="264"/>
      <c r="BH406" s="264"/>
      <c r="BI406" s="264"/>
      <c r="BJ406" s="264"/>
      <c r="BK406" s="264"/>
      <c r="BL406" s="264"/>
    </row>
    <row r="407" spans="1:64" s="633" customFormat="1" ht="18" hidden="1" customHeight="1" x14ac:dyDescent="0.2">
      <c r="A407" s="672"/>
      <c r="B407" s="880"/>
      <c r="C407" s="1327" t="s">
        <v>540</v>
      </c>
      <c r="D407" s="1612">
        <f>SUMIF(GEN!$G$126:$M$126,$C407,GEN!$G$122:$M$122)</f>
        <v>0</v>
      </c>
      <c r="E407" s="1613"/>
      <c r="F407" s="1614"/>
      <c r="G407" s="1612">
        <f>SUMIF(FEB!$G$126:$M$126,$C407,FEB!$G$122:$M$122)</f>
        <v>0</v>
      </c>
      <c r="H407" s="1613"/>
      <c r="I407" s="1614"/>
      <c r="J407" s="1612">
        <f>SUMIF(MAR!$G$126:$M$126,$C407,MAR!$G$122:$M$122)</f>
        <v>0</v>
      </c>
      <c r="K407" s="1613"/>
      <c r="L407" s="1614"/>
      <c r="M407" s="1612">
        <f>SUMIF(APR!$G$126:$M$126,$C407,APR!$G$122:$M$122)</f>
        <v>0</v>
      </c>
      <c r="N407" s="1613"/>
      <c r="O407" s="1614"/>
      <c r="P407" s="1612">
        <f>SUMIF(MAG!$G$126:$M$126,$C407,MAG!$G$122:$M$122)</f>
        <v>0</v>
      </c>
      <c r="Q407" s="1613"/>
      <c r="R407" s="1614"/>
      <c r="S407" s="1612">
        <f>SUMIF(GIU!$G$126:$M$126,$C407,GIU!$G$122:$M$122)</f>
        <v>0</v>
      </c>
      <c r="T407" s="1613"/>
      <c r="U407" s="1614"/>
      <c r="V407" s="1612">
        <f>SUMIF(LUG!$G$126:$M$126,$C407,LUG!$G$122:$M$122)</f>
        <v>0</v>
      </c>
      <c r="W407" s="1613"/>
      <c r="X407" s="1614"/>
      <c r="Y407" s="1612">
        <f>SUMIF(AGO!$G$126:$M$126,$C407,AGO!$G$122:$M$122)</f>
        <v>0</v>
      </c>
      <c r="Z407" s="1613"/>
      <c r="AA407" s="1614"/>
      <c r="AB407" s="1612">
        <f>SUMIF(SET!$G$126:$M$126,$C407,SET!$G$122:$M$122)</f>
        <v>0</v>
      </c>
      <c r="AC407" s="1613"/>
      <c r="AD407" s="1614"/>
      <c r="AE407" s="1612">
        <f>SUMIF(OTT!$G$126:$M$126,$C407,OTT!$G$122:$M$122)</f>
        <v>0</v>
      </c>
      <c r="AF407" s="1613"/>
      <c r="AG407" s="1614"/>
      <c r="AH407" s="1612">
        <f>SUMIF(NOV!$G$126:$M$126,$C407,NOV!$G$122:$M$122)</f>
        <v>0</v>
      </c>
      <c r="AI407" s="1613"/>
      <c r="AJ407" s="1614"/>
      <c r="AK407" s="1612">
        <f>SUMIF(DIC!$G$126:$M$126,$C407,DIC!$G$122:$M$122)</f>
        <v>0</v>
      </c>
      <c r="AL407" s="1613"/>
      <c r="AM407" s="1614"/>
      <c r="AN407" s="1664">
        <f>SUM(D407:AM407)</f>
        <v>0</v>
      </c>
      <c r="AO407" s="1665"/>
      <c r="AP407" s="1666"/>
      <c r="AQ407" s="140"/>
      <c r="AR407" s="140"/>
      <c r="AS407" s="140"/>
      <c r="AT407" s="140"/>
      <c r="AU407" s="631"/>
      <c r="AV407" s="631"/>
      <c r="AW407" s="681"/>
      <c r="AX407" s="681"/>
      <c r="AY407" s="681"/>
      <c r="AZ407" s="681"/>
      <c r="BA407" s="681"/>
      <c r="BB407" s="681"/>
      <c r="BC407" s="681"/>
      <c r="BD407" s="681"/>
      <c r="BE407" s="681"/>
      <c r="BF407" s="681"/>
      <c r="BG407" s="681"/>
      <c r="BH407" s="681"/>
      <c r="BI407" s="681"/>
      <c r="BJ407" s="681"/>
      <c r="BK407" s="681"/>
      <c r="BL407" s="681"/>
    </row>
    <row r="408" spans="1:64" ht="18" hidden="1" customHeight="1" x14ac:dyDescent="0.2">
      <c r="A408" s="1324"/>
      <c r="B408" s="631"/>
      <c r="C408" s="631"/>
      <c r="D408" s="1605">
        <f>SUM(D397:F407)</f>
        <v>0</v>
      </c>
      <c r="E408" s="1606"/>
      <c r="F408" s="1607"/>
      <c r="G408" s="1605">
        <f t="shared" ref="G408" si="170">SUM(G397:I407)</f>
        <v>0</v>
      </c>
      <c r="H408" s="1606"/>
      <c r="I408" s="1607"/>
      <c r="J408" s="1605">
        <f t="shared" ref="J408" si="171">SUM(J397:L407)</f>
        <v>0</v>
      </c>
      <c r="K408" s="1606"/>
      <c r="L408" s="1607"/>
      <c r="M408" s="1605">
        <f t="shared" ref="M408" si="172">SUM(M397:O407)</f>
        <v>0</v>
      </c>
      <c r="N408" s="1606"/>
      <c r="O408" s="1607"/>
      <c r="P408" s="1605">
        <f t="shared" ref="P408" si="173">SUM(P397:R407)</f>
        <v>0</v>
      </c>
      <c r="Q408" s="1606"/>
      <c r="R408" s="1607"/>
      <c r="S408" s="1605">
        <f t="shared" ref="S408" si="174">SUM(S397:U407)</f>
        <v>0</v>
      </c>
      <c r="T408" s="1606"/>
      <c r="U408" s="1607"/>
      <c r="V408" s="1605">
        <f t="shared" ref="V408" si="175">SUM(V397:X407)</f>
        <v>0</v>
      </c>
      <c r="W408" s="1606"/>
      <c r="X408" s="1607"/>
      <c r="Y408" s="1605">
        <f t="shared" ref="Y408" si="176">SUM(Y397:AA407)</f>
        <v>0</v>
      </c>
      <c r="Z408" s="1606"/>
      <c r="AA408" s="1607"/>
      <c r="AB408" s="1605">
        <f t="shared" ref="AB408" si="177">SUM(AB397:AD407)</f>
        <v>0</v>
      </c>
      <c r="AC408" s="1606"/>
      <c r="AD408" s="1607"/>
      <c r="AE408" s="1605">
        <f t="shared" ref="AE408" si="178">SUM(AE397:AG407)</f>
        <v>0</v>
      </c>
      <c r="AF408" s="1606"/>
      <c r="AG408" s="1607"/>
      <c r="AH408" s="1605">
        <f t="shared" ref="AH408" si="179">SUM(AH397:AJ407)</f>
        <v>0</v>
      </c>
      <c r="AI408" s="1606"/>
      <c r="AJ408" s="1607"/>
      <c r="AK408" s="1605">
        <f t="shared" ref="AK408" si="180">SUM(AK397:AM407)</f>
        <v>0</v>
      </c>
      <c r="AL408" s="1606"/>
      <c r="AM408" s="1607"/>
      <c r="AN408" s="1605">
        <f>SUM(D408:AM408)</f>
        <v>0</v>
      </c>
      <c r="AO408" s="1606"/>
      <c r="AP408" s="1607"/>
      <c r="AQ408" s="33"/>
      <c r="AR408" s="33"/>
      <c r="AS408" s="264"/>
      <c r="AT408" s="264"/>
      <c r="AU408" s="264"/>
      <c r="AV408" s="264"/>
      <c r="AW408" s="264"/>
      <c r="AX408" s="264"/>
      <c r="AY408" s="264"/>
      <c r="AZ408" s="264"/>
      <c r="BA408" s="264"/>
      <c r="BB408" s="264"/>
      <c r="BC408" s="264"/>
      <c r="BD408" s="264"/>
      <c r="BE408" s="264"/>
      <c r="BF408" s="264"/>
      <c r="BG408" s="264"/>
      <c r="BH408" s="264"/>
      <c r="BI408" s="264"/>
      <c r="BJ408" s="264"/>
      <c r="BK408" s="264"/>
      <c r="BL408" s="264"/>
    </row>
    <row r="409" spans="1:64" ht="18" hidden="1" customHeight="1" x14ac:dyDescent="0.2">
      <c r="A409" s="1324"/>
      <c r="B409" s="631"/>
      <c r="C409" s="631"/>
      <c r="D409" s="1572">
        <f>D408</f>
        <v>0</v>
      </c>
      <c r="E409" s="1573"/>
      <c r="F409" s="1574"/>
      <c r="G409" s="1572">
        <f>G408+D409</f>
        <v>0</v>
      </c>
      <c r="H409" s="1573"/>
      <c r="I409" s="1574"/>
      <c r="J409" s="1572">
        <f>J408+G409</f>
        <v>0</v>
      </c>
      <c r="K409" s="1573"/>
      <c r="L409" s="1574"/>
      <c r="M409" s="1572">
        <f>M408+J409</f>
        <v>0</v>
      </c>
      <c r="N409" s="1573"/>
      <c r="O409" s="1574"/>
      <c r="P409" s="1572">
        <f>P408+M409</f>
        <v>0</v>
      </c>
      <c r="Q409" s="1573"/>
      <c r="R409" s="1574"/>
      <c r="S409" s="1572">
        <f>S408+P409</f>
        <v>0</v>
      </c>
      <c r="T409" s="1573"/>
      <c r="U409" s="1574"/>
      <c r="V409" s="1572">
        <f>V408+S409</f>
        <v>0</v>
      </c>
      <c r="W409" s="1573"/>
      <c r="X409" s="1574"/>
      <c r="Y409" s="1572">
        <f>Y408+V409</f>
        <v>0</v>
      </c>
      <c r="Z409" s="1573"/>
      <c r="AA409" s="1574"/>
      <c r="AB409" s="1572">
        <f>AB408+Y409</f>
        <v>0</v>
      </c>
      <c r="AC409" s="1573"/>
      <c r="AD409" s="1574"/>
      <c r="AE409" s="1572">
        <f>AE408+AB409</f>
        <v>0</v>
      </c>
      <c r="AF409" s="1573"/>
      <c r="AG409" s="1574"/>
      <c r="AH409" s="1572">
        <f>AH408+AE409</f>
        <v>0</v>
      </c>
      <c r="AI409" s="1573"/>
      <c r="AJ409" s="1574"/>
      <c r="AK409" s="1572">
        <f>AK408+AH409</f>
        <v>0</v>
      </c>
      <c r="AL409" s="1573"/>
      <c r="AM409" s="1574"/>
      <c r="AN409" s="33"/>
      <c r="AO409" s="33"/>
      <c r="AP409" s="33"/>
      <c r="AQ409" s="33"/>
      <c r="AR409" s="33"/>
      <c r="AS409" s="264"/>
      <c r="AT409" s="264"/>
      <c r="AU409" s="264"/>
      <c r="AV409" s="264"/>
      <c r="AW409" s="264"/>
      <c r="AX409" s="264"/>
      <c r="AY409" s="264"/>
      <c r="AZ409" s="264"/>
      <c r="BA409" s="264"/>
      <c r="BB409" s="264"/>
      <c r="BC409" s="264"/>
      <c r="BD409" s="264"/>
      <c r="BE409" s="264"/>
      <c r="BF409" s="264"/>
      <c r="BG409" s="264"/>
      <c r="BH409" s="264"/>
      <c r="BI409" s="264"/>
      <c r="BJ409" s="264"/>
      <c r="BK409" s="264"/>
      <c r="BL409" s="264"/>
    </row>
    <row r="410" spans="1:64" ht="18" hidden="1" customHeight="1" x14ac:dyDescent="0.2">
      <c r="A410" s="1324"/>
      <c r="B410" s="33"/>
      <c r="C410" s="33"/>
      <c r="D410" s="33"/>
      <c r="E410" s="33"/>
      <c r="F410" s="33"/>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324"/>
      <c r="AD410" s="1324"/>
      <c r="AE410" s="1324"/>
      <c r="AF410" s="1324"/>
      <c r="AG410" s="1324"/>
      <c r="AH410" s="1324"/>
      <c r="AI410" s="1324"/>
      <c r="AJ410" s="1324"/>
      <c r="AK410" s="1324"/>
      <c r="AL410" s="1324"/>
      <c r="AM410" s="1324"/>
      <c r="AN410" s="33"/>
      <c r="AO410" s="33"/>
      <c r="AP410" s="33"/>
      <c r="AQ410" s="33"/>
      <c r="AR410" s="33"/>
      <c r="AS410" s="264"/>
      <c r="AT410" s="264"/>
      <c r="AU410" s="264"/>
      <c r="AV410" s="264"/>
      <c r="AW410" s="264"/>
      <c r="AX410" s="264"/>
      <c r="AY410" s="264"/>
      <c r="AZ410" s="264"/>
      <c r="BA410" s="264"/>
      <c r="BB410" s="264"/>
      <c r="BC410" s="264"/>
      <c r="BD410" s="264"/>
      <c r="BE410" s="264"/>
      <c r="BF410" s="264"/>
      <c r="BG410" s="264"/>
      <c r="BH410" s="264"/>
      <c r="BI410" s="264"/>
      <c r="BJ410" s="264"/>
      <c r="BK410" s="264"/>
      <c r="BL410" s="264"/>
    </row>
    <row r="411" spans="1:64" ht="14.25" hidden="1" customHeight="1" x14ac:dyDescent="0.2">
      <c r="A411" s="1324"/>
      <c r="B411" s="1324"/>
      <c r="C411" s="1324"/>
      <c r="D411" s="1324"/>
      <c r="E411" s="1324"/>
      <c r="F411" s="1324"/>
      <c r="G411" s="1324"/>
      <c r="H411" s="1324"/>
      <c r="I411" s="1324"/>
      <c r="J411" s="1324"/>
      <c r="K411" s="1324"/>
      <c r="L411" s="1335"/>
      <c r="M411" s="1324"/>
      <c r="N411" s="1324"/>
      <c r="O411" s="1324"/>
      <c r="P411" s="1324"/>
      <c r="Q411" s="1324"/>
      <c r="R411" s="1324"/>
      <c r="S411" s="1324"/>
      <c r="T411" s="1324"/>
      <c r="U411" s="1324"/>
      <c r="V411" s="1324"/>
      <c r="W411" s="130"/>
      <c r="X411" s="1324"/>
      <c r="Y411" s="1324"/>
      <c r="Z411" s="1324"/>
      <c r="AA411" s="1324"/>
      <c r="AB411" s="1324"/>
      <c r="AC411" s="1324"/>
      <c r="AD411" s="33"/>
      <c r="AE411" s="33"/>
      <c r="AF411" s="33"/>
      <c r="AG411" s="33"/>
      <c r="AH411" s="33"/>
      <c r="AI411" s="33"/>
      <c r="AJ411" s="33"/>
      <c r="AK411" s="33"/>
      <c r="AL411" s="33"/>
      <c r="AM411" s="33"/>
      <c r="AN411" s="33"/>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row>
    <row r="412" spans="1:64" ht="14.25" hidden="1" customHeight="1" x14ac:dyDescent="0.2">
      <c r="A412" s="1324"/>
      <c r="B412" s="1324"/>
      <c r="C412" s="1324"/>
      <c r="D412" s="1324"/>
      <c r="E412" s="1324"/>
      <c r="F412" s="1324"/>
      <c r="G412" s="1324"/>
      <c r="H412" s="142" t="s">
        <v>269</v>
      </c>
      <c r="I412" s="33"/>
      <c r="J412" s="645" t="s">
        <v>6</v>
      </c>
      <c r="K412" s="646"/>
      <c r="L412" s="646"/>
      <c r="M412" s="646"/>
      <c r="N412" s="646"/>
      <c r="O412" s="646"/>
      <c r="P412" s="646"/>
      <c r="Q412" s="646"/>
      <c r="R412" s="646"/>
      <c r="S412" s="646"/>
      <c r="T412" s="646"/>
      <c r="U412" s="646"/>
      <c r="V412" s="646"/>
      <c r="W412" s="647"/>
      <c r="X412" s="1324"/>
      <c r="Y412" s="1632" t="s">
        <v>525</v>
      </c>
      <c r="Z412" s="1633"/>
      <c r="AA412" s="1633"/>
      <c r="AB412" s="1633"/>
      <c r="AC412" s="1633"/>
      <c r="AD412" s="1633"/>
      <c r="AE412" s="1633"/>
      <c r="AF412" s="1633"/>
      <c r="AG412" s="1633"/>
      <c r="AH412" s="1633"/>
      <c r="AI412" s="1633"/>
      <c r="AJ412" s="1633"/>
      <c r="AK412" s="1633"/>
      <c r="AL412" s="1634"/>
      <c r="AM412" s="33"/>
      <c r="AN412" s="33"/>
      <c r="AO412" s="264"/>
      <c r="AP412" s="264"/>
      <c r="AQ412" s="264"/>
      <c r="AR412" s="264"/>
      <c r="AS412" s="264"/>
      <c r="AT412" s="264"/>
      <c r="AU412" s="264"/>
      <c r="AV412" s="264"/>
      <c r="AW412" s="264"/>
      <c r="AX412" s="264"/>
      <c r="AY412" s="264"/>
      <c r="AZ412" s="264"/>
      <c r="BA412" s="264"/>
      <c r="BB412" s="264"/>
      <c r="BC412" s="264"/>
      <c r="BD412" s="264"/>
      <c r="BE412" s="264"/>
      <c r="BF412" s="264"/>
      <c r="BG412" s="264"/>
      <c r="BH412" s="264"/>
      <c r="BI412" s="264"/>
      <c r="BJ412" s="264"/>
      <c r="BK412" s="264"/>
      <c r="BL412" s="264"/>
    </row>
    <row r="413" spans="1:64" ht="14.25" hidden="1" customHeight="1" x14ac:dyDescent="0.2">
      <c r="A413" s="1324"/>
      <c r="B413" s="1324"/>
      <c r="C413" s="1324"/>
      <c r="D413" s="1324"/>
      <c r="E413" s="1324"/>
      <c r="F413" s="1324"/>
      <c r="G413" s="1324"/>
      <c r="H413" s="142" t="s">
        <v>269</v>
      </c>
      <c r="I413" s="1324"/>
      <c r="J413" s="1632" t="s">
        <v>363</v>
      </c>
      <c r="K413" s="1633"/>
      <c r="L413" s="1634"/>
      <c r="M413" s="1632" t="s">
        <v>364</v>
      </c>
      <c r="N413" s="1633"/>
      <c r="O413" s="1634"/>
      <c r="P413" s="1632" t="s">
        <v>366</v>
      </c>
      <c r="Q413" s="1633"/>
      <c r="R413" s="1634"/>
      <c r="S413" s="1324"/>
      <c r="T413" s="1324"/>
      <c r="U413" s="1324"/>
      <c r="V413" s="1324"/>
      <c r="W413" s="1324"/>
      <c r="X413" s="1324"/>
      <c r="Y413" s="1632" t="s">
        <v>526</v>
      </c>
      <c r="Z413" s="1633"/>
      <c r="AA413" s="1633"/>
      <c r="AB413" s="1633"/>
      <c r="AC413" s="1633"/>
      <c r="AD413" s="1633"/>
      <c r="AE413" s="1633"/>
      <c r="AF413" s="1633"/>
      <c r="AG413" s="1633"/>
      <c r="AH413" s="1633"/>
      <c r="AI413" s="1633"/>
      <c r="AJ413" s="1633"/>
      <c r="AK413" s="1633"/>
      <c r="AL413" s="1634"/>
      <c r="AM413" s="33"/>
      <c r="AN413" s="33"/>
      <c r="AO413" s="264"/>
      <c r="AP413" s="264"/>
      <c r="AQ413" s="264"/>
      <c r="AR413" s="264"/>
      <c r="AS413" s="264"/>
      <c r="AT413" s="264"/>
      <c r="AU413" s="264"/>
      <c r="AV413" s="264"/>
      <c r="AW413" s="264"/>
      <c r="AX413" s="264"/>
      <c r="AY413" s="264"/>
      <c r="AZ413" s="264"/>
      <c r="BA413" s="264"/>
      <c r="BB413" s="264"/>
      <c r="BC413" s="264"/>
      <c r="BD413" s="264"/>
      <c r="BE413" s="264"/>
      <c r="BF413" s="264"/>
      <c r="BG413" s="264"/>
      <c r="BH413" s="264"/>
      <c r="BI413" s="264"/>
      <c r="BJ413" s="264"/>
      <c r="BK413" s="264"/>
      <c r="BL413" s="264"/>
    </row>
    <row r="414" spans="1:64" ht="14.25" hidden="1" customHeight="1" x14ac:dyDescent="0.2">
      <c r="A414" s="1324"/>
      <c r="B414" s="1324"/>
      <c r="C414" s="1324"/>
      <c r="D414" s="1324"/>
      <c r="E414" s="1324"/>
      <c r="F414" s="1324"/>
      <c r="G414" s="1324"/>
      <c r="H414" s="1324"/>
      <c r="I414" s="1324"/>
      <c r="J414" s="1324"/>
      <c r="K414" s="1324"/>
      <c r="L414" s="1324"/>
      <c r="M414" s="1324"/>
      <c r="N414" s="1324"/>
      <c r="O414" s="1324"/>
      <c r="P414" s="1324"/>
      <c r="Q414" s="1324"/>
      <c r="R414" s="1324"/>
      <c r="S414" s="1324"/>
      <c r="T414" s="1324"/>
      <c r="U414" s="1324"/>
      <c r="V414" s="1324"/>
      <c r="W414" s="1324"/>
      <c r="X414" s="1324"/>
      <c r="Y414" s="1632" t="s">
        <v>48</v>
      </c>
      <c r="Z414" s="1633"/>
      <c r="AA414" s="1633"/>
      <c r="AB414" s="1633"/>
      <c r="AC414" s="1633"/>
      <c r="AD414" s="1633"/>
      <c r="AE414" s="1633"/>
      <c r="AF414" s="1633"/>
      <c r="AG414" s="1633"/>
      <c r="AH414" s="1633"/>
      <c r="AI414" s="1633"/>
      <c r="AJ414" s="1633"/>
      <c r="AK414" s="1633"/>
      <c r="AL414" s="1634"/>
      <c r="AM414" s="33"/>
      <c r="AN414" s="33"/>
      <c r="AO414" s="264"/>
      <c r="AP414" s="264"/>
      <c r="AQ414" s="264"/>
      <c r="AR414" s="264"/>
      <c r="AS414" s="264"/>
      <c r="AT414" s="264"/>
      <c r="AU414" s="264"/>
      <c r="AV414" s="264"/>
      <c r="AW414" s="264"/>
      <c r="AX414" s="264"/>
      <c r="AY414" s="264"/>
      <c r="AZ414" s="264"/>
      <c r="BA414" s="264"/>
      <c r="BB414" s="264"/>
      <c r="BC414" s="264"/>
      <c r="BD414" s="264"/>
      <c r="BE414" s="264"/>
      <c r="BF414" s="264"/>
      <c r="BG414" s="264"/>
      <c r="BH414" s="264"/>
      <c r="BI414" s="264"/>
      <c r="BJ414" s="264"/>
      <c r="BK414" s="264"/>
      <c r="BL414" s="264"/>
    </row>
    <row r="415" spans="1:64" hidden="1" x14ac:dyDescent="0.2">
      <c r="A415" s="1324"/>
      <c r="B415" s="1324"/>
      <c r="C415" s="1324"/>
      <c r="D415" s="1324"/>
      <c r="E415" s="1324"/>
      <c r="F415" s="1324"/>
      <c r="G415" s="1324"/>
      <c r="H415" s="1324"/>
      <c r="I415" s="1324"/>
      <c r="J415" s="1324"/>
      <c r="K415" s="1324"/>
      <c r="L415" s="1324"/>
      <c r="M415" s="1324"/>
      <c r="N415" s="1324"/>
      <c r="O415" s="1324"/>
      <c r="P415" s="1324"/>
      <c r="Q415" s="1324"/>
      <c r="R415" s="1324"/>
      <c r="S415" s="1324"/>
      <c r="T415" s="1324"/>
      <c r="U415" s="1324"/>
      <c r="V415" s="1324"/>
      <c r="W415" s="1324"/>
      <c r="X415" s="1324"/>
      <c r="Y415" s="1324"/>
      <c r="Z415" s="1324"/>
      <c r="AA415" s="1324"/>
      <c r="AB415" s="1324"/>
      <c r="AC415" s="1324"/>
      <c r="AD415" s="33"/>
      <c r="AE415" s="33"/>
      <c r="AF415" s="33"/>
      <c r="AG415" s="33"/>
      <c r="AH415" s="33"/>
      <c r="AI415" s="33"/>
      <c r="AJ415" s="33"/>
      <c r="AK415" s="33"/>
      <c r="AL415" s="33"/>
      <c r="AM415" s="33"/>
      <c r="AN415" s="33"/>
      <c r="AO415" s="264"/>
      <c r="AP415" s="264"/>
      <c r="AQ415" s="264"/>
      <c r="AR415" s="264"/>
      <c r="AS415" s="264"/>
      <c r="AT415" s="264"/>
      <c r="AU415" s="264"/>
      <c r="AV415" s="264"/>
      <c r="AW415" s="264"/>
      <c r="AX415" s="264"/>
      <c r="AY415" s="264"/>
      <c r="AZ415" s="264"/>
      <c r="BA415" s="264"/>
      <c r="BB415" s="264"/>
      <c r="BC415" s="264"/>
      <c r="BD415" s="264"/>
      <c r="BE415" s="264"/>
      <c r="BF415" s="264"/>
      <c r="BG415" s="264"/>
      <c r="BH415" s="264"/>
      <c r="BI415" s="264"/>
      <c r="BJ415" s="264"/>
      <c r="BK415" s="264"/>
      <c r="BL415" s="264"/>
    </row>
    <row r="416" spans="1:64" hidden="1" x14ac:dyDescent="0.2">
      <c r="A416" s="1324"/>
      <c r="B416" s="1324"/>
      <c r="C416" s="1324"/>
      <c r="D416" s="1324"/>
      <c r="E416" s="1324"/>
      <c r="F416" s="1324"/>
      <c r="G416" s="1324"/>
      <c r="H416" s="1324"/>
      <c r="I416" s="1324"/>
      <c r="J416" s="1324"/>
      <c r="K416" s="1324"/>
      <c r="L416" s="1324"/>
      <c r="M416" s="1324"/>
      <c r="N416" s="1324"/>
      <c r="O416" s="1324"/>
      <c r="P416" s="1324"/>
      <c r="Q416" s="1324"/>
      <c r="R416" s="1324"/>
      <c r="S416" s="1324"/>
      <c r="T416" s="1324"/>
      <c r="U416" s="1324"/>
      <c r="V416" s="1324"/>
      <c r="W416" s="1324"/>
      <c r="X416" s="1324"/>
      <c r="Y416" s="1324"/>
      <c r="Z416" s="1324"/>
      <c r="AA416" s="1324"/>
      <c r="AB416" s="1324"/>
      <c r="AC416" s="1324"/>
      <c r="AD416" s="33"/>
      <c r="AE416" s="33"/>
      <c r="AF416" s="33"/>
      <c r="AG416" s="33"/>
      <c r="AH416" s="33"/>
      <c r="AI416" s="33"/>
      <c r="AJ416" s="33"/>
      <c r="AK416" s="33"/>
      <c r="AL416" s="33"/>
      <c r="AM416" s="33"/>
      <c r="AN416" s="33"/>
      <c r="AO416" s="264"/>
      <c r="AP416" s="264"/>
      <c r="AQ416" s="264"/>
      <c r="AR416" s="264"/>
      <c r="AS416" s="264"/>
      <c r="AT416" s="264"/>
      <c r="AU416" s="264"/>
      <c r="AV416" s="264"/>
      <c r="AW416" s="264"/>
      <c r="AX416" s="264"/>
      <c r="AY416" s="264"/>
      <c r="AZ416" s="264"/>
      <c r="BA416" s="264"/>
      <c r="BB416" s="264"/>
      <c r="BC416" s="264"/>
      <c r="BD416" s="264"/>
      <c r="BE416" s="264"/>
      <c r="BF416" s="264"/>
      <c r="BG416" s="264"/>
      <c r="BH416" s="264"/>
      <c r="BI416" s="264"/>
      <c r="BJ416" s="264"/>
      <c r="BK416" s="264"/>
      <c r="BL416" s="264"/>
    </row>
    <row r="417" spans="1:64" hidden="1" x14ac:dyDescent="0.2">
      <c r="A417" s="33"/>
      <c r="B417" s="113">
        <f>Presentazione!E168</f>
        <v>0</v>
      </c>
      <c r="C417" s="113" t="s">
        <v>582</v>
      </c>
      <c r="D417" s="1324"/>
      <c r="E417" s="1324"/>
      <c r="F417" s="1324"/>
      <c r="G417" s="1324"/>
      <c r="H417" s="1324"/>
      <c r="I417" s="1324"/>
      <c r="J417" s="33"/>
      <c r="K417" s="1324"/>
      <c r="L417" s="1324"/>
      <c r="M417" s="1324"/>
      <c r="N417" s="296">
        <f>Presentazione!K167</f>
        <v>18</v>
      </c>
      <c r="O417" s="296" t="s">
        <v>241</v>
      </c>
      <c r="P417" s="1324"/>
      <c r="Q417" s="1324"/>
      <c r="R417" s="1324"/>
      <c r="S417" s="1324"/>
      <c r="T417" s="1324"/>
      <c r="U417" s="137">
        <v>1</v>
      </c>
      <c r="V417" s="117" t="s">
        <v>395</v>
      </c>
      <c r="W417" s="1324"/>
      <c r="X417" s="1324"/>
      <c r="Y417" s="1324"/>
      <c r="Z417" s="1324"/>
      <c r="AA417" s="1324"/>
      <c r="AB417" s="1324"/>
      <c r="AC417" s="33"/>
      <c r="AD417" s="33"/>
      <c r="AE417" s="33"/>
      <c r="AF417" s="33"/>
      <c r="AG417" s="33"/>
      <c r="AH417" s="33"/>
      <c r="AI417" s="33"/>
      <c r="AJ417" s="33"/>
      <c r="AK417" s="33"/>
      <c r="AL417" s="33"/>
      <c r="AM417" s="33"/>
      <c r="AN417" s="33"/>
      <c r="AO417" s="264"/>
      <c r="AP417" s="264"/>
      <c r="AQ417" s="264"/>
      <c r="AR417" s="264"/>
      <c r="AS417" s="264"/>
      <c r="AT417" s="264"/>
      <c r="AU417" s="264"/>
      <c r="AV417" s="264"/>
      <c r="AW417" s="264"/>
      <c r="AX417" s="264"/>
      <c r="AY417" s="264"/>
      <c r="AZ417" s="264"/>
      <c r="BA417" s="264"/>
      <c r="BB417" s="264"/>
      <c r="BC417" s="264"/>
      <c r="BD417" s="264"/>
      <c r="BE417" s="264"/>
      <c r="BF417" s="264"/>
      <c r="BG417" s="264"/>
      <c r="BH417" s="264"/>
      <c r="BI417" s="264"/>
      <c r="BJ417" s="264"/>
      <c r="BK417" s="264"/>
      <c r="BL417" s="264"/>
    </row>
    <row r="418" spans="1:64" hidden="1" x14ac:dyDescent="0.2">
      <c r="A418" s="33"/>
      <c r="B418" s="128"/>
      <c r="C418" s="33"/>
      <c r="D418" s="33"/>
      <c r="E418" s="33"/>
      <c r="F418" s="33"/>
      <c r="G418" s="128"/>
      <c r="H418" s="128"/>
      <c r="I418" s="128"/>
      <c r="J418" s="128"/>
      <c r="K418" s="1324"/>
      <c r="L418" s="1324"/>
      <c r="M418" s="1324"/>
      <c r="N418" s="33"/>
      <c r="O418" s="33"/>
      <c r="P418" s="33"/>
      <c r="Q418" s="1324"/>
      <c r="R418" s="1324"/>
      <c r="S418" s="1324"/>
      <c r="T418" s="1324"/>
      <c r="U418" s="1324"/>
      <c r="V418" s="1324"/>
      <c r="W418" s="1324"/>
      <c r="X418" s="1324"/>
      <c r="Y418" s="1324"/>
      <c r="Z418" s="1324"/>
      <c r="AA418" s="1324"/>
      <c r="AB418" s="1324"/>
      <c r="AC418" s="33"/>
      <c r="AD418" s="33"/>
      <c r="AE418" s="33"/>
      <c r="AF418" s="33"/>
      <c r="AG418" s="33"/>
      <c r="AH418" s="33"/>
      <c r="AI418" s="33"/>
      <c r="AJ418" s="33"/>
      <c r="AK418" s="33"/>
      <c r="AL418" s="33"/>
      <c r="AM418" s="33"/>
      <c r="AN418" s="33"/>
      <c r="AO418" s="264"/>
      <c r="AP418" s="264"/>
      <c r="AQ418" s="264"/>
      <c r="AR418" s="264"/>
      <c r="AS418" s="264"/>
      <c r="AT418" s="264"/>
      <c r="AU418" s="264"/>
      <c r="AV418" s="264"/>
      <c r="AW418" s="264"/>
      <c r="AX418" s="264"/>
      <c r="AY418" s="264"/>
      <c r="AZ418" s="264"/>
      <c r="BA418" s="264"/>
      <c r="BB418" s="264"/>
      <c r="BC418" s="264"/>
      <c r="BD418" s="264"/>
      <c r="BE418" s="264"/>
      <c r="BF418" s="264"/>
      <c r="BG418" s="264"/>
      <c r="BH418" s="264"/>
      <c r="BI418" s="264"/>
      <c r="BJ418" s="264"/>
      <c r="BK418" s="264"/>
      <c r="BL418" s="264"/>
    </row>
    <row r="419" spans="1:64" ht="18" hidden="1" customHeight="1" x14ac:dyDescent="0.2">
      <c r="A419" s="1324"/>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324"/>
      <c r="AD419" s="1324"/>
      <c r="AE419" s="1324"/>
      <c r="AF419" s="1324"/>
      <c r="AG419" s="1324"/>
      <c r="AH419" s="1324"/>
      <c r="AI419" s="1324"/>
      <c r="AJ419" s="1324"/>
      <c r="AK419" s="1324"/>
      <c r="AL419" s="1324"/>
      <c r="AM419" s="1324"/>
      <c r="AN419" s="33"/>
      <c r="AO419" s="33"/>
      <c r="AP419" s="33"/>
      <c r="AQ419" s="33"/>
      <c r="AR419" s="33"/>
      <c r="AS419" s="264"/>
      <c r="AT419" s="264"/>
      <c r="AU419" s="264"/>
      <c r="AV419" s="264"/>
      <c r="AW419" s="264"/>
      <c r="AX419" s="264"/>
      <c r="AY419" s="264"/>
      <c r="AZ419" s="264"/>
      <c r="BA419" s="264"/>
      <c r="BB419" s="264"/>
      <c r="BC419" s="264"/>
      <c r="BD419" s="264"/>
      <c r="BE419" s="264"/>
      <c r="BF419" s="264"/>
      <c r="BG419" s="264"/>
      <c r="BH419" s="264"/>
      <c r="BI419" s="264"/>
      <c r="BJ419" s="264"/>
      <c r="BK419" s="264"/>
      <c r="BL419" s="264"/>
    </row>
    <row r="420" spans="1:64" ht="18" hidden="1" customHeight="1" x14ac:dyDescent="0.2">
      <c r="A420" s="1324"/>
      <c r="B420" s="1547" t="s">
        <v>256</v>
      </c>
      <c r="C420" s="1547"/>
      <c r="D420" s="1922" t="str">
        <f>D310</f>
        <v>Gennaio</v>
      </c>
      <c r="E420" s="1636"/>
      <c r="F420" s="1636"/>
      <c r="G420" s="1635" t="str">
        <f>G310</f>
        <v>Febbraio</v>
      </c>
      <c r="H420" s="1636"/>
      <c r="I420" s="1636"/>
      <c r="J420" s="1635" t="str">
        <f>J310</f>
        <v>Marzo</v>
      </c>
      <c r="K420" s="1636"/>
      <c r="L420" s="1636"/>
      <c r="M420" s="1635" t="str">
        <f>M310</f>
        <v>Aprile</v>
      </c>
      <c r="N420" s="1636"/>
      <c r="O420" s="1636"/>
      <c r="P420" s="1635" t="str">
        <f>P310</f>
        <v>Maggio</v>
      </c>
      <c r="Q420" s="1636"/>
      <c r="R420" s="1636"/>
      <c r="S420" s="1635" t="str">
        <f>S310</f>
        <v>Giugno</v>
      </c>
      <c r="T420" s="1636"/>
      <c r="U420" s="1636"/>
      <c r="V420" s="1635" t="str">
        <f>V310</f>
        <v>Luglio</v>
      </c>
      <c r="W420" s="1636"/>
      <c r="X420" s="1636"/>
      <c r="Y420" s="1635" t="str">
        <f>Y310</f>
        <v>Agosto</v>
      </c>
      <c r="Z420" s="1636"/>
      <c r="AA420" s="1636"/>
      <c r="AB420" s="1635" t="str">
        <f>AB310</f>
        <v>Settembre</v>
      </c>
      <c r="AC420" s="1636"/>
      <c r="AD420" s="1636"/>
      <c r="AE420" s="1635" t="str">
        <f>AE310</f>
        <v>Ottobre</v>
      </c>
      <c r="AF420" s="1636"/>
      <c r="AG420" s="1636"/>
      <c r="AH420" s="1635" t="str">
        <f>AH310</f>
        <v>Novembre</v>
      </c>
      <c r="AI420" s="1636"/>
      <c r="AJ420" s="1636"/>
      <c r="AK420" s="1635" t="str">
        <f>AK310</f>
        <v>Dicembre</v>
      </c>
      <c r="AL420" s="1636"/>
      <c r="AM420" s="1637"/>
      <c r="AN420" s="33"/>
      <c r="AO420" s="33"/>
      <c r="AP420" s="33"/>
      <c r="AQ420" s="33"/>
      <c r="AR420" s="33"/>
      <c r="AS420" s="264"/>
      <c r="AT420" s="264"/>
      <c r="AU420" s="264"/>
      <c r="AV420" s="264"/>
      <c r="AW420" s="264"/>
      <c r="AX420" s="264"/>
      <c r="AY420" s="264"/>
      <c r="AZ420" s="264"/>
      <c r="BA420" s="264"/>
      <c r="BB420" s="264"/>
      <c r="BC420" s="264"/>
      <c r="BD420" s="264"/>
      <c r="BE420" s="264"/>
      <c r="BF420" s="264"/>
      <c r="BG420" s="264"/>
      <c r="BH420" s="264"/>
      <c r="BI420" s="264"/>
      <c r="BJ420" s="264"/>
      <c r="BK420" s="264"/>
      <c r="BL420" s="264"/>
    </row>
    <row r="421" spans="1:64" ht="18" hidden="1" customHeight="1" x14ac:dyDescent="0.2">
      <c r="A421" s="1324"/>
      <c r="B421" s="1548" t="str">
        <f t="shared" ref="B421:B430" si="181">B311</f>
        <v/>
      </c>
      <c r="C421" s="1638"/>
      <c r="D421" s="1639">
        <f>IF(ISERROR(HLOOKUP($B421,GEN!$G$1:$M$47,47,FALSE)),0,HLOOKUP($B421,GEN!$G$1:$M$47,47,FALSE))</f>
        <v>0</v>
      </c>
      <c r="E421" s="1573"/>
      <c r="F421" s="1574"/>
      <c r="G421" s="1572">
        <f>IF(ISERROR(HLOOKUP($B421,FEB!$G$1:$M$47,47,FALSE)),D421,HLOOKUP($B421,FEB!$G$1:$M$47,47,FALSE)+D421)</f>
        <v>0</v>
      </c>
      <c r="H421" s="1573"/>
      <c r="I421" s="1574"/>
      <c r="J421" s="1572">
        <f>IF(ISERROR(HLOOKUP($B421,MAR!$G$1:$M$47,47,FALSE)),G421,HLOOKUP($B421,MAR!$G$1:$M$47,47,FALSE)+G421)</f>
        <v>0</v>
      </c>
      <c r="K421" s="1573"/>
      <c r="L421" s="1574"/>
      <c r="M421" s="1572">
        <f>IF(ISERROR(HLOOKUP($B421,APR!$G$1:$M$47,47,FALSE)),J421,HLOOKUP($B421,APR!$G$1:$M$47,47,FALSE)+J421)</f>
        <v>0</v>
      </c>
      <c r="N421" s="1573"/>
      <c r="O421" s="1574"/>
      <c r="P421" s="1572">
        <f>IF(ISERROR(HLOOKUP($B421,MAG!$G$1:$M$47,47,FALSE)),M421,HLOOKUP($B421,MAG!$G$1:$M$47,47,FALSE)+M421)</f>
        <v>0</v>
      </c>
      <c r="Q421" s="1573"/>
      <c r="R421" s="1574"/>
      <c r="S421" s="1572">
        <f>IF(ISERROR(HLOOKUP($B421,GIU!$G$1:$M$47,47,FALSE)),P421,HLOOKUP($B421,GIU!$G$1:$M$47,47,FALSE)+P421)</f>
        <v>0</v>
      </c>
      <c r="T421" s="1573"/>
      <c r="U421" s="1574"/>
      <c r="V421" s="1572">
        <f>IF(ISERROR(HLOOKUP($B421,LUG!$G$1:$M$47,47,FALSE)),S421,HLOOKUP($B421,LUG!$G$1:$M$47,47,FALSE)+S421)</f>
        <v>0</v>
      </c>
      <c r="W421" s="1573"/>
      <c r="X421" s="1574"/>
      <c r="Y421" s="1572">
        <f>IF(ISERROR(HLOOKUP($B421,AGO!$G$1:$M$47,47,FALSE)),V421,HLOOKUP($B421,AGO!$G$1:$M$47,47,FALSE)+V421)</f>
        <v>0</v>
      </c>
      <c r="Z421" s="1573"/>
      <c r="AA421" s="1574"/>
      <c r="AB421" s="1572">
        <f>IF(ISERROR(HLOOKUP($B421,SET!$G$1:$M$47,47,FALSE)),Y421,HLOOKUP($B421,SET!$G$1:$M$47,47,FALSE)+Y421)</f>
        <v>0</v>
      </c>
      <c r="AC421" s="1573"/>
      <c r="AD421" s="1574"/>
      <c r="AE421" s="1572">
        <f>IF(ISERROR(HLOOKUP($B421,OTT!$G$1:$M$47,47,FALSE)),AB421,HLOOKUP($B421,OTT!$G$1:$M$47,47,FALSE)+AB421)</f>
        <v>0</v>
      </c>
      <c r="AF421" s="1573"/>
      <c r="AG421" s="1574"/>
      <c r="AH421" s="1572">
        <f>IF(ISERROR(HLOOKUP($B421,NOV!$G$1:$M$47,47,FALSE)),AE421,HLOOKUP($B421,NOV!$G$1:$M$47,47,FALSE)+AE421)</f>
        <v>0</v>
      </c>
      <c r="AI421" s="1573"/>
      <c r="AJ421" s="1574"/>
      <c r="AK421" s="1572">
        <f>IF(ISERROR(HLOOKUP($B421,DIC!$G$1:$M$47,47,FALSE)),AH421,HLOOKUP($B421,DIC!$G$1:$M$47,47,FALSE)+AH421)</f>
        <v>0</v>
      </c>
      <c r="AL421" s="1573"/>
      <c r="AM421" s="1609"/>
      <c r="AN421" s="1572">
        <f t="shared" ref="AN421:AN430" si="182">D421+(G421-D421)+(J421-G421)+(M421-J421)+(P421-M421)+(S421-P421)+(V421-S421)+(Y421-V421)+(AB421-Y421)+(AE421-AB421)+(AH421-AE421)+(AK421-AH421)</f>
        <v>0</v>
      </c>
      <c r="AO421" s="1573"/>
      <c r="AP421" s="1574"/>
      <c r="AQ421" s="33"/>
      <c r="AR421" s="33"/>
      <c r="AS421" s="264"/>
      <c r="AT421" s="264"/>
      <c r="AU421" s="264"/>
      <c r="AV421" s="264"/>
      <c r="AW421" s="264"/>
      <c r="AX421" s="264"/>
      <c r="AY421" s="264"/>
      <c r="AZ421" s="264"/>
      <c r="BA421" s="264"/>
      <c r="BB421" s="264"/>
      <c r="BC421" s="264"/>
      <c r="BD421" s="264"/>
      <c r="BE421" s="264"/>
      <c r="BF421" s="264"/>
      <c r="BG421" s="264"/>
      <c r="BH421" s="264"/>
      <c r="BI421" s="264"/>
      <c r="BJ421" s="264"/>
      <c r="BK421" s="264"/>
      <c r="BL421" s="264"/>
    </row>
    <row r="422" spans="1:64" ht="18" hidden="1" customHeight="1" x14ac:dyDescent="0.2">
      <c r="A422" s="1324"/>
      <c r="B422" s="1548" t="str">
        <f t="shared" si="181"/>
        <v/>
      </c>
      <c r="C422" s="1638"/>
      <c r="D422" s="1639">
        <f>IF(ISERROR(HLOOKUP($B422,GEN!$G$1:$M$47,47,FALSE)),0,HLOOKUP($B422,GEN!$G$1:$M$47,47,FALSE))</f>
        <v>0</v>
      </c>
      <c r="E422" s="1573"/>
      <c r="F422" s="1574"/>
      <c r="G422" s="1572">
        <f>IF(ISERROR(HLOOKUP($B422,FEB!$G$1:$M$47,47,FALSE)),D422,HLOOKUP($B422,FEB!$G$1:$M$47,47,FALSE)+D422)</f>
        <v>0</v>
      </c>
      <c r="H422" s="1573"/>
      <c r="I422" s="1574"/>
      <c r="J422" s="1572">
        <f>IF(ISERROR(HLOOKUP($B422,MAR!$G$1:$M$47,47,FALSE)),G422,HLOOKUP($B422,MAR!$G$1:$M$47,47,FALSE)+G422)</f>
        <v>0</v>
      </c>
      <c r="K422" s="1573"/>
      <c r="L422" s="1574"/>
      <c r="M422" s="1572">
        <f>IF(ISERROR(HLOOKUP($B422,APR!$G$1:$M$47,47,FALSE)),J422,HLOOKUP($B422,APR!$G$1:$M$47,47,FALSE)+J422)</f>
        <v>0</v>
      </c>
      <c r="N422" s="1573"/>
      <c r="O422" s="1574"/>
      <c r="P422" s="1572">
        <f>IF(ISERROR(HLOOKUP($B422,MAG!$G$1:$M$47,47,FALSE)),M422,HLOOKUP($B422,MAG!$G$1:$M$47,47,FALSE)+M422)</f>
        <v>0</v>
      </c>
      <c r="Q422" s="1573"/>
      <c r="R422" s="1574"/>
      <c r="S422" s="1572">
        <f>IF(ISERROR(HLOOKUP($B422,GIU!$G$1:$M$47,47,FALSE)),P422,HLOOKUP($B422,GIU!$G$1:$M$47,47,FALSE)+P422)</f>
        <v>0</v>
      </c>
      <c r="T422" s="1573"/>
      <c r="U422" s="1574"/>
      <c r="V422" s="1572">
        <f>IF(ISERROR(HLOOKUP($B422,LUG!$G$1:$M$47,47,FALSE)),S422,HLOOKUP($B422,LUG!$G$1:$M$47,47,FALSE)+S422)</f>
        <v>0</v>
      </c>
      <c r="W422" s="1573"/>
      <c r="X422" s="1574"/>
      <c r="Y422" s="1572">
        <f>IF(ISERROR(HLOOKUP($B422,AGO!$G$1:$M$47,47,FALSE)),V422,HLOOKUP($B422,AGO!$G$1:$M$47,47,FALSE)+V422)</f>
        <v>0</v>
      </c>
      <c r="Z422" s="1573"/>
      <c r="AA422" s="1574"/>
      <c r="AB422" s="1572">
        <f>IF(ISERROR(HLOOKUP($B422,SET!$G$1:$M$47,47,FALSE)),Y422,HLOOKUP($B422,SET!$G$1:$M$47,47,FALSE)+Y422)</f>
        <v>0</v>
      </c>
      <c r="AC422" s="1573"/>
      <c r="AD422" s="1574"/>
      <c r="AE422" s="1572">
        <f>IF(ISERROR(HLOOKUP($B422,OTT!$G$1:$M$47,47,FALSE)),AB422,HLOOKUP($B422,OTT!$G$1:$M$47,47,FALSE)+AB422)</f>
        <v>0</v>
      </c>
      <c r="AF422" s="1573"/>
      <c r="AG422" s="1574"/>
      <c r="AH422" s="1572">
        <f>IF(ISERROR(HLOOKUP($B422,NOV!$G$1:$M$47,47,FALSE)),AE422,HLOOKUP($B422,NOV!$G$1:$M$47,47,FALSE)+AE422)</f>
        <v>0</v>
      </c>
      <c r="AI422" s="1573"/>
      <c r="AJ422" s="1574"/>
      <c r="AK422" s="1572">
        <f>IF(ISERROR(HLOOKUP($B422,DIC!$G$1:$M$47,47,FALSE)),AH422,HLOOKUP($B422,DIC!$G$1:$M$47,47,FALSE)+AH422)</f>
        <v>0</v>
      </c>
      <c r="AL422" s="1573"/>
      <c r="AM422" s="1609"/>
      <c r="AN422" s="1572">
        <f t="shared" si="182"/>
        <v>0</v>
      </c>
      <c r="AO422" s="1573"/>
      <c r="AP422" s="1574"/>
      <c r="AQ422" s="33"/>
      <c r="AR422" s="33"/>
      <c r="AS422" s="264"/>
      <c r="AT422" s="264"/>
      <c r="AU422" s="264"/>
      <c r="AV422" s="264"/>
      <c r="AW422" s="264"/>
      <c r="AX422" s="264"/>
      <c r="AY422" s="264"/>
      <c r="AZ422" s="264"/>
      <c r="BA422" s="264"/>
      <c r="BB422" s="264"/>
      <c r="BC422" s="264"/>
      <c r="BD422" s="264"/>
      <c r="BE422" s="264"/>
      <c r="BF422" s="264"/>
      <c r="BG422" s="264"/>
      <c r="BH422" s="264"/>
      <c r="BI422" s="264"/>
      <c r="BJ422" s="264"/>
      <c r="BK422" s="264"/>
      <c r="BL422" s="264"/>
    </row>
    <row r="423" spans="1:64" ht="18" hidden="1" customHeight="1" x14ac:dyDescent="0.2">
      <c r="A423" s="1324"/>
      <c r="B423" s="1548" t="str">
        <f t="shared" si="181"/>
        <v/>
      </c>
      <c r="C423" s="1638"/>
      <c r="D423" s="1639">
        <f>IF(ISERROR(HLOOKUP($B423,GEN!$G$1:$M$47,47,FALSE)),0,HLOOKUP($B423,GEN!$G$1:$M$47,47,FALSE))</f>
        <v>0</v>
      </c>
      <c r="E423" s="1573"/>
      <c r="F423" s="1574"/>
      <c r="G423" s="1572">
        <f>IF(ISERROR(HLOOKUP($B423,FEB!$G$1:$M$47,47,FALSE)),D423,HLOOKUP($B423,FEB!$G$1:$M$47,47,FALSE)+D423)</f>
        <v>0</v>
      </c>
      <c r="H423" s="1573"/>
      <c r="I423" s="1574"/>
      <c r="J423" s="1572">
        <f>IF(ISERROR(HLOOKUP($B423,MAR!$G$1:$M$47,47,FALSE)),G423,HLOOKUP($B423,MAR!$G$1:$M$47,47,FALSE)+G423)</f>
        <v>0</v>
      </c>
      <c r="K423" s="1573"/>
      <c r="L423" s="1574"/>
      <c r="M423" s="1572">
        <f>IF(ISERROR(HLOOKUP($B423,APR!$G$1:$M$47,47,FALSE)),J423,HLOOKUP($B423,APR!$G$1:$M$47,47,FALSE)+J423)</f>
        <v>0</v>
      </c>
      <c r="N423" s="1573"/>
      <c r="O423" s="1574"/>
      <c r="P423" s="1572">
        <f>IF(ISERROR(HLOOKUP($B423,MAG!$G$1:$M$47,47,FALSE)),M423,HLOOKUP($B423,MAG!$G$1:$M$47,47,FALSE)+M423)</f>
        <v>0</v>
      </c>
      <c r="Q423" s="1573"/>
      <c r="R423" s="1574"/>
      <c r="S423" s="1572">
        <f>IF(ISERROR(HLOOKUP($B423,GIU!$G$1:$M$47,47,FALSE)),P423,HLOOKUP($B423,GIU!$G$1:$M$47,47,FALSE)+P423)</f>
        <v>0</v>
      </c>
      <c r="T423" s="1573"/>
      <c r="U423" s="1574"/>
      <c r="V423" s="1572">
        <f>IF(ISERROR(HLOOKUP($B423,LUG!$G$1:$M$47,47,FALSE)),S423,HLOOKUP($B423,LUG!$G$1:$M$47,47,FALSE)+S423)</f>
        <v>0</v>
      </c>
      <c r="W423" s="1573"/>
      <c r="X423" s="1574"/>
      <c r="Y423" s="1572">
        <f>IF(ISERROR(HLOOKUP($B423,AGO!$G$1:$M$47,47,FALSE)),V423,HLOOKUP($B423,AGO!$G$1:$M$47,47,FALSE)+V423)</f>
        <v>0</v>
      </c>
      <c r="Z423" s="1573"/>
      <c r="AA423" s="1574"/>
      <c r="AB423" s="1572">
        <f>IF(ISERROR(HLOOKUP($B423,SET!$G$1:$M$47,47,FALSE)),Y423,HLOOKUP($B423,SET!$G$1:$M$47,47,FALSE)+Y423)</f>
        <v>0</v>
      </c>
      <c r="AC423" s="1573"/>
      <c r="AD423" s="1574"/>
      <c r="AE423" s="1572">
        <f>IF(ISERROR(HLOOKUP($B423,OTT!$G$1:$M$47,47,FALSE)),AB423,HLOOKUP($B423,OTT!$G$1:$M$47,47,FALSE)+AB423)</f>
        <v>0</v>
      </c>
      <c r="AF423" s="1573"/>
      <c r="AG423" s="1574"/>
      <c r="AH423" s="1572">
        <f>IF(ISERROR(HLOOKUP($B423,NOV!$G$1:$M$47,47,FALSE)),AE423,HLOOKUP($B423,NOV!$G$1:$M$47,47,FALSE)+AE423)</f>
        <v>0</v>
      </c>
      <c r="AI423" s="1573"/>
      <c r="AJ423" s="1574"/>
      <c r="AK423" s="1572">
        <f>IF(ISERROR(HLOOKUP($B423,DIC!$G$1:$M$47,47,FALSE)),AH423,HLOOKUP($B423,DIC!$G$1:$M$47,47,FALSE)+AH423)</f>
        <v>0</v>
      </c>
      <c r="AL423" s="1573"/>
      <c r="AM423" s="1609"/>
      <c r="AN423" s="1572">
        <f t="shared" si="182"/>
        <v>0</v>
      </c>
      <c r="AO423" s="1573"/>
      <c r="AP423" s="1574"/>
      <c r="AQ423" s="33"/>
      <c r="AR423" s="33"/>
      <c r="AS423" s="264"/>
      <c r="AT423" s="264"/>
      <c r="AU423" s="264"/>
      <c r="AV423" s="264"/>
      <c r="AW423" s="264"/>
      <c r="AX423" s="264"/>
      <c r="AY423" s="264"/>
      <c r="AZ423" s="264"/>
      <c r="BA423" s="264"/>
      <c r="BB423" s="264"/>
      <c r="BC423" s="264"/>
      <c r="BD423" s="264"/>
      <c r="BE423" s="264"/>
      <c r="BF423" s="264"/>
      <c r="BG423" s="264"/>
      <c r="BH423" s="264"/>
      <c r="BI423" s="264"/>
      <c r="BJ423" s="264"/>
      <c r="BK423" s="264"/>
      <c r="BL423" s="264"/>
    </row>
    <row r="424" spans="1:64" ht="18" hidden="1" customHeight="1" x14ac:dyDescent="0.2">
      <c r="A424" s="1324"/>
      <c r="B424" s="1548" t="str">
        <f t="shared" si="181"/>
        <v/>
      </c>
      <c r="C424" s="1638"/>
      <c r="D424" s="1639">
        <f>IF(ISERROR(HLOOKUP($B424,GEN!$G$1:$M$47,47,FALSE)),0,HLOOKUP($B424,GEN!$G$1:$M$47,47,FALSE))</f>
        <v>0</v>
      </c>
      <c r="E424" s="1573"/>
      <c r="F424" s="1574"/>
      <c r="G424" s="1572">
        <f>IF(ISERROR(HLOOKUP($B424,FEB!$G$1:$M$47,47,FALSE)),D424,HLOOKUP($B424,FEB!$G$1:$M$47,47,FALSE)+D424)</f>
        <v>0</v>
      </c>
      <c r="H424" s="1573"/>
      <c r="I424" s="1574"/>
      <c r="J424" s="1572">
        <f>IF(ISERROR(HLOOKUP($B424,MAR!$G$1:$M$47,47,FALSE)),G424,HLOOKUP($B424,MAR!$G$1:$M$47,47,FALSE)+G424)</f>
        <v>0</v>
      </c>
      <c r="K424" s="1573"/>
      <c r="L424" s="1574"/>
      <c r="M424" s="1572">
        <f>IF(ISERROR(HLOOKUP($B424,APR!$G$1:$M$47,47,FALSE)),J424,HLOOKUP($B424,APR!$G$1:$M$47,47,FALSE)+J424)</f>
        <v>0</v>
      </c>
      <c r="N424" s="1573"/>
      <c r="O424" s="1574"/>
      <c r="P424" s="1572">
        <f>IF(ISERROR(HLOOKUP($B424,MAG!$G$1:$M$47,47,FALSE)),M424,HLOOKUP($B424,MAG!$G$1:$M$47,47,FALSE)+M424)</f>
        <v>0</v>
      </c>
      <c r="Q424" s="1573"/>
      <c r="R424" s="1574"/>
      <c r="S424" s="1572">
        <f>IF(ISERROR(HLOOKUP($B424,GIU!$G$1:$M$47,47,FALSE)),P424,HLOOKUP($B424,GIU!$G$1:$M$47,47,FALSE)+P424)</f>
        <v>0</v>
      </c>
      <c r="T424" s="1573"/>
      <c r="U424" s="1574"/>
      <c r="V424" s="1572">
        <f>IF(ISERROR(HLOOKUP($B424,LUG!$G$1:$M$47,47,FALSE)),S424,HLOOKUP($B424,LUG!$G$1:$M$47,47,FALSE)+S424)</f>
        <v>0</v>
      </c>
      <c r="W424" s="1573"/>
      <c r="X424" s="1574"/>
      <c r="Y424" s="1572">
        <f>IF(ISERROR(HLOOKUP($B424,AGO!$G$1:$M$47,47,FALSE)),V424,HLOOKUP($B424,AGO!$G$1:$M$47,47,FALSE)+V424)</f>
        <v>0</v>
      </c>
      <c r="Z424" s="1573"/>
      <c r="AA424" s="1574"/>
      <c r="AB424" s="1572">
        <f>IF(ISERROR(HLOOKUP($B424,SET!$G$1:$M$47,47,FALSE)),Y424,HLOOKUP($B424,SET!$G$1:$M$47,47,FALSE)+Y424)</f>
        <v>0</v>
      </c>
      <c r="AC424" s="1573"/>
      <c r="AD424" s="1574"/>
      <c r="AE424" s="1572">
        <f>IF(ISERROR(HLOOKUP($B424,OTT!$G$1:$M$47,47,FALSE)),AB424,HLOOKUP($B424,OTT!$G$1:$M$47,47,FALSE)+AB424)</f>
        <v>0</v>
      </c>
      <c r="AF424" s="1573"/>
      <c r="AG424" s="1574"/>
      <c r="AH424" s="1572">
        <f>IF(ISERROR(HLOOKUP($B424,NOV!$G$1:$M$47,47,FALSE)),AE424,HLOOKUP($B424,NOV!$G$1:$M$47,47,FALSE)+AE424)</f>
        <v>0</v>
      </c>
      <c r="AI424" s="1573"/>
      <c r="AJ424" s="1574"/>
      <c r="AK424" s="1572">
        <f>IF(ISERROR(HLOOKUP($B424,DIC!$G$1:$M$47,47,FALSE)),AH424,HLOOKUP($B424,DIC!$G$1:$M$47,47,FALSE)+AH424)</f>
        <v>0</v>
      </c>
      <c r="AL424" s="1573"/>
      <c r="AM424" s="1609"/>
      <c r="AN424" s="1572">
        <f t="shared" si="182"/>
        <v>0</v>
      </c>
      <c r="AO424" s="1573"/>
      <c r="AP424" s="1574"/>
      <c r="AQ424" s="33"/>
      <c r="AR424" s="33"/>
      <c r="AS424" s="264"/>
      <c r="AT424" s="264"/>
      <c r="AU424" s="264"/>
      <c r="AV424" s="264"/>
      <c r="AW424" s="264"/>
      <c r="AX424" s="264"/>
      <c r="AY424" s="264"/>
      <c r="AZ424" s="264"/>
      <c r="BA424" s="264"/>
      <c r="BB424" s="264"/>
      <c r="BC424" s="264"/>
      <c r="BD424" s="264"/>
      <c r="BE424" s="264"/>
      <c r="BF424" s="264"/>
      <c r="BG424" s="264"/>
      <c r="BH424" s="264"/>
      <c r="BI424" s="264"/>
      <c r="BJ424" s="264"/>
      <c r="BK424" s="264"/>
      <c r="BL424" s="264"/>
    </row>
    <row r="425" spans="1:64" ht="18" hidden="1" customHeight="1" x14ac:dyDescent="0.2">
      <c r="A425" s="1324"/>
      <c r="B425" s="1548" t="str">
        <f t="shared" si="181"/>
        <v/>
      </c>
      <c r="C425" s="1638"/>
      <c r="D425" s="1639">
        <f>IF(ISERROR(HLOOKUP($B425,GEN!$G$1:$M$47,47,FALSE)),0,HLOOKUP($B425,GEN!$G$1:$M$47,47,FALSE))</f>
        <v>0</v>
      </c>
      <c r="E425" s="1573"/>
      <c r="F425" s="1574"/>
      <c r="G425" s="1572">
        <f>IF(ISERROR(HLOOKUP($B425,FEB!$G$1:$M$47,47,FALSE)),D425,HLOOKUP($B425,FEB!$G$1:$M$47,47,FALSE)+D425)</f>
        <v>0</v>
      </c>
      <c r="H425" s="1573"/>
      <c r="I425" s="1574"/>
      <c r="J425" s="1572">
        <f>IF(ISERROR(HLOOKUP($B425,MAR!$G$1:$M$47,47,FALSE)),G425,HLOOKUP($B425,MAR!$G$1:$M$47,47,FALSE)+G425)</f>
        <v>0</v>
      </c>
      <c r="K425" s="1573"/>
      <c r="L425" s="1574"/>
      <c r="M425" s="1572">
        <f>IF(ISERROR(HLOOKUP($B425,APR!$G$1:$M$47,47,FALSE)),J425,HLOOKUP($B425,APR!$G$1:$M$47,47,FALSE)+J425)</f>
        <v>0</v>
      </c>
      <c r="N425" s="1573"/>
      <c r="O425" s="1574"/>
      <c r="P425" s="1572">
        <f>IF(ISERROR(HLOOKUP($B425,MAG!$G$1:$M$47,47,FALSE)),M425,HLOOKUP($B425,MAG!$G$1:$M$47,47,FALSE)+M425)</f>
        <v>0</v>
      </c>
      <c r="Q425" s="1573"/>
      <c r="R425" s="1574"/>
      <c r="S425" s="1572">
        <f>IF(ISERROR(HLOOKUP($B425,GIU!$G$1:$M$47,47,FALSE)),P425,HLOOKUP($B425,GIU!$G$1:$M$47,47,FALSE)+P425)</f>
        <v>0</v>
      </c>
      <c r="T425" s="1573"/>
      <c r="U425" s="1574"/>
      <c r="V425" s="1572">
        <f>IF(ISERROR(HLOOKUP($B425,LUG!$G$1:$M$47,47,FALSE)),S425,HLOOKUP($B425,LUG!$G$1:$M$47,47,FALSE)+S425)</f>
        <v>0</v>
      </c>
      <c r="W425" s="1573"/>
      <c r="X425" s="1574"/>
      <c r="Y425" s="1572">
        <f>IF(ISERROR(HLOOKUP($B425,AGO!$G$1:$M$47,47,FALSE)),V425,HLOOKUP($B425,AGO!$G$1:$M$47,47,FALSE)+V425)</f>
        <v>0</v>
      </c>
      <c r="Z425" s="1573"/>
      <c r="AA425" s="1574"/>
      <c r="AB425" s="1572">
        <f>IF(ISERROR(HLOOKUP($B425,SET!$G$1:$M$47,47,FALSE)),Y425,HLOOKUP($B425,SET!$G$1:$M$47,47,FALSE)+Y425)</f>
        <v>0</v>
      </c>
      <c r="AC425" s="1573"/>
      <c r="AD425" s="1574"/>
      <c r="AE425" s="1572">
        <f>IF(ISERROR(HLOOKUP($B425,OTT!$G$1:$M$47,47,FALSE)),AB425,HLOOKUP($B425,OTT!$G$1:$M$47,47,FALSE)+AB425)</f>
        <v>0</v>
      </c>
      <c r="AF425" s="1573"/>
      <c r="AG425" s="1574"/>
      <c r="AH425" s="1572">
        <f>IF(ISERROR(HLOOKUP($B425,NOV!$G$1:$M$47,47,FALSE)),AE425,HLOOKUP($B425,NOV!$G$1:$M$47,47,FALSE)+AE425)</f>
        <v>0</v>
      </c>
      <c r="AI425" s="1573"/>
      <c r="AJ425" s="1574"/>
      <c r="AK425" s="1572">
        <f>IF(ISERROR(HLOOKUP($B425,DIC!$G$1:$M$47,47,FALSE)),AH425,HLOOKUP($B425,DIC!$G$1:$M$47,47,FALSE)+AH425)</f>
        <v>0</v>
      </c>
      <c r="AL425" s="1573"/>
      <c r="AM425" s="1609"/>
      <c r="AN425" s="1572">
        <f t="shared" si="182"/>
        <v>0</v>
      </c>
      <c r="AO425" s="1573"/>
      <c r="AP425" s="1574"/>
      <c r="AQ425" s="33"/>
      <c r="AR425" s="33"/>
      <c r="AS425" s="264"/>
      <c r="AT425" s="264"/>
      <c r="AU425" s="264"/>
      <c r="AV425" s="264"/>
      <c r="AW425" s="264"/>
      <c r="AX425" s="264"/>
      <c r="AY425" s="264"/>
      <c r="AZ425" s="264"/>
      <c r="BA425" s="264"/>
      <c r="BB425" s="264"/>
      <c r="BC425" s="264"/>
      <c r="BD425" s="264"/>
      <c r="BE425" s="264"/>
      <c r="BF425" s="264"/>
      <c r="BG425" s="264"/>
      <c r="BH425" s="264"/>
      <c r="BI425" s="264"/>
      <c r="BJ425" s="264"/>
      <c r="BK425" s="264"/>
      <c r="BL425" s="264"/>
    </row>
    <row r="426" spans="1:64" ht="18" hidden="1" customHeight="1" x14ac:dyDescent="0.2">
      <c r="A426" s="1324"/>
      <c r="B426" s="1548" t="str">
        <f t="shared" si="181"/>
        <v/>
      </c>
      <c r="C426" s="1638"/>
      <c r="D426" s="1639">
        <f>IF(ISERROR(HLOOKUP($B426,GEN!$G$1:$M$47,47,FALSE)),0,HLOOKUP($B426,GEN!$G$1:$M$47,47,FALSE))</f>
        <v>0</v>
      </c>
      <c r="E426" s="1573"/>
      <c r="F426" s="1574"/>
      <c r="G426" s="1572">
        <f>IF(ISERROR(HLOOKUP($B426,FEB!$G$1:$M$47,47,FALSE)),D426,HLOOKUP($B426,FEB!$G$1:$M$47,47,FALSE)+D426)</f>
        <v>0</v>
      </c>
      <c r="H426" s="1573"/>
      <c r="I426" s="1574"/>
      <c r="J426" s="1572">
        <f>IF(ISERROR(HLOOKUP($B426,MAR!$G$1:$M$47,47,FALSE)),G426,HLOOKUP($B426,MAR!$G$1:$M$47,47,FALSE)+G426)</f>
        <v>0</v>
      </c>
      <c r="K426" s="1573"/>
      <c r="L426" s="1574"/>
      <c r="M426" s="1572">
        <f>IF(ISERROR(HLOOKUP($B426,APR!$G$1:$M$47,47,FALSE)),J426,HLOOKUP($B426,APR!$G$1:$M$47,47,FALSE)+J426)</f>
        <v>0</v>
      </c>
      <c r="N426" s="1573"/>
      <c r="O426" s="1574"/>
      <c r="P426" s="1572">
        <f>IF(ISERROR(HLOOKUP($B426,MAG!$G$1:$M$47,47,FALSE)),M426,HLOOKUP($B426,MAG!$G$1:$M$47,47,FALSE)+M426)</f>
        <v>0</v>
      </c>
      <c r="Q426" s="1573"/>
      <c r="R426" s="1574"/>
      <c r="S426" s="1572">
        <f>IF(ISERROR(HLOOKUP($B426,GIU!$G$1:$M$47,47,FALSE)),P426,HLOOKUP($B426,GIU!$G$1:$M$47,47,FALSE)+P426)</f>
        <v>0</v>
      </c>
      <c r="T426" s="1573"/>
      <c r="U426" s="1574"/>
      <c r="V426" s="1572">
        <f>IF(ISERROR(HLOOKUP($B426,LUG!$G$1:$M$47,47,FALSE)),S426,HLOOKUP($B426,LUG!$G$1:$M$47,47,FALSE)+S426)</f>
        <v>0</v>
      </c>
      <c r="W426" s="1573"/>
      <c r="X426" s="1574"/>
      <c r="Y426" s="1572">
        <f>IF(ISERROR(HLOOKUP($B426,AGO!$G$1:$M$47,47,FALSE)),V426,HLOOKUP($B426,AGO!$G$1:$M$47,47,FALSE)+V426)</f>
        <v>0</v>
      </c>
      <c r="Z426" s="1573"/>
      <c r="AA426" s="1574"/>
      <c r="AB426" s="1572">
        <f>IF(ISERROR(HLOOKUP($B426,SET!$G$1:$M$47,47,FALSE)),Y426,HLOOKUP($B426,SET!$G$1:$M$47,47,FALSE)+Y426)</f>
        <v>0</v>
      </c>
      <c r="AC426" s="1573"/>
      <c r="AD426" s="1574"/>
      <c r="AE426" s="1572">
        <f>IF(ISERROR(HLOOKUP($B426,OTT!$G$1:$M$47,47,FALSE)),AB426,HLOOKUP($B426,OTT!$G$1:$M$47,47,FALSE)+AB426)</f>
        <v>0</v>
      </c>
      <c r="AF426" s="1573"/>
      <c r="AG426" s="1574"/>
      <c r="AH426" s="1572">
        <f>IF(ISERROR(HLOOKUP($B426,NOV!$G$1:$M$47,47,FALSE)),AE426,HLOOKUP($B426,NOV!$G$1:$M$47,47,FALSE)+AE426)</f>
        <v>0</v>
      </c>
      <c r="AI426" s="1573"/>
      <c r="AJ426" s="1574"/>
      <c r="AK426" s="1572">
        <f>IF(ISERROR(HLOOKUP($B426,DIC!$G$1:$M$47,47,FALSE)),AH426,HLOOKUP($B426,DIC!$G$1:$M$47,47,FALSE)+AH426)</f>
        <v>0</v>
      </c>
      <c r="AL426" s="1573"/>
      <c r="AM426" s="1609"/>
      <c r="AN426" s="1572">
        <f t="shared" si="182"/>
        <v>0</v>
      </c>
      <c r="AO426" s="1573"/>
      <c r="AP426" s="1574"/>
      <c r="AQ426" s="33"/>
      <c r="AR426" s="33"/>
      <c r="AS426" s="264"/>
      <c r="AT426" s="264"/>
      <c r="AU426" s="264"/>
      <c r="AV426" s="264"/>
      <c r="AW426" s="264"/>
      <c r="AX426" s="264"/>
      <c r="AY426" s="264"/>
      <c r="AZ426" s="264"/>
      <c r="BA426" s="264"/>
      <c r="BB426" s="264"/>
      <c r="BC426" s="264"/>
      <c r="BD426" s="264"/>
      <c r="BE426" s="264"/>
      <c r="BF426" s="264"/>
      <c r="BG426" s="264"/>
      <c r="BH426" s="264"/>
      <c r="BI426" s="264"/>
      <c r="BJ426" s="264"/>
      <c r="BK426" s="264"/>
      <c r="BL426" s="264"/>
    </row>
    <row r="427" spans="1:64" ht="18" hidden="1" customHeight="1" x14ac:dyDescent="0.2">
      <c r="A427" s="1324"/>
      <c r="B427" s="1548" t="str">
        <f t="shared" si="181"/>
        <v/>
      </c>
      <c r="C427" s="1638"/>
      <c r="D427" s="1639">
        <f>IF(ISERROR(HLOOKUP($B427,GEN!$G$1:$M$47,47,FALSE)),0,HLOOKUP($B427,GEN!$G$1:$M$47,47,FALSE))</f>
        <v>0</v>
      </c>
      <c r="E427" s="1573"/>
      <c r="F427" s="1574"/>
      <c r="G427" s="1572">
        <f>IF(ISERROR(HLOOKUP($B427,FEB!$G$1:$M$47,47,FALSE)),D427,HLOOKUP($B427,FEB!$G$1:$M$47,47,FALSE)+D427)</f>
        <v>0</v>
      </c>
      <c r="H427" s="1573"/>
      <c r="I427" s="1574"/>
      <c r="J427" s="1572">
        <f>IF(ISERROR(HLOOKUP($B427,MAR!$G$1:$M$47,47,FALSE)),G427,HLOOKUP($B427,MAR!$G$1:$M$47,47,FALSE)+G427)</f>
        <v>0</v>
      </c>
      <c r="K427" s="1573"/>
      <c r="L427" s="1574"/>
      <c r="M427" s="1572">
        <f>IF(ISERROR(HLOOKUP($B427,APR!$G$1:$M$47,47,FALSE)),J427,HLOOKUP($B427,APR!$G$1:$M$47,47,FALSE)+J427)</f>
        <v>0</v>
      </c>
      <c r="N427" s="1573"/>
      <c r="O427" s="1574"/>
      <c r="P427" s="1572">
        <f>IF(ISERROR(HLOOKUP($B427,MAG!$G$1:$M$47,47,FALSE)),M427,HLOOKUP($B427,MAG!$G$1:$M$47,47,FALSE)+M427)</f>
        <v>0</v>
      </c>
      <c r="Q427" s="1573"/>
      <c r="R427" s="1574"/>
      <c r="S427" s="1572">
        <f>IF(ISERROR(HLOOKUP($B427,GIU!$G$1:$M$47,47,FALSE)),P427,HLOOKUP($B427,GIU!$G$1:$M$47,47,FALSE)+P427)</f>
        <v>0</v>
      </c>
      <c r="T427" s="1573"/>
      <c r="U427" s="1574"/>
      <c r="V427" s="1572">
        <f>IF(ISERROR(HLOOKUP($B427,LUG!$G$1:$M$47,47,FALSE)),S427,HLOOKUP($B427,LUG!$G$1:$M$47,47,FALSE)+S427)</f>
        <v>0</v>
      </c>
      <c r="W427" s="1573"/>
      <c r="X427" s="1574"/>
      <c r="Y427" s="1572">
        <f>IF(ISERROR(HLOOKUP($B427,AGO!$G$1:$M$47,47,FALSE)),V427,HLOOKUP($B427,AGO!$G$1:$M$47,47,FALSE)+V427)</f>
        <v>0</v>
      </c>
      <c r="Z427" s="1573"/>
      <c r="AA427" s="1574"/>
      <c r="AB427" s="1572">
        <f>IF(ISERROR(HLOOKUP($B427,SET!$G$1:$M$47,47,FALSE)),Y427,HLOOKUP($B427,SET!$G$1:$M$47,47,FALSE)+Y427)</f>
        <v>0</v>
      </c>
      <c r="AC427" s="1573"/>
      <c r="AD427" s="1574"/>
      <c r="AE427" s="1572">
        <f>IF(ISERROR(HLOOKUP($B427,OTT!$G$1:$M$47,47,FALSE)),AB427,HLOOKUP($B427,OTT!$G$1:$M$47,47,FALSE)+AB427)</f>
        <v>0</v>
      </c>
      <c r="AF427" s="1573"/>
      <c r="AG427" s="1574"/>
      <c r="AH427" s="1572">
        <f>IF(ISERROR(HLOOKUP($B427,NOV!$G$1:$M$47,47,FALSE)),AE427,HLOOKUP($B427,NOV!$G$1:$M$47,47,FALSE)+AE427)</f>
        <v>0</v>
      </c>
      <c r="AI427" s="1573"/>
      <c r="AJ427" s="1574"/>
      <c r="AK427" s="1572">
        <f>IF(ISERROR(HLOOKUP($B427,DIC!$G$1:$M$47,47,FALSE)),AH427,HLOOKUP($B427,DIC!$G$1:$M$47,47,FALSE)+AH427)</f>
        <v>0</v>
      </c>
      <c r="AL427" s="1573"/>
      <c r="AM427" s="1609"/>
      <c r="AN427" s="1572">
        <f t="shared" si="182"/>
        <v>0</v>
      </c>
      <c r="AO427" s="1573"/>
      <c r="AP427" s="1574"/>
      <c r="AQ427" s="33"/>
      <c r="AR427" s="33"/>
      <c r="AS427" s="264"/>
      <c r="AT427" s="264"/>
      <c r="AU427" s="264"/>
      <c r="AV427" s="264"/>
      <c r="AW427" s="264"/>
      <c r="AX427" s="264"/>
      <c r="AY427" s="264"/>
      <c r="AZ427" s="264"/>
      <c r="BA427" s="264"/>
      <c r="BB427" s="264"/>
      <c r="BC427" s="264"/>
      <c r="BD427" s="264"/>
      <c r="BE427" s="264"/>
      <c r="BF427" s="264"/>
      <c r="BG427" s="264"/>
      <c r="BH427" s="264"/>
      <c r="BI427" s="264"/>
      <c r="BJ427" s="264"/>
      <c r="BK427" s="264"/>
      <c r="BL427" s="264"/>
    </row>
    <row r="428" spans="1:64" ht="18" hidden="1" customHeight="1" x14ac:dyDescent="0.2">
      <c r="A428" s="1324"/>
      <c r="B428" s="1548" t="str">
        <f t="shared" si="181"/>
        <v/>
      </c>
      <c r="C428" s="1638"/>
      <c r="D428" s="1639">
        <f>IF(ISERROR(HLOOKUP($B428,GEN!$G$1:$M$47,47,FALSE)),0,HLOOKUP($B428,GEN!$G$1:$M$47,47,FALSE))</f>
        <v>0</v>
      </c>
      <c r="E428" s="1573"/>
      <c r="F428" s="1574"/>
      <c r="G428" s="1572">
        <f>IF(ISERROR(HLOOKUP($B428,FEB!$G$1:$M$47,47,FALSE)),D428,HLOOKUP($B428,FEB!$G$1:$M$47,47,FALSE)+D428)</f>
        <v>0</v>
      </c>
      <c r="H428" s="1573"/>
      <c r="I428" s="1574"/>
      <c r="J428" s="1572">
        <f>IF(ISERROR(HLOOKUP($B428,MAR!$G$1:$M$47,47,FALSE)),G428,HLOOKUP($B428,MAR!$G$1:$M$47,47,FALSE)+G428)</f>
        <v>0</v>
      </c>
      <c r="K428" s="1573"/>
      <c r="L428" s="1574"/>
      <c r="M428" s="1572">
        <f>IF(ISERROR(HLOOKUP($B428,APR!$G$1:$M$47,47,FALSE)),J428,HLOOKUP($B428,APR!$G$1:$M$47,47,FALSE)+J428)</f>
        <v>0</v>
      </c>
      <c r="N428" s="1573"/>
      <c r="O428" s="1574"/>
      <c r="P428" s="1572">
        <f>IF(ISERROR(HLOOKUP($B428,MAG!$G$1:$M$47,47,FALSE)),M428,HLOOKUP($B428,MAG!$G$1:$M$47,47,FALSE)+M428)</f>
        <v>0</v>
      </c>
      <c r="Q428" s="1573"/>
      <c r="R428" s="1574"/>
      <c r="S428" s="1572">
        <f>IF(ISERROR(HLOOKUP($B428,GIU!$G$1:$M$47,47,FALSE)),P428,HLOOKUP($B428,GIU!$G$1:$M$47,47,FALSE)+P428)</f>
        <v>0</v>
      </c>
      <c r="T428" s="1573"/>
      <c r="U428" s="1574"/>
      <c r="V428" s="1572">
        <f>IF(ISERROR(HLOOKUP($B428,LUG!$G$1:$M$47,47,FALSE)),S428,HLOOKUP($B428,LUG!$G$1:$M$47,47,FALSE)+S428)</f>
        <v>0</v>
      </c>
      <c r="W428" s="1573"/>
      <c r="X428" s="1574"/>
      <c r="Y428" s="1572">
        <f>IF(ISERROR(HLOOKUP($B428,AGO!$G$1:$M$47,47,FALSE)),V428,HLOOKUP($B428,AGO!$G$1:$M$47,47,FALSE)+V428)</f>
        <v>0</v>
      </c>
      <c r="Z428" s="1573"/>
      <c r="AA428" s="1574"/>
      <c r="AB428" s="1572">
        <f>IF(ISERROR(HLOOKUP($B428,SET!$G$1:$M$47,47,FALSE)),Y428,HLOOKUP($B428,SET!$G$1:$M$47,47,FALSE)+Y428)</f>
        <v>0</v>
      </c>
      <c r="AC428" s="1573"/>
      <c r="AD428" s="1574"/>
      <c r="AE428" s="1572">
        <f>IF(ISERROR(HLOOKUP($B428,OTT!$G$1:$M$47,47,FALSE)),AB428,HLOOKUP($B428,OTT!$G$1:$M$47,47,FALSE)+AB428)</f>
        <v>0</v>
      </c>
      <c r="AF428" s="1573"/>
      <c r="AG428" s="1574"/>
      <c r="AH428" s="1572">
        <f>IF(ISERROR(HLOOKUP($B428,NOV!$G$1:$M$47,47,FALSE)),AE428,HLOOKUP($B428,NOV!$G$1:$M$47,47,FALSE)+AE428)</f>
        <v>0</v>
      </c>
      <c r="AI428" s="1573"/>
      <c r="AJ428" s="1574"/>
      <c r="AK428" s="1572">
        <f>IF(ISERROR(HLOOKUP($B428,DIC!$G$1:$M$47,47,FALSE)),AH428,HLOOKUP($B428,DIC!$G$1:$M$47,47,FALSE)+AH428)</f>
        <v>0</v>
      </c>
      <c r="AL428" s="1573"/>
      <c r="AM428" s="1609"/>
      <c r="AN428" s="1572">
        <f t="shared" si="182"/>
        <v>0</v>
      </c>
      <c r="AO428" s="1573"/>
      <c r="AP428" s="1574"/>
      <c r="AQ428" s="33"/>
      <c r="AR428" s="33"/>
      <c r="AS428" s="264"/>
      <c r="AT428" s="264"/>
      <c r="AU428" s="264"/>
      <c r="AV428" s="264"/>
      <c r="AW428" s="264"/>
      <c r="AX428" s="264"/>
      <c r="AY428" s="264"/>
      <c r="AZ428" s="264"/>
      <c r="BA428" s="264"/>
      <c r="BB428" s="264"/>
      <c r="BC428" s="264"/>
      <c r="BD428" s="264"/>
      <c r="BE428" s="264"/>
      <c r="BF428" s="264"/>
      <c r="BG428" s="264"/>
      <c r="BH428" s="264"/>
      <c r="BI428" s="264"/>
      <c r="BJ428" s="264"/>
      <c r="BK428" s="264"/>
      <c r="BL428" s="264"/>
    </row>
    <row r="429" spans="1:64" ht="18" hidden="1" customHeight="1" x14ac:dyDescent="0.2">
      <c r="A429" s="1324"/>
      <c r="B429" s="1548" t="str">
        <f t="shared" si="181"/>
        <v/>
      </c>
      <c r="C429" s="1638"/>
      <c r="D429" s="1639">
        <f>IF(ISERROR(HLOOKUP($B429,GEN!$G$1:$M$47,47,FALSE)),0,HLOOKUP($B429,GEN!$G$1:$M$47,47,FALSE))</f>
        <v>0</v>
      </c>
      <c r="E429" s="1573"/>
      <c r="F429" s="1574"/>
      <c r="G429" s="1572">
        <f>IF(ISERROR(HLOOKUP($B429,FEB!$G$1:$M$47,47,FALSE)),D429,HLOOKUP($B429,FEB!$G$1:$M$47,47,FALSE)+D429)</f>
        <v>0</v>
      </c>
      <c r="H429" s="1573"/>
      <c r="I429" s="1574"/>
      <c r="J429" s="1572">
        <f>IF(ISERROR(HLOOKUP($B429,MAR!$G$1:$M$47,47,FALSE)),G429,HLOOKUP($B429,MAR!$G$1:$M$47,47,FALSE)+G429)</f>
        <v>0</v>
      </c>
      <c r="K429" s="1573"/>
      <c r="L429" s="1574"/>
      <c r="M429" s="1572">
        <f>IF(ISERROR(HLOOKUP($B429,APR!$G$1:$M$47,47,FALSE)),J429,HLOOKUP($B429,APR!$G$1:$M$47,47,FALSE)+J429)</f>
        <v>0</v>
      </c>
      <c r="N429" s="1573"/>
      <c r="O429" s="1574"/>
      <c r="P429" s="1572">
        <f>IF(ISERROR(HLOOKUP($B429,MAG!$G$1:$M$47,47,FALSE)),M429,HLOOKUP($B429,MAG!$G$1:$M$47,47,FALSE)+M429)</f>
        <v>0</v>
      </c>
      <c r="Q429" s="1573"/>
      <c r="R429" s="1574"/>
      <c r="S429" s="1572">
        <f>IF(ISERROR(HLOOKUP($B429,GIU!$G$1:$M$47,47,FALSE)),P429,HLOOKUP($B429,GIU!$G$1:$M$47,47,FALSE)+P429)</f>
        <v>0</v>
      </c>
      <c r="T429" s="1573"/>
      <c r="U429" s="1574"/>
      <c r="V429" s="1572">
        <f>IF(ISERROR(HLOOKUP($B429,LUG!$G$1:$M$47,47,FALSE)),S429,HLOOKUP($B429,LUG!$G$1:$M$47,47,FALSE)+S429)</f>
        <v>0</v>
      </c>
      <c r="W429" s="1573"/>
      <c r="X429" s="1574"/>
      <c r="Y429" s="1572">
        <f>IF(ISERROR(HLOOKUP($B429,AGO!$G$1:$M$47,47,FALSE)),V429,HLOOKUP($B429,AGO!$G$1:$M$47,47,FALSE)+V429)</f>
        <v>0</v>
      </c>
      <c r="Z429" s="1573"/>
      <c r="AA429" s="1574"/>
      <c r="AB429" s="1572">
        <f>IF(ISERROR(HLOOKUP($B429,SET!$G$1:$M$47,47,FALSE)),Y429,HLOOKUP($B429,SET!$G$1:$M$47,47,FALSE)+Y429)</f>
        <v>0</v>
      </c>
      <c r="AC429" s="1573"/>
      <c r="AD429" s="1574"/>
      <c r="AE429" s="1572">
        <f>IF(ISERROR(HLOOKUP($B429,OTT!$G$1:$M$47,47,FALSE)),AB429,HLOOKUP($B429,OTT!$G$1:$M$47,47,FALSE)+AB429)</f>
        <v>0</v>
      </c>
      <c r="AF429" s="1573"/>
      <c r="AG429" s="1574"/>
      <c r="AH429" s="1572">
        <f>IF(ISERROR(HLOOKUP($B429,NOV!$G$1:$M$47,47,FALSE)),AE429,HLOOKUP($B429,NOV!$G$1:$M$47,47,FALSE)+AE429)</f>
        <v>0</v>
      </c>
      <c r="AI429" s="1573"/>
      <c r="AJ429" s="1574"/>
      <c r="AK429" s="1572">
        <f>IF(ISERROR(HLOOKUP($B429,DIC!$G$1:$M$47,47,FALSE)),AH429,HLOOKUP($B429,DIC!$G$1:$M$47,47,FALSE)+AH429)</f>
        <v>0</v>
      </c>
      <c r="AL429" s="1573"/>
      <c r="AM429" s="1609"/>
      <c r="AN429" s="1572">
        <f t="shared" si="182"/>
        <v>0</v>
      </c>
      <c r="AO429" s="1573"/>
      <c r="AP429" s="1574"/>
      <c r="AQ429" s="33"/>
      <c r="AR429" s="33"/>
      <c r="AS429" s="264"/>
      <c r="AT429" s="264"/>
      <c r="AU429" s="264"/>
      <c r="AV429" s="264"/>
      <c r="AW429" s="264"/>
      <c r="AX429" s="264"/>
      <c r="AY429" s="264"/>
      <c r="AZ429" s="264"/>
      <c r="BA429" s="264"/>
      <c r="BB429" s="264"/>
      <c r="BC429" s="264"/>
      <c r="BD429" s="264"/>
      <c r="BE429" s="264"/>
      <c r="BF429" s="264"/>
      <c r="BG429" s="264"/>
      <c r="BH429" s="264"/>
      <c r="BI429" s="264"/>
      <c r="BJ429" s="264"/>
      <c r="BK429" s="264"/>
      <c r="BL429" s="264"/>
    </row>
    <row r="430" spans="1:64" ht="18" hidden="1" customHeight="1" x14ac:dyDescent="0.2">
      <c r="A430" s="1324"/>
      <c r="B430" s="1548" t="str">
        <f t="shared" si="181"/>
        <v/>
      </c>
      <c r="C430" s="1638"/>
      <c r="D430" s="1639">
        <f>IF(ISERROR(HLOOKUP($B430,GEN!$G$1:$M$47,47,FALSE)),0,HLOOKUP($B430,GEN!$G$1:$M$47,47,FALSE))</f>
        <v>0</v>
      </c>
      <c r="E430" s="1573"/>
      <c r="F430" s="1574"/>
      <c r="G430" s="1572">
        <f>IF(ISERROR(HLOOKUP($B430,FEB!$G$1:$M$47,47,FALSE)),D430,HLOOKUP($B430,FEB!$G$1:$M$47,47,FALSE)+D430)</f>
        <v>0</v>
      </c>
      <c r="H430" s="1573"/>
      <c r="I430" s="1574"/>
      <c r="J430" s="1572">
        <f>IF(ISERROR(HLOOKUP($B430,MAR!$G$1:$M$47,47,FALSE)),G430,HLOOKUP($B430,MAR!$G$1:$M$47,47,FALSE)+G430)</f>
        <v>0</v>
      </c>
      <c r="K430" s="1573"/>
      <c r="L430" s="1574"/>
      <c r="M430" s="1572">
        <f>IF(ISERROR(HLOOKUP($B430,APR!$G$1:$M$47,47,FALSE)),J430,HLOOKUP($B430,APR!$G$1:$M$47,47,FALSE)+J430)</f>
        <v>0</v>
      </c>
      <c r="N430" s="1573"/>
      <c r="O430" s="1574"/>
      <c r="P430" s="1572">
        <f>IF(ISERROR(HLOOKUP($B430,MAG!$G$1:$M$47,47,FALSE)),M430,HLOOKUP($B430,MAG!$G$1:$M$47,47,FALSE)+M430)</f>
        <v>0</v>
      </c>
      <c r="Q430" s="1573"/>
      <c r="R430" s="1574"/>
      <c r="S430" s="1572">
        <f>IF(ISERROR(HLOOKUP($B430,GIU!$G$1:$M$47,47,FALSE)),P430,HLOOKUP($B430,GIU!$G$1:$M$47,47,FALSE)+P430)</f>
        <v>0</v>
      </c>
      <c r="T430" s="1573"/>
      <c r="U430" s="1574"/>
      <c r="V430" s="1572">
        <f>IF(ISERROR(HLOOKUP($B430,LUG!$G$1:$M$47,47,FALSE)),S430,HLOOKUP($B430,LUG!$G$1:$M$47,47,FALSE)+S430)</f>
        <v>0</v>
      </c>
      <c r="W430" s="1573"/>
      <c r="X430" s="1574"/>
      <c r="Y430" s="1572">
        <f>IF(ISERROR(HLOOKUP($B430,AGO!$G$1:$M$47,47,FALSE)),V430,HLOOKUP($B430,AGO!$G$1:$M$47,47,FALSE)+V430)</f>
        <v>0</v>
      </c>
      <c r="Z430" s="1573"/>
      <c r="AA430" s="1574"/>
      <c r="AB430" s="1572">
        <f>IF(ISERROR(HLOOKUP($B430,SET!$G$1:$M$47,47,FALSE)),Y430,HLOOKUP($B430,SET!$G$1:$M$47,47,FALSE)+Y430)</f>
        <v>0</v>
      </c>
      <c r="AC430" s="1573"/>
      <c r="AD430" s="1574"/>
      <c r="AE430" s="1572">
        <f>IF(ISERROR(HLOOKUP($B430,OTT!$G$1:$M$47,47,FALSE)),AB430,HLOOKUP($B430,OTT!$G$1:$M$47,47,FALSE)+AB430)</f>
        <v>0</v>
      </c>
      <c r="AF430" s="1573"/>
      <c r="AG430" s="1574"/>
      <c r="AH430" s="1572">
        <f>IF(ISERROR(HLOOKUP($B430,NOV!$G$1:$M$47,47,FALSE)),AE430,HLOOKUP($B430,NOV!$G$1:$M$47,47,FALSE)+AE430)</f>
        <v>0</v>
      </c>
      <c r="AI430" s="1573"/>
      <c r="AJ430" s="1574"/>
      <c r="AK430" s="1572">
        <f>IF(ISERROR(HLOOKUP($B430,DIC!$G$1:$M$47,47,FALSE)),AH430,HLOOKUP($B430,DIC!$G$1:$M$47,47,FALSE)+AH430)</f>
        <v>0</v>
      </c>
      <c r="AL430" s="1573"/>
      <c r="AM430" s="1609"/>
      <c r="AN430" s="1572">
        <f t="shared" si="182"/>
        <v>0</v>
      </c>
      <c r="AO430" s="1573"/>
      <c r="AP430" s="1574"/>
      <c r="AQ430" s="33"/>
      <c r="AR430" s="33"/>
      <c r="AS430" s="264"/>
      <c r="AT430" s="264"/>
      <c r="AU430" s="264"/>
      <c r="AV430" s="264"/>
      <c r="AW430" s="264"/>
      <c r="AX430" s="264"/>
      <c r="AY430" s="264"/>
      <c r="AZ430" s="264"/>
      <c r="BA430" s="264"/>
      <c r="BB430" s="264"/>
      <c r="BC430" s="264"/>
      <c r="BD430" s="264"/>
      <c r="BE430" s="264"/>
      <c r="BF430" s="264"/>
      <c r="BG430" s="264"/>
      <c r="BH430" s="264"/>
      <c r="BI430" s="264"/>
      <c r="BJ430" s="264"/>
      <c r="BK430" s="264"/>
      <c r="BL430" s="264"/>
    </row>
    <row r="431" spans="1:64" ht="18" hidden="1" customHeight="1" x14ac:dyDescent="0.2">
      <c r="A431" s="1324"/>
      <c r="B431" s="33"/>
      <c r="C431" s="33"/>
      <c r="D431" s="1640">
        <f>SUMIF(D421:F430,"&gt;0")+SUMIF(D421:F430,"&lt;0")</f>
        <v>0</v>
      </c>
      <c r="E431" s="1641"/>
      <c r="F431" s="1642"/>
      <c r="G431" s="1643">
        <f>SUMIF(G421:I430,"&gt;0")+SUMIF(G421:I430,"&lt;0")</f>
        <v>0</v>
      </c>
      <c r="H431" s="1641"/>
      <c r="I431" s="1642"/>
      <c r="J431" s="1643">
        <f>SUMIF(J421:L430,"&gt;0")+SUMIF(J421:L430,"&lt;0")</f>
        <v>0</v>
      </c>
      <c r="K431" s="1641"/>
      <c r="L431" s="1642"/>
      <c r="M431" s="1643">
        <f>SUMIF(M421:O430,"&gt;0")+SUMIF(M421:O430,"&lt;0")</f>
        <v>0</v>
      </c>
      <c r="N431" s="1641"/>
      <c r="O431" s="1642"/>
      <c r="P431" s="1643">
        <f>SUMIF(P421:R430,"&gt;0")+SUMIF(P421:R430,"&lt;0")</f>
        <v>0</v>
      </c>
      <c r="Q431" s="1641"/>
      <c r="R431" s="1642"/>
      <c r="S431" s="1643">
        <f>SUMIF(S421:U430,"&gt;0")+SUMIF(S421:U430,"&lt;0")</f>
        <v>0</v>
      </c>
      <c r="T431" s="1641"/>
      <c r="U431" s="1642"/>
      <c r="V431" s="1643">
        <f>SUMIF(V421:X430,"&gt;0")+SUMIF(V421:X430,"&lt;0")</f>
        <v>0</v>
      </c>
      <c r="W431" s="1641"/>
      <c r="X431" s="1642"/>
      <c r="Y431" s="1643">
        <f>SUMIF(Y421:AA430,"&gt;0")+SUMIF(Y421:AA430,"&lt;0")</f>
        <v>0</v>
      </c>
      <c r="Z431" s="1641"/>
      <c r="AA431" s="1642"/>
      <c r="AB431" s="1643">
        <f>SUMIF(AB421:AD430,"&gt;0")+SUMIF(AB421:AD430,"&lt;0")</f>
        <v>0</v>
      </c>
      <c r="AC431" s="1641"/>
      <c r="AD431" s="1642"/>
      <c r="AE431" s="1643">
        <f>SUMIF(AE421:AG430,"&gt;0")+SUMIF(AE421:AG430,"&lt;0")</f>
        <v>0</v>
      </c>
      <c r="AF431" s="1641"/>
      <c r="AG431" s="1642"/>
      <c r="AH431" s="1643">
        <f>SUMIF(AH421:AJ430,"&gt;0")+SUMIF(AH421:AJ430,"&lt;0")</f>
        <v>0</v>
      </c>
      <c r="AI431" s="1641"/>
      <c r="AJ431" s="1642"/>
      <c r="AK431" s="1643">
        <f>SUMIF(AK421:AM430,"&gt;0")+SUMIF(AK421:AM430,"&lt;0")</f>
        <v>0</v>
      </c>
      <c r="AL431" s="1641"/>
      <c r="AM431" s="1646"/>
      <c r="AN431" s="33"/>
      <c r="AO431" s="33"/>
      <c r="AP431" s="33"/>
      <c r="AQ431" s="33"/>
      <c r="AR431" s="33"/>
      <c r="AS431" s="264"/>
      <c r="AT431" s="264"/>
      <c r="AU431" s="264"/>
      <c r="AV431" s="264"/>
      <c r="AW431" s="264"/>
      <c r="AX431" s="264"/>
      <c r="AY431" s="264"/>
      <c r="AZ431" s="264"/>
      <c r="BA431" s="264"/>
      <c r="BB431" s="264"/>
      <c r="BC431" s="264"/>
      <c r="BD431" s="264"/>
      <c r="BE431" s="264"/>
      <c r="BF431" s="264"/>
      <c r="BG431" s="264"/>
      <c r="BH431" s="264"/>
      <c r="BI431" s="264"/>
      <c r="BJ431" s="264"/>
      <c r="BK431" s="264"/>
      <c r="BL431" s="264"/>
    </row>
    <row r="432" spans="1:64" ht="18" hidden="1" customHeight="1" x14ac:dyDescent="0.2">
      <c r="A432" s="1324"/>
      <c r="B432" s="33"/>
      <c r="C432" s="33"/>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324"/>
      <c r="AD432" s="1324"/>
      <c r="AE432" s="1324"/>
      <c r="AF432" s="1324"/>
      <c r="AG432" s="1324"/>
      <c r="AH432" s="1324"/>
      <c r="AI432" s="1324"/>
      <c r="AJ432" s="1324"/>
      <c r="AK432" s="1324"/>
      <c r="AL432" s="1324"/>
      <c r="AM432" s="1324"/>
      <c r="AN432" s="33"/>
      <c r="AO432" s="33"/>
      <c r="AP432" s="33"/>
      <c r="AQ432" s="33"/>
      <c r="AR432" s="33"/>
      <c r="AS432" s="264"/>
      <c r="AT432" s="264"/>
      <c r="AU432" s="264"/>
      <c r="AV432" s="264"/>
      <c r="AW432" s="264"/>
      <c r="AX432" s="264"/>
      <c r="AY432" s="264"/>
      <c r="AZ432" s="264"/>
      <c r="BA432" s="264"/>
      <c r="BB432" s="264"/>
      <c r="BC432" s="264"/>
      <c r="BD432" s="264"/>
      <c r="BE432" s="264"/>
      <c r="BF432" s="264"/>
      <c r="BG432" s="264"/>
      <c r="BH432" s="264"/>
      <c r="BI432" s="264"/>
      <c r="BJ432" s="264"/>
      <c r="BK432" s="264"/>
      <c r="BL432" s="264"/>
    </row>
    <row r="433" spans="1:51" x14ac:dyDescent="0.2">
      <c r="A433" s="366"/>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630"/>
      <c r="AP433" s="264"/>
      <c r="AQ433" s="264"/>
      <c r="AR433" s="264"/>
      <c r="AS433" s="264"/>
      <c r="AT433" s="264"/>
      <c r="AU433" s="264"/>
      <c r="AV433" s="264"/>
      <c r="AW433" s="264"/>
      <c r="AX433" s="264"/>
      <c r="AY433" s="264"/>
    </row>
    <row r="434" spans="1:51" x14ac:dyDescent="0.2">
      <c r="A434" s="366"/>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630"/>
      <c r="AP434" s="264"/>
      <c r="AQ434" s="264"/>
      <c r="AR434" s="264"/>
      <c r="AS434" s="264"/>
      <c r="AT434" s="264"/>
      <c r="AU434" s="264"/>
      <c r="AV434" s="264"/>
      <c r="AW434" s="264"/>
      <c r="AX434" s="264"/>
      <c r="AY434" s="264"/>
    </row>
    <row r="435" spans="1:51" x14ac:dyDescent="0.2">
      <c r="A435" s="366"/>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630"/>
      <c r="AP435" s="264"/>
      <c r="AQ435" s="264"/>
      <c r="AR435" s="264"/>
      <c r="AS435" s="264"/>
      <c r="AT435" s="264"/>
    </row>
    <row r="436" spans="1:51" s="633" customFormat="1" x14ac:dyDescent="0.2">
      <c r="A436" s="1355"/>
      <c r="B436" s="631"/>
      <c r="C436" s="631"/>
      <c r="D436" s="562" t="s">
        <v>230</v>
      </c>
      <c r="E436" s="631"/>
      <c r="F436" s="631"/>
      <c r="G436" s="631"/>
      <c r="H436" s="631"/>
      <c r="I436" s="631"/>
      <c r="J436" s="631"/>
      <c r="K436" s="631"/>
      <c r="L436" s="631"/>
      <c r="M436" s="631"/>
      <c r="N436" s="631"/>
      <c r="O436" s="631"/>
      <c r="P436" s="631"/>
      <c r="Q436" s="631"/>
      <c r="R436" s="631"/>
      <c r="S436" s="631"/>
      <c r="T436" s="631"/>
      <c r="U436" s="631"/>
      <c r="V436" s="631"/>
      <c r="W436" s="562" t="s">
        <v>687</v>
      </c>
      <c r="X436" s="631"/>
      <c r="Y436" s="631"/>
      <c r="Z436" s="631"/>
      <c r="AA436" s="631"/>
      <c r="AB436" s="631"/>
      <c r="AC436" s="631"/>
      <c r="AD436" s="631"/>
      <c r="AE436" s="631"/>
      <c r="AF436" s="631"/>
      <c r="AG436" s="631"/>
      <c r="AH436" s="631"/>
      <c r="AI436" s="631"/>
      <c r="AJ436" s="631"/>
      <c r="AK436" s="631"/>
      <c r="AL436" s="631"/>
      <c r="AM436" s="631"/>
      <c r="AN436" s="631"/>
      <c r="AO436" s="681"/>
      <c r="AP436" s="681"/>
      <c r="AQ436" s="681"/>
      <c r="AR436" s="681"/>
    </row>
    <row r="437" spans="1:51" s="633" customFormat="1" x14ac:dyDescent="0.2">
      <c r="A437" s="1355"/>
      <c r="B437" s="631"/>
      <c r="C437" s="631"/>
      <c r="D437" s="587" t="s">
        <v>688</v>
      </c>
      <c r="E437" s="631"/>
      <c r="F437" s="631"/>
      <c r="G437" s="631"/>
      <c r="H437" s="631"/>
      <c r="I437" s="631"/>
      <c r="J437" s="631"/>
      <c r="K437" s="631"/>
      <c r="L437" s="631"/>
      <c r="M437" s="631"/>
      <c r="N437" s="631"/>
      <c r="O437" s="631"/>
      <c r="P437" s="631"/>
      <c r="Q437" s="631"/>
      <c r="R437" s="631"/>
      <c r="S437" s="631"/>
      <c r="T437" s="631"/>
      <c r="U437" s="631"/>
      <c r="V437" s="631"/>
      <c r="W437" s="562" t="s">
        <v>235</v>
      </c>
      <c r="X437" s="631"/>
      <c r="Y437" s="631"/>
      <c r="Z437" s="631"/>
      <c r="AA437" s="631"/>
      <c r="AB437" s="631"/>
      <c r="AC437" s="631"/>
      <c r="AD437" s="631"/>
      <c r="AE437" s="631"/>
      <c r="AF437" s="631"/>
      <c r="AG437" s="631"/>
      <c r="AH437" s="631"/>
      <c r="AI437" s="631"/>
      <c r="AJ437" s="631"/>
      <c r="AK437" s="631"/>
      <c r="AL437" s="631"/>
      <c r="AM437" s="631"/>
      <c r="AN437" s="631"/>
      <c r="AO437" s="681"/>
      <c r="AP437" s="681"/>
      <c r="AQ437" s="681"/>
      <c r="AR437" s="681"/>
    </row>
    <row r="438" spans="1:51" s="633" customFormat="1" x14ac:dyDescent="0.2">
      <c r="A438" s="1355"/>
      <c r="B438" s="631"/>
      <c r="C438" s="631"/>
      <c r="D438" s="562" t="s">
        <v>199</v>
      </c>
      <c r="E438" s="631"/>
      <c r="F438" s="631"/>
      <c r="G438" s="631"/>
      <c r="H438" s="631"/>
      <c r="I438" s="631"/>
      <c r="J438" s="631"/>
      <c r="K438" s="631"/>
      <c r="L438" s="631"/>
      <c r="M438" s="631"/>
      <c r="N438" s="631"/>
      <c r="O438" s="631"/>
      <c r="P438" s="631"/>
      <c r="Q438" s="631"/>
      <c r="R438" s="631"/>
      <c r="S438" s="631"/>
      <c r="T438" s="631"/>
      <c r="U438" s="631"/>
      <c r="V438" s="631"/>
      <c r="W438" s="1941" t="s">
        <v>71</v>
      </c>
      <c r="X438" s="1941"/>
      <c r="Y438" s="1941"/>
      <c r="Z438" s="1941"/>
      <c r="AA438" s="631"/>
      <c r="AB438" s="631"/>
      <c r="AC438" s="631"/>
      <c r="AD438" s="631"/>
      <c r="AE438" s="631"/>
      <c r="AF438" s="631"/>
      <c r="AG438" s="631"/>
      <c r="AH438" s="631"/>
      <c r="AI438" s="631"/>
      <c r="AJ438" s="631"/>
      <c r="AK438" s="631"/>
      <c r="AL438" s="631"/>
      <c r="AM438" s="631"/>
      <c r="AN438" s="631"/>
      <c r="AO438" s="681"/>
      <c r="AP438" s="681"/>
      <c r="AQ438" s="681"/>
      <c r="AR438" s="681"/>
    </row>
    <row r="439" spans="1:51" s="633" customFormat="1" x14ac:dyDescent="0.2">
      <c r="A439" s="1355"/>
      <c r="B439" s="631"/>
      <c r="C439" s="631"/>
      <c r="D439" s="562"/>
      <c r="E439" s="631"/>
      <c r="F439" s="631"/>
      <c r="G439" s="631"/>
      <c r="H439" s="631"/>
      <c r="I439" s="631"/>
      <c r="J439" s="631"/>
      <c r="K439" s="631"/>
      <c r="L439" s="631"/>
      <c r="M439" s="631"/>
      <c r="N439" s="631"/>
      <c r="O439" s="631"/>
      <c r="P439" s="631"/>
      <c r="Q439" s="631"/>
      <c r="R439" s="631"/>
      <c r="S439" s="631"/>
      <c r="T439" s="631"/>
      <c r="U439" s="631"/>
      <c r="V439" s="631"/>
      <c r="W439" s="631"/>
      <c r="X439" s="631"/>
      <c r="Y439" s="631"/>
      <c r="Z439" s="631"/>
      <c r="AA439" s="631"/>
      <c r="AB439" s="631"/>
      <c r="AC439" s="631"/>
      <c r="AD439" s="631"/>
      <c r="AE439" s="631"/>
      <c r="AF439" s="631"/>
      <c r="AG439" s="631"/>
      <c r="AH439" s="631"/>
      <c r="AI439" s="631"/>
      <c r="AJ439" s="631"/>
      <c r="AK439" s="631"/>
      <c r="AL439" s="631"/>
      <c r="AM439" s="631"/>
      <c r="AN439" s="631"/>
      <c r="AO439" s="681"/>
      <c r="AP439" s="681"/>
      <c r="AQ439" s="681"/>
      <c r="AR439" s="681"/>
    </row>
    <row r="440" spans="1:51" s="633" customFormat="1" x14ac:dyDescent="0.2">
      <c r="A440" s="1355"/>
      <c r="B440" s="631"/>
      <c r="C440" s="631"/>
      <c r="D440" s="598" t="s">
        <v>200</v>
      </c>
      <c r="E440" s="631"/>
      <c r="F440" s="631"/>
      <c r="G440" s="631"/>
      <c r="H440" s="631"/>
      <c r="I440" s="631"/>
      <c r="J440" s="631"/>
      <c r="K440" s="631"/>
      <c r="L440" s="631"/>
      <c r="M440" s="631"/>
      <c r="N440" s="631"/>
      <c r="O440" s="631"/>
      <c r="P440" s="631"/>
      <c r="Q440" s="631"/>
      <c r="R440" s="631"/>
      <c r="S440" s="631"/>
      <c r="T440" s="631"/>
      <c r="U440" s="631"/>
      <c r="V440" s="631"/>
      <c r="W440" s="631"/>
      <c r="X440" s="631"/>
      <c r="Y440" s="631"/>
      <c r="Z440" s="631"/>
      <c r="AA440" s="631"/>
      <c r="AB440" s="631"/>
      <c r="AC440" s="631"/>
      <c r="AD440" s="631"/>
      <c r="AE440" s="631"/>
      <c r="AF440" s="631"/>
      <c r="AG440" s="631"/>
      <c r="AH440" s="631"/>
      <c r="AI440" s="631"/>
      <c r="AJ440" s="631"/>
      <c r="AK440" s="631"/>
      <c r="AL440" s="631"/>
      <c r="AM440" s="631"/>
      <c r="AN440" s="631"/>
      <c r="AO440" s="681"/>
      <c r="AP440" s="681"/>
      <c r="AQ440" s="681"/>
      <c r="AR440" s="681"/>
    </row>
    <row r="441" spans="1:51" s="633" customFormat="1" x14ac:dyDescent="0.2">
      <c r="A441" s="1355"/>
      <c r="B441" s="631"/>
      <c r="C441" s="631"/>
      <c r="D441" s="599" t="s">
        <v>202</v>
      </c>
      <c r="E441" s="631"/>
      <c r="F441" s="631"/>
      <c r="G441" s="631"/>
      <c r="H441" s="631"/>
      <c r="I441" s="631"/>
      <c r="J441" s="631"/>
      <c r="K441" s="631"/>
      <c r="L441" s="631"/>
      <c r="M441" s="631"/>
      <c r="N441" s="631"/>
      <c r="O441" s="631"/>
      <c r="P441" s="631"/>
      <c r="Q441" s="631"/>
      <c r="R441" s="631"/>
      <c r="S441" s="631"/>
      <c r="T441" s="631"/>
      <c r="U441" s="631"/>
      <c r="V441" s="631"/>
      <c r="W441" s="563" t="s">
        <v>689</v>
      </c>
      <c r="X441" s="631"/>
      <c r="Y441" s="631"/>
      <c r="Z441" s="631"/>
      <c r="AA441" s="631"/>
      <c r="AB441" s="631"/>
      <c r="AC441" s="631"/>
      <c r="AD441" s="631"/>
      <c r="AE441" s="631"/>
      <c r="AF441" s="631"/>
      <c r="AG441" s="631"/>
      <c r="AH441" s="631"/>
      <c r="AI441" s="631"/>
      <c r="AJ441" s="631"/>
      <c r="AK441" s="631"/>
      <c r="AL441" s="631"/>
      <c r="AM441" s="631"/>
      <c r="AN441" s="631"/>
      <c r="AO441" s="681"/>
      <c r="AP441" s="681"/>
      <c r="AQ441" s="681"/>
      <c r="AR441" s="681"/>
    </row>
    <row r="442" spans="1:51" s="633" customFormat="1" x14ac:dyDescent="0.2">
      <c r="A442" s="1355"/>
      <c r="B442" s="631"/>
      <c r="C442" s="631"/>
      <c r="D442" s="631"/>
      <c r="E442" s="631"/>
      <c r="F442" s="631"/>
      <c r="G442" s="631"/>
      <c r="H442" s="631"/>
      <c r="I442" s="631"/>
      <c r="J442" s="631"/>
      <c r="K442" s="631"/>
      <c r="L442" s="631"/>
      <c r="M442" s="631"/>
      <c r="N442" s="631"/>
      <c r="O442" s="631"/>
      <c r="P442" s="631"/>
      <c r="Q442" s="631"/>
      <c r="R442" s="631"/>
      <c r="S442" s="631"/>
      <c r="T442" s="631"/>
      <c r="U442" s="631"/>
      <c r="V442" s="631"/>
      <c r="W442" s="563" t="s">
        <v>229</v>
      </c>
      <c r="X442" s="631"/>
      <c r="Y442" s="631"/>
      <c r="Z442" s="631"/>
      <c r="AA442" s="631"/>
      <c r="AB442" s="631"/>
      <c r="AC442" s="631"/>
      <c r="AD442" s="631"/>
      <c r="AE442" s="631"/>
      <c r="AF442" s="631"/>
      <c r="AG442" s="631"/>
      <c r="AH442" s="631"/>
      <c r="AI442" s="631"/>
      <c r="AJ442" s="631"/>
      <c r="AK442" s="631"/>
      <c r="AL442" s="631"/>
      <c r="AM442" s="631"/>
      <c r="AN442" s="631"/>
      <c r="AO442" s="681"/>
      <c r="AP442" s="681"/>
      <c r="AQ442" s="681"/>
      <c r="AR442" s="681"/>
    </row>
    <row r="443" spans="1:51" s="633" customFormat="1" x14ac:dyDescent="0.2">
      <c r="A443" s="1355"/>
      <c r="B443" s="631"/>
      <c r="C443" s="631"/>
      <c r="D443" s="563" t="s">
        <v>232</v>
      </c>
      <c r="E443" s="631"/>
      <c r="F443" s="631"/>
      <c r="G443" s="631"/>
      <c r="H443" s="631"/>
      <c r="I443" s="631"/>
      <c r="J443" s="631"/>
      <c r="K443" s="631"/>
      <c r="L443" s="631"/>
      <c r="M443" s="631"/>
      <c r="N443" s="631"/>
      <c r="O443" s="631"/>
      <c r="P443" s="631"/>
      <c r="Q443" s="631"/>
      <c r="R443" s="631"/>
      <c r="S443" s="631"/>
      <c r="T443" s="631"/>
      <c r="U443" s="631"/>
      <c r="V443" s="631"/>
      <c r="W443" s="1356" t="s">
        <v>72</v>
      </c>
      <c r="X443" s="631"/>
      <c r="Y443" s="631"/>
      <c r="Z443" s="631"/>
      <c r="AA443" s="631"/>
      <c r="AB443" s="631"/>
      <c r="AC443" s="631"/>
      <c r="AD443" s="631"/>
      <c r="AE443" s="631"/>
      <c r="AF443" s="631"/>
      <c r="AG443" s="631"/>
      <c r="AH443" s="631"/>
      <c r="AI443" s="631"/>
      <c r="AJ443" s="631"/>
      <c r="AK443" s="631"/>
      <c r="AL443" s="631"/>
      <c r="AM443" s="631"/>
      <c r="AN443" s="631"/>
      <c r="AO443" s="681"/>
      <c r="AP443" s="681"/>
      <c r="AQ443" s="681"/>
      <c r="AR443" s="681"/>
    </row>
    <row r="444" spans="1:51" s="633" customFormat="1" x14ac:dyDescent="0.2">
      <c r="A444" s="1355"/>
      <c r="B444" s="631"/>
      <c r="C444" s="631"/>
      <c r="D444" s="562" t="s">
        <v>201</v>
      </c>
      <c r="E444" s="631"/>
      <c r="F444" s="631"/>
      <c r="G444" s="631"/>
      <c r="H444" s="631"/>
      <c r="I444" s="631"/>
      <c r="J444" s="631"/>
      <c r="K444" s="631"/>
      <c r="L444" s="631"/>
      <c r="M444" s="631"/>
      <c r="N444" s="631"/>
      <c r="O444" s="631"/>
      <c r="P444" s="631"/>
      <c r="Q444" s="631"/>
      <c r="R444" s="631"/>
      <c r="S444" s="631"/>
      <c r="T444" s="631"/>
      <c r="U444" s="631"/>
      <c r="V444" s="631"/>
      <c r="W444" s="631"/>
      <c r="X444" s="631"/>
      <c r="Y444" s="631"/>
      <c r="Z444" s="631"/>
      <c r="AA444" s="631"/>
      <c r="AB444" s="631"/>
      <c r="AC444" s="631"/>
      <c r="AD444" s="631"/>
      <c r="AE444" s="631"/>
      <c r="AF444" s="631"/>
      <c r="AG444" s="631"/>
      <c r="AH444" s="631"/>
      <c r="AI444" s="631"/>
      <c r="AJ444" s="631"/>
      <c r="AK444" s="631"/>
      <c r="AL444" s="631"/>
      <c r="AM444" s="631"/>
      <c r="AN444" s="631"/>
      <c r="AO444" s="681"/>
      <c r="AP444" s="681"/>
      <c r="AQ444" s="681"/>
      <c r="AR444" s="681"/>
    </row>
    <row r="445" spans="1:51" s="633" customFormat="1" x14ac:dyDescent="0.2">
      <c r="A445" s="1355"/>
      <c r="B445" s="631"/>
      <c r="C445" s="631"/>
      <c r="D445" s="562" t="s">
        <v>690</v>
      </c>
      <c r="E445" s="631"/>
      <c r="F445" s="631"/>
      <c r="G445" s="631"/>
      <c r="H445" s="631"/>
      <c r="I445" s="631"/>
      <c r="J445" s="631"/>
      <c r="K445" s="631"/>
      <c r="L445" s="631"/>
      <c r="M445" s="631"/>
      <c r="N445" s="631"/>
      <c r="O445" s="631"/>
      <c r="P445" s="631"/>
      <c r="Q445" s="631"/>
      <c r="R445" s="631"/>
      <c r="S445" s="631"/>
      <c r="T445" s="631"/>
      <c r="U445" s="631"/>
      <c r="V445" s="631"/>
      <c r="W445" s="631"/>
      <c r="X445" s="631"/>
      <c r="Y445" s="631"/>
      <c r="Z445" s="631"/>
      <c r="AA445" s="631"/>
      <c r="AB445" s="631"/>
      <c r="AC445" s="631"/>
      <c r="AD445" s="631"/>
      <c r="AE445" s="631"/>
      <c r="AF445" s="631"/>
      <c r="AG445" s="631"/>
      <c r="AH445" s="631"/>
      <c r="AI445" s="631"/>
      <c r="AJ445" s="631"/>
      <c r="AK445" s="631"/>
      <c r="AL445" s="631"/>
      <c r="AM445" s="631"/>
      <c r="AN445" s="631"/>
      <c r="AO445" s="681"/>
      <c r="AP445" s="681"/>
      <c r="AQ445" s="681"/>
      <c r="AR445" s="681"/>
    </row>
    <row r="446" spans="1:51" s="633" customFormat="1" x14ac:dyDescent="0.2">
      <c r="A446" s="1355"/>
      <c r="B446" s="631"/>
      <c r="C446" s="631"/>
      <c r="D446" s="563"/>
      <c r="E446" s="631"/>
      <c r="F446" s="631"/>
      <c r="G446" s="631"/>
      <c r="H446" s="631"/>
      <c r="I446" s="631"/>
      <c r="J446" s="631"/>
      <c r="K446" s="631"/>
      <c r="L446" s="631"/>
      <c r="M446" s="631"/>
      <c r="N446" s="631"/>
      <c r="O446" s="631"/>
      <c r="P446" s="631"/>
      <c r="Q446" s="631"/>
      <c r="R446" s="631"/>
      <c r="S446" s="631"/>
      <c r="T446" s="631"/>
      <c r="U446" s="631"/>
      <c r="V446" s="631"/>
      <c r="W446" s="631"/>
      <c r="X446" s="631"/>
      <c r="Y446" s="631"/>
      <c r="Z446" s="631"/>
      <c r="AA446" s="631"/>
      <c r="AB446" s="631"/>
      <c r="AC446" s="631"/>
      <c r="AD446" s="631"/>
      <c r="AE446" s="631"/>
      <c r="AF446" s="631"/>
      <c r="AG446" s="631"/>
      <c r="AH446" s="631"/>
      <c r="AI446" s="631"/>
      <c r="AJ446" s="631"/>
      <c r="AK446" s="631"/>
      <c r="AL446" s="631"/>
      <c r="AM446" s="631"/>
      <c r="AN446" s="631"/>
      <c r="AO446" s="681"/>
      <c r="AP446" s="681"/>
      <c r="AQ446" s="681"/>
      <c r="AR446" s="681"/>
    </row>
    <row r="447" spans="1:51" s="633" customFormat="1" x14ac:dyDescent="0.2">
      <c r="A447" s="1355"/>
      <c r="B447" s="631"/>
      <c r="C447" s="631"/>
      <c r="D447" s="563" t="s">
        <v>691</v>
      </c>
      <c r="E447" s="631"/>
      <c r="F447" s="631"/>
      <c r="G447" s="631"/>
      <c r="H447" s="631"/>
      <c r="I447" s="631"/>
      <c r="J447" s="631"/>
      <c r="K447" s="631"/>
      <c r="L447" s="631"/>
      <c r="M447" s="631"/>
      <c r="N447" s="631"/>
      <c r="O447" s="631"/>
      <c r="P447" s="631"/>
      <c r="Q447" s="631"/>
      <c r="R447" s="631"/>
      <c r="S447" s="631"/>
      <c r="T447" s="631"/>
      <c r="U447" s="631"/>
      <c r="V447" s="631"/>
      <c r="W447" s="631"/>
      <c r="X447" s="631"/>
      <c r="Y447" s="631"/>
      <c r="Z447" s="631"/>
      <c r="AA447" s="631"/>
      <c r="AB447" s="631"/>
      <c r="AC447" s="631"/>
      <c r="AD447" s="631"/>
      <c r="AE447" s="631"/>
      <c r="AF447" s="631"/>
      <c r="AG447" s="631"/>
      <c r="AH447" s="631"/>
      <c r="AI447" s="631"/>
      <c r="AJ447" s="631"/>
      <c r="AK447" s="631"/>
      <c r="AL447" s="631"/>
      <c r="AM447" s="631"/>
      <c r="AN447" s="631"/>
      <c r="AO447" s="681"/>
      <c r="AP447" s="681"/>
      <c r="AQ447" s="681"/>
      <c r="AR447" s="681"/>
    </row>
    <row r="448" spans="1:51" s="633" customFormat="1" x14ac:dyDescent="0.2">
      <c r="A448" s="631"/>
      <c r="B448" s="631"/>
      <c r="C448" s="631"/>
      <c r="D448" s="562"/>
      <c r="E448" s="631"/>
      <c r="F448" s="631"/>
      <c r="G448" s="631"/>
      <c r="H448" s="631"/>
      <c r="I448" s="631"/>
      <c r="J448" s="631"/>
      <c r="K448" s="631"/>
      <c r="L448" s="631"/>
      <c r="M448" s="631"/>
      <c r="N448" s="631"/>
      <c r="O448" s="631"/>
      <c r="P448" s="631"/>
      <c r="Q448" s="631"/>
      <c r="R448" s="631"/>
      <c r="S448" s="631"/>
      <c r="T448" s="631"/>
      <c r="U448" s="631"/>
      <c r="V448" s="631"/>
      <c r="W448" s="631"/>
      <c r="X448" s="631"/>
      <c r="Y448" s="631"/>
      <c r="Z448" s="631"/>
      <c r="AA448" s="631"/>
      <c r="AB448" s="631"/>
      <c r="AC448" s="631"/>
      <c r="AD448" s="631"/>
      <c r="AE448" s="631"/>
      <c r="AF448" s="631"/>
      <c r="AG448" s="631"/>
      <c r="AH448" s="631"/>
      <c r="AI448" s="631"/>
      <c r="AJ448" s="631"/>
      <c r="AK448" s="631"/>
      <c r="AL448" s="631"/>
      <c r="AM448" s="631"/>
      <c r="AN448" s="631"/>
      <c r="AO448" s="681"/>
      <c r="AP448" s="681"/>
      <c r="AQ448" s="681"/>
      <c r="AR448" s="681"/>
    </row>
    <row r="449" spans="1:44" s="633" customFormat="1" x14ac:dyDescent="0.2">
      <c r="A449" s="631"/>
      <c r="B449" s="631"/>
      <c r="C449" s="631"/>
      <c r="D449" s="631"/>
      <c r="E449" s="597"/>
      <c r="F449" s="597"/>
      <c r="G449" s="597"/>
      <c r="H449" s="597"/>
      <c r="I449" s="597"/>
      <c r="J449" s="597"/>
      <c r="K449" s="597"/>
      <c r="L449" s="597"/>
      <c r="M449" s="597"/>
      <c r="N449" s="597"/>
      <c r="O449" s="631"/>
      <c r="P449" s="631"/>
      <c r="Q449" s="631"/>
      <c r="R449" s="631"/>
      <c r="S449" s="631"/>
      <c r="T449" s="631"/>
      <c r="U449" s="631"/>
      <c r="V449" s="631"/>
      <c r="W449" s="631"/>
      <c r="X449" s="631"/>
      <c r="Y449" s="631"/>
      <c r="Z449" s="631"/>
      <c r="AA449" s="631"/>
      <c r="AB449" s="631"/>
      <c r="AC449" s="631"/>
      <c r="AD449" s="631"/>
      <c r="AE449" s="631"/>
      <c r="AF449" s="631"/>
      <c r="AG449" s="631"/>
      <c r="AH449" s="631"/>
      <c r="AI449" s="631"/>
      <c r="AJ449" s="631"/>
      <c r="AK449" s="631"/>
      <c r="AL449" s="631"/>
      <c r="AM449" s="631"/>
      <c r="AN449" s="631"/>
      <c r="AO449" s="681"/>
      <c r="AP449" s="681"/>
      <c r="AQ449" s="681"/>
      <c r="AR449" s="681"/>
    </row>
    <row r="450" spans="1:44" s="633" customFormat="1" x14ac:dyDescent="0.2">
      <c r="A450" s="631"/>
      <c r="B450" s="631"/>
      <c r="C450" s="631"/>
      <c r="D450" s="631"/>
      <c r="E450" s="631"/>
      <c r="F450" s="631"/>
      <c r="G450" s="631"/>
      <c r="H450" s="631"/>
      <c r="I450" s="631"/>
      <c r="J450" s="631"/>
      <c r="K450" s="631"/>
      <c r="L450" s="631"/>
      <c r="M450" s="631"/>
      <c r="N450" s="631"/>
      <c r="O450" s="631"/>
      <c r="P450" s="631"/>
      <c r="Q450" s="631"/>
      <c r="R450" s="631"/>
      <c r="S450" s="631"/>
      <c r="T450" s="631"/>
      <c r="U450" s="631"/>
      <c r="V450" s="631"/>
      <c r="W450" s="631"/>
      <c r="X450" s="631"/>
      <c r="Y450" s="631"/>
      <c r="Z450" s="631"/>
      <c r="AA450" s="631"/>
      <c r="AB450" s="631"/>
      <c r="AC450" s="631"/>
      <c r="AD450" s="631"/>
      <c r="AE450" s="631"/>
      <c r="AF450" s="631"/>
      <c r="AG450" s="631"/>
      <c r="AH450" s="631"/>
      <c r="AI450" s="631"/>
      <c r="AJ450" s="631"/>
      <c r="AK450" s="631"/>
      <c r="AL450" s="631"/>
      <c r="AM450" s="631"/>
      <c r="AN450" s="1355"/>
      <c r="AO450" s="681"/>
      <c r="AP450" s="681"/>
      <c r="AQ450" s="681"/>
      <c r="AR450" s="681"/>
    </row>
  </sheetData>
  <sheetProtection algorithmName="SHA-512" hashValue="gxVTo+2QJ5kCWDRnrIjWKvYJc1J/HTQhORcWAD55LiWlo+gN2n9EFOr2WSgBQTaa6JWMXsJOm/itFg4YtyqqwA==" saltValue="vL0xqooPWVuIL54ludA0Lg==" spinCount="100000" sheet="1" objects="1" scenarios="1" selectLockedCells="1"/>
  <mergeCells count="3103">
    <mergeCell ref="W438:Z438"/>
    <mergeCell ref="M82:N82"/>
    <mergeCell ref="D347:F347"/>
    <mergeCell ref="G347:I347"/>
    <mergeCell ref="J347:L347"/>
    <mergeCell ref="M347:O347"/>
    <mergeCell ref="P347:R347"/>
    <mergeCell ref="S347:U347"/>
    <mergeCell ref="V347:X347"/>
    <mergeCell ref="Y347:AA347"/>
    <mergeCell ref="AB347:AD347"/>
    <mergeCell ref="AE347:AG347"/>
    <mergeCell ref="AH347:AJ347"/>
    <mergeCell ref="AK347:AM347"/>
    <mergeCell ref="D345:F345"/>
    <mergeCell ref="G345:I345"/>
    <mergeCell ref="J345:L345"/>
    <mergeCell ref="M345:O345"/>
    <mergeCell ref="P345:R345"/>
    <mergeCell ref="S345:U345"/>
    <mergeCell ref="V345:X345"/>
    <mergeCell ref="Y345:AA345"/>
    <mergeCell ref="AB345:AD345"/>
    <mergeCell ref="AE345:AG345"/>
    <mergeCell ref="AH345:AJ345"/>
    <mergeCell ref="AK345:AM345"/>
    <mergeCell ref="S344:U344"/>
    <mergeCell ref="V344:X344"/>
    <mergeCell ref="Y344:AA344"/>
    <mergeCell ref="AB344:AD344"/>
    <mergeCell ref="AE344:AG344"/>
    <mergeCell ref="AH344:AJ344"/>
    <mergeCell ref="D346:F346"/>
    <mergeCell ref="G346:I346"/>
    <mergeCell ref="J346:L346"/>
    <mergeCell ref="M346:O346"/>
    <mergeCell ref="P346:R346"/>
    <mergeCell ref="S346:U346"/>
    <mergeCell ref="V346:X346"/>
    <mergeCell ref="Y346:AA346"/>
    <mergeCell ref="AB346:AD346"/>
    <mergeCell ref="AE346:AG346"/>
    <mergeCell ref="AH346:AJ346"/>
    <mergeCell ref="AK346:AM346"/>
    <mergeCell ref="AN346:AP346"/>
    <mergeCell ref="D343:F343"/>
    <mergeCell ref="G343:I343"/>
    <mergeCell ref="J343:L343"/>
    <mergeCell ref="M343:O343"/>
    <mergeCell ref="P343:R343"/>
    <mergeCell ref="S343:U343"/>
    <mergeCell ref="V343:X343"/>
    <mergeCell ref="Y343:AA343"/>
    <mergeCell ref="AB343:AD343"/>
    <mergeCell ref="AE343:AG343"/>
    <mergeCell ref="AH343:AJ343"/>
    <mergeCell ref="AK343:AM343"/>
    <mergeCell ref="AN343:AP343"/>
    <mergeCell ref="D344:F344"/>
    <mergeCell ref="G344:I344"/>
    <mergeCell ref="J344:L344"/>
    <mergeCell ref="M344:O344"/>
    <mergeCell ref="AN344:AP344"/>
    <mergeCell ref="AH341:AJ341"/>
    <mergeCell ref="AK341:AM341"/>
    <mergeCell ref="AN341:AP341"/>
    <mergeCell ref="D342:F342"/>
    <mergeCell ref="G342:I342"/>
    <mergeCell ref="J342:L342"/>
    <mergeCell ref="M342:O342"/>
    <mergeCell ref="P342:R342"/>
    <mergeCell ref="S342:U342"/>
    <mergeCell ref="V342:X342"/>
    <mergeCell ref="Y342:AA342"/>
    <mergeCell ref="AB342:AD342"/>
    <mergeCell ref="AE342:AG342"/>
    <mergeCell ref="AH342:AJ342"/>
    <mergeCell ref="AK342:AM342"/>
    <mergeCell ref="AN342:AP342"/>
    <mergeCell ref="AN345:AP345"/>
    <mergeCell ref="AN338:AP338"/>
    <mergeCell ref="D339:F339"/>
    <mergeCell ref="G339:I339"/>
    <mergeCell ref="J339:L339"/>
    <mergeCell ref="M339:O339"/>
    <mergeCell ref="P339:R339"/>
    <mergeCell ref="S339:U339"/>
    <mergeCell ref="V339:X339"/>
    <mergeCell ref="Y339:AA339"/>
    <mergeCell ref="AB339:AD339"/>
    <mergeCell ref="AE339:AG339"/>
    <mergeCell ref="AH339:AJ339"/>
    <mergeCell ref="AK339:AM339"/>
    <mergeCell ref="AN339:AP339"/>
    <mergeCell ref="D340:F340"/>
    <mergeCell ref="G340:I340"/>
    <mergeCell ref="J340:L340"/>
    <mergeCell ref="M340:O340"/>
    <mergeCell ref="P340:R340"/>
    <mergeCell ref="S340:U340"/>
    <mergeCell ref="V340:X340"/>
    <mergeCell ref="Y340:AA340"/>
    <mergeCell ref="AB340:AD340"/>
    <mergeCell ref="AE340:AG340"/>
    <mergeCell ref="AH340:AJ340"/>
    <mergeCell ref="AK340:AM340"/>
    <mergeCell ref="AN340:AP340"/>
    <mergeCell ref="AH337:AJ337"/>
    <mergeCell ref="AK337:AM337"/>
    <mergeCell ref="D338:F338"/>
    <mergeCell ref="G338:I338"/>
    <mergeCell ref="J338:L338"/>
    <mergeCell ref="M338:O338"/>
    <mergeCell ref="P338:R338"/>
    <mergeCell ref="S338:U338"/>
    <mergeCell ref="V338:X338"/>
    <mergeCell ref="Y338:AA338"/>
    <mergeCell ref="AB338:AD338"/>
    <mergeCell ref="AE338:AG338"/>
    <mergeCell ref="AH338:AJ338"/>
    <mergeCell ref="AK338:AM338"/>
    <mergeCell ref="S390:U390"/>
    <mergeCell ref="V390:X390"/>
    <mergeCell ref="Y390:AA390"/>
    <mergeCell ref="AB390:AD390"/>
    <mergeCell ref="AE390:AG390"/>
    <mergeCell ref="AH390:AJ390"/>
    <mergeCell ref="AK390:AM390"/>
    <mergeCell ref="AK388:AM388"/>
    <mergeCell ref="M387:O387"/>
    <mergeCell ref="P344:R344"/>
    <mergeCell ref="D389:F389"/>
    <mergeCell ref="G389:I389"/>
    <mergeCell ref="J389:L389"/>
    <mergeCell ref="M389:O389"/>
    <mergeCell ref="P389:R389"/>
    <mergeCell ref="S389:U389"/>
    <mergeCell ref="AK344:AM344"/>
    <mergeCell ref="D341:F341"/>
    <mergeCell ref="D394:F394"/>
    <mergeCell ref="G394:I394"/>
    <mergeCell ref="J394:L394"/>
    <mergeCell ref="M394:O394"/>
    <mergeCell ref="P394:R394"/>
    <mergeCell ref="S394:U394"/>
    <mergeCell ref="V394:X394"/>
    <mergeCell ref="Y394:AA394"/>
    <mergeCell ref="AB394:AD394"/>
    <mergeCell ref="AE394:AG394"/>
    <mergeCell ref="AH394:AJ394"/>
    <mergeCell ref="AK394:AM394"/>
    <mergeCell ref="D392:F392"/>
    <mergeCell ref="G392:I392"/>
    <mergeCell ref="J392:L392"/>
    <mergeCell ref="M392:O392"/>
    <mergeCell ref="P392:R392"/>
    <mergeCell ref="S392:U392"/>
    <mergeCell ref="V392:X392"/>
    <mergeCell ref="Y392:AA392"/>
    <mergeCell ref="AB392:AD392"/>
    <mergeCell ref="AE392:AG392"/>
    <mergeCell ref="AH392:AJ392"/>
    <mergeCell ref="AK392:AM392"/>
    <mergeCell ref="V389:X389"/>
    <mergeCell ref="Y389:AA389"/>
    <mergeCell ref="AB389:AD389"/>
    <mergeCell ref="AE389:AG389"/>
    <mergeCell ref="AH389:AJ389"/>
    <mergeCell ref="AN392:AP392"/>
    <mergeCell ref="D393:F393"/>
    <mergeCell ref="G393:I393"/>
    <mergeCell ref="J393:L393"/>
    <mergeCell ref="M393:O393"/>
    <mergeCell ref="P393:R393"/>
    <mergeCell ref="S393:U393"/>
    <mergeCell ref="V393:X393"/>
    <mergeCell ref="Y393:AA393"/>
    <mergeCell ref="AB393:AD393"/>
    <mergeCell ref="AE393:AG393"/>
    <mergeCell ref="AH393:AJ393"/>
    <mergeCell ref="AK393:AM393"/>
    <mergeCell ref="AN393:AP393"/>
    <mergeCell ref="D390:F390"/>
    <mergeCell ref="G390:I390"/>
    <mergeCell ref="J390:L390"/>
    <mergeCell ref="M390:O390"/>
    <mergeCell ref="P390:R390"/>
    <mergeCell ref="AN390:AP390"/>
    <mergeCell ref="D391:F391"/>
    <mergeCell ref="G391:I391"/>
    <mergeCell ref="J391:L391"/>
    <mergeCell ref="M391:O391"/>
    <mergeCell ref="P391:R391"/>
    <mergeCell ref="P387:R387"/>
    <mergeCell ref="S387:U387"/>
    <mergeCell ref="V387:X387"/>
    <mergeCell ref="Y387:AA387"/>
    <mergeCell ref="AB387:AD387"/>
    <mergeCell ref="AE387:AG387"/>
    <mergeCell ref="AH387:AJ387"/>
    <mergeCell ref="AK387:AM387"/>
    <mergeCell ref="AN387:AP387"/>
    <mergeCell ref="D385:F385"/>
    <mergeCell ref="G385:I385"/>
    <mergeCell ref="J385:L385"/>
    <mergeCell ref="S391:U391"/>
    <mergeCell ref="V391:X391"/>
    <mergeCell ref="Y391:AA391"/>
    <mergeCell ref="AB391:AD391"/>
    <mergeCell ref="AE391:AG391"/>
    <mergeCell ref="AH391:AJ391"/>
    <mergeCell ref="AK391:AM391"/>
    <mergeCell ref="AN391:AP391"/>
    <mergeCell ref="D388:F388"/>
    <mergeCell ref="G388:I388"/>
    <mergeCell ref="J388:L388"/>
    <mergeCell ref="M388:O388"/>
    <mergeCell ref="P388:R388"/>
    <mergeCell ref="S388:U388"/>
    <mergeCell ref="V388:X388"/>
    <mergeCell ref="Y388:AA388"/>
    <mergeCell ref="AB388:AD388"/>
    <mergeCell ref="AE388:AG388"/>
    <mergeCell ref="AH388:AJ388"/>
    <mergeCell ref="AN388:AP388"/>
    <mergeCell ref="AN383:AP383"/>
    <mergeCell ref="D384:F384"/>
    <mergeCell ref="G384:I384"/>
    <mergeCell ref="J384:L384"/>
    <mergeCell ref="M384:O384"/>
    <mergeCell ref="P384:R384"/>
    <mergeCell ref="S384:U384"/>
    <mergeCell ref="V384:X384"/>
    <mergeCell ref="Y384:AA384"/>
    <mergeCell ref="AB384:AD384"/>
    <mergeCell ref="AE384:AG384"/>
    <mergeCell ref="AH384:AJ384"/>
    <mergeCell ref="AK384:AM384"/>
    <mergeCell ref="AN384:AP384"/>
    <mergeCell ref="AK389:AM389"/>
    <mergeCell ref="AN389:AP389"/>
    <mergeCell ref="AN385:AP385"/>
    <mergeCell ref="D386:F386"/>
    <mergeCell ref="G386:I386"/>
    <mergeCell ref="J386:L386"/>
    <mergeCell ref="M386:O386"/>
    <mergeCell ref="P386:R386"/>
    <mergeCell ref="S386:U386"/>
    <mergeCell ref="V386:X386"/>
    <mergeCell ref="Y386:AA386"/>
    <mergeCell ref="AB386:AD386"/>
    <mergeCell ref="AE386:AG386"/>
    <mergeCell ref="AH386:AJ386"/>
    <mergeCell ref="AK386:AM386"/>
    <mergeCell ref="AN386:AP386"/>
    <mergeCell ref="D387:F387"/>
    <mergeCell ref="G387:I387"/>
    <mergeCell ref="AK405:AM405"/>
    <mergeCell ref="AN405:AP405"/>
    <mergeCell ref="D406:F406"/>
    <mergeCell ref="AB406:AD406"/>
    <mergeCell ref="B381:C381"/>
    <mergeCell ref="D381:F381"/>
    <mergeCell ref="G381:I381"/>
    <mergeCell ref="J381:L381"/>
    <mergeCell ref="M381:O381"/>
    <mergeCell ref="P381:R381"/>
    <mergeCell ref="S381:U381"/>
    <mergeCell ref="V381:X381"/>
    <mergeCell ref="Y381:AA381"/>
    <mergeCell ref="AB381:AD381"/>
    <mergeCell ref="AE381:AG381"/>
    <mergeCell ref="AH381:AJ381"/>
    <mergeCell ref="AK381:AM381"/>
    <mergeCell ref="D382:F382"/>
    <mergeCell ref="G382:I382"/>
    <mergeCell ref="J382:L382"/>
    <mergeCell ref="M382:O382"/>
    <mergeCell ref="P382:R382"/>
    <mergeCell ref="S382:U382"/>
    <mergeCell ref="V382:X382"/>
    <mergeCell ref="Y382:AA382"/>
    <mergeCell ref="AB382:AD382"/>
    <mergeCell ref="AE382:AG382"/>
    <mergeCell ref="AN382:AP382"/>
    <mergeCell ref="D383:F383"/>
    <mergeCell ref="G383:I383"/>
    <mergeCell ref="J383:L383"/>
    <mergeCell ref="M383:O383"/>
    <mergeCell ref="M406:O406"/>
    <mergeCell ref="J377:L377"/>
    <mergeCell ref="Y375:AA375"/>
    <mergeCell ref="AB375:AD375"/>
    <mergeCell ref="AE375:AG375"/>
    <mergeCell ref="AH375:AJ375"/>
    <mergeCell ref="AK375:AM375"/>
    <mergeCell ref="AN375:AP375"/>
    <mergeCell ref="D407:F407"/>
    <mergeCell ref="G407:I407"/>
    <mergeCell ref="J407:L407"/>
    <mergeCell ref="M407:O407"/>
    <mergeCell ref="P407:R407"/>
    <mergeCell ref="S407:U407"/>
    <mergeCell ref="V407:X407"/>
    <mergeCell ref="Y407:AA407"/>
    <mergeCell ref="AB407:AD407"/>
    <mergeCell ref="AE407:AG407"/>
    <mergeCell ref="AH407:AJ407"/>
    <mergeCell ref="AK407:AM407"/>
    <mergeCell ref="AN407:AP407"/>
    <mergeCell ref="D405:F405"/>
    <mergeCell ref="G405:I405"/>
    <mergeCell ref="J405:L405"/>
    <mergeCell ref="M405:O405"/>
    <mergeCell ref="P405:R405"/>
    <mergeCell ref="S405:U405"/>
    <mergeCell ref="V405:X405"/>
    <mergeCell ref="Y405:AA405"/>
    <mergeCell ref="AB405:AD405"/>
    <mergeCell ref="AE405:AG405"/>
    <mergeCell ref="AH405:AJ405"/>
    <mergeCell ref="AK396:AM396"/>
    <mergeCell ref="M379:O379"/>
    <mergeCell ref="J378:L378"/>
    <mergeCell ref="M378:O378"/>
    <mergeCell ref="S379:U379"/>
    <mergeCell ref="AB397:AD397"/>
    <mergeCell ref="M400:O400"/>
    <mergeCell ref="AB396:AD396"/>
    <mergeCell ref="AE396:AG396"/>
    <mergeCell ref="AH396:AJ396"/>
    <mergeCell ref="P404:R404"/>
    <mergeCell ref="S404:U404"/>
    <mergeCell ref="AH382:AJ382"/>
    <mergeCell ref="AK382:AM382"/>
    <mergeCell ref="S385:U385"/>
    <mergeCell ref="V385:X385"/>
    <mergeCell ref="Y385:AA385"/>
    <mergeCell ref="AB385:AD385"/>
    <mergeCell ref="AE385:AG385"/>
    <mergeCell ref="AH385:AJ385"/>
    <mergeCell ref="AK385:AM385"/>
    <mergeCell ref="M385:O385"/>
    <mergeCell ref="P385:R385"/>
    <mergeCell ref="P383:R383"/>
    <mergeCell ref="S383:U383"/>
    <mergeCell ref="V383:X383"/>
    <mergeCell ref="Y383:AA383"/>
    <mergeCell ref="AB383:AD383"/>
    <mergeCell ref="AE383:AG383"/>
    <mergeCell ref="AH383:AJ383"/>
    <mergeCell ref="AK383:AM383"/>
    <mergeCell ref="J387:L387"/>
    <mergeCell ref="AF194:AH194"/>
    <mergeCell ref="AK194:AM194"/>
    <mergeCell ref="G197:I197"/>
    <mergeCell ref="L197:N197"/>
    <mergeCell ref="Q197:S197"/>
    <mergeCell ref="V197:X197"/>
    <mergeCell ref="AA197:AC197"/>
    <mergeCell ref="AF197:AH197"/>
    <mergeCell ref="AK197:AM197"/>
    <mergeCell ref="AK193:AN193"/>
    <mergeCell ref="AA195:AD195"/>
    <mergeCell ref="AF192:AI192"/>
    <mergeCell ref="AK196:AN196"/>
    <mergeCell ref="AK195:AN195"/>
    <mergeCell ref="L192:O192"/>
    <mergeCell ref="L196:O196"/>
    <mergeCell ref="L193:O193"/>
    <mergeCell ref="G196:J196"/>
    <mergeCell ref="AA192:AD192"/>
    <mergeCell ref="AF196:AI196"/>
    <mergeCell ref="L195:O195"/>
    <mergeCell ref="G195:J195"/>
    <mergeCell ref="AK192:AN192"/>
    <mergeCell ref="AF193:AI193"/>
    <mergeCell ref="V193:Y193"/>
    <mergeCell ref="V195:Y195"/>
    <mergeCell ref="Q195:T195"/>
    <mergeCell ref="G194:I194"/>
    <mergeCell ref="AA196:AD196"/>
    <mergeCell ref="Q193:T193"/>
    <mergeCell ref="V366:X366"/>
    <mergeCell ref="V426:X426"/>
    <mergeCell ref="AB187:AD187"/>
    <mergeCell ref="L36:O36"/>
    <mergeCell ref="AJ26:AM26"/>
    <mergeCell ref="Y25:Z25"/>
    <mergeCell ref="X27:AA27"/>
    <mergeCell ref="AC25:AD25"/>
    <mergeCell ref="AB36:AE36"/>
    <mergeCell ref="AJ27:AM27"/>
    <mergeCell ref="AF27:AI27"/>
    <mergeCell ref="T36:W36"/>
    <mergeCell ref="Z85:AB85"/>
    <mergeCell ref="AF36:AI36"/>
    <mergeCell ref="AF61:AH61"/>
    <mergeCell ref="AF60:AK60"/>
    <mergeCell ref="AF39:AI39"/>
    <mergeCell ref="AF40:AI40"/>
    <mergeCell ref="AI61:AK61"/>
    <mergeCell ref="AB39:AE39"/>
    <mergeCell ref="Q53:AB53"/>
    <mergeCell ref="T100:X100"/>
    <mergeCell ref="AK191:AM191"/>
    <mergeCell ref="L194:N194"/>
    <mergeCell ref="P359:R359"/>
    <mergeCell ref="S359:U359"/>
    <mergeCell ref="V368:X368"/>
    <mergeCell ref="Q194:S194"/>
    <mergeCell ref="V194:X194"/>
    <mergeCell ref="AA194:AC194"/>
    <mergeCell ref="M397:O397"/>
    <mergeCell ref="M396:O396"/>
    <mergeCell ref="B422:C422"/>
    <mergeCell ref="M420:O420"/>
    <mergeCell ref="P420:R420"/>
    <mergeCell ref="S420:U420"/>
    <mergeCell ref="Y420:AA420"/>
    <mergeCell ref="AB420:AD420"/>
    <mergeCell ref="S422:U422"/>
    <mergeCell ref="P423:R423"/>
    <mergeCell ref="D423:F423"/>
    <mergeCell ref="M422:O422"/>
    <mergeCell ref="P422:R422"/>
    <mergeCell ref="Y421:AA421"/>
    <mergeCell ref="B420:C420"/>
    <mergeCell ref="D420:F420"/>
    <mergeCell ref="G420:I420"/>
    <mergeCell ref="J420:L420"/>
    <mergeCell ref="AB421:AD421"/>
    <mergeCell ref="B421:C421"/>
    <mergeCell ref="D421:F421"/>
    <mergeCell ref="G421:I421"/>
    <mergeCell ref="P421:R421"/>
    <mergeCell ref="S421:U421"/>
    <mergeCell ref="J422:L422"/>
    <mergeCell ref="V420:X420"/>
    <mergeCell ref="V421:X421"/>
    <mergeCell ref="V422:X422"/>
    <mergeCell ref="P396:R396"/>
    <mergeCell ref="P400:R400"/>
    <mergeCell ref="V400:X400"/>
    <mergeCell ref="Y414:AL414"/>
    <mergeCell ref="AB371:AD371"/>
    <mergeCell ref="AE371:AG371"/>
    <mergeCell ref="G370:I370"/>
    <mergeCell ref="AK399:AM399"/>
    <mergeCell ref="AK400:AM400"/>
    <mergeCell ref="AB400:AD400"/>
    <mergeCell ref="P399:R399"/>
    <mergeCell ref="D400:F400"/>
    <mergeCell ref="G400:I400"/>
    <mergeCell ref="J400:L400"/>
    <mergeCell ref="D370:F370"/>
    <mergeCell ref="D404:F404"/>
    <mergeCell ref="G404:I404"/>
    <mergeCell ref="J404:L404"/>
    <mergeCell ref="G374:I374"/>
    <mergeCell ref="J374:L374"/>
    <mergeCell ref="AK404:AM404"/>
    <mergeCell ref="S403:U403"/>
    <mergeCell ref="D403:F403"/>
    <mergeCell ref="D377:F377"/>
    <mergeCell ref="G377:I377"/>
    <mergeCell ref="M377:O377"/>
    <mergeCell ref="P377:R377"/>
    <mergeCell ref="S377:U377"/>
    <mergeCell ref="V377:X377"/>
    <mergeCell ref="Y377:AA377"/>
    <mergeCell ref="J370:L370"/>
    <mergeCell ref="V401:X401"/>
    <mergeCell ref="V402:X402"/>
    <mergeCell ref="V403:X403"/>
    <mergeCell ref="V404:X404"/>
    <mergeCell ref="D369:F369"/>
    <mergeCell ref="G369:I369"/>
    <mergeCell ref="J369:L369"/>
    <mergeCell ref="P329:R329"/>
    <mergeCell ref="B337:C337"/>
    <mergeCell ref="D333:F333"/>
    <mergeCell ref="S333:U333"/>
    <mergeCell ref="AH333:AJ333"/>
    <mergeCell ref="Y352:AA352"/>
    <mergeCell ref="S357:U357"/>
    <mergeCell ref="V358:X358"/>
    <mergeCell ref="V359:X359"/>
    <mergeCell ref="G352:I352"/>
    <mergeCell ref="S369:U369"/>
    <mergeCell ref="S353:U353"/>
    <mergeCell ref="M351:O351"/>
    <mergeCell ref="D352:F352"/>
    <mergeCell ref="S351:U351"/>
    <mergeCell ref="S352:U352"/>
    <mergeCell ref="D353:F353"/>
    <mergeCell ref="G353:I353"/>
    <mergeCell ref="J353:L353"/>
    <mergeCell ref="P353:R353"/>
    <mergeCell ref="J361:L361"/>
    <mergeCell ref="M361:O361"/>
    <mergeCell ref="P361:R361"/>
    <mergeCell ref="S361:U361"/>
    <mergeCell ref="D368:F368"/>
    <mergeCell ref="J351:L351"/>
    <mergeCell ref="Y359:AA359"/>
    <mergeCell ref="V354:X354"/>
    <mergeCell ref="V355:X355"/>
    <mergeCell ref="AE355:AG355"/>
    <mergeCell ref="M354:O354"/>
    <mergeCell ref="AK333:AM333"/>
    <mergeCell ref="AK353:AM353"/>
    <mergeCell ref="J355:L355"/>
    <mergeCell ref="M355:O355"/>
    <mergeCell ref="G355:I355"/>
    <mergeCell ref="AQ151:AR151"/>
    <mergeCell ref="AN352:AP352"/>
    <mergeCell ref="AK328:AM328"/>
    <mergeCell ref="Y330:AA330"/>
    <mergeCell ref="AK327:AM327"/>
    <mergeCell ref="AH327:AJ327"/>
    <mergeCell ref="M324:O324"/>
    <mergeCell ref="J272:L272"/>
    <mergeCell ref="AH328:AJ328"/>
    <mergeCell ref="J330:L330"/>
    <mergeCell ref="T294:V294"/>
    <mergeCell ref="S315:U315"/>
    <mergeCell ref="S313:U313"/>
    <mergeCell ref="M257:O257"/>
    <mergeCell ref="L224:N224"/>
    <mergeCell ref="Q224:S224"/>
    <mergeCell ref="V224:X224"/>
    <mergeCell ref="AA224:AC224"/>
    <mergeCell ref="Q192:T192"/>
    <mergeCell ref="P281:R281"/>
    <mergeCell ref="S266:U266"/>
    <mergeCell ref="S319:U319"/>
    <mergeCell ref="G368:I368"/>
    <mergeCell ref="J368:L368"/>
    <mergeCell ref="G361:I361"/>
    <mergeCell ref="Y361:AA361"/>
    <mergeCell ref="AK351:AM351"/>
    <mergeCell ref="AB352:AD352"/>
    <mergeCell ref="AE352:AG352"/>
    <mergeCell ref="AB351:AD351"/>
    <mergeCell ref="V351:X351"/>
    <mergeCell ref="G333:I333"/>
    <mergeCell ref="Y310:AA310"/>
    <mergeCell ref="Y313:AA313"/>
    <mergeCell ref="Y316:AA316"/>
    <mergeCell ref="Y317:AA317"/>
    <mergeCell ref="Y319:AA319"/>
    <mergeCell ref="Y318:AA318"/>
    <mergeCell ref="V271:X271"/>
    <mergeCell ref="V272:X272"/>
    <mergeCell ref="V311:X311"/>
    <mergeCell ref="V312:X312"/>
    <mergeCell ref="AB321:AD321"/>
    <mergeCell ref="Y321:AA321"/>
    <mergeCell ref="AH352:AJ352"/>
    <mergeCell ref="AK352:AM352"/>
    <mergeCell ref="P351:R351"/>
    <mergeCell ref="Y351:AA351"/>
    <mergeCell ref="AK330:AM330"/>
    <mergeCell ref="AB366:AD366"/>
    <mergeCell ref="AE366:AG366"/>
    <mergeCell ref="AH366:AJ366"/>
    <mergeCell ref="AH329:AJ329"/>
    <mergeCell ref="AB328:AD328"/>
    <mergeCell ref="B351:C351"/>
    <mergeCell ref="S355:U355"/>
    <mergeCell ref="Y355:AA355"/>
    <mergeCell ref="D354:F354"/>
    <mergeCell ref="G354:I354"/>
    <mergeCell ref="J354:L354"/>
    <mergeCell ref="G351:I351"/>
    <mergeCell ref="J320:L320"/>
    <mergeCell ref="P320:R320"/>
    <mergeCell ref="S320:U320"/>
    <mergeCell ref="P354:R354"/>
    <mergeCell ref="S354:U354"/>
    <mergeCell ref="AB320:AD320"/>
    <mergeCell ref="AE320:AG320"/>
    <mergeCell ref="AE321:AG321"/>
    <mergeCell ref="D326:F326"/>
    <mergeCell ref="AE326:AG326"/>
    <mergeCell ref="Y320:AA320"/>
    <mergeCell ref="Y326:AA326"/>
    <mergeCell ref="V337:X337"/>
    <mergeCell ref="Y337:AA337"/>
    <mergeCell ref="AB337:AD337"/>
    <mergeCell ref="AE337:AG337"/>
    <mergeCell ref="G341:I341"/>
    <mergeCell ref="J341:L341"/>
    <mergeCell ref="M341:O341"/>
    <mergeCell ref="P341:R341"/>
    <mergeCell ref="S341:U341"/>
    <mergeCell ref="V341:X341"/>
    <mergeCell ref="Y341:AA341"/>
    <mergeCell ref="AB341:AD341"/>
    <mergeCell ref="AE341:AG341"/>
    <mergeCell ref="D355:F355"/>
    <mergeCell ref="P333:R333"/>
    <mergeCell ref="V352:X352"/>
    <mergeCell ref="V353:X353"/>
    <mergeCell ref="V324:X324"/>
    <mergeCell ref="G294:I294"/>
    <mergeCell ref="K293:M293"/>
    <mergeCell ref="G288:I288"/>
    <mergeCell ref="K288:M288"/>
    <mergeCell ref="K289:M289"/>
    <mergeCell ref="Y328:AA328"/>
    <mergeCell ref="J352:L352"/>
    <mergeCell ref="M352:O352"/>
    <mergeCell ref="D351:F351"/>
    <mergeCell ref="P330:R330"/>
    <mergeCell ref="S330:U330"/>
    <mergeCell ref="Y323:AA323"/>
    <mergeCell ref="D330:F330"/>
    <mergeCell ref="G330:I330"/>
    <mergeCell ref="D321:F321"/>
    <mergeCell ref="G321:I321"/>
    <mergeCell ref="J321:L321"/>
    <mergeCell ref="M321:O321"/>
    <mergeCell ref="P321:R321"/>
    <mergeCell ref="S321:U321"/>
    <mergeCell ref="K291:M291"/>
    <mergeCell ref="P292:R292"/>
    <mergeCell ref="S318:U318"/>
    <mergeCell ref="W293:X293"/>
    <mergeCell ref="P319:R319"/>
    <mergeCell ref="P317:R317"/>
    <mergeCell ref="S317:U317"/>
    <mergeCell ref="G286:I286"/>
    <mergeCell ref="B294:D294"/>
    <mergeCell ref="G290:I290"/>
    <mergeCell ref="B286:D286"/>
    <mergeCell ref="W289:X289"/>
    <mergeCell ref="V313:X313"/>
    <mergeCell ref="V314:X314"/>
    <mergeCell ref="V315:X315"/>
    <mergeCell ref="Y315:AA315"/>
    <mergeCell ref="B317:C317"/>
    <mergeCell ref="T281:V281"/>
    <mergeCell ref="T286:V286"/>
    <mergeCell ref="P287:R287"/>
    <mergeCell ref="T283:V283"/>
    <mergeCell ref="P282:R282"/>
    <mergeCell ref="P283:R283"/>
    <mergeCell ref="G281:I281"/>
    <mergeCell ref="P286:R286"/>
    <mergeCell ref="E299:F299"/>
    <mergeCell ref="B299:D299"/>
    <mergeCell ref="G299:I299"/>
    <mergeCell ref="K299:M299"/>
    <mergeCell ref="B315:C315"/>
    <mergeCell ref="D315:F315"/>
    <mergeCell ref="G315:I315"/>
    <mergeCell ref="S316:U316"/>
    <mergeCell ref="V316:X316"/>
    <mergeCell ref="V317:X317"/>
    <mergeCell ref="D317:F317"/>
    <mergeCell ref="G317:I317"/>
    <mergeCell ref="J317:L317"/>
    <mergeCell ref="B316:C316"/>
    <mergeCell ref="K284:M284"/>
    <mergeCell ref="T299:V299"/>
    <mergeCell ref="T282:V282"/>
    <mergeCell ref="Y286:AA286"/>
    <mergeCell ref="B292:D292"/>
    <mergeCell ref="B291:D291"/>
    <mergeCell ref="N299:O299"/>
    <mergeCell ref="E287:F287"/>
    <mergeCell ref="B288:D288"/>
    <mergeCell ref="Y290:AA290"/>
    <mergeCell ref="W299:X299"/>
    <mergeCell ref="Y299:AA299"/>
    <mergeCell ref="Y301:AA301"/>
    <mergeCell ref="B320:C320"/>
    <mergeCell ref="D320:F320"/>
    <mergeCell ref="G320:I320"/>
    <mergeCell ref="M320:O320"/>
    <mergeCell ref="P289:R289"/>
    <mergeCell ref="P291:R291"/>
    <mergeCell ref="E292:F292"/>
    <mergeCell ref="N287:O287"/>
    <mergeCell ref="G291:I291"/>
    <mergeCell ref="E288:F288"/>
    <mergeCell ref="E289:F289"/>
    <mergeCell ref="E290:F290"/>
    <mergeCell ref="G293:I293"/>
    <mergeCell ref="G292:I292"/>
    <mergeCell ref="E291:F291"/>
    <mergeCell ref="J315:L315"/>
    <mergeCell ref="M315:O315"/>
    <mergeCell ref="Y289:AA289"/>
    <mergeCell ref="W288:X288"/>
    <mergeCell ref="P267:R267"/>
    <mergeCell ref="S267:U267"/>
    <mergeCell ref="G287:I287"/>
    <mergeCell ref="B277:D277"/>
    <mergeCell ref="G277:I277"/>
    <mergeCell ref="P265:R265"/>
    <mergeCell ref="S265:U265"/>
    <mergeCell ref="B287:D287"/>
    <mergeCell ref="B283:D283"/>
    <mergeCell ref="B284:D284"/>
    <mergeCell ref="E282:F282"/>
    <mergeCell ref="E283:F283"/>
    <mergeCell ref="N282:O282"/>
    <mergeCell ref="N283:O283"/>
    <mergeCell ref="B282:D282"/>
    <mergeCell ref="B262:C262"/>
    <mergeCell ref="G284:I284"/>
    <mergeCell ref="G282:I282"/>
    <mergeCell ref="T278:V278"/>
    <mergeCell ref="M262:O262"/>
    <mergeCell ref="P262:R262"/>
    <mergeCell ref="S262:U262"/>
    <mergeCell ref="K283:M283"/>
    <mergeCell ref="M263:O263"/>
    <mergeCell ref="J266:L266"/>
    <mergeCell ref="M266:O266"/>
    <mergeCell ref="P266:R266"/>
    <mergeCell ref="E280:F280"/>
    <mergeCell ref="B263:C263"/>
    <mergeCell ref="K287:M287"/>
    <mergeCell ref="M268:O268"/>
    <mergeCell ref="G267:I267"/>
    <mergeCell ref="Y272:AA272"/>
    <mergeCell ref="V270:X270"/>
    <mergeCell ref="N292:O292"/>
    <mergeCell ref="AB273:AD273"/>
    <mergeCell ref="AE273:AG273"/>
    <mergeCell ref="W283:X283"/>
    <mergeCell ref="Y283:AA283"/>
    <mergeCell ref="Y280:AA280"/>
    <mergeCell ref="K281:M281"/>
    <mergeCell ref="N290:O290"/>
    <mergeCell ref="V318:X318"/>
    <mergeCell ref="V319:X319"/>
    <mergeCell ref="T300:V300"/>
    <mergeCell ref="P299:R299"/>
    <mergeCell ref="P294:R294"/>
    <mergeCell ref="P293:R293"/>
    <mergeCell ref="T287:V287"/>
    <mergeCell ref="T288:V288"/>
    <mergeCell ref="P290:R290"/>
    <mergeCell ref="K294:M294"/>
    <mergeCell ref="T289:V289"/>
    <mergeCell ref="W280:X280"/>
    <mergeCell ref="T276:V276"/>
    <mergeCell ref="AC276:AE276"/>
    <mergeCell ref="P271:R271"/>
    <mergeCell ref="AF288:AG288"/>
    <mergeCell ref="AC287:AE287"/>
    <mergeCell ref="AC288:AE288"/>
    <mergeCell ref="AC289:AE289"/>
    <mergeCell ref="AC290:AE290"/>
    <mergeCell ref="AC292:AE292"/>
    <mergeCell ref="AC293:AE293"/>
    <mergeCell ref="J268:L268"/>
    <mergeCell ref="K279:M279"/>
    <mergeCell ref="M267:O267"/>
    <mergeCell ref="J273:L273"/>
    <mergeCell ref="M273:O273"/>
    <mergeCell ref="J270:L270"/>
    <mergeCell ref="B269:C269"/>
    <mergeCell ref="B271:C271"/>
    <mergeCell ref="M272:O272"/>
    <mergeCell ref="G278:I278"/>
    <mergeCell ref="D267:F267"/>
    <mergeCell ref="E278:F278"/>
    <mergeCell ref="E279:F279"/>
    <mergeCell ref="D264:F264"/>
    <mergeCell ref="J271:L271"/>
    <mergeCell ref="D270:F270"/>
    <mergeCell ref="G279:I279"/>
    <mergeCell ref="G271:I271"/>
    <mergeCell ref="B279:D279"/>
    <mergeCell ref="B264:C264"/>
    <mergeCell ref="B268:C268"/>
    <mergeCell ref="B267:C267"/>
    <mergeCell ref="G272:I272"/>
    <mergeCell ref="AQ276:AS276"/>
    <mergeCell ref="AL276:AN276"/>
    <mergeCell ref="AL277:AN277"/>
    <mergeCell ref="B250:C250"/>
    <mergeCell ref="B256:C256"/>
    <mergeCell ref="B253:C253"/>
    <mergeCell ref="B254:C254"/>
    <mergeCell ref="J257:L257"/>
    <mergeCell ref="K277:M277"/>
    <mergeCell ref="K278:M278"/>
    <mergeCell ref="K276:M276"/>
    <mergeCell ref="D265:F265"/>
    <mergeCell ref="M269:O269"/>
    <mergeCell ref="G265:I265"/>
    <mergeCell ref="G270:I270"/>
    <mergeCell ref="D273:F273"/>
    <mergeCell ref="M271:O271"/>
    <mergeCell ref="N277:O277"/>
    <mergeCell ref="D269:F269"/>
    <mergeCell ref="D263:F263"/>
    <mergeCell ref="G263:I263"/>
    <mergeCell ref="J263:L263"/>
    <mergeCell ref="J264:L264"/>
    <mergeCell ref="B265:C265"/>
    <mergeCell ref="D266:F266"/>
    <mergeCell ref="G266:I266"/>
    <mergeCell ref="D271:F271"/>
    <mergeCell ref="G273:I273"/>
    <mergeCell ref="D256:F256"/>
    <mergeCell ref="D257:F257"/>
    <mergeCell ref="D255:F255"/>
    <mergeCell ref="J262:L262"/>
    <mergeCell ref="B280:D280"/>
    <mergeCell ref="B281:D281"/>
    <mergeCell ref="B289:D289"/>
    <mergeCell ref="B290:D290"/>
    <mergeCell ref="N293:O293"/>
    <mergeCell ref="J267:L267"/>
    <mergeCell ref="S271:U271"/>
    <mergeCell ref="D268:F268"/>
    <mergeCell ref="G268:I268"/>
    <mergeCell ref="M264:O264"/>
    <mergeCell ref="M265:O265"/>
    <mergeCell ref="K290:M290"/>
    <mergeCell ref="E293:F293"/>
    <mergeCell ref="B293:D293"/>
    <mergeCell ref="J269:L269"/>
    <mergeCell ref="B276:D276"/>
    <mergeCell ref="K292:M292"/>
    <mergeCell ref="K282:M282"/>
    <mergeCell ref="G283:I283"/>
    <mergeCell ref="E281:F281"/>
    <mergeCell ref="G280:I280"/>
    <mergeCell ref="B270:C270"/>
    <mergeCell ref="E286:F286"/>
    <mergeCell ref="G289:I289"/>
    <mergeCell ref="B266:C266"/>
    <mergeCell ref="G264:I264"/>
    <mergeCell ref="G269:I269"/>
    <mergeCell ref="B278:D278"/>
    <mergeCell ref="E277:F277"/>
    <mergeCell ref="E276:F276"/>
    <mergeCell ref="D272:F272"/>
    <mergeCell ref="G276:I276"/>
    <mergeCell ref="AL278:AN278"/>
    <mergeCell ref="T291:V291"/>
    <mergeCell ref="N291:O291"/>
    <mergeCell ref="Y281:AA281"/>
    <mergeCell ref="AH277:AJ277"/>
    <mergeCell ref="AC278:AE278"/>
    <mergeCell ref="AC277:AE277"/>
    <mergeCell ref="Y276:AA276"/>
    <mergeCell ref="N288:O288"/>
    <mergeCell ref="N289:O289"/>
    <mergeCell ref="AL279:AN279"/>
    <mergeCell ref="N278:O278"/>
    <mergeCell ref="N279:O279"/>
    <mergeCell ref="N280:O280"/>
    <mergeCell ref="P276:R276"/>
    <mergeCell ref="P277:R277"/>
    <mergeCell ref="P278:R278"/>
    <mergeCell ref="P279:R279"/>
    <mergeCell ref="N281:O281"/>
    <mergeCell ref="W290:X290"/>
    <mergeCell ref="AL287:AN287"/>
    <mergeCell ref="AL288:AN288"/>
    <mergeCell ref="AL289:AN289"/>
    <mergeCell ref="AC283:AE283"/>
    <mergeCell ref="AC284:AE284"/>
    <mergeCell ref="AF283:AG283"/>
    <mergeCell ref="AF290:AG290"/>
    <mergeCell ref="Y282:AA282"/>
    <mergeCell ref="AH279:AJ279"/>
    <mergeCell ref="AF279:AG279"/>
    <mergeCell ref="W277:X277"/>
    <mergeCell ref="W278:X278"/>
    <mergeCell ref="AZ277:BB277"/>
    <mergeCell ref="J265:L265"/>
    <mergeCell ref="T284:V284"/>
    <mergeCell ref="AU276:AW276"/>
    <mergeCell ref="AU277:AW277"/>
    <mergeCell ref="AU278:AW278"/>
    <mergeCell ref="AU279:AW279"/>
    <mergeCell ref="P288:R288"/>
    <mergeCell ref="K286:M286"/>
    <mergeCell ref="AB271:AD271"/>
    <mergeCell ref="Y270:AA270"/>
    <mergeCell ref="AB270:AD270"/>
    <mergeCell ref="M270:O270"/>
    <mergeCell ref="P270:R270"/>
    <mergeCell ref="P273:R273"/>
    <mergeCell ref="K280:M280"/>
    <mergeCell ref="S270:U270"/>
    <mergeCell ref="AE270:AG270"/>
    <mergeCell ref="AH284:AJ284"/>
    <mergeCell ref="AH286:AJ286"/>
    <mergeCell ref="Y273:AA273"/>
    <mergeCell ref="S273:U273"/>
    <mergeCell ref="AF282:AG282"/>
    <mergeCell ref="W279:X279"/>
    <mergeCell ref="V273:X273"/>
    <mergeCell ref="W281:X281"/>
    <mergeCell ref="W282:X282"/>
    <mergeCell ref="AB272:AD272"/>
    <mergeCell ref="AH270:AJ270"/>
    <mergeCell ref="AN268:AP268"/>
    <mergeCell ref="AE268:AG268"/>
    <mergeCell ref="AZ276:BB276"/>
    <mergeCell ref="AZ284:BB284"/>
    <mergeCell ref="AZ282:BB282"/>
    <mergeCell ref="P272:R272"/>
    <mergeCell ref="AQ283:AS283"/>
    <mergeCell ref="AO281:AP281"/>
    <mergeCell ref="AO282:AP282"/>
    <mergeCell ref="AO283:AP283"/>
    <mergeCell ref="AE272:AG272"/>
    <mergeCell ref="AH272:AJ272"/>
    <mergeCell ref="AK272:AM272"/>
    <mergeCell ref="AN272:AP272"/>
    <mergeCell ref="AF277:AG277"/>
    <mergeCell ref="AF278:AG278"/>
    <mergeCell ref="AL284:AN284"/>
    <mergeCell ref="AU284:AW284"/>
    <mergeCell ref="P284:R284"/>
    <mergeCell ref="Y284:AA284"/>
    <mergeCell ref="AZ281:BB281"/>
    <mergeCell ref="AH276:AJ276"/>
    <mergeCell ref="AZ283:BB283"/>
    <mergeCell ref="AF281:AG281"/>
    <mergeCell ref="AL280:AN280"/>
    <mergeCell ref="AH281:AJ281"/>
    <mergeCell ref="AH282:AJ282"/>
    <mergeCell ref="AH283:AJ283"/>
    <mergeCell ref="AC281:AE281"/>
    <mergeCell ref="AC282:AE282"/>
    <mergeCell ref="AZ278:BB278"/>
    <mergeCell ref="AZ279:BB279"/>
    <mergeCell ref="AZ280:BB280"/>
    <mergeCell ref="AQ277:AS277"/>
    <mergeCell ref="AH278:AJ278"/>
    <mergeCell ref="Y266:AA266"/>
    <mergeCell ref="AH268:AJ268"/>
    <mergeCell ref="S251:U251"/>
    <mergeCell ref="AH255:AJ255"/>
    <mergeCell ref="Y262:AA262"/>
    <mergeCell ref="Y263:AA263"/>
    <mergeCell ref="AB263:AD263"/>
    <mergeCell ref="AE263:AG263"/>
    <mergeCell ref="AE255:AG255"/>
    <mergeCell ref="AE258:AG258"/>
    <mergeCell ref="AE265:AG265"/>
    <mergeCell ref="AE267:AG267"/>
    <mergeCell ref="AH258:AJ258"/>
    <mergeCell ref="AH257:AJ257"/>
    <mergeCell ref="Y264:AA264"/>
    <mergeCell ref="AB264:AD264"/>
    <mergeCell ref="AE264:AG264"/>
    <mergeCell ref="AE254:AG254"/>
    <mergeCell ref="AH254:AJ254"/>
    <mergeCell ref="V261:X261"/>
    <mergeCell ref="V262:X262"/>
    <mergeCell ref="V263:X263"/>
    <mergeCell ref="V264:X264"/>
    <mergeCell ref="V265:X265"/>
    <mergeCell ref="V266:X266"/>
    <mergeCell ref="V267:X267"/>
    <mergeCell ref="V255:X255"/>
    <mergeCell ref="V256:X256"/>
    <mergeCell ref="V257:X257"/>
    <mergeCell ref="V258:X258"/>
    <mergeCell ref="AB256:AD256"/>
    <mergeCell ref="AB257:AD257"/>
    <mergeCell ref="AB262:AD262"/>
    <mergeCell ref="P258:R258"/>
    <mergeCell ref="D251:F251"/>
    <mergeCell ref="D249:F249"/>
    <mergeCell ref="B257:C257"/>
    <mergeCell ref="B248:C248"/>
    <mergeCell ref="B249:C249"/>
    <mergeCell ref="B251:C251"/>
    <mergeCell ref="B252:C252"/>
    <mergeCell ref="Y248:AA248"/>
    <mergeCell ref="AB248:AD248"/>
    <mergeCell ref="P264:R264"/>
    <mergeCell ref="S264:U264"/>
    <mergeCell ref="B255:C255"/>
    <mergeCell ref="D252:F252"/>
    <mergeCell ref="S253:U253"/>
    <mergeCell ref="B261:C261"/>
    <mergeCell ref="M261:O261"/>
    <mergeCell ref="D261:F261"/>
    <mergeCell ref="D262:F262"/>
    <mergeCell ref="G254:I254"/>
    <mergeCell ref="G257:I257"/>
    <mergeCell ref="G255:I255"/>
    <mergeCell ref="G261:I261"/>
    <mergeCell ref="J261:L261"/>
    <mergeCell ref="J256:L256"/>
    <mergeCell ref="G262:I262"/>
    <mergeCell ref="P263:R263"/>
    <mergeCell ref="S263:U263"/>
    <mergeCell ref="M239:O239"/>
    <mergeCell ref="D239:F239"/>
    <mergeCell ref="Y242:AA242"/>
    <mergeCell ref="AB242:AD242"/>
    <mergeCell ref="P257:R257"/>
    <mergeCell ref="S257:U257"/>
    <mergeCell ref="G256:I256"/>
    <mergeCell ref="G252:I252"/>
    <mergeCell ref="G249:I249"/>
    <mergeCell ref="S247:U247"/>
    <mergeCell ref="Y247:AA247"/>
    <mergeCell ref="J241:L241"/>
    <mergeCell ref="P242:R242"/>
    <mergeCell ref="G240:I240"/>
    <mergeCell ref="V239:X239"/>
    <mergeCell ref="J239:L239"/>
    <mergeCell ref="P252:R252"/>
    <mergeCell ref="D253:F253"/>
    <mergeCell ref="D254:F254"/>
    <mergeCell ref="Y253:AA253"/>
    <mergeCell ref="P251:R251"/>
    <mergeCell ref="G250:I250"/>
    <mergeCell ref="G247:I247"/>
    <mergeCell ref="S254:U254"/>
    <mergeCell ref="J253:L253"/>
    <mergeCell ref="M253:O253"/>
    <mergeCell ref="P255:R255"/>
    <mergeCell ref="S255:U255"/>
    <mergeCell ref="M255:O255"/>
    <mergeCell ref="M256:O256"/>
    <mergeCell ref="Y255:AA255"/>
    <mergeCell ref="Y257:AA257"/>
    <mergeCell ref="B246:C246"/>
    <mergeCell ref="G237:I237"/>
    <mergeCell ref="J249:L249"/>
    <mergeCell ref="AB249:AD249"/>
    <mergeCell ref="V248:X248"/>
    <mergeCell ref="B243:C243"/>
    <mergeCell ref="B244:C244"/>
    <mergeCell ref="B241:C241"/>
    <mergeCell ref="B239:C239"/>
    <mergeCell ref="J250:L250"/>
    <mergeCell ref="P249:R249"/>
    <mergeCell ref="Y249:AA249"/>
    <mergeCell ref="D245:F245"/>
    <mergeCell ref="Y244:AA244"/>
    <mergeCell ref="AB244:AD244"/>
    <mergeCell ref="D248:F248"/>
    <mergeCell ref="D250:F250"/>
    <mergeCell ref="B245:C245"/>
    <mergeCell ref="B247:C247"/>
    <mergeCell ref="B237:C237"/>
    <mergeCell ref="D244:F244"/>
    <mergeCell ref="D242:F242"/>
    <mergeCell ref="G238:I238"/>
    <mergeCell ref="P247:R247"/>
    <mergeCell ref="D241:F241"/>
    <mergeCell ref="D247:F247"/>
    <mergeCell ref="V245:X245"/>
    <mergeCell ref="V247:X247"/>
    <mergeCell ref="Y241:AA241"/>
    <mergeCell ref="AB241:AD241"/>
    <mergeCell ref="P250:R250"/>
    <mergeCell ref="S250:U250"/>
    <mergeCell ref="L215:N215"/>
    <mergeCell ref="Q215:S215"/>
    <mergeCell ref="L217:O217"/>
    <mergeCell ref="L216:O216"/>
    <mergeCell ref="Q221:S221"/>
    <mergeCell ref="AA222:AD222"/>
    <mergeCell ref="G224:I224"/>
    <mergeCell ref="M230:O230"/>
    <mergeCell ref="P232:R232"/>
    <mergeCell ref="P229:R229"/>
    <mergeCell ref="G223:J223"/>
    <mergeCell ref="L223:O223"/>
    <mergeCell ref="J229:L229"/>
    <mergeCell ref="AE232:AG232"/>
    <mergeCell ref="P230:R230"/>
    <mergeCell ref="AK220:AN220"/>
    <mergeCell ref="AK227:AM227"/>
    <mergeCell ref="AE229:AG229"/>
    <mergeCell ref="V222:Y222"/>
    <mergeCell ref="AK221:AM221"/>
    <mergeCell ref="AF215:AH215"/>
    <mergeCell ref="Q218:S218"/>
    <mergeCell ref="AF217:AI217"/>
    <mergeCell ref="Q217:T217"/>
    <mergeCell ref="L221:N221"/>
    <mergeCell ref="S232:U232"/>
    <mergeCell ref="V230:X230"/>
    <mergeCell ref="V232:X232"/>
    <mergeCell ref="B238:C238"/>
    <mergeCell ref="S230:U230"/>
    <mergeCell ref="B223:D223"/>
    <mergeCell ref="AK213:AN213"/>
    <mergeCell ref="L214:O214"/>
    <mergeCell ref="G236:I236"/>
    <mergeCell ref="D238:F238"/>
    <mergeCell ref="J238:L238"/>
    <mergeCell ref="Y238:AA238"/>
    <mergeCell ref="V216:Y216"/>
    <mergeCell ref="AK215:AM215"/>
    <mergeCell ref="V218:X218"/>
    <mergeCell ref="Q219:T219"/>
    <mergeCell ref="AA219:AD219"/>
    <mergeCell ref="AK218:AM218"/>
    <mergeCell ref="AA215:AC215"/>
    <mergeCell ref="V236:X236"/>
    <mergeCell ref="B234:C234"/>
    <mergeCell ref="B232:C232"/>
    <mergeCell ref="Q223:T223"/>
    <mergeCell ref="Q220:T220"/>
    <mergeCell ref="AA220:AD220"/>
    <mergeCell ref="AF220:AI220"/>
    <mergeCell ref="V233:X233"/>
    <mergeCell ref="AH236:AJ236"/>
    <mergeCell ref="B235:C235"/>
    <mergeCell ref="AK232:AM232"/>
    <mergeCell ref="G230:I230"/>
    <mergeCell ref="V214:Y214"/>
    <mergeCell ref="G232:I232"/>
    <mergeCell ref="Y229:AA229"/>
    <mergeCell ref="S229:U229"/>
    <mergeCell ref="B236:C236"/>
    <mergeCell ref="V221:X221"/>
    <mergeCell ref="AA221:AC221"/>
    <mergeCell ref="AF221:AH221"/>
    <mergeCell ref="AF210:AI210"/>
    <mergeCell ref="AA213:AD213"/>
    <mergeCell ref="AF213:AI213"/>
    <mergeCell ref="V213:Y213"/>
    <mergeCell ref="B219:D219"/>
    <mergeCell ref="B218:D218"/>
    <mergeCell ref="B220:D220"/>
    <mergeCell ref="B217:D217"/>
    <mergeCell ref="D227:F227"/>
    <mergeCell ref="B230:C230"/>
    <mergeCell ref="B224:D224"/>
    <mergeCell ref="S227:U227"/>
    <mergeCell ref="AB230:AD230"/>
    <mergeCell ref="AB229:AD229"/>
    <mergeCell ref="AH230:AJ230"/>
    <mergeCell ref="AH229:AJ229"/>
    <mergeCell ref="Y236:AA236"/>
    <mergeCell ref="S236:U236"/>
    <mergeCell ref="AB236:AD236"/>
    <mergeCell ref="AB235:AD235"/>
    <mergeCell ref="V211:Y211"/>
    <mergeCell ref="G210:J210"/>
    <mergeCell ref="D236:F236"/>
    <mergeCell ref="G217:J217"/>
    <mergeCell ref="B215:D215"/>
    <mergeCell ref="V219:Y219"/>
    <mergeCell ref="G212:I212"/>
    <mergeCell ref="L212:N212"/>
    <mergeCell ref="AK236:AM236"/>
    <mergeCell ref="AE235:AG235"/>
    <mergeCell ref="AK235:AM235"/>
    <mergeCell ref="L207:O207"/>
    <mergeCell ref="L208:O208"/>
    <mergeCell ref="Q216:T216"/>
    <mergeCell ref="AA216:AD216"/>
    <mergeCell ref="AF216:AI216"/>
    <mergeCell ref="AK216:AN216"/>
    <mergeCell ref="AK217:AN217"/>
    <mergeCell ref="AK210:AN210"/>
    <mergeCell ref="AK222:AN222"/>
    <mergeCell ref="L219:O219"/>
    <mergeCell ref="Q213:T213"/>
    <mergeCell ref="AA210:AD210"/>
    <mergeCell ref="AA217:AD217"/>
    <mergeCell ref="AF218:AH218"/>
    <mergeCell ref="V217:Y217"/>
    <mergeCell ref="AA209:AC209"/>
    <mergeCell ref="AF219:AI219"/>
    <mergeCell ref="AF222:AI222"/>
    <mergeCell ref="V208:Y208"/>
    <mergeCell ref="Q214:T214"/>
    <mergeCell ref="M236:O236"/>
    <mergeCell ref="AF223:AI223"/>
    <mergeCell ref="V229:X229"/>
    <mergeCell ref="AK211:AN211"/>
    <mergeCell ref="AK233:AM233"/>
    <mergeCell ref="Q212:S212"/>
    <mergeCell ref="V212:X212"/>
    <mergeCell ref="AA212:AC212"/>
    <mergeCell ref="AF212:AH212"/>
    <mergeCell ref="B233:C233"/>
    <mergeCell ref="B228:C228"/>
    <mergeCell ref="B216:D216"/>
    <mergeCell ref="B231:C231"/>
    <mergeCell ref="G231:I231"/>
    <mergeCell ref="M233:O233"/>
    <mergeCell ref="AN232:AP232"/>
    <mergeCell ref="AA223:AD223"/>
    <mergeCell ref="Q222:T222"/>
    <mergeCell ref="V220:Y220"/>
    <mergeCell ref="AF224:AH224"/>
    <mergeCell ref="AH232:AJ232"/>
    <mergeCell ref="AK199:AN199"/>
    <mergeCell ref="AF201:AI201"/>
    <mergeCell ref="AF204:AI204"/>
    <mergeCell ref="AK204:AN204"/>
    <mergeCell ref="AA204:AD204"/>
    <mergeCell ref="V200:X200"/>
    <mergeCell ref="AA200:AC200"/>
    <mergeCell ref="AF200:AH200"/>
    <mergeCell ref="AK200:AM200"/>
    <mergeCell ref="AF214:AI214"/>
    <mergeCell ref="L210:O210"/>
    <mergeCell ref="Q210:T210"/>
    <mergeCell ref="AF209:AH209"/>
    <mergeCell ref="L209:N209"/>
    <mergeCell ref="AK208:AN208"/>
    <mergeCell ref="AK207:AN207"/>
    <mergeCell ref="AF207:AI207"/>
    <mergeCell ref="AF208:AI208"/>
    <mergeCell ref="AA208:AD208"/>
    <mergeCell ref="AK202:AN202"/>
    <mergeCell ref="AK205:AN205"/>
    <mergeCell ref="Q205:T205"/>
    <mergeCell ref="V203:X203"/>
    <mergeCell ref="V198:Y198"/>
    <mergeCell ref="V199:Y199"/>
    <mergeCell ref="V201:Y201"/>
    <mergeCell ref="V202:Y202"/>
    <mergeCell ref="L198:O198"/>
    <mergeCell ref="L199:O199"/>
    <mergeCell ref="AK201:AN201"/>
    <mergeCell ref="L203:N203"/>
    <mergeCell ref="Q203:S203"/>
    <mergeCell ref="AA201:AD201"/>
    <mergeCell ref="Q208:T208"/>
    <mergeCell ref="Q202:T202"/>
    <mergeCell ref="AA205:AD205"/>
    <mergeCell ref="AF205:AI205"/>
    <mergeCell ref="Q204:T204"/>
    <mergeCell ref="L202:O202"/>
    <mergeCell ref="L204:O204"/>
    <mergeCell ref="AF199:AI199"/>
    <mergeCell ref="B208:D208"/>
    <mergeCell ref="G208:J208"/>
    <mergeCell ref="B212:D212"/>
    <mergeCell ref="B213:D213"/>
    <mergeCell ref="B225:D225"/>
    <mergeCell ref="G221:I221"/>
    <mergeCell ref="J230:L230"/>
    <mergeCell ref="D230:F230"/>
    <mergeCell ref="D229:F229"/>
    <mergeCell ref="L211:O211"/>
    <mergeCell ref="G211:J211"/>
    <mergeCell ref="L213:O213"/>
    <mergeCell ref="B211:D211"/>
    <mergeCell ref="G216:J216"/>
    <mergeCell ref="G209:I209"/>
    <mergeCell ref="G220:J220"/>
    <mergeCell ref="B229:C229"/>
    <mergeCell ref="G228:I228"/>
    <mergeCell ref="B222:D222"/>
    <mergeCell ref="G219:J219"/>
    <mergeCell ref="B221:D221"/>
    <mergeCell ref="M227:O227"/>
    <mergeCell ref="B209:D209"/>
    <mergeCell ref="B210:D210"/>
    <mergeCell ref="B214:D214"/>
    <mergeCell ref="G213:J213"/>
    <mergeCell ref="G214:J214"/>
    <mergeCell ref="G218:I218"/>
    <mergeCell ref="L218:N218"/>
    <mergeCell ref="G222:J222"/>
    <mergeCell ref="L222:O222"/>
    <mergeCell ref="G215:I215"/>
    <mergeCell ref="C162:F162"/>
    <mergeCell ref="C156:F156"/>
    <mergeCell ref="C157:F157"/>
    <mergeCell ref="C163:F163"/>
    <mergeCell ref="G198:J198"/>
    <mergeCell ref="B199:D199"/>
    <mergeCell ref="B201:D201"/>
    <mergeCell ref="B203:D203"/>
    <mergeCell ref="C181:E181"/>
    <mergeCell ref="C182:E182"/>
    <mergeCell ref="B190:D190"/>
    <mergeCell ref="C187:E187"/>
    <mergeCell ref="C174:F174"/>
    <mergeCell ref="C167:F167"/>
    <mergeCell ref="C168:F168"/>
    <mergeCell ref="C169:F169"/>
    <mergeCell ref="B198:D198"/>
    <mergeCell ref="B202:D202"/>
    <mergeCell ref="B200:D200"/>
    <mergeCell ref="B191:D191"/>
    <mergeCell ref="G202:J202"/>
    <mergeCell ref="H183:J183"/>
    <mergeCell ref="G192:J192"/>
    <mergeCell ref="C175:F175"/>
    <mergeCell ref="C173:F173"/>
    <mergeCell ref="C177:F177"/>
    <mergeCell ref="C178:F178"/>
    <mergeCell ref="C176:F176"/>
    <mergeCell ref="C171:F171"/>
    <mergeCell ref="G199:J199"/>
    <mergeCell ref="G201:J201"/>
    <mergeCell ref="B196:D196"/>
    <mergeCell ref="D141:G141"/>
    <mergeCell ref="Z124:AB124"/>
    <mergeCell ref="AC124:AM124"/>
    <mergeCell ref="C64:F64"/>
    <mergeCell ref="G66:H66"/>
    <mergeCell ref="M75:N75"/>
    <mergeCell ref="Y66:Z66"/>
    <mergeCell ref="C155:F155"/>
    <mergeCell ref="C76:L76"/>
    <mergeCell ref="T116:X116"/>
    <mergeCell ref="C170:F170"/>
    <mergeCell ref="C161:F161"/>
    <mergeCell ref="G190:J190"/>
    <mergeCell ref="C186:E186"/>
    <mergeCell ref="C183:E183"/>
    <mergeCell ref="C184:E184"/>
    <mergeCell ref="C185:E185"/>
    <mergeCell ref="J113:M113"/>
    <mergeCell ref="S133:V133"/>
    <mergeCell ref="N106:Q106"/>
    <mergeCell ref="N114:Q114"/>
    <mergeCell ref="C151:F151"/>
    <mergeCell ref="L151:O151"/>
    <mergeCell ref="C152:F152"/>
    <mergeCell ref="C159:F159"/>
    <mergeCell ref="C154:F154"/>
    <mergeCell ref="X151:AA151"/>
    <mergeCell ref="Y135:AB135"/>
    <mergeCell ref="S137:V137"/>
    <mergeCell ref="S135:V135"/>
    <mergeCell ref="Y141:AB141"/>
    <mergeCell ref="C158:F158"/>
    <mergeCell ref="D139:G139"/>
    <mergeCell ref="F133:K133"/>
    <mergeCell ref="S139:V139"/>
    <mergeCell ref="AB67:AK67"/>
    <mergeCell ref="AH99:AJ99"/>
    <mergeCell ref="J111:M111"/>
    <mergeCell ref="J103:M103"/>
    <mergeCell ref="Z107:AC107"/>
    <mergeCell ref="V76:W76"/>
    <mergeCell ref="Q65:S65"/>
    <mergeCell ref="AD115:AG115"/>
    <mergeCell ref="AD114:AG114"/>
    <mergeCell ref="Z106:AC106"/>
    <mergeCell ref="AD116:AG116"/>
    <mergeCell ref="AH115:AJ115"/>
    <mergeCell ref="AD107:AG107"/>
    <mergeCell ref="T74:Y74"/>
    <mergeCell ref="AH107:AJ107"/>
    <mergeCell ref="J107:M107"/>
    <mergeCell ref="Z113:AG113"/>
    <mergeCell ref="U114:X114"/>
    <mergeCell ref="U115:X115"/>
    <mergeCell ref="D136:G136"/>
    <mergeCell ref="Y133:AB133"/>
    <mergeCell ref="Y132:AB132"/>
    <mergeCell ref="V75:W75"/>
    <mergeCell ref="M76:N76"/>
    <mergeCell ref="R107:S107"/>
    <mergeCell ref="J108:M108"/>
    <mergeCell ref="U99:X99"/>
    <mergeCell ref="U107:X107"/>
    <mergeCell ref="J106:M106"/>
    <mergeCell ref="AD106:AG106"/>
    <mergeCell ref="J98:M98"/>
    <mergeCell ref="Q66:S66"/>
    <mergeCell ref="C74:N74"/>
    <mergeCell ref="Y75:AL75"/>
    <mergeCell ref="R99:S99"/>
    <mergeCell ref="Z98:AC98"/>
    <mergeCell ref="C103:I103"/>
    <mergeCell ref="C75:L75"/>
    <mergeCell ref="J100:M100"/>
    <mergeCell ref="R105:S105"/>
    <mergeCell ref="N98:Q98"/>
    <mergeCell ref="AD108:AG108"/>
    <mergeCell ref="C95:I95"/>
    <mergeCell ref="C73:N73"/>
    <mergeCell ref="AB42:AE42"/>
    <mergeCell ref="AI65:AK65"/>
    <mergeCell ref="AF64:AH64"/>
    <mergeCell ref="T42:W42"/>
    <mergeCell ref="R55:T55"/>
    <mergeCell ref="K55:L55"/>
    <mergeCell ref="C57:D57"/>
    <mergeCell ref="E56:F56"/>
    <mergeCell ref="N62:P62"/>
    <mergeCell ref="N60:S60"/>
    <mergeCell ref="E55:F55"/>
    <mergeCell ref="I55:J55"/>
    <mergeCell ref="I57:J57"/>
    <mergeCell ref="C62:F62"/>
    <mergeCell ref="C63:F63"/>
    <mergeCell ref="E57:F57"/>
    <mergeCell ref="C61:F61"/>
    <mergeCell ref="G61:H61"/>
    <mergeCell ref="AB60:AE60"/>
    <mergeCell ref="U60:Z60"/>
    <mergeCell ref="G62:H62"/>
    <mergeCell ref="Y62:Z62"/>
    <mergeCell ref="G63:H63"/>
    <mergeCell ref="K44:N44"/>
    <mergeCell ref="P42:S42"/>
    <mergeCell ref="L42:O42"/>
    <mergeCell ref="M55:N55"/>
    <mergeCell ref="I56:J56"/>
    <mergeCell ref="AI63:AK63"/>
    <mergeCell ref="K57:L57"/>
    <mergeCell ref="B44:J44"/>
    <mergeCell ref="H42:K42"/>
    <mergeCell ref="G52:H52"/>
    <mergeCell ref="I52:J52"/>
    <mergeCell ref="F42:G42"/>
    <mergeCell ref="R56:T56"/>
    <mergeCell ref="Y61:Z61"/>
    <mergeCell ref="Q61:S61"/>
    <mergeCell ref="AF62:AH62"/>
    <mergeCell ref="AF63:AH63"/>
    <mergeCell ref="T40:W40"/>
    <mergeCell ref="C60:H60"/>
    <mergeCell ref="F40:G40"/>
    <mergeCell ref="F39:G39"/>
    <mergeCell ref="U55:W55"/>
    <mergeCell ref="X55:Z55"/>
    <mergeCell ref="O55:P55"/>
    <mergeCell ref="M56:N56"/>
    <mergeCell ref="M52:N52"/>
    <mergeCell ref="J60:M60"/>
    <mergeCell ref="G57:H57"/>
    <mergeCell ref="X56:Z56"/>
    <mergeCell ref="L40:O40"/>
    <mergeCell ref="P41:S41"/>
    <mergeCell ref="G56:H56"/>
    <mergeCell ref="U56:W56"/>
    <mergeCell ref="M57:N57"/>
    <mergeCell ref="X42:AA42"/>
    <mergeCell ref="O44:AI44"/>
    <mergeCell ref="AJ34:AP34"/>
    <mergeCell ref="AB34:AE34"/>
    <mergeCell ref="O56:P56"/>
    <mergeCell ref="H39:K39"/>
    <mergeCell ref="F41:G41"/>
    <mergeCell ref="L41:O41"/>
    <mergeCell ref="P36:S36"/>
    <mergeCell ref="H36:K36"/>
    <mergeCell ref="P40:S40"/>
    <mergeCell ref="L39:O39"/>
    <mergeCell ref="B38:G38"/>
    <mergeCell ref="AF33:AI33"/>
    <mergeCell ref="AB33:AE33"/>
    <mergeCell ref="X34:AA34"/>
    <mergeCell ref="T35:W35"/>
    <mergeCell ref="X35:AA35"/>
    <mergeCell ref="L35:O35"/>
    <mergeCell ref="C56:D56"/>
    <mergeCell ref="G55:H55"/>
    <mergeCell ref="C55:D55"/>
    <mergeCell ref="AA56:AC56"/>
    <mergeCell ref="X41:AA41"/>
    <mergeCell ref="AF41:AI41"/>
    <mergeCell ref="AA55:AC55"/>
    <mergeCell ref="AJ45:AM45"/>
    <mergeCell ref="AF56:AH56"/>
    <mergeCell ref="AD56:AE56"/>
    <mergeCell ref="AC53:AG53"/>
    <mergeCell ref="AF42:AI42"/>
    <mergeCell ref="AD45:AI45"/>
    <mergeCell ref="AH53:AJ53"/>
    <mergeCell ref="X39:AA39"/>
    <mergeCell ref="AG7:AJ7"/>
    <mergeCell ref="AG8:AJ8"/>
    <mergeCell ref="AG12:AJ12"/>
    <mergeCell ref="AG9:AJ9"/>
    <mergeCell ref="AG10:AJ10"/>
    <mergeCell ref="AG11:AJ11"/>
    <mergeCell ref="AJ24:AM24"/>
    <mergeCell ref="K8:N8"/>
    <mergeCell ref="K13:N13"/>
    <mergeCell ref="AG25:AH25"/>
    <mergeCell ref="AF26:AI26"/>
    <mergeCell ref="Q10:T10"/>
    <mergeCell ref="AG13:AJ13"/>
    <mergeCell ref="U13:V13"/>
    <mergeCell ref="Q11:T11"/>
    <mergeCell ref="U11:V11"/>
    <mergeCell ref="AG14:AJ14"/>
    <mergeCell ref="U8:V8"/>
    <mergeCell ref="U10:V10"/>
    <mergeCell ref="Y21:Z21"/>
    <mergeCell ref="U12:V12"/>
    <mergeCell ref="AG21:AH21"/>
    <mergeCell ref="AG23:AH23"/>
    <mergeCell ref="AC24:AD24"/>
    <mergeCell ref="AG24:AH24"/>
    <mergeCell ref="AC23:AD23"/>
    <mergeCell ref="AB26:AE26"/>
    <mergeCell ref="AF22:AI22"/>
    <mergeCell ref="Y24:Z24"/>
    <mergeCell ref="Y23:Z23"/>
    <mergeCell ref="U14:V14"/>
    <mergeCell ref="X26:AA26"/>
    <mergeCell ref="C6:J6"/>
    <mergeCell ref="T31:W31"/>
    <mergeCell ref="T30:W30"/>
    <mergeCell ref="P33:S33"/>
    <mergeCell ref="U24:V24"/>
    <mergeCell ref="M23:N23"/>
    <mergeCell ref="U25:V25"/>
    <mergeCell ref="P26:S26"/>
    <mergeCell ref="C7:J7"/>
    <mergeCell ref="C8:J8"/>
    <mergeCell ref="C31:C34"/>
    <mergeCell ref="D34:G34"/>
    <mergeCell ref="B28:C28"/>
    <mergeCell ref="C17:J17"/>
    <mergeCell ref="C13:J13"/>
    <mergeCell ref="T22:W22"/>
    <mergeCell ref="T27:W27"/>
    <mergeCell ref="H31:K31"/>
    <mergeCell ref="L30:O30"/>
    <mergeCell ref="H34:K34"/>
    <mergeCell ref="L22:O22"/>
    <mergeCell ref="Q25:R25"/>
    <mergeCell ref="P22:S22"/>
    <mergeCell ref="H29:K29"/>
    <mergeCell ref="D29:G29"/>
    <mergeCell ref="H33:K33"/>
    <mergeCell ref="K11:N11"/>
    <mergeCell ref="Q9:T9"/>
    <mergeCell ref="K9:N9"/>
    <mergeCell ref="K10:N10"/>
    <mergeCell ref="K12:N12"/>
    <mergeCell ref="I24:J24"/>
    <mergeCell ref="Q6:V6"/>
    <mergeCell ref="U9:V9"/>
    <mergeCell ref="Q8:T8"/>
    <mergeCell ref="Q12:T12"/>
    <mergeCell ref="K6:N6"/>
    <mergeCell ref="K7:N7"/>
    <mergeCell ref="Q16:T16"/>
    <mergeCell ref="U16:V16"/>
    <mergeCell ref="C14:J14"/>
    <mergeCell ref="C10:J10"/>
    <mergeCell ref="C9:J9"/>
    <mergeCell ref="D33:G33"/>
    <mergeCell ref="H27:K27"/>
    <mergeCell ref="D27:G27"/>
    <mergeCell ref="B29:C29"/>
    <mergeCell ref="I23:J23"/>
    <mergeCell ref="L29:O29"/>
    <mergeCell ref="Q23:R23"/>
    <mergeCell ref="Q13:T13"/>
    <mergeCell ref="U15:V15"/>
    <mergeCell ref="Q15:T15"/>
    <mergeCell ref="D28:G28"/>
    <mergeCell ref="B27:C27"/>
    <mergeCell ref="L33:O33"/>
    <mergeCell ref="C12:J12"/>
    <mergeCell ref="H26:K26"/>
    <mergeCell ref="U23:V23"/>
    <mergeCell ref="U21:V21"/>
    <mergeCell ref="Q17:V17"/>
    <mergeCell ref="Q24:R24"/>
    <mergeCell ref="K14:N14"/>
    <mergeCell ref="K17:N17"/>
    <mergeCell ref="AB30:AE30"/>
    <mergeCell ref="AB31:AE31"/>
    <mergeCell ref="X30:AA30"/>
    <mergeCell ref="X31:AA31"/>
    <mergeCell ref="AF28:AI28"/>
    <mergeCell ref="AF29:AI29"/>
    <mergeCell ref="X28:AA28"/>
    <mergeCell ref="K56:L56"/>
    <mergeCell ref="N61:P61"/>
    <mergeCell ref="P31:S31"/>
    <mergeCell ref="P28:S28"/>
    <mergeCell ref="P29:S29"/>
    <mergeCell ref="K52:L52"/>
    <mergeCell ref="AF30:AI30"/>
    <mergeCell ref="AF31:AI31"/>
    <mergeCell ref="AB28:AE28"/>
    <mergeCell ref="AB29:AE29"/>
    <mergeCell ref="X29:AA29"/>
    <mergeCell ref="H41:K41"/>
    <mergeCell ref="T34:W34"/>
    <mergeCell ref="T41:W41"/>
    <mergeCell ref="AB41:AE41"/>
    <mergeCell ref="X40:AA40"/>
    <mergeCell ref="AF35:AI35"/>
    <mergeCell ref="AF34:AI34"/>
    <mergeCell ref="X36:AA36"/>
    <mergeCell ref="T33:W33"/>
    <mergeCell ref="P34:S34"/>
    <mergeCell ref="P35:S35"/>
    <mergeCell ref="AB40:AE40"/>
    <mergeCell ref="P39:S39"/>
    <mergeCell ref="T39:W39"/>
    <mergeCell ref="D137:G137"/>
    <mergeCell ref="J115:M115"/>
    <mergeCell ref="G65:H65"/>
    <mergeCell ref="C111:I111"/>
    <mergeCell ref="AF151:AI151"/>
    <mergeCell ref="AB151:AE151"/>
    <mergeCell ref="AF150:AI150"/>
    <mergeCell ref="J99:M99"/>
    <mergeCell ref="Y76:AL76"/>
    <mergeCell ref="AC85:AM85"/>
    <mergeCell ref="O76:U76"/>
    <mergeCell ref="Y138:AB138"/>
    <mergeCell ref="AE187:AG187"/>
    <mergeCell ref="AH187:AJ187"/>
    <mergeCell ref="AE185:AG185"/>
    <mergeCell ref="AH185:AJ185"/>
    <mergeCell ref="AH186:AJ186"/>
    <mergeCell ref="H182:J182"/>
    <mergeCell ref="L185:M185"/>
    <mergeCell ref="AE186:AG186"/>
    <mergeCell ref="AB182:AD182"/>
    <mergeCell ref="N95:P95"/>
    <mergeCell ref="N103:P103"/>
    <mergeCell ref="N111:P111"/>
    <mergeCell ref="H151:K151"/>
    <mergeCell ref="H181:J181"/>
    <mergeCell ref="Y139:AB139"/>
    <mergeCell ref="H150:K150"/>
    <mergeCell ref="Z108:AC108"/>
    <mergeCell ref="R97:S97"/>
    <mergeCell ref="J114:M114"/>
    <mergeCell ref="Z114:AC114"/>
    <mergeCell ref="Z95:AG95"/>
    <mergeCell ref="J97:M97"/>
    <mergeCell ref="Z97:AG97"/>
    <mergeCell ref="AD98:AG98"/>
    <mergeCell ref="AD99:AG99"/>
    <mergeCell ref="Z99:AC99"/>
    <mergeCell ref="Y64:Z64"/>
    <mergeCell ref="N65:P65"/>
    <mergeCell ref="Y65:Z65"/>
    <mergeCell ref="Q64:S64"/>
    <mergeCell ref="Q62:S62"/>
    <mergeCell ref="N66:P66"/>
    <mergeCell ref="G64:H64"/>
    <mergeCell ref="C65:F65"/>
    <mergeCell ref="Z111:AG111"/>
    <mergeCell ref="J105:M105"/>
    <mergeCell ref="U97:X97"/>
    <mergeCell ref="U105:X105"/>
    <mergeCell ref="AF66:AH66"/>
    <mergeCell ref="Z70:AL70"/>
    <mergeCell ref="AI62:AK62"/>
    <mergeCell ref="J95:M95"/>
    <mergeCell ref="Z100:AC100"/>
    <mergeCell ref="U98:X98"/>
    <mergeCell ref="U106:X106"/>
    <mergeCell ref="Y63:Z63"/>
    <mergeCell ref="Q63:S63"/>
    <mergeCell ref="AI66:AK66"/>
    <mergeCell ref="C66:F66"/>
    <mergeCell ref="Z103:AG103"/>
    <mergeCell ref="AD100:AG100"/>
    <mergeCell ref="Z105:AG105"/>
    <mergeCell ref="AH181:AJ181"/>
    <mergeCell ref="U113:X113"/>
    <mergeCell ref="Y140:AB140"/>
    <mergeCell ref="S134:V134"/>
    <mergeCell ref="P151:S151"/>
    <mergeCell ref="P150:S150"/>
    <mergeCell ref="Z115:AC115"/>
    <mergeCell ref="R115:S115"/>
    <mergeCell ref="Y134:AB134"/>
    <mergeCell ref="Z116:AC116"/>
    <mergeCell ref="T150:W150"/>
    <mergeCell ref="T151:W151"/>
    <mergeCell ref="AH180:AJ180"/>
    <mergeCell ref="S140:V140"/>
    <mergeCell ref="S141:V141"/>
    <mergeCell ref="S136:V136"/>
    <mergeCell ref="Y136:AB136"/>
    <mergeCell ref="S138:V138"/>
    <mergeCell ref="Y137:AB137"/>
    <mergeCell ref="B205:D205"/>
    <mergeCell ref="G200:I200"/>
    <mergeCell ref="L200:N200"/>
    <mergeCell ref="Q200:S200"/>
    <mergeCell ref="Q201:T201"/>
    <mergeCell ref="V196:Y196"/>
    <mergeCell ref="AF202:AI202"/>
    <mergeCell ref="Q207:T207"/>
    <mergeCell ref="G207:J207"/>
    <mergeCell ref="V207:Y207"/>
    <mergeCell ref="AA199:AD199"/>
    <mergeCell ref="Q198:T198"/>
    <mergeCell ref="AA198:AD198"/>
    <mergeCell ref="AF198:AI198"/>
    <mergeCell ref="G205:J205"/>
    <mergeCell ref="G203:I203"/>
    <mergeCell ref="G206:I206"/>
    <mergeCell ref="L206:N206"/>
    <mergeCell ref="Q206:S206"/>
    <mergeCell ref="V206:X206"/>
    <mergeCell ref="AA206:AC206"/>
    <mergeCell ref="AF206:AH206"/>
    <mergeCell ref="G204:J204"/>
    <mergeCell ref="V204:Y204"/>
    <mergeCell ref="AA202:AD202"/>
    <mergeCell ref="AA207:AD207"/>
    <mergeCell ref="B197:D197"/>
    <mergeCell ref="AA203:AC203"/>
    <mergeCell ref="AF203:AH203"/>
    <mergeCell ref="L201:O201"/>
    <mergeCell ref="Q199:T199"/>
    <mergeCell ref="L205:O205"/>
    <mergeCell ref="J236:L236"/>
    <mergeCell ref="P244:R244"/>
    <mergeCell ref="AE245:AG245"/>
    <mergeCell ref="G253:I253"/>
    <mergeCell ref="G239:I239"/>
    <mergeCell ref="V205:Y205"/>
    <mergeCell ref="V215:X215"/>
    <mergeCell ref="Q211:T211"/>
    <mergeCell ref="AA211:AD211"/>
    <mergeCell ref="AF211:AI211"/>
    <mergeCell ref="AN253:AP253"/>
    <mergeCell ref="J252:L252"/>
    <mergeCell ref="P253:R253"/>
    <mergeCell ref="V254:X254"/>
    <mergeCell ref="M252:O252"/>
    <mergeCell ref="J254:L254"/>
    <mergeCell ref="AN241:AP241"/>
    <mergeCell ref="J245:L245"/>
    <mergeCell ref="M245:O245"/>
    <mergeCell ref="AN239:AP239"/>
    <mergeCell ref="AN242:AP242"/>
    <mergeCell ref="AN245:AP245"/>
    <mergeCell ref="V250:X250"/>
    <mergeCell ref="V251:X251"/>
    <mergeCell ref="AK253:AM253"/>
    <mergeCell ref="AB245:AD245"/>
    <mergeCell ref="M250:O250"/>
    <mergeCell ref="S252:U252"/>
    <mergeCell ref="Y252:AA252"/>
    <mergeCell ref="M251:O251"/>
    <mergeCell ref="AN251:AP251"/>
    <mergeCell ref="AN254:AP254"/>
    <mergeCell ref="S238:U238"/>
    <mergeCell ref="AH245:AJ245"/>
    <mergeCell ref="AK245:AM245"/>
    <mergeCell ref="AB247:AD247"/>
    <mergeCell ref="S245:U245"/>
    <mergeCell ref="Y245:AA245"/>
    <mergeCell ref="AK241:AM241"/>
    <mergeCell ref="G246:I246"/>
    <mergeCell ref="P241:R241"/>
    <mergeCell ref="AE249:AG249"/>
    <mergeCell ref="S249:U249"/>
    <mergeCell ref="V249:X249"/>
    <mergeCell ref="J247:L247"/>
    <mergeCell ref="S244:U244"/>
    <mergeCell ref="AH242:AJ242"/>
    <mergeCell ref="AH241:AJ241"/>
    <mergeCell ref="J242:L242"/>
    <mergeCell ref="M242:O242"/>
    <mergeCell ref="M247:O247"/>
    <mergeCell ref="M241:O241"/>
    <mergeCell ref="G245:I245"/>
    <mergeCell ref="AK239:AM239"/>
    <mergeCell ref="AK244:AM244"/>
    <mergeCell ref="P238:R238"/>
    <mergeCell ref="J244:L244"/>
    <mergeCell ref="M244:O244"/>
    <mergeCell ref="V244:X244"/>
    <mergeCell ref="AE241:AG241"/>
    <mergeCell ref="AE244:AG244"/>
    <mergeCell ref="S241:U241"/>
    <mergeCell ref="AH244:AJ244"/>
    <mergeCell ref="AE248:AG248"/>
    <mergeCell ref="AN238:AP238"/>
    <mergeCell ref="S235:U235"/>
    <mergeCell ref="P236:R236"/>
    <mergeCell ref="J248:L248"/>
    <mergeCell ref="AH238:AJ238"/>
    <mergeCell ref="V238:X238"/>
    <mergeCell ref="J235:L235"/>
    <mergeCell ref="AB238:AD238"/>
    <mergeCell ref="AE239:AG239"/>
    <mergeCell ref="AH239:AJ239"/>
    <mergeCell ref="V235:X235"/>
    <mergeCell ref="Y233:AA233"/>
    <mergeCell ref="AB239:AD239"/>
    <mergeCell ref="AE236:AG236"/>
    <mergeCell ref="P239:R239"/>
    <mergeCell ref="V241:X241"/>
    <mergeCell ref="Y235:AA235"/>
    <mergeCell ref="J233:L233"/>
    <mergeCell ref="AE242:AG242"/>
    <mergeCell ref="AH247:AJ247"/>
    <mergeCell ref="P245:R245"/>
    <mergeCell ref="AE233:AG233"/>
    <mergeCell ref="AH233:AJ233"/>
    <mergeCell ref="M238:O238"/>
    <mergeCell ref="S233:U233"/>
    <mergeCell ref="M235:O235"/>
    <mergeCell ref="AB233:AD233"/>
    <mergeCell ref="S239:U239"/>
    <mergeCell ref="S242:U242"/>
    <mergeCell ref="AN248:AP248"/>
    <mergeCell ref="AN236:AP236"/>
    <mergeCell ref="AK238:AM238"/>
    <mergeCell ref="AK247:AM247"/>
    <mergeCell ref="AE247:AG247"/>
    <mergeCell ref="G242:I242"/>
    <mergeCell ref="G241:I241"/>
    <mergeCell ref="G243:I243"/>
    <mergeCell ref="G244:I244"/>
    <mergeCell ref="G251:I251"/>
    <mergeCell ref="J251:L251"/>
    <mergeCell ref="AH252:AJ252"/>
    <mergeCell ref="AK242:AM242"/>
    <mergeCell ref="AK250:AM250"/>
    <mergeCell ref="AE250:AG250"/>
    <mergeCell ref="AE252:AG252"/>
    <mergeCell ref="AK252:AM252"/>
    <mergeCell ref="V242:X242"/>
    <mergeCell ref="AN250:AP250"/>
    <mergeCell ref="Y251:AA251"/>
    <mergeCell ref="AB251:AD251"/>
    <mergeCell ref="AE251:AG251"/>
    <mergeCell ref="G248:I248"/>
    <mergeCell ref="AB250:AD250"/>
    <mergeCell ref="Y250:AA250"/>
    <mergeCell ref="AH249:AJ249"/>
    <mergeCell ref="AH248:AJ248"/>
    <mergeCell ref="AN244:AP244"/>
    <mergeCell ref="V252:X252"/>
    <mergeCell ref="AK249:AM249"/>
    <mergeCell ref="M249:O249"/>
    <mergeCell ref="AH251:AJ251"/>
    <mergeCell ref="AK251:AM251"/>
    <mergeCell ref="AH250:AJ250"/>
    <mergeCell ref="AB252:AD252"/>
    <mergeCell ref="AH253:AJ253"/>
    <mergeCell ref="AB253:AD253"/>
    <mergeCell ref="V253:X253"/>
    <mergeCell ref="AK262:AM262"/>
    <mergeCell ref="J255:L255"/>
    <mergeCell ref="AE262:AG262"/>
    <mergeCell ref="Y277:AA277"/>
    <mergeCell ref="AH269:AJ269"/>
    <mergeCell ref="P269:R269"/>
    <mergeCell ref="S269:U269"/>
    <mergeCell ref="Y269:AA269"/>
    <mergeCell ref="AB269:AD269"/>
    <mergeCell ref="AK266:AM266"/>
    <mergeCell ref="AK267:AM267"/>
    <mergeCell ref="Y268:AA268"/>
    <mergeCell ref="AB266:AD266"/>
    <mergeCell ref="S261:U261"/>
    <mergeCell ref="AH256:AJ256"/>
    <mergeCell ref="AK256:AM256"/>
    <mergeCell ref="AE256:AG256"/>
    <mergeCell ref="Y256:AA256"/>
    <mergeCell ref="P261:R261"/>
    <mergeCell ref="Y254:AA254"/>
    <mergeCell ref="Y258:AA258"/>
    <mergeCell ref="Y267:AA267"/>
    <mergeCell ref="AB267:AD267"/>
    <mergeCell ref="AK254:AM254"/>
    <mergeCell ref="M254:O254"/>
    <mergeCell ref="P254:R254"/>
    <mergeCell ref="AB254:AD254"/>
    <mergeCell ref="AE253:AG253"/>
    <mergeCell ref="AB255:AD255"/>
    <mergeCell ref="AH280:AJ280"/>
    <mergeCell ref="AH273:AJ273"/>
    <mergeCell ref="T280:V280"/>
    <mergeCell ref="Y279:AA279"/>
    <mergeCell ref="T279:V279"/>
    <mergeCell ref="P256:R256"/>
    <mergeCell ref="S256:U256"/>
    <mergeCell ref="S258:U258"/>
    <mergeCell ref="AH271:AJ271"/>
    <mergeCell ref="Y271:AA271"/>
    <mergeCell ref="AE269:AG269"/>
    <mergeCell ref="V268:X268"/>
    <mergeCell ref="V269:X269"/>
    <mergeCell ref="AH264:AJ264"/>
    <mergeCell ref="P268:R268"/>
    <mergeCell ref="AH262:AJ262"/>
    <mergeCell ref="AH263:AJ263"/>
    <mergeCell ref="AE266:AG266"/>
    <mergeCell ref="AH267:AJ267"/>
    <mergeCell ref="AH266:AJ266"/>
    <mergeCell ref="AH265:AJ265"/>
    <mergeCell ref="S272:U272"/>
    <mergeCell ref="Y278:AA278"/>
    <mergeCell ref="P280:R280"/>
    <mergeCell ref="T277:V277"/>
    <mergeCell ref="AB258:AD258"/>
    <mergeCell ref="S268:U268"/>
    <mergeCell ref="AB268:AD268"/>
    <mergeCell ref="Y265:AA265"/>
    <mergeCell ref="AB265:AD265"/>
    <mergeCell ref="Y261:AA261"/>
    <mergeCell ref="AB261:AD261"/>
    <mergeCell ref="AN265:AP265"/>
    <mergeCell ref="AN269:AP269"/>
    <mergeCell ref="AE271:AG271"/>
    <mergeCell ref="AN270:AP270"/>
    <mergeCell ref="AN271:AP271"/>
    <mergeCell ref="AK257:AM257"/>
    <mergeCell ref="AK255:AM255"/>
    <mergeCell ref="AK263:AM263"/>
    <mergeCell ref="AK270:AM270"/>
    <mergeCell ref="AN264:AP264"/>
    <mergeCell ref="AK269:AM269"/>
    <mergeCell ref="AN267:AP267"/>
    <mergeCell ref="AN266:AP266"/>
    <mergeCell ref="AN262:AP262"/>
    <mergeCell ref="AN256:AP256"/>
    <mergeCell ref="AN263:AP263"/>
    <mergeCell ref="AE261:AG261"/>
    <mergeCell ref="AE257:AG257"/>
    <mergeCell ref="AN257:AP257"/>
    <mergeCell ref="AK264:AM264"/>
    <mergeCell ref="AK268:AM268"/>
    <mergeCell ref="AN260:AP260"/>
    <mergeCell ref="AN261:AP261"/>
    <mergeCell ref="AK261:AM261"/>
    <mergeCell ref="AH261:AJ261"/>
    <mergeCell ref="AK265:AM265"/>
    <mergeCell ref="AK271:AM271"/>
    <mergeCell ref="AX277:AY277"/>
    <mergeCell ref="AX278:AY278"/>
    <mergeCell ref="AX279:AY279"/>
    <mergeCell ref="AX280:AY280"/>
    <mergeCell ref="AX283:AY283"/>
    <mergeCell ref="AX289:AY289"/>
    <mergeCell ref="AO278:AP278"/>
    <mergeCell ref="AQ278:AS278"/>
    <mergeCell ref="AQ279:AS279"/>
    <mergeCell ref="AQ280:AS280"/>
    <mergeCell ref="AO280:AP280"/>
    <mergeCell ref="AU288:AW288"/>
    <mergeCell ref="AQ286:AS286"/>
    <mergeCell ref="AO277:AP277"/>
    <mergeCell ref="AU280:AW280"/>
    <mergeCell ref="AU281:AW281"/>
    <mergeCell ref="AU282:AW282"/>
    <mergeCell ref="AU283:AW283"/>
    <mergeCell ref="AQ284:AS284"/>
    <mergeCell ref="AU289:AW289"/>
    <mergeCell ref="AO287:AP287"/>
    <mergeCell ref="AU298:AW298"/>
    <mergeCell ref="Y291:AA291"/>
    <mergeCell ref="Y294:AA294"/>
    <mergeCell ref="W291:X291"/>
    <mergeCell ref="AO289:AP289"/>
    <mergeCell ref="T290:V290"/>
    <mergeCell ref="T293:V293"/>
    <mergeCell ref="Y293:AA293"/>
    <mergeCell ref="Y292:AA292"/>
    <mergeCell ref="W292:X292"/>
    <mergeCell ref="AH287:AJ287"/>
    <mergeCell ref="W287:X287"/>
    <mergeCell ref="AH292:AJ292"/>
    <mergeCell ref="AF293:AG293"/>
    <mergeCell ref="AU293:AW293"/>
    <mergeCell ref="AF289:AG289"/>
    <mergeCell ref="AH288:AJ288"/>
    <mergeCell ref="AH289:AJ289"/>
    <mergeCell ref="AH290:AJ290"/>
    <mergeCell ref="AU294:AW294"/>
    <mergeCell ref="AQ292:AS292"/>
    <mergeCell ref="AQ293:AS293"/>
    <mergeCell ref="AC294:AE294"/>
    <mergeCell ref="T292:V292"/>
    <mergeCell ref="AF292:AG292"/>
    <mergeCell ref="AQ294:AS294"/>
    <mergeCell ref="AU292:AW292"/>
    <mergeCell ref="AH291:AJ291"/>
    <mergeCell ref="AF287:AG287"/>
    <mergeCell ref="AC291:AE291"/>
    <mergeCell ref="Y287:AA287"/>
    <mergeCell ref="Y288:AA288"/>
    <mergeCell ref="AX298:AY298"/>
    <mergeCell ref="AC298:AE298"/>
    <mergeCell ref="AF298:AG298"/>
    <mergeCell ref="AH298:AJ298"/>
    <mergeCell ref="AL298:AN298"/>
    <mergeCell ref="AF280:AG280"/>
    <mergeCell ref="AC279:AE279"/>
    <mergeCell ref="AC280:AE280"/>
    <mergeCell ref="AQ281:AS281"/>
    <mergeCell ref="AQ282:AS282"/>
    <mergeCell ref="AX281:AY281"/>
    <mergeCell ref="AO279:AP279"/>
    <mergeCell ref="AO290:AP290"/>
    <mergeCell ref="AL281:AN281"/>
    <mergeCell ref="AL282:AN282"/>
    <mergeCell ref="AL283:AN283"/>
    <mergeCell ref="AX282:AY282"/>
    <mergeCell ref="AX287:AY287"/>
    <mergeCell ref="AX288:AY288"/>
    <mergeCell ref="AX290:AY290"/>
    <mergeCell ref="AF291:AG291"/>
    <mergeCell ref="AH294:AJ294"/>
    <mergeCell ref="AQ298:AS298"/>
    <mergeCell ref="AO292:AP292"/>
    <mergeCell ref="AO293:AP293"/>
    <mergeCell ref="AC286:AE286"/>
    <mergeCell ref="AL292:AN292"/>
    <mergeCell ref="AL293:AN293"/>
    <mergeCell ref="AL294:AN294"/>
    <mergeCell ref="AH293:AJ293"/>
    <mergeCell ref="AU291:AW291"/>
    <mergeCell ref="AU287:AW287"/>
    <mergeCell ref="AZ294:BB294"/>
    <mergeCell ref="AZ293:BB293"/>
    <mergeCell ref="AX293:AY293"/>
    <mergeCell ref="AX291:AY291"/>
    <mergeCell ref="AX292:AY292"/>
    <mergeCell ref="AZ291:BB291"/>
    <mergeCell ref="AZ292:BB292"/>
    <mergeCell ref="AZ286:BB286"/>
    <mergeCell ref="AL286:AN286"/>
    <mergeCell ref="AU286:AW286"/>
    <mergeCell ref="AZ287:BB287"/>
    <mergeCell ref="AZ290:BB290"/>
    <mergeCell ref="AQ287:AS287"/>
    <mergeCell ref="AQ288:AS288"/>
    <mergeCell ref="AO288:AP288"/>
    <mergeCell ref="AQ289:AS289"/>
    <mergeCell ref="AQ290:AS290"/>
    <mergeCell ref="AU290:AW290"/>
    <mergeCell ref="AZ288:BB288"/>
    <mergeCell ref="AZ289:BB289"/>
    <mergeCell ref="AL290:AN290"/>
    <mergeCell ref="AL291:AN291"/>
    <mergeCell ref="AO291:AP291"/>
    <mergeCell ref="AQ291:AS291"/>
    <mergeCell ref="AZ299:BB299"/>
    <mergeCell ref="E298:F298"/>
    <mergeCell ref="AZ297:BB297"/>
    <mergeCell ref="B298:D298"/>
    <mergeCell ref="G298:I298"/>
    <mergeCell ref="K298:M298"/>
    <mergeCell ref="N298:O298"/>
    <mergeCell ref="P298:R298"/>
    <mergeCell ref="T298:V298"/>
    <mergeCell ref="W298:X298"/>
    <mergeCell ref="Y298:AA298"/>
    <mergeCell ref="AH297:AJ297"/>
    <mergeCell ref="B297:D297"/>
    <mergeCell ref="E297:F297"/>
    <mergeCell ref="G297:I297"/>
    <mergeCell ref="K297:M297"/>
    <mergeCell ref="AQ297:AS297"/>
    <mergeCell ref="AU297:AW297"/>
    <mergeCell ref="P297:R297"/>
    <mergeCell ref="T297:V297"/>
    <mergeCell ref="Y297:AA297"/>
    <mergeCell ref="AC297:AE297"/>
    <mergeCell ref="AZ298:BB298"/>
    <mergeCell ref="AL297:AN297"/>
    <mergeCell ref="AO299:AP299"/>
    <mergeCell ref="AQ299:AS299"/>
    <mergeCell ref="AU299:AW299"/>
    <mergeCell ref="AX299:AY299"/>
    <mergeCell ref="AC299:AE299"/>
    <mergeCell ref="AF299:AG299"/>
    <mergeCell ref="AH299:AJ299"/>
    <mergeCell ref="AL299:AN299"/>
    <mergeCell ref="AQ301:AS301"/>
    <mergeCell ref="AO300:AP300"/>
    <mergeCell ref="B301:D301"/>
    <mergeCell ref="G301:I301"/>
    <mergeCell ref="K301:M301"/>
    <mergeCell ref="P301:R301"/>
    <mergeCell ref="T301:V301"/>
    <mergeCell ref="AL300:AN300"/>
    <mergeCell ref="E300:F300"/>
    <mergeCell ref="AC300:AE300"/>
    <mergeCell ref="AU304:AW304"/>
    <mergeCell ref="G303:I303"/>
    <mergeCell ref="K303:M303"/>
    <mergeCell ref="P303:R303"/>
    <mergeCell ref="B300:D300"/>
    <mergeCell ref="G300:I300"/>
    <mergeCell ref="K300:M300"/>
    <mergeCell ref="N300:O300"/>
    <mergeCell ref="P300:R300"/>
    <mergeCell ref="B304:D304"/>
    <mergeCell ref="E304:F304"/>
    <mergeCell ref="G304:I304"/>
    <mergeCell ref="K304:M304"/>
    <mergeCell ref="N304:O304"/>
    <mergeCell ref="P304:R304"/>
    <mergeCell ref="B303:D303"/>
    <mergeCell ref="E303:F303"/>
    <mergeCell ref="AX304:AY304"/>
    <mergeCell ref="AZ304:BB304"/>
    <mergeCell ref="T304:V304"/>
    <mergeCell ref="W304:X304"/>
    <mergeCell ref="Y304:AA304"/>
    <mergeCell ref="AC304:AE304"/>
    <mergeCell ref="AF304:AG304"/>
    <mergeCell ref="AH304:AJ304"/>
    <mergeCell ref="AL303:AN303"/>
    <mergeCell ref="AQ303:AS303"/>
    <mergeCell ref="AU303:AW303"/>
    <mergeCell ref="AZ303:BB303"/>
    <mergeCell ref="AQ300:AS300"/>
    <mergeCell ref="AU300:AW300"/>
    <mergeCell ref="AZ301:BB301"/>
    <mergeCell ref="AX300:AY300"/>
    <mergeCell ref="AZ300:BB300"/>
    <mergeCell ref="AU301:AW301"/>
    <mergeCell ref="W300:X300"/>
    <mergeCell ref="Y300:AA300"/>
    <mergeCell ref="AO304:AP304"/>
    <mergeCell ref="AQ304:AS304"/>
    <mergeCell ref="AL304:AN304"/>
    <mergeCell ref="T303:V303"/>
    <mergeCell ref="Y303:AA303"/>
    <mergeCell ref="AC303:AE303"/>
    <mergeCell ref="AH303:AJ303"/>
    <mergeCell ref="AF300:AG300"/>
    <mergeCell ref="AH300:AJ300"/>
    <mergeCell ref="AC301:AE301"/>
    <mergeCell ref="AH301:AJ301"/>
    <mergeCell ref="AL301:AN301"/>
    <mergeCell ref="AX305:AY305"/>
    <mergeCell ref="AZ305:BB305"/>
    <mergeCell ref="B306:D306"/>
    <mergeCell ref="E306:F306"/>
    <mergeCell ref="G306:I306"/>
    <mergeCell ref="K306:M306"/>
    <mergeCell ref="N306:O306"/>
    <mergeCell ref="P306:R306"/>
    <mergeCell ref="T306:V306"/>
    <mergeCell ref="W306:X306"/>
    <mergeCell ref="T305:V305"/>
    <mergeCell ref="W305:X305"/>
    <mergeCell ref="Y305:AA305"/>
    <mergeCell ref="AC305:AE305"/>
    <mergeCell ref="AF305:AG305"/>
    <mergeCell ref="AH305:AJ305"/>
    <mergeCell ref="B305:D305"/>
    <mergeCell ref="E305:F305"/>
    <mergeCell ref="G305:I305"/>
    <mergeCell ref="K305:M305"/>
    <mergeCell ref="N305:O305"/>
    <mergeCell ref="P305:R305"/>
    <mergeCell ref="AO305:AP305"/>
    <mergeCell ref="AQ305:AS305"/>
    <mergeCell ref="AU305:AW305"/>
    <mergeCell ref="AF306:AG306"/>
    <mergeCell ref="AH306:AJ306"/>
    <mergeCell ref="AL305:AN305"/>
    <mergeCell ref="AC306:AE306"/>
    <mergeCell ref="AK310:AM310"/>
    <mergeCell ref="B310:C310"/>
    <mergeCell ref="D310:F310"/>
    <mergeCell ref="G310:I310"/>
    <mergeCell ref="J310:L310"/>
    <mergeCell ref="M310:O310"/>
    <mergeCell ref="P310:R310"/>
    <mergeCell ref="S310:U310"/>
    <mergeCell ref="AZ307:BB307"/>
    <mergeCell ref="AX306:AY306"/>
    <mergeCell ref="AZ306:BB306"/>
    <mergeCell ref="AU306:AW306"/>
    <mergeCell ref="AH307:AJ307"/>
    <mergeCell ref="AQ307:AS307"/>
    <mergeCell ref="AU307:AW307"/>
    <mergeCell ref="V310:X310"/>
    <mergeCell ref="AL307:AN307"/>
    <mergeCell ref="B307:D307"/>
    <mergeCell ref="G307:I307"/>
    <mergeCell ref="K307:M307"/>
    <mergeCell ref="P307:R307"/>
    <mergeCell ref="AO306:AP306"/>
    <mergeCell ref="AQ306:AS306"/>
    <mergeCell ref="AL306:AN306"/>
    <mergeCell ref="T307:V307"/>
    <mergeCell ref="Y307:AA307"/>
    <mergeCell ref="AC307:AE307"/>
    <mergeCell ref="Y306:AA306"/>
    <mergeCell ref="AH310:AJ310"/>
    <mergeCell ref="AB310:AD310"/>
    <mergeCell ref="AE310:AG310"/>
    <mergeCell ref="AK311:AM311"/>
    <mergeCell ref="B312:C312"/>
    <mergeCell ref="D312:F312"/>
    <mergeCell ref="G312:I312"/>
    <mergeCell ref="J312:L312"/>
    <mergeCell ref="M312:O312"/>
    <mergeCell ref="P312:R312"/>
    <mergeCell ref="S312:U312"/>
    <mergeCell ref="Y312:AA312"/>
    <mergeCell ref="S311:U311"/>
    <mergeCell ref="Y311:AA311"/>
    <mergeCell ref="AB311:AD311"/>
    <mergeCell ref="AE311:AG311"/>
    <mergeCell ref="AH311:AJ311"/>
    <mergeCell ref="B311:C311"/>
    <mergeCell ref="D311:F311"/>
    <mergeCell ref="G311:I311"/>
    <mergeCell ref="J311:L311"/>
    <mergeCell ref="P311:R311"/>
    <mergeCell ref="M311:O311"/>
    <mergeCell ref="M317:O317"/>
    <mergeCell ref="D314:F314"/>
    <mergeCell ref="G314:I314"/>
    <mergeCell ref="J314:L314"/>
    <mergeCell ref="M314:O314"/>
    <mergeCell ref="P315:R315"/>
    <mergeCell ref="B314:C314"/>
    <mergeCell ref="P314:R314"/>
    <mergeCell ref="S314:U314"/>
    <mergeCell ref="AK317:AM317"/>
    <mergeCell ref="AB312:AD312"/>
    <mergeCell ref="AE312:AG312"/>
    <mergeCell ref="AH312:AJ312"/>
    <mergeCell ref="AK312:AM312"/>
    <mergeCell ref="B313:C313"/>
    <mergeCell ref="D313:F313"/>
    <mergeCell ref="G313:I313"/>
    <mergeCell ref="J313:L313"/>
    <mergeCell ref="M313:O313"/>
    <mergeCell ref="P313:R313"/>
    <mergeCell ref="AK313:AM313"/>
    <mergeCell ref="AB317:AD317"/>
    <mergeCell ref="AE317:AG317"/>
    <mergeCell ref="B319:C319"/>
    <mergeCell ref="D319:F319"/>
    <mergeCell ref="G319:I319"/>
    <mergeCell ref="J319:L319"/>
    <mergeCell ref="M319:O319"/>
    <mergeCell ref="AQ328:AT328"/>
    <mergeCell ref="Y314:AA314"/>
    <mergeCell ref="AB316:AD316"/>
    <mergeCell ref="AE316:AG316"/>
    <mergeCell ref="Y324:AA324"/>
    <mergeCell ref="AB318:AD318"/>
    <mergeCell ref="B318:C318"/>
    <mergeCell ref="D318:F318"/>
    <mergeCell ref="G318:I318"/>
    <mergeCell ref="J318:L318"/>
    <mergeCell ref="M318:O318"/>
    <mergeCell ref="P318:R318"/>
    <mergeCell ref="M323:O323"/>
    <mergeCell ref="P323:R323"/>
    <mergeCell ref="S323:U323"/>
    <mergeCell ref="J323:L323"/>
    <mergeCell ref="AE323:AG323"/>
    <mergeCell ref="V320:X320"/>
    <mergeCell ref="V321:X321"/>
    <mergeCell ref="V323:X323"/>
    <mergeCell ref="AB314:AD314"/>
    <mergeCell ref="AE314:AG314"/>
    <mergeCell ref="D316:F316"/>
    <mergeCell ref="G316:I316"/>
    <mergeCell ref="J316:L316"/>
    <mergeCell ref="M316:O316"/>
    <mergeCell ref="P316:R316"/>
    <mergeCell ref="M327:O327"/>
    <mergeCell ref="G326:I326"/>
    <mergeCell ref="D328:F328"/>
    <mergeCell ref="G328:I328"/>
    <mergeCell ref="AK326:AM326"/>
    <mergeCell ref="V328:X328"/>
    <mergeCell ref="D327:F327"/>
    <mergeCell ref="G327:I327"/>
    <mergeCell ref="J327:L327"/>
    <mergeCell ref="J326:L326"/>
    <mergeCell ref="G323:I323"/>
    <mergeCell ref="Y325:AA325"/>
    <mergeCell ref="D324:F324"/>
    <mergeCell ref="G324:I324"/>
    <mergeCell ref="J324:L324"/>
    <mergeCell ref="B323:C323"/>
    <mergeCell ref="D323:F323"/>
    <mergeCell ref="AE328:AG328"/>
    <mergeCell ref="AB323:AD323"/>
    <mergeCell ref="AN331:AP331"/>
    <mergeCell ref="AQ324:AT324"/>
    <mergeCell ref="AQ325:AT325"/>
    <mergeCell ref="AQ326:AT326"/>
    <mergeCell ref="AQ327:AT327"/>
    <mergeCell ref="V326:X326"/>
    <mergeCell ref="AQ329:AT329"/>
    <mergeCell ref="AN325:AP325"/>
    <mergeCell ref="AN326:AP326"/>
    <mergeCell ref="AN327:AP327"/>
    <mergeCell ref="AN328:AP328"/>
    <mergeCell ref="D329:F329"/>
    <mergeCell ref="G329:I329"/>
    <mergeCell ref="J329:L329"/>
    <mergeCell ref="J328:L328"/>
    <mergeCell ref="M328:O328"/>
    <mergeCell ref="P328:R328"/>
    <mergeCell ref="M325:O325"/>
    <mergeCell ref="P325:R325"/>
    <mergeCell ref="S325:U325"/>
    <mergeCell ref="AB327:AD327"/>
    <mergeCell ref="AE327:AG327"/>
    <mergeCell ref="Y327:AA327"/>
    <mergeCell ref="M326:O326"/>
    <mergeCell ref="P326:R326"/>
    <mergeCell ref="S326:U326"/>
    <mergeCell ref="S328:U328"/>
    <mergeCell ref="P327:R327"/>
    <mergeCell ref="S327:U327"/>
    <mergeCell ref="D325:F325"/>
    <mergeCell ref="G325:I325"/>
    <mergeCell ref="J325:L325"/>
    <mergeCell ref="D337:F337"/>
    <mergeCell ref="G337:I337"/>
    <mergeCell ref="J337:L337"/>
    <mergeCell ref="M337:O337"/>
    <mergeCell ref="P337:R337"/>
    <mergeCell ref="S337:U337"/>
    <mergeCell ref="AQ330:AT330"/>
    <mergeCell ref="AN329:AP329"/>
    <mergeCell ref="AN332:AP332"/>
    <mergeCell ref="P324:R324"/>
    <mergeCell ref="S324:U324"/>
    <mergeCell ref="AB324:AD324"/>
    <mergeCell ref="AE324:AG324"/>
    <mergeCell ref="AH324:AJ324"/>
    <mergeCell ref="AK324:AM324"/>
    <mergeCell ref="AN330:AP330"/>
    <mergeCell ref="AN324:AP324"/>
    <mergeCell ref="AK325:AM325"/>
    <mergeCell ref="AB325:AD325"/>
    <mergeCell ref="AE325:AG325"/>
    <mergeCell ref="AH325:AJ325"/>
    <mergeCell ref="AB326:AD326"/>
    <mergeCell ref="AH326:AJ326"/>
    <mergeCell ref="AB330:AD330"/>
    <mergeCell ref="AE330:AG330"/>
    <mergeCell ref="AH330:AJ330"/>
    <mergeCell ref="Y331:AA331"/>
    <mergeCell ref="S331:U331"/>
    <mergeCell ref="V330:X330"/>
    <mergeCell ref="V331:X331"/>
    <mergeCell ref="V332:X332"/>
    <mergeCell ref="V325:X325"/>
    <mergeCell ref="V333:X333"/>
    <mergeCell ref="D332:F332"/>
    <mergeCell ref="G332:I332"/>
    <mergeCell ref="J332:L332"/>
    <mergeCell ref="M332:O332"/>
    <mergeCell ref="M331:O331"/>
    <mergeCell ref="M329:O329"/>
    <mergeCell ref="S329:U329"/>
    <mergeCell ref="Y329:AA329"/>
    <mergeCell ref="AB329:AD329"/>
    <mergeCell ref="AE329:AG329"/>
    <mergeCell ref="G331:I331"/>
    <mergeCell ref="P331:R331"/>
    <mergeCell ref="P332:R332"/>
    <mergeCell ref="S332:U332"/>
    <mergeCell ref="J333:L333"/>
    <mergeCell ref="M333:O333"/>
    <mergeCell ref="J331:L331"/>
    <mergeCell ref="D331:F331"/>
    <mergeCell ref="Y332:AA332"/>
    <mergeCell ref="M330:O330"/>
    <mergeCell ref="Y333:AA333"/>
    <mergeCell ref="AB333:AD333"/>
    <mergeCell ref="J360:L360"/>
    <mergeCell ref="D360:F360"/>
    <mergeCell ref="G360:I360"/>
    <mergeCell ref="M360:O360"/>
    <mergeCell ref="P360:R360"/>
    <mergeCell ref="S360:U360"/>
    <mergeCell ref="AH361:AJ361"/>
    <mergeCell ref="AH351:AJ351"/>
    <mergeCell ref="AE351:AG351"/>
    <mergeCell ref="AE331:AG331"/>
    <mergeCell ref="AH331:AJ331"/>
    <mergeCell ref="AB331:AD331"/>
    <mergeCell ref="AK331:AM331"/>
    <mergeCell ref="Y356:AA356"/>
    <mergeCell ref="AB356:AD356"/>
    <mergeCell ref="AE356:AG356"/>
    <mergeCell ref="AK356:AM356"/>
    <mergeCell ref="AH355:AJ355"/>
    <mergeCell ref="D356:F356"/>
    <mergeCell ref="G356:I356"/>
    <mergeCell ref="J356:L356"/>
    <mergeCell ref="M356:O356"/>
    <mergeCell ref="P356:R356"/>
    <mergeCell ref="S356:U356"/>
    <mergeCell ref="M353:O353"/>
    <mergeCell ref="P355:R355"/>
    <mergeCell ref="Y353:AA353"/>
    <mergeCell ref="AH332:AJ332"/>
    <mergeCell ref="AK332:AM332"/>
    <mergeCell ref="AB332:AD332"/>
    <mergeCell ref="AB353:AD353"/>
    <mergeCell ref="AE353:AG353"/>
    <mergeCell ref="M366:O366"/>
    <mergeCell ref="M368:O368"/>
    <mergeCell ref="P368:R368"/>
    <mergeCell ref="AK366:AM366"/>
    <mergeCell ref="AK367:AM367"/>
    <mergeCell ref="P366:R366"/>
    <mergeCell ref="V360:X360"/>
    <mergeCell ref="M370:O370"/>
    <mergeCell ref="P370:R370"/>
    <mergeCell ref="S370:U370"/>
    <mergeCell ref="AB370:AD370"/>
    <mergeCell ref="V356:X356"/>
    <mergeCell ref="D358:F358"/>
    <mergeCell ref="G358:I358"/>
    <mergeCell ref="J358:L358"/>
    <mergeCell ref="M358:O358"/>
    <mergeCell ref="P358:R358"/>
    <mergeCell ref="S358:U358"/>
    <mergeCell ref="D357:F357"/>
    <mergeCell ref="G357:I357"/>
    <mergeCell ref="Y357:AA357"/>
    <mergeCell ref="AB357:AD357"/>
    <mergeCell ref="V357:X357"/>
    <mergeCell ref="D359:F359"/>
    <mergeCell ref="V361:X361"/>
    <mergeCell ref="P357:R357"/>
    <mergeCell ref="Y367:AA367"/>
    <mergeCell ref="AB367:AD367"/>
    <mergeCell ref="D367:F367"/>
    <mergeCell ref="G367:I367"/>
    <mergeCell ref="J367:L367"/>
    <mergeCell ref="AK360:AM360"/>
    <mergeCell ref="AE374:AG374"/>
    <mergeCell ref="AH374:AJ374"/>
    <mergeCell ref="V372:X372"/>
    <mergeCell ref="V373:X373"/>
    <mergeCell ref="AE370:AG370"/>
    <mergeCell ref="AQ368:AT368"/>
    <mergeCell ref="M369:O369"/>
    <mergeCell ref="AE368:AG368"/>
    <mergeCell ref="AH368:AJ368"/>
    <mergeCell ref="Y369:AA369"/>
    <mergeCell ref="AE367:AG367"/>
    <mergeCell ref="AH367:AJ367"/>
    <mergeCell ref="V367:X367"/>
    <mergeCell ref="P367:R367"/>
    <mergeCell ref="S367:U367"/>
    <mergeCell ref="AQ369:AT369"/>
    <mergeCell ref="Y370:AA370"/>
    <mergeCell ref="AE369:AG369"/>
    <mergeCell ref="AH369:AJ369"/>
    <mergeCell ref="AN370:AP370"/>
    <mergeCell ref="AQ367:AT367"/>
    <mergeCell ref="M367:O367"/>
    <mergeCell ref="S368:U368"/>
    <mergeCell ref="AN368:AP368"/>
    <mergeCell ref="Y368:AA368"/>
    <mergeCell ref="AB368:AD368"/>
    <mergeCell ref="AK368:AM368"/>
    <mergeCell ref="AN367:AP367"/>
    <mergeCell ref="AK370:AM370"/>
    <mergeCell ref="AK369:AM369"/>
    <mergeCell ref="Y371:AA371"/>
    <mergeCell ref="AH371:AJ371"/>
    <mergeCell ref="AQ370:AT370"/>
    <mergeCell ref="P373:R373"/>
    <mergeCell ref="S373:U373"/>
    <mergeCell ref="AQ373:AT373"/>
    <mergeCell ref="Y373:AA373"/>
    <mergeCell ref="AH370:AJ370"/>
    <mergeCell ref="AK373:AM373"/>
    <mergeCell ref="AB369:AD369"/>
    <mergeCell ref="P369:R369"/>
    <mergeCell ref="AQ372:AT372"/>
    <mergeCell ref="AB372:AD372"/>
    <mergeCell ref="AE372:AG372"/>
    <mergeCell ref="P372:R372"/>
    <mergeCell ref="S372:U372"/>
    <mergeCell ref="AN371:AP371"/>
    <mergeCell ref="AK371:AM371"/>
    <mergeCell ref="AH372:AJ372"/>
    <mergeCell ref="AN369:AP369"/>
    <mergeCell ref="V369:X369"/>
    <mergeCell ref="V370:X370"/>
    <mergeCell ref="V371:X371"/>
    <mergeCell ref="AH379:AJ379"/>
    <mergeCell ref="G378:I378"/>
    <mergeCell ref="J379:L379"/>
    <mergeCell ref="AQ371:AT371"/>
    <mergeCell ref="AK372:AM372"/>
    <mergeCell ref="J373:L373"/>
    <mergeCell ref="M373:O373"/>
    <mergeCell ref="D374:F374"/>
    <mergeCell ref="D371:F371"/>
    <mergeCell ref="G371:I371"/>
    <mergeCell ref="J371:L371"/>
    <mergeCell ref="M371:O371"/>
    <mergeCell ref="AN377:AP377"/>
    <mergeCell ref="AQ375:AT375"/>
    <mergeCell ref="G375:I375"/>
    <mergeCell ref="J375:L375"/>
    <mergeCell ref="M375:O375"/>
    <mergeCell ref="P375:R375"/>
    <mergeCell ref="S375:U375"/>
    <mergeCell ref="V375:X375"/>
    <mergeCell ref="AB377:AD377"/>
    <mergeCell ref="AE377:AG377"/>
    <mergeCell ref="AH377:AJ377"/>
    <mergeCell ref="AK377:AM377"/>
    <mergeCell ref="D375:F375"/>
    <mergeCell ref="AQ376:AT376"/>
    <mergeCell ref="AB376:AD376"/>
    <mergeCell ref="V376:X376"/>
    <mergeCell ref="P374:R374"/>
    <mergeCell ref="Y374:AA374"/>
    <mergeCell ref="Y372:AA372"/>
    <mergeCell ref="P371:R371"/>
    <mergeCell ref="B366:C366"/>
    <mergeCell ref="D366:F366"/>
    <mergeCell ref="G366:I366"/>
    <mergeCell ref="J366:L366"/>
    <mergeCell ref="D361:F361"/>
    <mergeCell ref="S374:U374"/>
    <mergeCell ref="AQ374:AT374"/>
    <mergeCell ref="AN372:AP372"/>
    <mergeCell ref="AB379:AD379"/>
    <mergeCell ref="AN378:AP378"/>
    <mergeCell ref="AE378:AG378"/>
    <mergeCell ref="AH378:AJ378"/>
    <mergeCell ref="AB373:AD373"/>
    <mergeCell ref="AN373:AP373"/>
    <mergeCell ref="AE373:AG373"/>
    <mergeCell ref="AH373:AJ373"/>
    <mergeCell ref="D376:F376"/>
    <mergeCell ref="P378:R378"/>
    <mergeCell ref="S378:U378"/>
    <mergeCell ref="Y378:AA378"/>
    <mergeCell ref="M376:O376"/>
    <mergeCell ref="P379:R379"/>
    <mergeCell ref="AN376:AP376"/>
    <mergeCell ref="AN374:AP374"/>
    <mergeCell ref="P376:R376"/>
    <mergeCell ref="S376:U376"/>
    <mergeCell ref="D378:F378"/>
    <mergeCell ref="D379:F379"/>
    <mergeCell ref="V378:X378"/>
    <mergeCell ref="V379:X379"/>
    <mergeCell ref="D373:F373"/>
    <mergeCell ref="G373:I373"/>
    <mergeCell ref="AH401:AJ401"/>
    <mergeCell ref="Y401:AA401"/>
    <mergeCell ref="D399:F399"/>
    <mergeCell ref="G399:I399"/>
    <mergeCell ref="J399:L399"/>
    <mergeCell ref="G397:I397"/>
    <mergeCell ref="M402:O402"/>
    <mergeCell ref="G403:I403"/>
    <mergeCell ref="B3:V3"/>
    <mergeCell ref="AF65:AH65"/>
    <mergeCell ref="AI64:AK64"/>
    <mergeCell ref="N64:P64"/>
    <mergeCell ref="C52:D52"/>
    <mergeCell ref="E52:F52"/>
    <mergeCell ref="N63:P63"/>
    <mergeCell ref="AE357:AG357"/>
    <mergeCell ref="AH357:AJ357"/>
    <mergeCell ref="AK357:AM357"/>
    <mergeCell ref="AK355:AM355"/>
    <mergeCell ref="AH315:AJ315"/>
    <mergeCell ref="AK230:AM230"/>
    <mergeCell ref="B396:C396"/>
    <mergeCell ref="D396:F396"/>
    <mergeCell ref="G396:I396"/>
    <mergeCell ref="B240:C240"/>
    <mergeCell ref="B242:C242"/>
    <mergeCell ref="M374:O374"/>
    <mergeCell ref="AE379:AG379"/>
    <mergeCell ref="J376:L376"/>
    <mergeCell ref="D372:F372"/>
    <mergeCell ref="G372:I372"/>
    <mergeCell ref="J357:L357"/>
    <mergeCell ref="D398:F398"/>
    <mergeCell ref="G398:I398"/>
    <mergeCell ref="J398:L398"/>
    <mergeCell ref="M398:O398"/>
    <mergeCell ref="P398:R398"/>
    <mergeCell ref="S398:U398"/>
    <mergeCell ref="Y398:AA398"/>
    <mergeCell ref="S399:U399"/>
    <mergeCell ref="S401:U401"/>
    <mergeCell ref="D397:F397"/>
    <mergeCell ref="Y396:AA396"/>
    <mergeCell ref="P402:R402"/>
    <mergeCell ref="S402:U402"/>
    <mergeCell ref="D402:F402"/>
    <mergeCell ref="G359:I359"/>
    <mergeCell ref="J359:L359"/>
    <mergeCell ref="G379:I379"/>
    <mergeCell ref="V396:X396"/>
    <mergeCell ref="G376:I376"/>
    <mergeCell ref="J397:L397"/>
    <mergeCell ref="Y366:AA366"/>
    <mergeCell ref="G402:I402"/>
    <mergeCell ref="S396:U396"/>
    <mergeCell ref="V397:X397"/>
    <mergeCell ref="V398:X398"/>
    <mergeCell ref="P397:R397"/>
    <mergeCell ref="J396:L396"/>
    <mergeCell ref="S397:U397"/>
    <mergeCell ref="J372:L372"/>
    <mergeCell ref="M372:O372"/>
    <mergeCell ref="S371:U371"/>
    <mergeCell ref="V374:X374"/>
    <mergeCell ref="W1:AM2"/>
    <mergeCell ref="AH431:AJ431"/>
    <mergeCell ref="AK431:AM431"/>
    <mergeCell ref="AK430:AM430"/>
    <mergeCell ref="AH430:AJ430"/>
    <mergeCell ref="AB431:AD431"/>
    <mergeCell ref="Y430:AA430"/>
    <mergeCell ref="AB430:AD430"/>
    <mergeCell ref="AE430:AG430"/>
    <mergeCell ref="AE431:AG431"/>
    <mergeCell ref="S430:U430"/>
    <mergeCell ref="J431:L431"/>
    <mergeCell ref="M431:O431"/>
    <mergeCell ref="AB429:AD429"/>
    <mergeCell ref="AE429:AG429"/>
    <mergeCell ref="AH429:AJ429"/>
    <mergeCell ref="AK429:AM429"/>
    <mergeCell ref="J430:L430"/>
    <mergeCell ref="M430:O430"/>
    <mergeCell ref="AE408:AG408"/>
    <mergeCell ref="AH408:AJ408"/>
    <mergeCell ref="AK408:AM408"/>
    <mergeCell ref="AK406:AM406"/>
    <mergeCell ref="P409:R409"/>
    <mergeCell ref="S409:U409"/>
    <mergeCell ref="AK374:AM374"/>
    <mergeCell ref="AB374:AD374"/>
    <mergeCell ref="J403:L403"/>
    <mergeCell ref="AH426:AJ426"/>
    <mergeCell ref="AE427:AG427"/>
    <mergeCell ref="AK427:AM427"/>
    <mergeCell ref="AH422:AJ422"/>
    <mergeCell ref="B427:C427"/>
    <mergeCell ref="B428:C428"/>
    <mergeCell ref="D428:F428"/>
    <mergeCell ref="G428:I428"/>
    <mergeCell ref="AB425:AD425"/>
    <mergeCell ref="AE425:AG425"/>
    <mergeCell ref="AE400:AG400"/>
    <mergeCell ref="V408:X408"/>
    <mergeCell ref="V409:X409"/>
    <mergeCell ref="AE403:AG403"/>
    <mergeCell ref="G401:I401"/>
    <mergeCell ref="J401:L401"/>
    <mergeCell ref="M401:O401"/>
    <mergeCell ref="G425:I425"/>
    <mergeCell ref="M425:O425"/>
    <mergeCell ref="P425:R425"/>
    <mergeCell ref="S425:U425"/>
    <mergeCell ref="Y425:AA425"/>
    <mergeCell ref="J426:L426"/>
    <mergeCell ref="M426:O426"/>
    <mergeCell ref="P426:R426"/>
    <mergeCell ref="J406:L406"/>
    <mergeCell ref="D422:F422"/>
    <mergeCell ref="G422:I422"/>
    <mergeCell ref="P406:R406"/>
    <mergeCell ref="P401:R401"/>
    <mergeCell ref="B423:C423"/>
    <mergeCell ref="G423:I423"/>
    <mergeCell ref="J423:L423"/>
    <mergeCell ref="AB424:AD424"/>
    <mergeCell ref="Y424:AA424"/>
    <mergeCell ref="M423:O423"/>
    <mergeCell ref="B430:C430"/>
    <mergeCell ref="Y429:AA429"/>
    <mergeCell ref="G426:I426"/>
    <mergeCell ref="D258:F258"/>
    <mergeCell ref="G258:I258"/>
    <mergeCell ref="J258:L258"/>
    <mergeCell ref="D408:F408"/>
    <mergeCell ref="G408:I408"/>
    <mergeCell ref="J408:L408"/>
    <mergeCell ref="M408:O408"/>
    <mergeCell ref="D409:F409"/>
    <mergeCell ref="G409:I409"/>
    <mergeCell ref="J409:L409"/>
    <mergeCell ref="M409:O409"/>
    <mergeCell ref="Y406:AA406"/>
    <mergeCell ref="P408:R408"/>
    <mergeCell ref="S408:U408"/>
    <mergeCell ref="Y408:AA408"/>
    <mergeCell ref="M258:O258"/>
    <mergeCell ref="D401:F401"/>
    <mergeCell ref="B425:C425"/>
    <mergeCell ref="D425:F425"/>
    <mergeCell ref="B429:C429"/>
    <mergeCell ref="J427:L427"/>
    <mergeCell ref="M427:O427"/>
    <mergeCell ref="P427:R427"/>
    <mergeCell ref="S427:U427"/>
    <mergeCell ref="B426:C426"/>
    <mergeCell ref="D426:F426"/>
    <mergeCell ref="D427:F427"/>
    <mergeCell ref="G427:I427"/>
    <mergeCell ref="G406:I406"/>
    <mergeCell ref="M428:O428"/>
    <mergeCell ref="P428:R428"/>
    <mergeCell ref="S428:U428"/>
    <mergeCell ref="V428:X428"/>
    <mergeCell ref="V429:X429"/>
    <mergeCell ref="V430:X430"/>
    <mergeCell ref="D431:F431"/>
    <mergeCell ref="G431:I431"/>
    <mergeCell ref="D430:F430"/>
    <mergeCell ref="G430:I430"/>
    <mergeCell ref="P431:R431"/>
    <mergeCell ref="S423:U423"/>
    <mergeCell ref="S431:U431"/>
    <mergeCell ref="Y431:AA431"/>
    <mergeCell ref="Y428:AA428"/>
    <mergeCell ref="AB428:AD428"/>
    <mergeCell ref="AE428:AG428"/>
    <mergeCell ref="Y427:AA427"/>
    <mergeCell ref="V431:X431"/>
    <mergeCell ref="D429:F429"/>
    <mergeCell ref="G429:I429"/>
    <mergeCell ref="J429:L429"/>
    <mergeCell ref="M429:O429"/>
    <mergeCell ref="P429:R429"/>
    <mergeCell ref="S429:U429"/>
    <mergeCell ref="S426:U426"/>
    <mergeCell ref="V427:X427"/>
    <mergeCell ref="AE421:AG421"/>
    <mergeCell ref="B424:C424"/>
    <mergeCell ref="D424:F424"/>
    <mergeCell ref="AE426:AG426"/>
    <mergeCell ref="AH428:AJ428"/>
    <mergeCell ref="AH427:AJ427"/>
    <mergeCell ref="G424:I424"/>
    <mergeCell ref="J424:L424"/>
    <mergeCell ref="AH424:AJ424"/>
    <mergeCell ref="M424:O424"/>
    <mergeCell ref="P424:R424"/>
    <mergeCell ref="AE424:AG424"/>
    <mergeCell ref="S424:U424"/>
    <mergeCell ref="P430:R430"/>
    <mergeCell ref="AN429:AP429"/>
    <mergeCell ref="AN421:AP421"/>
    <mergeCell ref="AK423:AM423"/>
    <mergeCell ref="AN427:AP427"/>
    <mergeCell ref="AK421:AM421"/>
    <mergeCell ref="AN430:AP430"/>
    <mergeCell ref="AN428:AP428"/>
    <mergeCell ref="AN426:AP426"/>
    <mergeCell ref="AK426:AM426"/>
    <mergeCell ref="AK428:AM428"/>
    <mergeCell ref="AE422:AG422"/>
    <mergeCell ref="AB422:AD422"/>
    <mergeCell ref="Y422:AA422"/>
    <mergeCell ref="AH421:AJ421"/>
    <mergeCell ref="AB427:AD427"/>
    <mergeCell ref="Y426:AA426"/>
    <mergeCell ref="AB426:AD426"/>
    <mergeCell ref="J428:L428"/>
    <mergeCell ref="AE401:AG401"/>
    <mergeCell ref="AK424:AM424"/>
    <mergeCell ref="J425:L425"/>
    <mergeCell ref="AH425:AJ425"/>
    <mergeCell ref="AK425:AM425"/>
    <mergeCell ref="AN422:AP422"/>
    <mergeCell ref="AN423:AP423"/>
    <mergeCell ref="AN424:AP424"/>
    <mergeCell ref="J413:L413"/>
    <mergeCell ref="M413:O413"/>
    <mergeCell ref="P413:R413"/>
    <mergeCell ref="Y413:AL413"/>
    <mergeCell ref="M421:O421"/>
    <mergeCell ref="AK420:AM420"/>
    <mergeCell ref="AB423:AD423"/>
    <mergeCell ref="AE423:AG423"/>
    <mergeCell ref="AN425:AP425"/>
    <mergeCell ref="Y409:AA409"/>
    <mergeCell ref="AB409:AD409"/>
    <mergeCell ref="AK409:AM409"/>
    <mergeCell ref="AE409:AG409"/>
    <mergeCell ref="AH409:AJ409"/>
    <mergeCell ref="V423:X423"/>
    <mergeCell ref="V424:X424"/>
    <mergeCell ref="V425:X425"/>
    <mergeCell ref="Y423:AA423"/>
    <mergeCell ref="AH423:AJ423"/>
    <mergeCell ref="AK422:AM422"/>
    <mergeCell ref="Y412:AL412"/>
    <mergeCell ref="J421:L421"/>
    <mergeCell ref="AH420:AJ420"/>
    <mergeCell ref="AE420:AG420"/>
    <mergeCell ref="Y397:AA397"/>
    <mergeCell ref="AN408:AP408"/>
    <mergeCell ref="AE398:AG398"/>
    <mergeCell ref="AH398:AJ398"/>
    <mergeCell ref="AN397:AP397"/>
    <mergeCell ref="AE406:AG406"/>
    <mergeCell ref="AH406:AJ406"/>
    <mergeCell ref="Y399:AA399"/>
    <mergeCell ref="AK403:AM403"/>
    <mergeCell ref="AE404:AG404"/>
    <mergeCell ref="S406:U406"/>
    <mergeCell ref="AB402:AD402"/>
    <mergeCell ref="AE402:AG402"/>
    <mergeCell ref="AB403:AD403"/>
    <mergeCell ref="AN399:AP399"/>
    <mergeCell ref="AN400:AP400"/>
    <mergeCell ref="AN401:AP401"/>
    <mergeCell ref="AN402:AP402"/>
    <mergeCell ref="AN398:AP398"/>
    <mergeCell ref="AB408:AD408"/>
    <mergeCell ref="AB398:AD398"/>
    <mergeCell ref="AK398:AM398"/>
    <mergeCell ref="AN406:AP406"/>
    <mergeCell ref="AN403:AP403"/>
    <mergeCell ref="V406:X406"/>
    <mergeCell ref="AN404:AP404"/>
    <mergeCell ref="AK402:AM402"/>
    <mergeCell ref="Y400:AA400"/>
    <mergeCell ref="AK401:AM401"/>
    <mergeCell ref="V399:X399"/>
    <mergeCell ref="S400:U400"/>
    <mergeCell ref="AB401:AD401"/>
    <mergeCell ref="AB404:AD404"/>
    <mergeCell ref="J402:L402"/>
    <mergeCell ref="M399:O399"/>
    <mergeCell ref="M404:O404"/>
    <mergeCell ref="AH402:AJ402"/>
    <mergeCell ref="Y404:AA404"/>
    <mergeCell ref="AH404:AJ404"/>
    <mergeCell ref="Y403:AA403"/>
    <mergeCell ref="AH400:AJ400"/>
    <mergeCell ref="AB399:AD399"/>
    <mergeCell ref="AE399:AG399"/>
    <mergeCell ref="AH399:AJ399"/>
    <mergeCell ref="P403:R403"/>
    <mergeCell ref="AN359:AP359"/>
    <mergeCell ref="AE359:AG359"/>
    <mergeCell ref="AN360:AP360"/>
    <mergeCell ref="M359:O359"/>
    <mergeCell ref="S366:U366"/>
    <mergeCell ref="AK376:AM376"/>
    <mergeCell ref="AB378:AD378"/>
    <mergeCell ref="AK397:AM397"/>
    <mergeCell ref="AK379:AM379"/>
    <mergeCell ref="Y379:AA379"/>
    <mergeCell ref="AE376:AG376"/>
    <mergeCell ref="AH376:AJ376"/>
    <mergeCell ref="Y376:AA376"/>
    <mergeCell ref="M403:O403"/>
    <mergeCell ref="AE397:AG397"/>
    <mergeCell ref="AH397:AJ397"/>
    <mergeCell ref="Y402:AA402"/>
    <mergeCell ref="AH403:AJ403"/>
    <mergeCell ref="AK378:AM378"/>
    <mergeCell ref="AN358:AP358"/>
    <mergeCell ref="AN356:AP356"/>
    <mergeCell ref="AO298:AP298"/>
    <mergeCell ref="AK248:AM248"/>
    <mergeCell ref="M248:O248"/>
    <mergeCell ref="P248:R248"/>
    <mergeCell ref="S248:U248"/>
    <mergeCell ref="AN247:AP247"/>
    <mergeCell ref="AH359:AJ359"/>
    <mergeCell ref="AK359:AM359"/>
    <mergeCell ref="AN357:AP357"/>
    <mergeCell ref="AB355:AD355"/>
    <mergeCell ref="Y354:AA354"/>
    <mergeCell ref="AB354:AD354"/>
    <mergeCell ref="AE354:AG354"/>
    <mergeCell ref="AN355:AP355"/>
    <mergeCell ref="AN354:AP354"/>
    <mergeCell ref="AN353:AP353"/>
    <mergeCell ref="AK258:AM258"/>
    <mergeCell ref="AK329:AM329"/>
    <mergeCell ref="AE318:AG318"/>
    <mergeCell ref="AE319:AG319"/>
    <mergeCell ref="AB319:AD319"/>
    <mergeCell ref="AK318:AM318"/>
    <mergeCell ref="AH318:AJ318"/>
    <mergeCell ref="AH316:AJ316"/>
    <mergeCell ref="V327:X327"/>
    <mergeCell ref="V329:X329"/>
    <mergeCell ref="Y358:AA358"/>
    <mergeCell ref="M357:O357"/>
    <mergeCell ref="P352:R352"/>
    <mergeCell ref="AK316:AM316"/>
    <mergeCell ref="AE361:AG361"/>
    <mergeCell ref="AH314:AJ314"/>
    <mergeCell ref="AH354:AJ354"/>
    <mergeCell ref="AK354:AM354"/>
    <mergeCell ref="AK314:AM314"/>
    <mergeCell ref="AB313:AD313"/>
    <mergeCell ref="AE313:AG313"/>
    <mergeCell ref="AH313:AJ313"/>
    <mergeCell ref="AH321:AJ321"/>
    <mergeCell ref="AK321:AM321"/>
    <mergeCell ref="AK320:AM320"/>
    <mergeCell ref="AH320:AJ320"/>
    <mergeCell ref="AH323:AJ323"/>
    <mergeCell ref="AK323:AM323"/>
    <mergeCell ref="AH317:AJ317"/>
    <mergeCell ref="AB315:AD315"/>
    <mergeCell ref="AE315:AG315"/>
    <mergeCell ref="AH360:AJ360"/>
    <mergeCell ref="AH356:AJ356"/>
    <mergeCell ref="AH353:AJ353"/>
    <mergeCell ref="AK315:AM315"/>
    <mergeCell ref="AH319:AJ319"/>
    <mergeCell ref="AK319:AM319"/>
    <mergeCell ref="AB359:AD359"/>
    <mergeCell ref="AB358:AD358"/>
    <mergeCell ref="AE358:AG358"/>
    <mergeCell ref="AH358:AJ358"/>
    <mergeCell ref="AK358:AM358"/>
    <mergeCell ref="AK361:AM361"/>
    <mergeCell ref="AB361:AD361"/>
    <mergeCell ref="AE333:AG333"/>
    <mergeCell ref="AE332:AG332"/>
    <mergeCell ref="Y360:AA360"/>
    <mergeCell ref="AB360:AD360"/>
    <mergeCell ref="AE360:AG360"/>
    <mergeCell ref="AN233:AP233"/>
    <mergeCell ref="Q209:S209"/>
    <mergeCell ref="V209:X209"/>
    <mergeCell ref="Y230:AA230"/>
    <mergeCell ref="X150:AA150"/>
    <mergeCell ref="Y239:AA239"/>
    <mergeCell ref="AB150:AE150"/>
    <mergeCell ref="AA218:AC218"/>
    <mergeCell ref="Y227:AA227"/>
    <mergeCell ref="AA225:AD225"/>
    <mergeCell ref="AF225:AI225"/>
    <mergeCell ref="AE227:AG227"/>
    <mergeCell ref="V227:X227"/>
    <mergeCell ref="AN229:AP229"/>
    <mergeCell ref="AB232:AD232"/>
    <mergeCell ref="AE238:AG238"/>
    <mergeCell ref="AK224:AM224"/>
    <mergeCell ref="P233:R233"/>
    <mergeCell ref="V225:Y225"/>
    <mergeCell ref="Q225:T225"/>
    <mergeCell ref="P227:R227"/>
    <mergeCell ref="AN235:AP235"/>
    <mergeCell ref="AK229:AM229"/>
    <mergeCell ref="AK223:AN223"/>
    <mergeCell ref="AH235:AJ235"/>
    <mergeCell ref="AK190:AN190"/>
    <mergeCell ref="AB186:AD186"/>
    <mergeCell ref="AF190:AI190"/>
    <mergeCell ref="AK273:AM273"/>
    <mergeCell ref="B195:D195"/>
    <mergeCell ref="Q189:T189"/>
    <mergeCell ref="L189:O189"/>
    <mergeCell ref="AB183:AD183"/>
    <mergeCell ref="AK206:AM206"/>
    <mergeCell ref="M229:O229"/>
    <mergeCell ref="Y232:AA232"/>
    <mergeCell ref="AB227:AD227"/>
    <mergeCell ref="AH227:AJ227"/>
    <mergeCell ref="J227:L227"/>
    <mergeCell ref="AA214:AD214"/>
    <mergeCell ref="AK225:AN225"/>
    <mergeCell ref="L190:O190"/>
    <mergeCell ref="AK189:AN189"/>
    <mergeCell ref="L220:O220"/>
    <mergeCell ref="V223:Y223"/>
    <mergeCell ref="AK219:AN219"/>
    <mergeCell ref="AK209:AM209"/>
    <mergeCell ref="AK214:AN214"/>
    <mergeCell ref="AA190:AD190"/>
    <mergeCell ref="AA189:AD189"/>
    <mergeCell ref="V192:Y192"/>
    <mergeCell ref="G189:J189"/>
    <mergeCell ref="AN230:AP230"/>
    <mergeCell ref="AF195:AI195"/>
    <mergeCell ref="AE230:AG230"/>
    <mergeCell ref="Q196:T196"/>
    <mergeCell ref="AK212:AM212"/>
    <mergeCell ref="V210:Y210"/>
    <mergeCell ref="AK198:AN198"/>
    <mergeCell ref="AK203:AM203"/>
    <mergeCell ref="B204:D204"/>
    <mergeCell ref="B192:D192"/>
    <mergeCell ref="L34:O34"/>
    <mergeCell ref="H35:K35"/>
    <mergeCell ref="H40:K40"/>
    <mergeCell ref="G229:I229"/>
    <mergeCell ref="G235:I235"/>
    <mergeCell ref="M232:O232"/>
    <mergeCell ref="J232:L232"/>
    <mergeCell ref="D233:F233"/>
    <mergeCell ref="D235:F235"/>
    <mergeCell ref="D232:F232"/>
    <mergeCell ref="L225:O225"/>
    <mergeCell ref="G225:J225"/>
    <mergeCell ref="C160:F160"/>
    <mergeCell ref="O74:R74"/>
    <mergeCell ref="C164:F164"/>
    <mergeCell ref="C165:F165"/>
    <mergeCell ref="I139:L139"/>
    <mergeCell ref="P235:R235"/>
    <mergeCell ref="G234:I234"/>
    <mergeCell ref="G233:I233"/>
    <mergeCell ref="G227:I227"/>
    <mergeCell ref="L150:O150"/>
    <mergeCell ref="R113:S113"/>
    <mergeCell ref="J116:M116"/>
    <mergeCell ref="F134:K134"/>
    <mergeCell ref="C172:F172"/>
    <mergeCell ref="B206:D206"/>
    <mergeCell ref="B207:D207"/>
    <mergeCell ref="B193:D193"/>
    <mergeCell ref="B194:D194"/>
    <mergeCell ref="J67:S67"/>
    <mergeCell ref="L26:O26"/>
    <mergeCell ref="T29:W29"/>
    <mergeCell ref="AB22:AE22"/>
    <mergeCell ref="X22:AA22"/>
    <mergeCell ref="H22:K22"/>
    <mergeCell ref="AA193:AD193"/>
    <mergeCell ref="V190:Y190"/>
    <mergeCell ref="Q190:T190"/>
    <mergeCell ref="L191:N191"/>
    <mergeCell ref="Q191:S191"/>
    <mergeCell ref="V191:X191"/>
    <mergeCell ref="AA191:AC191"/>
    <mergeCell ref="AF191:AH191"/>
    <mergeCell ref="G191:I191"/>
    <mergeCell ref="G193:J193"/>
    <mergeCell ref="S132:V132"/>
    <mergeCell ref="T108:X108"/>
    <mergeCell ref="AB185:AD185"/>
    <mergeCell ref="AB180:AD180"/>
    <mergeCell ref="AB181:AD181"/>
    <mergeCell ref="AE181:AG181"/>
    <mergeCell ref="AH183:AJ183"/>
    <mergeCell ref="AE184:AG184"/>
    <mergeCell ref="AE182:AG182"/>
    <mergeCell ref="AB184:AD184"/>
    <mergeCell ref="AH182:AJ182"/>
    <mergeCell ref="AE183:AG183"/>
    <mergeCell ref="AF189:AI189"/>
    <mergeCell ref="AE180:AG180"/>
    <mergeCell ref="V189:Y189"/>
    <mergeCell ref="AH184:AJ184"/>
    <mergeCell ref="M79:V79"/>
    <mergeCell ref="C15:J15"/>
    <mergeCell ref="C18:J18"/>
    <mergeCell ref="C11:J11"/>
    <mergeCell ref="L31:O31"/>
    <mergeCell ref="P30:S30"/>
    <mergeCell ref="K15:N15"/>
    <mergeCell ref="Q14:T14"/>
    <mergeCell ref="D26:G26"/>
    <mergeCell ref="AJ31:AP31"/>
    <mergeCell ref="AJ28:AM28"/>
    <mergeCell ref="AJ29:AM29"/>
    <mergeCell ref="AB35:AE35"/>
    <mergeCell ref="D31:G31"/>
    <mergeCell ref="I25:J25"/>
    <mergeCell ref="M25:N25"/>
    <mergeCell ref="L27:O27"/>
    <mergeCell ref="P27:S27"/>
    <mergeCell ref="H28:K28"/>
    <mergeCell ref="H30:K30"/>
    <mergeCell ref="I21:J21"/>
    <mergeCell ref="L28:O28"/>
    <mergeCell ref="X33:AA33"/>
    <mergeCell ref="M21:N21"/>
    <mergeCell ref="AC21:AD21"/>
    <mergeCell ref="M24:N24"/>
    <mergeCell ref="AB27:AE27"/>
    <mergeCell ref="AJ33:AP33"/>
    <mergeCell ref="C16:J16"/>
    <mergeCell ref="K16:N16"/>
    <mergeCell ref="AJ35:AP35"/>
    <mergeCell ref="T28:W28"/>
    <mergeCell ref="Q21:R21"/>
  </mergeCells>
  <phoneticPr fontId="4" type="noConversion"/>
  <conditionalFormatting sqref="D27:G27">
    <cfRule type="expression" dxfId="4942" priority="152" stopIfTrue="1">
      <formula>ISERROR(D$27)</formula>
    </cfRule>
  </conditionalFormatting>
  <conditionalFormatting sqref="H29 L29:O29 X29:AI29">
    <cfRule type="expression" dxfId="4941" priority="146" stopIfTrue="1">
      <formula>ISERROR(H$29)</formula>
    </cfRule>
    <cfRule type="cellIs" dxfId="4940" priority="154" stopIfTrue="1" operator="equal">
      <formula>0</formula>
    </cfRule>
  </conditionalFormatting>
  <conditionalFormatting sqref="H27:S27 X27:AI27">
    <cfRule type="expression" dxfId="4939" priority="135" stopIfTrue="1">
      <formula>ISERROR(H$27)</formula>
    </cfRule>
    <cfRule type="cellIs" dxfId="4938" priority="156" stopIfTrue="1" operator="equal">
      <formula>0</formula>
    </cfRule>
  </conditionalFormatting>
  <conditionalFormatting sqref="H28:O28 X28:AI28">
    <cfRule type="expression" dxfId="4937" priority="158" stopIfTrue="1">
      <formula>ISERROR(H$28)</formula>
    </cfRule>
    <cfRule type="cellIs" dxfId="4936" priority="159" stopIfTrue="1" operator="equal">
      <formula>0</formula>
    </cfRule>
  </conditionalFormatting>
  <conditionalFormatting sqref="C56:O56">
    <cfRule type="expression" dxfId="4935" priority="162" stopIfTrue="1">
      <formula>ISBLANK(C$56)</formula>
    </cfRule>
  </conditionalFormatting>
  <conditionalFormatting sqref="C55:O55">
    <cfRule type="expression" dxfId="4934" priority="163" stopIfTrue="1">
      <formula>ISBLANK(C$56)</formula>
    </cfRule>
  </conditionalFormatting>
  <conditionalFormatting sqref="Z115:AG115">
    <cfRule type="expression" dxfId="4933" priority="164" stopIfTrue="1">
      <formula>$Z$116&gt;$AD$116</formula>
    </cfRule>
    <cfRule type="expression" dxfId="4932" priority="165" stopIfTrue="1">
      <formula>OR($Z$111&lt;&gt;"",$Z95&lt;&gt;"")</formula>
    </cfRule>
  </conditionalFormatting>
  <conditionalFormatting sqref="J111:M111">
    <cfRule type="expression" dxfId="4931" priority="166" stopIfTrue="1">
      <formula>OR($Z$111&lt;&gt;"",$Z95&lt;&gt;"")</formula>
    </cfRule>
  </conditionalFormatting>
  <conditionalFormatting sqref="C61:F66 W61:X66">
    <cfRule type="expression" dxfId="4930" priority="167" stopIfTrue="1">
      <formula>G61=0</formula>
    </cfRule>
  </conditionalFormatting>
  <conditionalFormatting sqref="D28:G28">
    <cfRule type="expression" dxfId="4929" priority="168" stopIfTrue="1">
      <formula>$D28=""</formula>
    </cfRule>
  </conditionalFormatting>
  <conditionalFormatting sqref="AP190:AP225">
    <cfRule type="expression" dxfId="4928" priority="185" stopIfTrue="1">
      <formula>COUNTIF($AQ190:$AW190,0)&gt;0</formula>
    </cfRule>
  </conditionalFormatting>
  <conditionalFormatting sqref="AI149 AQ190:AW225 AY190:BE225 O181:Z183">
    <cfRule type="cellIs" dxfId="4927" priority="191" stopIfTrue="1" operator="equal">
      <formula>0</formula>
    </cfRule>
  </conditionalFormatting>
  <conditionalFormatting sqref="AN421:AP430 D324:AP331 D352:U359 Y352:AP359 D367:U376 Y367:AP376 D397:U406 Y397:AP406">
    <cfRule type="cellIs" dxfId="4926" priority="192" stopIfTrue="1" operator="equal">
      <formula>0</formula>
    </cfRule>
  </conditionalFormatting>
  <conditionalFormatting sqref="Y61:Z66 G61:H66 B352:B358 B397:B406 B368:B376">
    <cfRule type="cellIs" dxfId="4925" priority="194" stopIfTrue="1" operator="equal">
      <formula>0</formula>
    </cfRule>
  </conditionalFormatting>
  <conditionalFormatting sqref="H150:S150 O184:Z186 X150:AI150">
    <cfRule type="cellIs" dxfId="4924" priority="195" stopIfTrue="1" operator="equal">
      <formula>1</formula>
    </cfRule>
  </conditionalFormatting>
  <conditionalFormatting sqref="U97:U99">
    <cfRule type="expression" dxfId="4923" priority="204" stopIfTrue="1">
      <formula>$J$95=""</formula>
    </cfRule>
    <cfRule type="cellIs" dxfId="4922" priority="205" stopIfTrue="1" operator="equal">
      <formula>0</formula>
    </cfRule>
  </conditionalFormatting>
  <conditionalFormatting sqref="U105:U107">
    <cfRule type="expression" dxfId="4921" priority="206" stopIfTrue="1">
      <formula>$J$103=""</formula>
    </cfRule>
    <cfRule type="cellIs" dxfId="4920" priority="207" stopIfTrue="1" operator="equal">
      <formula>0</formula>
    </cfRule>
  </conditionalFormatting>
  <conditionalFormatting sqref="U113:U115">
    <cfRule type="expression" dxfId="4919" priority="208" stopIfTrue="1">
      <formula>$J$111=""</formula>
    </cfRule>
    <cfRule type="cellIs" dxfId="4918" priority="209" stopIfTrue="1" operator="equal">
      <formula>0</formula>
    </cfRule>
  </conditionalFormatting>
  <conditionalFormatting sqref="Z107:AG107">
    <cfRule type="expression" dxfId="4917" priority="214" stopIfTrue="1">
      <formula>$Z$108&gt;$AD$108</formula>
    </cfRule>
    <cfRule type="expression" dxfId="4916" priority="215" stopIfTrue="1">
      <formula>OR($Z$103&lt;&gt;"",$Z$111&lt;&gt;"")</formula>
    </cfRule>
  </conditionalFormatting>
  <conditionalFormatting sqref="Z99:AG99">
    <cfRule type="expression" dxfId="4915" priority="216" stopIfTrue="1">
      <formula>$Z$100&gt;$AD$100</formula>
    </cfRule>
    <cfRule type="expression" dxfId="4914" priority="217" stopIfTrue="1">
      <formula>OR($Z$95&lt;&gt;"",$Z$103&lt;&gt;"")</formula>
    </cfRule>
  </conditionalFormatting>
  <conditionalFormatting sqref="J103:M103">
    <cfRule type="expression" dxfId="4913" priority="218" stopIfTrue="1">
      <formula>OR($Z$103&lt;&gt;"",$Z$111&lt;&gt;"")</formula>
    </cfRule>
  </conditionalFormatting>
  <conditionalFormatting sqref="J95:M95">
    <cfRule type="expression" dxfId="4912" priority="219" stopIfTrue="1">
      <formula>OR($Z$95&lt;&gt;"",$Z$103&lt;&gt;"")</formula>
    </cfRule>
  </conditionalFormatting>
  <conditionalFormatting sqref="C76:O76 C74:O74 V76 T74">
    <cfRule type="expression" dxfId="4911" priority="232" stopIfTrue="1">
      <formula>$Z$70=""</formula>
    </cfRule>
  </conditionalFormatting>
  <conditionalFormatting sqref="J61:M66 AB61:AE66">
    <cfRule type="cellIs" dxfId="4910" priority="233" stopIfTrue="1" operator="greaterThan">
      <formula>0</formula>
    </cfRule>
  </conditionalFormatting>
  <conditionalFormatting sqref="B44:B45 C44:K44 O44">
    <cfRule type="expression" dxfId="4909" priority="244" stopIfTrue="1">
      <formula>$AK$151&gt;0</formula>
    </cfRule>
  </conditionalFormatting>
  <conditionalFormatting sqref="D421:U430 Y421:AM430">
    <cfRule type="cellIs" dxfId="4908" priority="253" stopIfTrue="1" operator="equal">
      <formula>0</formula>
    </cfRule>
    <cfRule type="expression" dxfId="4907" priority="254" stopIfTrue="1">
      <formula>ISERROR(D421)</formula>
    </cfRule>
  </conditionalFormatting>
  <conditionalFormatting sqref="D252:U252 D255:U255 D258:U258 Y258:AM258 Y255:AM255 Y252:AM252">
    <cfRule type="cellIs" dxfId="4906" priority="255" stopIfTrue="1" operator="equal">
      <formula>0</formula>
    </cfRule>
  </conditionalFormatting>
  <conditionalFormatting sqref="C22:F22">
    <cfRule type="expression" dxfId="4905" priority="258" stopIfTrue="1">
      <formula>$AJ$45=""</formula>
    </cfRule>
  </conditionalFormatting>
  <conditionalFormatting sqref="AH99:AJ99 AH107:AJ107 AH115:AJ115">
    <cfRule type="expression" dxfId="4904" priority="264" stopIfTrue="1">
      <formula>AH99=$C$152</formula>
    </cfRule>
  </conditionalFormatting>
  <conditionalFormatting sqref="I24:J24 M24:N24 Y24:Z24 AC24:AD24 AG24:AH24 Q24:R24">
    <cfRule type="expression" dxfId="4903" priority="151">
      <formula>I$24&lt;&gt;""</formula>
    </cfRule>
  </conditionalFormatting>
  <conditionalFormatting sqref="P29:S29">
    <cfRule type="expression" dxfId="4902" priority="460" stopIfTrue="1">
      <formula>ISERROR(P$29)</formula>
    </cfRule>
    <cfRule type="cellIs" dxfId="4901" priority="461" stopIfTrue="1" operator="equal">
      <formula>0</formula>
    </cfRule>
  </conditionalFormatting>
  <conditionalFormatting sqref="P28:S28">
    <cfRule type="expression" dxfId="4900" priority="468" stopIfTrue="1">
      <formula>ISERROR(P$28)</formula>
    </cfRule>
    <cfRule type="cellIs" dxfId="4899" priority="469" stopIfTrue="1" operator="equal">
      <formula>0</formula>
    </cfRule>
  </conditionalFormatting>
  <conditionalFormatting sqref="U61:V66">
    <cfRule type="expression" dxfId="4898" priority="475" stopIfTrue="1">
      <formula>Y61=0</formula>
    </cfRule>
  </conditionalFormatting>
  <conditionalFormatting sqref="U24:V24">
    <cfRule type="expression" dxfId="4897" priority="602">
      <formula>U$24&lt;&gt;""</formula>
    </cfRule>
  </conditionalFormatting>
  <conditionalFormatting sqref="T27:W27">
    <cfRule type="expression" dxfId="4896" priority="44" stopIfTrue="1">
      <formula>ISERROR(T$27)</formula>
    </cfRule>
    <cfRule type="cellIs" dxfId="4895" priority="134" stopIfTrue="1" operator="equal">
      <formula>0</formula>
    </cfRule>
  </conditionalFormatting>
  <conditionalFormatting sqref="T29:W29">
    <cfRule type="expression" dxfId="4894" priority="43" stopIfTrue="1">
      <formula>ISERROR(T$29)</formula>
    </cfRule>
    <cfRule type="cellIs" dxfId="4893" priority="145" stopIfTrue="1" operator="equal">
      <formula>0</formula>
    </cfRule>
  </conditionalFormatting>
  <conditionalFormatting sqref="T28:W28">
    <cfRule type="expression" dxfId="4892" priority="147" stopIfTrue="1">
      <formula>ISERROR(T$28)</formula>
    </cfRule>
    <cfRule type="cellIs" dxfId="4891" priority="148" stopIfTrue="1" operator="equal">
      <formula>0</formula>
    </cfRule>
  </conditionalFormatting>
  <conditionalFormatting sqref="H24 L24 P24 AF24 AB24 X24 T24">
    <cfRule type="expression" dxfId="4890" priority="24" stopIfTrue="1">
      <formula>I$24=""</formula>
    </cfRule>
    <cfRule type="expression" dxfId="4889" priority="130" stopIfTrue="1">
      <formula>AND(I$24&lt;&gt;"",H$24="")</formula>
    </cfRule>
    <cfRule type="expression" dxfId="4888" priority="131" stopIfTrue="1">
      <formula>I152=$I$145</formula>
    </cfRule>
  </conditionalFormatting>
  <conditionalFormatting sqref="Q8:T16">
    <cfRule type="expression" dxfId="4887" priority="125" stopIfTrue="1">
      <formula>$U8=""</formula>
    </cfRule>
  </conditionalFormatting>
  <conditionalFormatting sqref="T150:W150">
    <cfRule type="cellIs" dxfId="4886" priority="124" stopIfTrue="1" operator="equal">
      <formula>1</formula>
    </cfRule>
  </conditionalFormatting>
  <conditionalFormatting sqref="B39:B42">
    <cfRule type="expression" dxfId="4885" priority="88">
      <formula>AND($AI$38=0,$B39&lt;&gt;"")</formula>
    </cfRule>
    <cfRule type="expression" dxfId="4884" priority="94">
      <formula>$AI$38=0</formula>
    </cfRule>
    <cfRule type="expression" dxfId="4883" priority="95">
      <formula>AND($AI$38&gt;0,$B$43=0)</formula>
    </cfRule>
  </conditionalFormatting>
  <conditionalFormatting sqref="F39:G42">
    <cfRule type="expression" dxfId="4882" priority="87">
      <formula>AND($AI$38=0,$B39="")</formula>
    </cfRule>
    <cfRule type="expression" dxfId="4881" priority="92">
      <formula>ISERROR($F39)</formula>
    </cfRule>
    <cfRule type="expression" dxfId="4880" priority="93">
      <formula>$AI$38=0</formula>
    </cfRule>
  </conditionalFormatting>
  <conditionalFormatting sqref="C39:C42">
    <cfRule type="expression" dxfId="4879" priority="89">
      <formula>ISERROR($C39)</formula>
    </cfRule>
    <cfRule type="expression" dxfId="4878" priority="90">
      <formula>$AI$38=0</formula>
    </cfRule>
    <cfRule type="cellIs" dxfId="4877" priority="91" operator="equal">
      <formula>0</formula>
    </cfRule>
  </conditionalFormatting>
  <conditionalFormatting sqref="C39:E42">
    <cfRule type="expression" dxfId="4876" priority="86">
      <formula>AND($AI$38=0,$B39="")</formula>
    </cfRule>
  </conditionalFormatting>
  <conditionalFormatting sqref="B38:G38">
    <cfRule type="expression" dxfId="4875" priority="55">
      <formula>AND($B$43=0,$AI$38=0)</formula>
    </cfRule>
    <cfRule type="expression" dxfId="4874" priority="56">
      <formula>AND($AI$38=0,$B$43&gt;0)</formula>
    </cfRule>
    <cfRule type="expression" dxfId="4873" priority="175">
      <formula>AND($AI$38&gt;0,$B$43=0)</formula>
    </cfRule>
  </conditionalFormatting>
  <conditionalFormatting sqref="T105">
    <cfRule type="expression" dxfId="4872" priority="80">
      <formula>AND($T106&lt;&gt;"",$T105="",$T107="")</formula>
    </cfRule>
  </conditionalFormatting>
  <conditionalFormatting sqref="T107">
    <cfRule type="expression" dxfId="4871" priority="79">
      <formula>AND($T106&lt;&gt;"",$T105="",$T107="")</formula>
    </cfRule>
  </conditionalFormatting>
  <conditionalFormatting sqref="T97">
    <cfRule type="expression" dxfId="4870" priority="78">
      <formula>AND($T98&lt;&gt;"",$T97="",$T99="")</formula>
    </cfRule>
  </conditionalFormatting>
  <conditionalFormatting sqref="T99">
    <cfRule type="expression" dxfId="4869" priority="77">
      <formula>AND($T98&lt;&gt;"",$T97="",$T99="")</formula>
    </cfRule>
  </conditionalFormatting>
  <conditionalFormatting sqref="T113">
    <cfRule type="expression" dxfId="4868" priority="76">
      <formula>AND($T114&lt;&gt;"",$T113="",$T115="")</formula>
    </cfRule>
  </conditionalFormatting>
  <conditionalFormatting sqref="T115">
    <cfRule type="expression" dxfId="4867" priority="75">
      <formula>AND($T114&lt;&gt;"",$T113="",$T115="")</formula>
    </cfRule>
  </conditionalFormatting>
  <conditionalFormatting sqref="Q95">
    <cfRule type="expression" dxfId="4866" priority="71">
      <formula>$N95&lt;&gt;""</formula>
    </cfRule>
  </conditionalFormatting>
  <conditionalFormatting sqref="Q103">
    <cfRule type="expression" dxfId="4865" priority="70">
      <formula>$N103&lt;&gt;""</formula>
    </cfRule>
  </conditionalFormatting>
  <conditionalFormatting sqref="Q111">
    <cfRule type="expression" dxfId="4864" priority="69">
      <formula>$N111&lt;&gt;""</formula>
    </cfRule>
  </conditionalFormatting>
  <conditionalFormatting sqref="B27:C29">
    <cfRule type="expression" dxfId="4863" priority="683" stopIfTrue="1">
      <formula>$AD$45=$D$136</formula>
    </cfRule>
  </conditionalFormatting>
  <conditionalFormatting sqref="C31:C34">
    <cfRule type="expression" dxfId="4862" priority="684" stopIfTrue="1">
      <formula>$AD$45=$D$136</formula>
    </cfRule>
  </conditionalFormatting>
  <conditionalFormatting sqref="AD45:AI45">
    <cfRule type="expression" dxfId="4861" priority="689" stopIfTrue="1">
      <formula>$AD45=$D$137</formula>
    </cfRule>
  </conditionalFormatting>
  <conditionalFormatting sqref="T101 T109 T117">
    <cfRule type="expression" dxfId="4860" priority="691" stopIfTrue="1">
      <formula>$J95=""</formula>
    </cfRule>
    <cfRule type="expression" dxfId="4859" priority="692" stopIfTrue="1">
      <formula>$N95=$D$141</formula>
    </cfRule>
  </conditionalFormatting>
  <conditionalFormatting sqref="H31:AI31 H33:AI33">
    <cfRule type="containsErrors" dxfId="4858" priority="5" stopIfTrue="1">
      <formula>ISERROR(H31)</formula>
    </cfRule>
    <cfRule type="cellIs" dxfId="4857" priority="54" stopIfTrue="1" operator="equal">
      <formula>0</formula>
    </cfRule>
    <cfRule type="expression" dxfId="4856" priority="701" stopIfTrue="1">
      <formula>H$36=$D$141</formula>
    </cfRule>
  </conditionalFormatting>
  <conditionalFormatting sqref="H34:AI34">
    <cfRule type="expression" dxfId="4855" priority="53" stopIfTrue="1">
      <formula>ISERROR(H34)</formula>
    </cfRule>
    <cfRule type="expression" dxfId="4854" priority="705" stopIfTrue="1">
      <formula>AND(H$34=0,H$33=0)</formula>
    </cfRule>
    <cfRule type="expression" dxfId="4853" priority="706" stopIfTrue="1">
      <formula>H$36=$D$141</formula>
    </cfRule>
  </conditionalFormatting>
  <conditionalFormatting sqref="H30:AI30">
    <cfRule type="expression" dxfId="4852" priority="777" stopIfTrue="1">
      <formula>H$30=$C$152</formula>
    </cfRule>
  </conditionalFormatting>
  <conditionalFormatting sqref="AJ28:AM28">
    <cfRule type="expression" dxfId="4851" priority="803" stopIfTrue="1">
      <formula>ISBLANK($AJ$28)</formula>
    </cfRule>
    <cfRule type="expression" dxfId="4850" priority="804" stopIfTrue="1">
      <formula>$AJ$28=$C$153</formula>
    </cfRule>
  </conditionalFormatting>
  <conditionalFormatting sqref="B38">
    <cfRule type="expression" dxfId="4849" priority="808" stopIfTrue="1">
      <formula>$D$145=$C$152</formula>
    </cfRule>
  </conditionalFormatting>
  <conditionalFormatting sqref="AJ41:AJ42">
    <cfRule type="expression" dxfId="4848" priority="809" stopIfTrue="1">
      <formula>SUM($H46:$AI46)=0</formula>
    </cfRule>
    <cfRule type="expression" dxfId="4847" priority="810" stopIfTrue="1">
      <formula>$D$145=$C$152</formula>
    </cfRule>
  </conditionalFormatting>
  <conditionalFormatting sqref="V252:X252 V255:X255 V258:X258">
    <cfRule type="cellIs" dxfId="4846" priority="65" stopIfTrue="1" operator="equal">
      <formula>0</formula>
    </cfRule>
  </conditionalFormatting>
  <conditionalFormatting sqref="V352:X359">
    <cfRule type="cellIs" dxfId="4845" priority="63" stopIfTrue="1" operator="equal">
      <formula>0</formula>
    </cfRule>
  </conditionalFormatting>
  <conditionalFormatting sqref="V367:X376">
    <cfRule type="cellIs" dxfId="4844" priority="61" stopIfTrue="1" operator="equal">
      <formula>0</formula>
    </cfRule>
  </conditionalFormatting>
  <conditionalFormatting sqref="B69 AD89:AM89 AL49:AM50 AD49:AK49 B2 B21 AJ44:AM44 B71 B48 AM70:AM71 B88">
    <cfRule type="expression" dxfId="4843" priority="1318" stopIfTrue="1">
      <formula>#REF!=TRUE</formula>
    </cfRule>
  </conditionalFormatting>
  <conditionalFormatting sqref="AH53:AJ53">
    <cfRule type="expression" dxfId="4842" priority="1353" stopIfTrue="1">
      <formula>#REF!=TRUE</formula>
    </cfRule>
    <cfRule type="expression" dxfId="4841" priority="1354" stopIfTrue="1">
      <formula>$AH$53=""</formula>
    </cfRule>
  </conditionalFormatting>
  <conditionalFormatting sqref="AC53:AG53">
    <cfRule type="expression" dxfId="4840" priority="1355" stopIfTrue="1">
      <formula>#REF!=TRUE</formula>
    </cfRule>
    <cfRule type="expression" dxfId="4839" priority="1356" stopIfTrue="1">
      <formula>$AH$53=""</formula>
    </cfRule>
  </conditionalFormatting>
  <conditionalFormatting sqref="AJ45:AM45">
    <cfRule type="expression" dxfId="4838" priority="1360" stopIfTrue="1">
      <formula>#REF!=TRUE</formula>
    </cfRule>
    <cfRule type="expression" dxfId="4837" priority="1361" stopIfTrue="1">
      <formula>$D$145=$C$152</formula>
    </cfRule>
  </conditionalFormatting>
  <conditionalFormatting sqref="V421:X430">
    <cfRule type="cellIs" dxfId="4836" priority="59" stopIfTrue="1" operator="equal">
      <formula>0</formula>
    </cfRule>
    <cfRule type="expression" dxfId="4835" priority="60" stopIfTrue="1">
      <formula>ISERROR(V421)</formula>
    </cfRule>
  </conditionalFormatting>
  <conditionalFormatting sqref="V397:X406">
    <cfRule type="cellIs" dxfId="4834" priority="57" stopIfTrue="1" operator="equal">
      <formula>0</formula>
    </cfRule>
  </conditionalFormatting>
  <conditionalFormatting sqref="H33:AI33">
    <cfRule type="expression" dxfId="4833" priority="702">
      <formula>ISERROR(H33)</formula>
    </cfRule>
  </conditionalFormatting>
  <conditionalFormatting sqref="H35:AI35">
    <cfRule type="cellIs" dxfId="4832" priority="52" operator="equal">
      <formula>$C$152</formula>
    </cfRule>
  </conditionalFormatting>
  <conditionalFormatting sqref="AJ35:AP35">
    <cfRule type="expression" dxfId="4831" priority="51">
      <formula>$AH$38=0</formula>
    </cfRule>
  </conditionalFormatting>
  <conditionalFormatting sqref="R97:S97">
    <cfRule type="expression" dxfId="4830" priority="50">
      <formula>AND(J95&lt;&gt;"",S100=3)</formula>
    </cfRule>
  </conditionalFormatting>
  <conditionalFormatting sqref="R98">
    <cfRule type="expression" dxfId="4829" priority="49">
      <formula>AND(J95&lt;&gt;"",S100=3)</formula>
    </cfRule>
  </conditionalFormatting>
  <conditionalFormatting sqref="R99:S99">
    <cfRule type="expression" dxfId="4828" priority="48">
      <formula>AND(J95&lt;&gt;"",S100=3)</formula>
    </cfRule>
  </conditionalFormatting>
  <conditionalFormatting sqref="R113:S113 R105:S105">
    <cfRule type="expression" dxfId="4827" priority="47">
      <formula>AND(J103&lt;&gt;"",S108=3)</formula>
    </cfRule>
  </conditionalFormatting>
  <conditionalFormatting sqref="R114 R106">
    <cfRule type="expression" dxfId="4826" priority="46">
      <formula>AND(J103&lt;&gt;"",S108=3)</formula>
    </cfRule>
  </conditionalFormatting>
  <conditionalFormatting sqref="R115:S115 R107:S107">
    <cfRule type="expression" dxfId="4825" priority="45">
      <formula>AND(J103&lt;&gt;"",S108=3)</formula>
    </cfRule>
  </conditionalFormatting>
  <conditionalFormatting sqref="H27:AI27">
    <cfRule type="expression" dxfId="4824" priority="157">
      <formula>H$27=$I$139</formula>
    </cfRule>
  </conditionalFormatting>
  <conditionalFormatting sqref="H29:AI29">
    <cfRule type="expression" dxfId="4823" priority="155">
      <formula>H$29=$I$139</formula>
    </cfRule>
  </conditionalFormatting>
  <conditionalFormatting sqref="AH377:AP377 Y377:AE377 D377:U377">
    <cfRule type="cellIs" dxfId="4822" priority="39" stopIfTrue="1" operator="equal">
      <formula>0</formula>
    </cfRule>
  </conditionalFormatting>
  <conditionalFormatting sqref="V377:X377">
    <cfRule type="cellIs" dxfId="4821" priority="38" stopIfTrue="1" operator="equal">
      <formula>0</formula>
    </cfRule>
  </conditionalFormatting>
  <conditionalFormatting sqref="AH407:AP407 Y407:AE407 D407:U407">
    <cfRule type="cellIs" dxfId="4820" priority="36" stopIfTrue="1" operator="equal">
      <formula>0</formula>
    </cfRule>
  </conditionalFormatting>
  <conditionalFormatting sqref="B407">
    <cfRule type="cellIs" dxfId="4819" priority="37" stopIfTrue="1" operator="equal">
      <formula>0</formula>
    </cfRule>
  </conditionalFormatting>
  <conditionalFormatting sqref="V407:X407">
    <cfRule type="cellIs" dxfId="4818" priority="35" stopIfTrue="1" operator="equal">
      <formula>0</formula>
    </cfRule>
  </conditionalFormatting>
  <conditionalFormatting sqref="D382:U391 Y382:AP391">
    <cfRule type="cellIs" dxfId="4817" priority="33" stopIfTrue="1" operator="equal">
      <formula>0</formula>
    </cfRule>
  </conditionalFormatting>
  <conditionalFormatting sqref="B382:B391">
    <cfRule type="cellIs" dxfId="4816" priority="34" stopIfTrue="1" operator="equal">
      <formula>0</formula>
    </cfRule>
  </conditionalFormatting>
  <conditionalFormatting sqref="V382:X391">
    <cfRule type="cellIs" dxfId="4815" priority="32" stopIfTrue="1" operator="equal">
      <formula>0</formula>
    </cfRule>
  </conditionalFormatting>
  <conditionalFormatting sqref="AH392:AP392 Y392:AE392 D392:U392">
    <cfRule type="cellIs" dxfId="4814" priority="30" stopIfTrue="1" operator="equal">
      <formula>0</formula>
    </cfRule>
  </conditionalFormatting>
  <conditionalFormatting sqref="B392">
    <cfRule type="cellIs" dxfId="4813" priority="31" stopIfTrue="1" operator="equal">
      <formula>0</formula>
    </cfRule>
  </conditionalFormatting>
  <conditionalFormatting sqref="V392:X392">
    <cfRule type="cellIs" dxfId="4812" priority="29" stopIfTrue="1" operator="equal">
      <formula>0</formula>
    </cfRule>
  </conditionalFormatting>
  <conditionalFormatting sqref="D338:U345 Y338:AP345">
    <cfRule type="cellIs" dxfId="4811" priority="27" stopIfTrue="1" operator="equal">
      <formula>0</formula>
    </cfRule>
  </conditionalFormatting>
  <conditionalFormatting sqref="B338:B344">
    <cfRule type="cellIs" dxfId="4810" priority="28" stopIfTrue="1" operator="equal">
      <formula>0</formula>
    </cfRule>
  </conditionalFormatting>
  <conditionalFormatting sqref="V338:X345">
    <cfRule type="cellIs" dxfId="4809" priority="26" stopIfTrue="1" operator="equal">
      <formula>0</formula>
    </cfRule>
  </conditionalFormatting>
  <conditionalFormatting sqref="B325:B330">
    <cfRule type="cellIs" dxfId="4808" priority="25" stopIfTrue="1" operator="equal">
      <formula>0</formula>
    </cfRule>
  </conditionalFormatting>
  <conditionalFormatting sqref="B50:B51">
    <cfRule type="expression" dxfId="4807" priority="5887" stopIfTrue="1">
      <formula>#REF!=TRUE</formula>
    </cfRule>
  </conditionalFormatting>
  <conditionalFormatting sqref="T100 T116 T108">
    <cfRule type="expression" dxfId="4806" priority="5889" stopIfTrue="1">
      <formula>$AH99&lt;&gt;$H$412</formula>
    </cfRule>
  </conditionalFormatting>
  <conditionalFormatting sqref="J97:M99">
    <cfRule type="expression" dxfId="4805" priority="5892" stopIfTrue="1">
      <formula>ISBLANK($J$95)</formula>
    </cfRule>
    <cfRule type="cellIs" dxfId="4804" priority="5893" stopIfTrue="1" operator="equal">
      <formula>0</formula>
    </cfRule>
    <cfRule type="expression" dxfId="4803" priority="5894" stopIfTrue="1">
      <formula>$AH$99=$H$412</formula>
    </cfRule>
  </conditionalFormatting>
  <conditionalFormatting sqref="J100:M100">
    <cfRule type="expression" dxfId="4802" priority="5895" stopIfTrue="1">
      <formula>ISBLANK($J$95)</formula>
    </cfRule>
    <cfRule type="expression" dxfId="4801" priority="5896" stopIfTrue="1">
      <formula>$AH$99=$H$412</formula>
    </cfRule>
  </conditionalFormatting>
  <conditionalFormatting sqref="J108:M108">
    <cfRule type="expression" dxfId="4800" priority="5897" stopIfTrue="1">
      <formula>ISBLANK($J$103)</formula>
    </cfRule>
    <cfRule type="expression" dxfId="4799" priority="5898" stopIfTrue="1">
      <formula>$AH$107=$H$412</formula>
    </cfRule>
  </conditionalFormatting>
  <conditionalFormatting sqref="J116:M116">
    <cfRule type="expression" dxfId="4798" priority="5899" stopIfTrue="1">
      <formula>ISBLANK($J$111)</formula>
    </cfRule>
    <cfRule type="expression" dxfId="4797" priority="5900" stopIfTrue="1">
      <formula>$AH$115=$H$412</formula>
    </cfRule>
  </conditionalFormatting>
  <conditionalFormatting sqref="N114">
    <cfRule type="expression" dxfId="4796" priority="5901" stopIfTrue="1">
      <formula>$AH$115=$H$412</formula>
    </cfRule>
  </conditionalFormatting>
  <conditionalFormatting sqref="N106">
    <cfRule type="expression" dxfId="4795" priority="5902" stopIfTrue="1">
      <formula>$AH$107=$H$412</formula>
    </cfRule>
  </conditionalFormatting>
  <conditionalFormatting sqref="N98">
    <cfRule type="expression" dxfId="4794" priority="5903" stopIfTrue="1">
      <formula>$AH$99=$H$412</formula>
    </cfRule>
  </conditionalFormatting>
  <conditionalFormatting sqref="J105:M107">
    <cfRule type="expression" dxfId="4793" priority="5904" stopIfTrue="1">
      <formula>ISBLANK($J$103)</formula>
    </cfRule>
    <cfRule type="cellIs" dxfId="4792" priority="5905" stopIfTrue="1" operator="equal">
      <formula>0</formula>
    </cfRule>
    <cfRule type="expression" dxfId="4791" priority="5906" stopIfTrue="1">
      <formula>$AH$107=$H$412</formula>
    </cfRule>
  </conditionalFormatting>
  <conditionalFormatting sqref="J114:M115">
    <cfRule type="expression" dxfId="4790" priority="5907" stopIfTrue="1">
      <formula>ISBLANK($J$111)</formula>
    </cfRule>
    <cfRule type="cellIs" dxfId="4789" priority="5908" stopIfTrue="1" operator="equal">
      <formula>0</formula>
    </cfRule>
    <cfRule type="expression" dxfId="4788" priority="5909" stopIfTrue="1">
      <formula>$AH$115=$H$412</formula>
    </cfRule>
  </conditionalFormatting>
  <conditionalFormatting sqref="J113:M113">
    <cfRule type="expression" dxfId="4787" priority="5910" stopIfTrue="1">
      <formula>ISBLANK($J$111)</formula>
    </cfRule>
    <cfRule type="cellIs" dxfId="4786" priority="5911" stopIfTrue="1" operator="equal">
      <formula>0</formula>
    </cfRule>
    <cfRule type="expression" dxfId="4785" priority="5912" stopIfTrue="1">
      <formula>$AH$115=$H$412</formula>
    </cfRule>
  </conditionalFormatting>
  <conditionalFormatting sqref="AK71">
    <cfRule type="expression" dxfId="4784" priority="14" stopIfTrue="1">
      <formula>Z70=""</formula>
    </cfRule>
  </conditionalFormatting>
  <conditionalFormatting sqref="C78">
    <cfRule type="expression" dxfId="4783" priority="12" stopIfTrue="1">
      <formula>#REF!=TRUE</formula>
    </cfRule>
  </conditionalFormatting>
  <conditionalFormatting sqref="M78">
    <cfRule type="expression" dxfId="4782" priority="11" stopIfTrue="1">
      <formula>#REF!=TRUE</formula>
    </cfRule>
  </conditionalFormatting>
  <conditionalFormatting sqref="M81">
    <cfRule type="expression" dxfId="4781" priority="10" stopIfTrue="1">
      <formula>#REF!=TRUE</formula>
    </cfRule>
  </conditionalFormatting>
  <conditionalFormatting sqref="D118">
    <cfRule type="expression" dxfId="4780" priority="9" stopIfTrue="1">
      <formula>AND($C$118=1,$B$417=0)</formula>
    </cfRule>
  </conditionalFormatting>
  <conditionalFormatting sqref="D119:D122">
    <cfRule type="expression" dxfId="4779" priority="8" stopIfTrue="1">
      <formula>AND($C$118=1,$B$417=0)</formula>
    </cfRule>
  </conditionalFormatting>
  <conditionalFormatting sqref="D33:G33">
    <cfRule type="containsErrors" dxfId="4778" priority="7" stopIfTrue="1">
      <formula>ISERROR(D33)</formula>
    </cfRule>
  </conditionalFormatting>
  <conditionalFormatting sqref="D34:G34">
    <cfRule type="containsErrors" dxfId="4777" priority="6" stopIfTrue="1">
      <formula>ISERROR(D34)</formula>
    </cfRule>
  </conditionalFormatting>
  <conditionalFormatting sqref="B4">
    <cfRule type="expression" dxfId="4776" priority="4" stopIfTrue="1">
      <formula>#REF!=TRUE</formula>
    </cfRule>
  </conditionalFormatting>
  <conditionalFormatting sqref="B20">
    <cfRule type="expression" dxfId="4775" priority="2" stopIfTrue="1">
      <formula>$AL$423=TRUE</formula>
    </cfRule>
  </conditionalFormatting>
  <conditionalFormatting sqref="B19">
    <cfRule type="expression" dxfId="4774" priority="3" stopIfTrue="1">
      <formula>#REF!=TRUE</formula>
    </cfRule>
  </conditionalFormatting>
  <conditionalFormatting sqref="AL71">
    <cfRule type="expression" dxfId="4773" priority="1" stopIfTrue="1">
      <formula>Z70=""</formula>
    </cfRule>
  </conditionalFormatting>
  <dataValidations count="24">
    <dataValidation type="list" allowBlank="1" showInputMessage="1" showErrorMessage="1" sqref="T98 T106 T114">
      <formula1>$P$7:$P$17</formula1>
    </dataValidation>
    <dataValidation type="list" allowBlank="1" showInputMessage="1" showErrorMessage="1" sqref="T97 T105 T113">
      <formula1>$B$7:$B$17</formula1>
    </dataValidation>
    <dataValidation type="list" allowBlank="1" showInputMessage="1" showErrorMessage="1" sqref="Z99:AG99 Z115:AG115 Z107:AG107">
      <formula1>$C$155:$C$165</formula1>
    </dataValidation>
    <dataValidation type="list" allowBlank="1" showInputMessage="1" showErrorMessage="1" sqref="J95:M95 J111:M111 J103:M103">
      <formula1>$C$180:$C$187</formula1>
    </dataValidation>
    <dataValidation type="decimal" allowBlank="1" showInputMessage="1" showErrorMessage="1" sqref="U8:V12">
      <formula1>0</formula1>
      <formula2>100</formula2>
    </dataValidation>
    <dataValidation type="list" allowBlank="1" showInputMessage="1" showErrorMessage="1" sqref="I23:J23 M23:N23 Q23:R23 U23:V23 Y23:Z23 AC23:AD23 AG23:AH23">
      <formula1>$O$7:$O$17</formula1>
    </dataValidation>
    <dataValidation type="textLength" operator="equal" allowBlank="1" showInputMessage="1" showErrorMessage="1" sqref="O74">
      <formula1>11</formula1>
    </dataValidation>
    <dataValidation type="list" allowBlank="1" showInputMessage="1" showErrorMessage="1" sqref="J66:M66 J64:M64">
      <formula1>$G157:$AK157</formula1>
    </dataValidation>
    <dataValidation type="list" allowBlank="1" showInputMessage="1" showErrorMessage="1" sqref="AB65:AE65 AB63:AE63">
      <formula1>$G162:$AK162</formula1>
    </dataValidation>
    <dataValidation type="list" allowBlank="1" showInputMessage="1" showErrorMessage="1" sqref="J62:M62">
      <formula1>$G155:$AJ155</formula1>
    </dataValidation>
    <dataValidation type="list" allowBlank="1" showInputMessage="1" showErrorMessage="1" sqref="N66:S66 N64:S64">
      <formula1>$H170:$AK170</formula1>
    </dataValidation>
    <dataValidation type="list" allowBlank="1" showInputMessage="1" showErrorMessage="1" sqref="AF65:AK65 AF63:AK63">
      <formula1>$H175:$AK175</formula1>
    </dataValidation>
    <dataValidation type="list" allowBlank="1" showInputMessage="1" showErrorMessage="1" sqref="N61:S61 N65:S65 N63:S63">
      <formula1>$H167:$AL167</formula1>
    </dataValidation>
    <dataValidation type="list" allowBlank="1" showInputMessage="1" showErrorMessage="1" sqref="AF61:AK62 AF66:AK66 AF64:AK64">
      <formula1>$H173:$AL173</formula1>
    </dataValidation>
    <dataValidation type="list" allowBlank="1" showInputMessage="1" showErrorMessage="1" sqref="N62:S62">
      <formula1>$H168:$AJ168</formula1>
    </dataValidation>
    <dataValidation type="list" allowBlank="1" showInputMessage="1" showErrorMessage="1" sqref="AB66:AE66 AB61:AE62 AB64:AE64">
      <formula1>$G160:$AL160</formula1>
    </dataValidation>
    <dataValidation type="list" allowBlank="1" showInputMessage="1" showErrorMessage="1" sqref="J65:M65 J61:M61 J63:M63">
      <formula1>$G154:$AL154</formula1>
    </dataValidation>
    <dataValidation type="list" allowBlank="1" showInputMessage="1" showErrorMessage="1" sqref="H24 T24 X24 AB24 L24 P24 AF24 S98 S106 S114">
      <formula1>$X$13:$X$16</formula1>
    </dataValidation>
    <dataValidation type="list" allowBlank="1" showInputMessage="1" showErrorMessage="1" sqref="I24:J24 M24:N24 Q24:R24 U24:V24 Y24:Z24 AC24:AD24 AG24:AH24">
      <formula1>$W$7:$W$17</formula1>
    </dataValidation>
    <dataValidation type="list" allowBlank="1" showInputMessage="1" showErrorMessage="1" sqref="I25:J25 M25:N25 Q25:R25 U25:V25 Y25:Z25 AC25:AD25 AG25:AH25">
      <formula1>$AK$7:$AK$14</formula1>
    </dataValidation>
    <dataValidation type="list" allowBlank="1" showInputMessage="1" showErrorMessage="1" sqref="B39:B42">
      <formula1>$P$7:$P$16</formula1>
    </dataValidation>
    <dataValidation type="list" allowBlank="1" showInputMessage="1" showErrorMessage="1" sqref="T99 T107 T115">
      <formula1>$AF$7:$AF$14</formula1>
    </dataValidation>
    <dataValidation type="list" allowBlank="1" showInputMessage="1" showErrorMessage="1" sqref="C56:P56">
      <formula1>$D$133:$D$134</formula1>
    </dataValidation>
    <dataValidation type="list" allowBlank="1" showInputMessage="1" showErrorMessage="1" sqref="H36:AI36">
      <formula1>$D$140:$D$141</formula1>
    </dataValidation>
  </dataValidations>
  <hyperlinks>
    <hyperlink ref="W443" r:id="rId1"/>
    <hyperlink ref="W438" r:id="rId2"/>
    <hyperlink ref="AL71" location="Presentazione!K95" display="QUI"/>
  </hyperlinks>
  <printOptions horizontalCentered="1"/>
  <pageMargins left="0" right="0" top="0.39370078740157483" bottom="0.19685039370078741" header="0" footer="0"/>
  <pageSetup paperSize="9" scale="69" orientation="landscape" r:id="rId3"/>
  <headerFooter alignWithMargins="0"/>
  <rowBreaks count="2" manualBreakCount="2">
    <brk id="47" max="16383" man="1"/>
    <brk id="87"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CONCATENATE(IF(IMPOSTAZIONI!F190="","..",IMPOSTAZIONI!F190),"-",IF(IMPOSTAZIONI!F191="","..",IMPOSTAZIONI!F191),"-",IF(IMPOSTAZIONI!F192="","..",IMPOSTAZIONI!F192))</f>
        <v>..-..-..</v>
      </c>
      <c r="H1" s="167" t="str">
        <f>CONCATENATE(IF(IMPOSTAZIONI!K190="","..",IMPOSTAZIONI!K190),"-",IF(IMPOSTAZIONI!K191="","..",IMPOSTAZIONI!K191),"-",IF(IMPOSTAZIONI!K192="","..",IMPOSTAZIONI!K192))</f>
        <v>..-..-..</v>
      </c>
      <c r="I1" s="167" t="str">
        <f>CONCATENATE(IF(IMPOSTAZIONI!P190="","..",IMPOSTAZIONI!P190),"-",IF(IMPOSTAZIONI!P191="","..",IMPOSTAZIONI!P191),"-",IF(IMPOSTAZIONI!P192="","..",IMPOSTAZIONI!P192))</f>
        <v>..-..-..</v>
      </c>
      <c r="J1" s="167" t="str">
        <f>CONCATENATE(IF(IMPOSTAZIONI!U190="","..",IMPOSTAZIONI!U190),"-",IF(IMPOSTAZIONI!U191="","..",IMPOSTAZIONI!U191),"-",IF(IMPOSTAZIONI!U192="","..",IMPOSTAZIONI!U192))</f>
        <v>..-..-..</v>
      </c>
      <c r="K1" s="167" t="str">
        <f>CONCATENATE(IF(IMPOSTAZIONI!Z190="","..",IMPOSTAZIONI!Z190),"-",IF(IMPOSTAZIONI!Z191="","..",IMPOSTAZIONI!Z191),"-",IF(IMPOSTAZIONI!Z192="","..",IMPOSTAZIONI!Z192))</f>
        <v>..-..-..</v>
      </c>
      <c r="L1" s="167" t="str">
        <f>CONCATENATE(IF(IMPOSTAZIONI!AE190="","..",IMPOSTAZIONI!AE190),"-",IF(IMPOSTAZIONI!AE191="","..",IMPOSTAZIONI!AE191),"-",IF(IMPOSTAZIONI!AE192="","..",IMPOSTAZIONI!AE192))</f>
        <v>..-..-..</v>
      </c>
      <c r="M1" s="167" t="str">
        <f>CONCATENATE(IF(IMPOSTAZIONI!AJ190="","..",IMPOSTAZIONI!AJ190),"-",IF(IMPOSTAZIONI!AJ191="","..",IMPOSTAZIONI!AJ191),"-",IF(IMPOSTAZIONI!AJ192="","..",IMPOSTAZIONI!AJ192))</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255</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IF($I$199=0,"",IMPOSTAZIONI!G190)</f>
        <v/>
      </c>
      <c r="H4" s="183" t="str">
        <f>IF($I$199=0,"",IMPOSTAZIONI!L190)</f>
        <v/>
      </c>
      <c r="I4" s="183" t="str">
        <f>IF($I$199=0,"",IMPOSTAZIONI!Q190)</f>
        <v/>
      </c>
      <c r="J4" s="183" t="str">
        <f>IF($I$199=0,"",IMPOSTAZIONI!V190)</f>
        <v/>
      </c>
      <c r="K4" s="183" t="str">
        <f>IF($I$199=0,"",IMPOSTAZIONI!AA190)</f>
        <v/>
      </c>
      <c r="L4" s="183" t="str">
        <f>IF($I$199=0,"",IMPOSTAZIONI!AF190)</f>
        <v/>
      </c>
      <c r="M4" s="183" t="str">
        <f>IF($I$199=0,"",IMPOSTAZIONI!AK190)</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1000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IF($I$199=0,"",IMPOSTAZIONI!G191)</f>
        <v/>
      </c>
      <c r="H5" s="823" t="str">
        <f>IF($I$199=0,"",IMPOSTAZIONI!L191)</f>
        <v/>
      </c>
      <c r="I5" s="823" t="str">
        <f>IF($I$199=0,"",IMPOSTAZIONI!Q191)</f>
        <v/>
      </c>
      <c r="J5" s="823" t="str">
        <f>IF($I$199=0,"",IMPOSTAZIONI!V191)</f>
        <v/>
      </c>
      <c r="K5" s="823" t="str">
        <f>IF($I$199=0,"",IMPOSTAZIONI!AA191)</f>
        <v/>
      </c>
      <c r="L5" s="823" t="str">
        <f>IF($I$199=0,"",IMPOSTAZIONI!AF191)</f>
        <v/>
      </c>
      <c r="M5" s="823" t="str">
        <f>IF($I$199=0,"",IMPOSTAZIONI!AK191)</f>
        <v/>
      </c>
      <c r="N5" s="1944" t="str">
        <f>IMPOSTAZIONI!AJ28</f>
        <v>Descrizione #1</v>
      </c>
      <c r="O5" s="57"/>
      <c r="P5" s="2"/>
      <c r="Q5" s="2"/>
      <c r="R5" s="2"/>
      <c r="S5" s="2"/>
      <c r="T5" s="2"/>
      <c r="U5" s="2"/>
      <c r="V5" s="2"/>
      <c r="W5" s="2"/>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IF($I$199=0,"",IMPOSTAZIONI!G192)</f>
        <v/>
      </c>
      <c r="H6" s="40" t="str">
        <f>IF($I$199=0,"",IMPOSTAZIONI!L192)</f>
        <v/>
      </c>
      <c r="I6" s="40" t="str">
        <f>IF($I$199=0,"",IMPOSTAZIONI!Q192)</f>
        <v/>
      </c>
      <c r="J6" s="40" t="str">
        <f>IF($I$199=0,"",IMPOSTAZIONI!V192)</f>
        <v/>
      </c>
      <c r="K6" s="40" t="str">
        <f>IF($I$199=0,"",IMPOSTAZIONI!AA192)</f>
        <v/>
      </c>
      <c r="L6" s="40" t="str">
        <f>IF($I$199=0,"",IMPOSTAZIONI!AF192)</f>
        <v/>
      </c>
      <c r="M6" s="40" t="str">
        <f>IF($I$199=0,"",IMPOSTAZIONI!AK192)</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820" t="s">
        <v>530</v>
      </c>
      <c r="D7" s="821" t="s">
        <v>531</v>
      </c>
      <c r="E7" s="1998"/>
      <c r="F7" s="1999"/>
      <c r="G7" s="812"/>
      <c r="H7" s="812"/>
      <c r="I7" s="812"/>
      <c r="J7" s="812"/>
      <c r="K7" s="812"/>
      <c r="L7" s="812"/>
      <c r="M7" s="812"/>
      <c r="N7" s="1284"/>
      <c r="O7" s="57"/>
      <c r="P7" s="2043" t="s">
        <v>524</v>
      </c>
      <c r="Q7" s="2044"/>
      <c r="R7" s="2044"/>
      <c r="S7" s="2044"/>
      <c r="T7" s="2044"/>
      <c r="U7" s="2044"/>
      <c r="V7" s="2044"/>
      <c r="W7" s="285">
        <f>W8</f>
        <v>45292</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1</v>
      </c>
      <c r="E8" s="1994">
        <f t="shared" ref="E8:E38" si="9">IF(AND(L$199=0,OR(W8&lt;B$129,W8&gt;B$130)),CONCATENATE(L$99,"  "),IF(AND(SUM(G8:M8)&lt;&gt;0,AE8=AD$6),E$130,IF(AND(SUM(G8:M8)=0,AE8=AD$6),E$129,IF(ISERROR($H$199),0,SUM(G8:M8)-SUMIF(G$42:M$42,K$102,G8:M8)))))</f>
        <v>1000</v>
      </c>
      <c r="F8" s="1995"/>
      <c r="G8" s="1307">
        <v>1000</v>
      </c>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IMPOSTAZIONI!H167</f>
        <v>45292</v>
      </c>
      <c r="X8" s="486">
        <f t="shared" ref="X8:AC8" si="17">IF(AND($L$199=0,OR($W8&lt;$B$129,$W8&gt;$B$130)),0,IF(G$130=$N$130,G8+P8,G8-P8))</f>
        <v>1000</v>
      </c>
      <c r="Y8" s="487">
        <f t="shared" si="17"/>
        <v>0</v>
      </c>
      <c r="Z8" s="487">
        <f t="shared" si="17"/>
        <v>0</v>
      </c>
      <c r="AA8" s="487">
        <f t="shared" si="17"/>
        <v>0</v>
      </c>
      <c r="AB8" s="487">
        <f t="shared" si="17"/>
        <v>0</v>
      </c>
      <c r="AC8" s="487">
        <f t="shared" si="17"/>
        <v>0</v>
      </c>
      <c r="AD8" s="488">
        <f>IF(AND($L$199=0,OR($W8&lt;$B$129,$W8&gt;$B$130)),0,IF(M$130=$N$130,M8+V8,M8-V8))</f>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X</v>
      </c>
      <c r="BA8" s="1045">
        <f>IF(G$123=$E$124,$P$66/$P$65*X8,X8)</f>
        <v>1000</v>
      </c>
      <c r="BB8" s="1046">
        <f t="shared" ref="BB8:BB38" si="35">IF(H$123=$E$124,$P$66/$P$65*Y8,Y8)</f>
        <v>0</v>
      </c>
      <c r="BC8" s="1046">
        <f t="shared" ref="BC8:BC38" si="36">IF(I$123=$E$124,$P$66/$P$65*Z8,Z8)</f>
        <v>0</v>
      </c>
      <c r="BD8" s="1046">
        <f t="shared" ref="BD8:BD38" si="37">IF(J$123=$E$124,$P$66/$P$65*AA8,AA8)</f>
        <v>0</v>
      </c>
      <c r="BE8" s="1046">
        <f t="shared" ref="BE8:BE38" si="38">IF(K$123=$E$124,$P$66/$P$65*AB8,AB8)</f>
        <v>0</v>
      </c>
      <c r="BF8" s="1046">
        <f t="shared" ref="BF8:BF38" si="39">IF(L$123=$E$124,$P$66/$P$65*AC8,AC8)</f>
        <v>0</v>
      </c>
      <c r="BG8" s="1047">
        <f t="shared" ref="BG8:BG38" si="40">IF(M$123=$E$124,$P$66/$P$65*AD8,AD8)</f>
        <v>0</v>
      </c>
      <c r="BH8" s="2"/>
      <c r="BI8" s="1313" t="s">
        <v>705</v>
      </c>
      <c r="BJ8" s="2"/>
    </row>
    <row r="9" spans="1:62" ht="20.25" customHeight="1" x14ac:dyDescent="0.2">
      <c r="A9" s="2"/>
      <c r="B9" s="18">
        <v>2</v>
      </c>
      <c r="C9" s="155">
        <f>IF(D9="--","--",C8+1)</f>
        <v>2</v>
      </c>
      <c r="D9" s="156">
        <f t="shared" ref="D9:D38" si="41">IF(MONTH(W9)=D$8,D8,"--")</f>
        <v>1</v>
      </c>
      <c r="E9" s="1959">
        <f t="shared" si="9"/>
        <v>0</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45293</v>
      </c>
      <c r="X9" s="489">
        <f t="shared" ref="X9:X38" si="42">IF(AND($L$199=0,OR($W9&lt;$B$129,$W9&gt;$B$130)),0,IF(G$130=$N$130,G9+P9,G9-P9))</f>
        <v>0</v>
      </c>
      <c r="Y9" s="490">
        <f t="shared" ref="Y9:Y38" si="43">IF(AND($L$199=0,OR($W9&lt;$B$129,$W9&gt;$B$130)),0,IF(H$130=$N$130,H9+Q9,H9-Q9))</f>
        <v>0</v>
      </c>
      <c r="Z9" s="490">
        <f t="shared" ref="Z9:Z38" si="44">IF(AND($L$199=0,OR($W9&lt;$B$129,$W9&gt;$B$130)),0,IF(I$130=$N$130,I9+R9,I9-R9))</f>
        <v>0</v>
      </c>
      <c r="AA9" s="490">
        <f t="shared" ref="AA9:AA38" si="45">IF(AND($L$199=0,OR($W9&lt;$B$129,$W9&gt;$B$130)),0,IF(J$130=$N$130,J9+S9,J9-S9))</f>
        <v>0</v>
      </c>
      <c r="AB9" s="490">
        <f t="shared" ref="AB9:AB38" si="46">IF(AND($L$199=0,OR($W9&lt;$B$129,$W9&gt;$B$130)),0,IF(K$130=$N$130,K9+T9,K9-T9))</f>
        <v>0</v>
      </c>
      <c r="AC9" s="490">
        <f t="shared" ref="AC9:AC38" si="47">IF(AND($L$199=0,OR($W9&lt;$B$129,$W9&gt;$B$130)),0,IF(L$130=$N$130,L9+U9,L9-U9))</f>
        <v>0</v>
      </c>
      <c r="AD9" s="491">
        <f t="shared" ref="AD9:AD38" si="48">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9">IF(AND($L$199=0,OR($W9&lt;$B$129,$W9&gt;$B$130)),0,SUMIF($G$42:$M$42,$K$102,$G9:$M9))</f>
        <v>0</v>
      </c>
      <c r="AL9" s="512">
        <f t="shared" ref="AL9:AL38" si="50">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51">IF(AND(W9&gt;=BA$3,W9&lt;=BB$3),"X","")</f>
        <v/>
      </c>
      <c r="BA9" s="1048">
        <f t="shared" ref="BA9:BA38" si="52">IF(G$123=$E$124,$P$66/$P$65*X9,X9)</f>
        <v>0</v>
      </c>
      <c r="BB9" s="1003">
        <f t="shared" si="35"/>
        <v>0</v>
      </c>
      <c r="BC9" s="1003">
        <f t="shared" si="36"/>
        <v>0</v>
      </c>
      <c r="BD9" s="1003">
        <f t="shared" si="37"/>
        <v>0</v>
      </c>
      <c r="BE9" s="1003">
        <f t="shared" si="38"/>
        <v>0</v>
      </c>
      <c r="BF9" s="1003">
        <f t="shared" si="39"/>
        <v>0</v>
      </c>
      <c r="BG9" s="1049">
        <f t="shared" si="40"/>
        <v>0</v>
      </c>
      <c r="BH9" s="2"/>
      <c r="BI9" s="1314" t="s">
        <v>462</v>
      </c>
      <c r="BJ9" s="2"/>
    </row>
    <row r="10" spans="1:62" ht="20.25" customHeight="1" x14ac:dyDescent="0.2">
      <c r="A10" s="2"/>
      <c r="B10" s="18">
        <v>3</v>
      </c>
      <c r="C10" s="155">
        <f t="shared" ref="C10:C38" si="53">IF(D10="--","--",C9+1)</f>
        <v>3</v>
      </c>
      <c r="D10" s="156">
        <f t="shared" si="41"/>
        <v>1</v>
      </c>
      <c r="E10" s="1959">
        <f t="shared" si="9"/>
        <v>0</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54">W9+1</f>
        <v>45294</v>
      </c>
      <c r="X10" s="489">
        <f t="shared" si="42"/>
        <v>0</v>
      </c>
      <c r="Y10" s="490">
        <f t="shared" si="43"/>
        <v>0</v>
      </c>
      <c r="Z10" s="490">
        <f t="shared" si="44"/>
        <v>0</v>
      </c>
      <c r="AA10" s="490">
        <f t="shared" si="45"/>
        <v>0</v>
      </c>
      <c r="AB10" s="490">
        <f t="shared" si="46"/>
        <v>0</v>
      </c>
      <c r="AC10" s="490">
        <f t="shared" si="47"/>
        <v>0</v>
      </c>
      <c r="AD10" s="491">
        <f t="shared" si="48"/>
        <v>0</v>
      </c>
      <c r="AE10" s="414">
        <f>VLOOKUP(W10,CASSA!$B$180:$C$545,2,FALSE)</f>
        <v>0</v>
      </c>
      <c r="AF10" s="512">
        <f t="shared" si="18"/>
        <v>0</v>
      </c>
      <c r="AG10" s="513">
        <f t="shared" si="19"/>
        <v>0</v>
      </c>
      <c r="AH10" s="490">
        <f t="shared" si="20"/>
        <v>0</v>
      </c>
      <c r="AI10" s="490">
        <f t="shared" si="21"/>
        <v>0</v>
      </c>
      <c r="AJ10" s="514">
        <f t="shared" si="22"/>
        <v>0</v>
      </c>
      <c r="AK10" s="1003">
        <f t="shared" si="49"/>
        <v>0</v>
      </c>
      <c r="AL10" s="512">
        <f t="shared" si="50"/>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51"/>
        <v/>
      </c>
      <c r="BA10" s="1048">
        <f t="shared" si="52"/>
        <v>0</v>
      </c>
      <c r="BB10" s="1003">
        <f t="shared" si="35"/>
        <v>0</v>
      </c>
      <c r="BC10" s="1003">
        <f t="shared" si="36"/>
        <v>0</v>
      </c>
      <c r="BD10" s="1003">
        <f t="shared" si="37"/>
        <v>0</v>
      </c>
      <c r="BE10" s="1003">
        <f t="shared" si="38"/>
        <v>0</v>
      </c>
      <c r="BF10" s="1003">
        <f t="shared" si="39"/>
        <v>0</v>
      </c>
      <c r="BG10" s="1049">
        <f t="shared" si="40"/>
        <v>0</v>
      </c>
      <c r="BH10" s="2"/>
      <c r="BI10" s="1314" t="s">
        <v>463</v>
      </c>
      <c r="BJ10" s="2"/>
    </row>
    <row r="11" spans="1:62" ht="20.25" customHeight="1" x14ac:dyDescent="0.2">
      <c r="A11" s="2"/>
      <c r="B11" s="18">
        <v>4</v>
      </c>
      <c r="C11" s="155">
        <f t="shared" si="53"/>
        <v>4</v>
      </c>
      <c r="D11" s="156">
        <f t="shared" si="41"/>
        <v>1</v>
      </c>
      <c r="E11" s="1959">
        <f t="shared" si="9"/>
        <v>0</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54"/>
        <v>45295</v>
      </c>
      <c r="X11" s="489">
        <f t="shared" si="42"/>
        <v>0</v>
      </c>
      <c r="Y11" s="490">
        <f t="shared" si="43"/>
        <v>0</v>
      </c>
      <c r="Z11" s="490">
        <f t="shared" si="44"/>
        <v>0</v>
      </c>
      <c r="AA11" s="490">
        <f t="shared" si="45"/>
        <v>0</v>
      </c>
      <c r="AB11" s="490">
        <f t="shared" si="46"/>
        <v>0</v>
      </c>
      <c r="AC11" s="490">
        <f t="shared" si="47"/>
        <v>0</v>
      </c>
      <c r="AD11" s="491">
        <f t="shared" si="48"/>
        <v>0</v>
      </c>
      <c r="AE11" s="414">
        <f>VLOOKUP(W11,CASSA!$B$180:$C$545,2,FALSE)</f>
        <v>0</v>
      </c>
      <c r="AF11" s="512">
        <f t="shared" si="18"/>
        <v>0</v>
      </c>
      <c r="AG11" s="513">
        <f t="shared" si="19"/>
        <v>0</v>
      </c>
      <c r="AH11" s="490">
        <f t="shared" si="20"/>
        <v>0</v>
      </c>
      <c r="AI11" s="490">
        <f t="shared" si="21"/>
        <v>0</v>
      </c>
      <c r="AJ11" s="514">
        <f t="shared" si="22"/>
        <v>0</v>
      </c>
      <c r="AK11" s="1003">
        <f t="shared" si="49"/>
        <v>0</v>
      </c>
      <c r="AL11" s="512">
        <f t="shared" si="50"/>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51"/>
        <v/>
      </c>
      <c r="BA11" s="1048">
        <f t="shared" si="52"/>
        <v>0</v>
      </c>
      <c r="BB11" s="1003">
        <f t="shared" si="35"/>
        <v>0</v>
      </c>
      <c r="BC11" s="1003">
        <f t="shared" si="36"/>
        <v>0</v>
      </c>
      <c r="BD11" s="1003">
        <f t="shared" si="37"/>
        <v>0</v>
      </c>
      <c r="BE11" s="1003">
        <f t="shared" si="38"/>
        <v>0</v>
      </c>
      <c r="BF11" s="1003">
        <f t="shared" si="39"/>
        <v>0</v>
      </c>
      <c r="BG11" s="1049">
        <f t="shared" si="40"/>
        <v>0</v>
      </c>
      <c r="BH11" s="2"/>
      <c r="BI11" s="1314" t="s">
        <v>464</v>
      </c>
      <c r="BJ11" s="2"/>
    </row>
    <row r="12" spans="1:62" ht="20.25" customHeight="1" x14ac:dyDescent="0.2">
      <c r="A12" s="2"/>
      <c r="B12" s="18">
        <v>5</v>
      </c>
      <c r="C12" s="155">
        <f t="shared" si="53"/>
        <v>5</v>
      </c>
      <c r="D12" s="156">
        <f t="shared" si="41"/>
        <v>1</v>
      </c>
      <c r="E12" s="1959">
        <f t="shared" si="9"/>
        <v>0</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54"/>
        <v>45296</v>
      </c>
      <c r="X12" s="489">
        <f t="shared" si="42"/>
        <v>0</v>
      </c>
      <c r="Y12" s="490">
        <f t="shared" si="43"/>
        <v>0</v>
      </c>
      <c r="Z12" s="490">
        <f t="shared" si="44"/>
        <v>0</v>
      </c>
      <c r="AA12" s="490">
        <f t="shared" si="45"/>
        <v>0</v>
      </c>
      <c r="AB12" s="490">
        <f t="shared" si="46"/>
        <v>0</v>
      </c>
      <c r="AC12" s="490">
        <f t="shared" si="47"/>
        <v>0</v>
      </c>
      <c r="AD12" s="491">
        <f t="shared" si="48"/>
        <v>0</v>
      </c>
      <c r="AE12" s="414">
        <f>VLOOKUP(W12,CASSA!$B$180:$C$545,2,FALSE)</f>
        <v>0</v>
      </c>
      <c r="AF12" s="512">
        <f t="shared" si="18"/>
        <v>0</v>
      </c>
      <c r="AG12" s="513">
        <f t="shared" si="19"/>
        <v>0</v>
      </c>
      <c r="AH12" s="490">
        <f t="shared" si="20"/>
        <v>0</v>
      </c>
      <c r="AI12" s="490">
        <f t="shared" si="21"/>
        <v>0</v>
      </c>
      <c r="AJ12" s="514">
        <f t="shared" si="22"/>
        <v>0</v>
      </c>
      <c r="AK12" s="1003">
        <f t="shared" si="49"/>
        <v>0</v>
      </c>
      <c r="AL12" s="512">
        <f t="shared" si="50"/>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51"/>
        <v/>
      </c>
      <c r="BA12" s="1048">
        <f t="shared" si="52"/>
        <v>0</v>
      </c>
      <c r="BB12" s="1003">
        <f t="shared" si="35"/>
        <v>0</v>
      </c>
      <c r="BC12" s="1003">
        <f t="shared" si="36"/>
        <v>0</v>
      </c>
      <c r="BD12" s="1003">
        <f t="shared" si="37"/>
        <v>0</v>
      </c>
      <c r="BE12" s="1003">
        <f t="shared" si="38"/>
        <v>0</v>
      </c>
      <c r="BF12" s="1003">
        <f t="shared" si="39"/>
        <v>0</v>
      </c>
      <c r="BG12" s="1049">
        <f t="shared" si="40"/>
        <v>0</v>
      </c>
      <c r="BH12" s="2"/>
      <c r="BI12" s="1314"/>
      <c r="BJ12" s="2"/>
    </row>
    <row r="13" spans="1:62" ht="20.25" customHeight="1" x14ac:dyDescent="0.2">
      <c r="A13" s="2"/>
      <c r="B13" s="18">
        <v>6</v>
      </c>
      <c r="C13" s="155">
        <f t="shared" si="53"/>
        <v>6</v>
      </c>
      <c r="D13" s="156">
        <f t="shared" si="41"/>
        <v>1</v>
      </c>
      <c r="E13" s="1959">
        <f t="shared" si="9"/>
        <v>0</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54"/>
        <v>45297</v>
      </c>
      <c r="X13" s="489">
        <f t="shared" si="42"/>
        <v>0</v>
      </c>
      <c r="Y13" s="490">
        <f t="shared" si="43"/>
        <v>0</v>
      </c>
      <c r="Z13" s="490">
        <f t="shared" si="44"/>
        <v>0</v>
      </c>
      <c r="AA13" s="490">
        <f t="shared" si="45"/>
        <v>0</v>
      </c>
      <c r="AB13" s="490">
        <f t="shared" si="46"/>
        <v>0</v>
      </c>
      <c r="AC13" s="490">
        <f t="shared" si="47"/>
        <v>0</v>
      </c>
      <c r="AD13" s="491">
        <f t="shared" si="48"/>
        <v>0</v>
      </c>
      <c r="AE13" s="414">
        <f>VLOOKUP(W13,CASSA!$B$180:$C$545,2,FALSE)</f>
        <v>0</v>
      </c>
      <c r="AF13" s="512">
        <f t="shared" si="18"/>
        <v>0</v>
      </c>
      <c r="AG13" s="513">
        <f t="shared" si="19"/>
        <v>0</v>
      </c>
      <c r="AH13" s="490">
        <f t="shared" si="20"/>
        <v>0</v>
      </c>
      <c r="AI13" s="490">
        <f t="shared" si="21"/>
        <v>0</v>
      </c>
      <c r="AJ13" s="514">
        <f t="shared" si="22"/>
        <v>0</v>
      </c>
      <c r="AK13" s="1003">
        <f t="shared" si="49"/>
        <v>0</v>
      </c>
      <c r="AL13" s="512">
        <f t="shared" si="50"/>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51"/>
        <v/>
      </c>
      <c r="BA13" s="1048">
        <f t="shared" si="52"/>
        <v>0</v>
      </c>
      <c r="BB13" s="1003">
        <f t="shared" si="35"/>
        <v>0</v>
      </c>
      <c r="BC13" s="1003">
        <f t="shared" si="36"/>
        <v>0</v>
      </c>
      <c r="BD13" s="1003">
        <f t="shared" si="37"/>
        <v>0</v>
      </c>
      <c r="BE13" s="1003">
        <f t="shared" si="38"/>
        <v>0</v>
      </c>
      <c r="BF13" s="1003">
        <f t="shared" si="39"/>
        <v>0</v>
      </c>
      <c r="BG13" s="1049">
        <f t="shared" si="40"/>
        <v>0</v>
      </c>
      <c r="BH13" s="2"/>
      <c r="BI13" s="1314"/>
      <c r="BJ13" s="2"/>
    </row>
    <row r="14" spans="1:62" ht="20.25" customHeight="1" x14ac:dyDescent="0.2">
      <c r="A14" s="2"/>
      <c r="B14" s="18">
        <v>7</v>
      </c>
      <c r="C14" s="155">
        <f t="shared" si="53"/>
        <v>7</v>
      </c>
      <c r="D14" s="156">
        <f t="shared" si="41"/>
        <v>1</v>
      </c>
      <c r="E14" s="1959">
        <f t="shared" si="9"/>
        <v>0</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54"/>
        <v>45298</v>
      </c>
      <c r="X14" s="489">
        <f t="shared" si="42"/>
        <v>0</v>
      </c>
      <c r="Y14" s="490">
        <f t="shared" si="43"/>
        <v>0</v>
      </c>
      <c r="Z14" s="490">
        <f t="shared" si="44"/>
        <v>0</v>
      </c>
      <c r="AA14" s="490">
        <f t="shared" si="45"/>
        <v>0</v>
      </c>
      <c r="AB14" s="490">
        <f t="shared" si="46"/>
        <v>0</v>
      </c>
      <c r="AC14" s="490">
        <f t="shared" si="47"/>
        <v>0</v>
      </c>
      <c r="AD14" s="491">
        <f t="shared" si="48"/>
        <v>0</v>
      </c>
      <c r="AE14" s="414">
        <f>VLOOKUP(W14,CASSA!$B$180:$C$545,2,FALSE)</f>
        <v>0</v>
      </c>
      <c r="AF14" s="512">
        <f t="shared" si="18"/>
        <v>0</v>
      </c>
      <c r="AG14" s="513">
        <f t="shared" si="19"/>
        <v>0</v>
      </c>
      <c r="AH14" s="490">
        <f t="shared" si="20"/>
        <v>0</v>
      </c>
      <c r="AI14" s="490">
        <f t="shared" si="21"/>
        <v>0</v>
      </c>
      <c r="AJ14" s="514">
        <f t="shared" si="22"/>
        <v>0</v>
      </c>
      <c r="AK14" s="1003">
        <f t="shared" si="49"/>
        <v>0</v>
      </c>
      <c r="AL14" s="512">
        <f t="shared" si="50"/>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51"/>
        <v/>
      </c>
      <c r="BA14" s="1048">
        <f t="shared" si="52"/>
        <v>0</v>
      </c>
      <c r="BB14" s="1003">
        <f t="shared" si="35"/>
        <v>0</v>
      </c>
      <c r="BC14" s="1003">
        <f t="shared" si="36"/>
        <v>0</v>
      </c>
      <c r="BD14" s="1003">
        <f t="shared" si="37"/>
        <v>0</v>
      </c>
      <c r="BE14" s="1003">
        <f t="shared" si="38"/>
        <v>0</v>
      </c>
      <c r="BF14" s="1003">
        <f t="shared" si="39"/>
        <v>0</v>
      </c>
      <c r="BG14" s="1049">
        <f t="shared" si="40"/>
        <v>0</v>
      </c>
      <c r="BH14" s="2"/>
      <c r="BI14" s="1314"/>
      <c r="BJ14" s="2"/>
    </row>
    <row r="15" spans="1:62" ht="20.25" customHeight="1" x14ac:dyDescent="0.2">
      <c r="A15" s="2"/>
      <c r="B15" s="18">
        <v>8</v>
      </c>
      <c r="C15" s="155">
        <f t="shared" si="53"/>
        <v>8</v>
      </c>
      <c r="D15" s="156">
        <f t="shared" si="41"/>
        <v>1</v>
      </c>
      <c r="E15" s="1959">
        <f t="shared" si="9"/>
        <v>0</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54"/>
        <v>45299</v>
      </c>
      <c r="X15" s="489">
        <f t="shared" si="42"/>
        <v>0</v>
      </c>
      <c r="Y15" s="490">
        <f t="shared" si="43"/>
        <v>0</v>
      </c>
      <c r="Z15" s="490">
        <f t="shared" si="44"/>
        <v>0</v>
      </c>
      <c r="AA15" s="490">
        <f t="shared" si="45"/>
        <v>0</v>
      </c>
      <c r="AB15" s="490">
        <f t="shared" si="46"/>
        <v>0</v>
      </c>
      <c r="AC15" s="490">
        <f t="shared" si="47"/>
        <v>0</v>
      </c>
      <c r="AD15" s="491">
        <f t="shared" si="48"/>
        <v>0</v>
      </c>
      <c r="AE15" s="414">
        <f>VLOOKUP(W15,CASSA!$B$180:$C$545,2,FALSE)</f>
        <v>0</v>
      </c>
      <c r="AF15" s="512">
        <f t="shared" si="18"/>
        <v>0</v>
      </c>
      <c r="AG15" s="513">
        <f t="shared" si="19"/>
        <v>0</v>
      </c>
      <c r="AH15" s="490">
        <f t="shared" si="20"/>
        <v>0</v>
      </c>
      <c r="AI15" s="490">
        <f t="shared" si="21"/>
        <v>0</v>
      </c>
      <c r="AJ15" s="514">
        <f t="shared" si="22"/>
        <v>0</v>
      </c>
      <c r="AK15" s="1003">
        <f t="shared" si="49"/>
        <v>0</v>
      </c>
      <c r="AL15" s="512">
        <f t="shared" si="50"/>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51"/>
        <v/>
      </c>
      <c r="BA15" s="1048">
        <f t="shared" si="52"/>
        <v>0</v>
      </c>
      <c r="BB15" s="1003">
        <f t="shared" si="35"/>
        <v>0</v>
      </c>
      <c r="BC15" s="1003">
        <f t="shared" si="36"/>
        <v>0</v>
      </c>
      <c r="BD15" s="1003">
        <f t="shared" si="37"/>
        <v>0</v>
      </c>
      <c r="BE15" s="1003">
        <f t="shared" si="38"/>
        <v>0</v>
      </c>
      <c r="BF15" s="1003">
        <f t="shared" si="39"/>
        <v>0</v>
      </c>
      <c r="BG15" s="1049">
        <f t="shared" si="40"/>
        <v>0</v>
      </c>
      <c r="BH15" s="2"/>
      <c r="BI15" s="1314"/>
      <c r="BJ15" s="2"/>
    </row>
    <row r="16" spans="1:62" ht="20.25" customHeight="1" x14ac:dyDescent="0.2">
      <c r="A16" s="2"/>
      <c r="B16" s="18">
        <v>9</v>
      </c>
      <c r="C16" s="155">
        <f t="shared" si="53"/>
        <v>9</v>
      </c>
      <c r="D16" s="156">
        <f t="shared" si="41"/>
        <v>1</v>
      </c>
      <c r="E16" s="1959">
        <f t="shared" si="9"/>
        <v>0</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54"/>
        <v>45300</v>
      </c>
      <c r="X16" s="489">
        <f t="shared" si="42"/>
        <v>0</v>
      </c>
      <c r="Y16" s="490">
        <f t="shared" si="43"/>
        <v>0</v>
      </c>
      <c r="Z16" s="490">
        <f t="shared" si="44"/>
        <v>0</v>
      </c>
      <c r="AA16" s="490">
        <f t="shared" si="45"/>
        <v>0</v>
      </c>
      <c r="AB16" s="490">
        <f t="shared" si="46"/>
        <v>0</v>
      </c>
      <c r="AC16" s="490">
        <f t="shared" si="47"/>
        <v>0</v>
      </c>
      <c r="AD16" s="491">
        <f t="shared" si="48"/>
        <v>0</v>
      </c>
      <c r="AE16" s="414">
        <f>VLOOKUP(W16,CASSA!$B$180:$C$545,2,FALSE)</f>
        <v>0</v>
      </c>
      <c r="AF16" s="512">
        <f t="shared" si="18"/>
        <v>0</v>
      </c>
      <c r="AG16" s="513">
        <f t="shared" si="19"/>
        <v>0</v>
      </c>
      <c r="AH16" s="490">
        <f t="shared" si="20"/>
        <v>0</v>
      </c>
      <c r="AI16" s="490">
        <f t="shared" si="21"/>
        <v>0</v>
      </c>
      <c r="AJ16" s="514">
        <f t="shared" si="22"/>
        <v>0</v>
      </c>
      <c r="AK16" s="1003">
        <f t="shared" si="49"/>
        <v>0</v>
      </c>
      <c r="AL16" s="512">
        <f t="shared" si="50"/>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51"/>
        <v/>
      </c>
      <c r="BA16" s="1048">
        <f t="shared" si="52"/>
        <v>0</v>
      </c>
      <c r="BB16" s="1003">
        <f t="shared" si="35"/>
        <v>0</v>
      </c>
      <c r="BC16" s="1003">
        <f t="shared" si="36"/>
        <v>0</v>
      </c>
      <c r="BD16" s="1003">
        <f t="shared" si="37"/>
        <v>0</v>
      </c>
      <c r="BE16" s="1003">
        <f t="shared" si="38"/>
        <v>0</v>
      </c>
      <c r="BF16" s="1003">
        <f t="shared" si="39"/>
        <v>0</v>
      </c>
      <c r="BG16" s="1049">
        <f t="shared" si="40"/>
        <v>0</v>
      </c>
      <c r="BH16" s="2"/>
      <c r="BI16" s="1314"/>
      <c r="BJ16" s="2"/>
    </row>
    <row r="17" spans="1:62" ht="20.25" customHeight="1" x14ac:dyDescent="0.2">
      <c r="A17" s="2"/>
      <c r="B17" s="18">
        <v>10</v>
      </c>
      <c r="C17" s="155">
        <f t="shared" si="53"/>
        <v>10</v>
      </c>
      <c r="D17" s="156">
        <f t="shared" si="41"/>
        <v>1</v>
      </c>
      <c r="E17" s="1959">
        <f t="shared" si="9"/>
        <v>0</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54"/>
        <v>45301</v>
      </c>
      <c r="X17" s="489">
        <f t="shared" si="42"/>
        <v>0</v>
      </c>
      <c r="Y17" s="490">
        <f t="shared" si="43"/>
        <v>0</v>
      </c>
      <c r="Z17" s="490">
        <f t="shared" si="44"/>
        <v>0</v>
      </c>
      <c r="AA17" s="490">
        <f t="shared" si="45"/>
        <v>0</v>
      </c>
      <c r="AB17" s="490">
        <f t="shared" si="46"/>
        <v>0</v>
      </c>
      <c r="AC17" s="490">
        <f t="shared" si="47"/>
        <v>0</v>
      </c>
      <c r="AD17" s="491">
        <f t="shared" si="48"/>
        <v>0</v>
      </c>
      <c r="AE17" s="414">
        <f>VLOOKUP(W17,CASSA!$B$180:$C$545,2,FALSE)</f>
        <v>0</v>
      </c>
      <c r="AF17" s="512">
        <f t="shared" si="18"/>
        <v>0</v>
      </c>
      <c r="AG17" s="513">
        <f t="shared" si="19"/>
        <v>0</v>
      </c>
      <c r="AH17" s="490">
        <f t="shared" si="20"/>
        <v>0</v>
      </c>
      <c r="AI17" s="490">
        <f t="shared" si="21"/>
        <v>0</v>
      </c>
      <c r="AJ17" s="514">
        <f t="shared" si="22"/>
        <v>0</v>
      </c>
      <c r="AK17" s="1003">
        <f t="shared" si="49"/>
        <v>0</v>
      </c>
      <c r="AL17" s="512">
        <f t="shared" si="50"/>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51"/>
        <v/>
      </c>
      <c r="BA17" s="1048">
        <f t="shared" si="52"/>
        <v>0</v>
      </c>
      <c r="BB17" s="1003">
        <f t="shared" si="35"/>
        <v>0</v>
      </c>
      <c r="BC17" s="1003">
        <f t="shared" si="36"/>
        <v>0</v>
      </c>
      <c r="BD17" s="1003">
        <f t="shared" si="37"/>
        <v>0</v>
      </c>
      <c r="BE17" s="1003">
        <f t="shared" si="38"/>
        <v>0</v>
      </c>
      <c r="BF17" s="1003">
        <f t="shared" si="39"/>
        <v>0</v>
      </c>
      <c r="BG17" s="1049">
        <f t="shared" si="40"/>
        <v>0</v>
      </c>
      <c r="BH17" s="2"/>
      <c r="BI17" s="1314"/>
      <c r="BJ17" s="2"/>
    </row>
    <row r="18" spans="1:62" ht="20.25" customHeight="1" x14ac:dyDescent="0.2">
      <c r="A18" s="2"/>
      <c r="B18" s="18">
        <v>11</v>
      </c>
      <c r="C18" s="155">
        <f t="shared" si="53"/>
        <v>11</v>
      </c>
      <c r="D18" s="156">
        <f t="shared" si="41"/>
        <v>1</v>
      </c>
      <c r="E18" s="1959">
        <f t="shared" si="9"/>
        <v>0</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54"/>
        <v>45302</v>
      </c>
      <c r="X18" s="489">
        <f t="shared" si="42"/>
        <v>0</v>
      </c>
      <c r="Y18" s="490">
        <f t="shared" si="43"/>
        <v>0</v>
      </c>
      <c r="Z18" s="490">
        <f t="shared" si="44"/>
        <v>0</v>
      </c>
      <c r="AA18" s="490">
        <f t="shared" si="45"/>
        <v>0</v>
      </c>
      <c r="AB18" s="490">
        <f t="shared" si="46"/>
        <v>0</v>
      </c>
      <c r="AC18" s="490">
        <f t="shared" si="47"/>
        <v>0</v>
      </c>
      <c r="AD18" s="491">
        <f t="shared" si="48"/>
        <v>0</v>
      </c>
      <c r="AE18" s="414">
        <f>VLOOKUP(W18,CASSA!$B$180:$C$545,2,FALSE)</f>
        <v>0</v>
      </c>
      <c r="AF18" s="512">
        <f t="shared" si="18"/>
        <v>0</v>
      </c>
      <c r="AG18" s="513">
        <f t="shared" si="19"/>
        <v>0</v>
      </c>
      <c r="AH18" s="490">
        <f t="shared" si="20"/>
        <v>0</v>
      </c>
      <c r="AI18" s="490">
        <f t="shared" si="21"/>
        <v>0</v>
      </c>
      <c r="AJ18" s="514">
        <f t="shared" si="22"/>
        <v>0</v>
      </c>
      <c r="AK18" s="1003">
        <f t="shared" si="49"/>
        <v>0</v>
      </c>
      <c r="AL18" s="512">
        <f t="shared" si="50"/>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51"/>
        <v/>
      </c>
      <c r="BA18" s="1048">
        <f t="shared" si="52"/>
        <v>0</v>
      </c>
      <c r="BB18" s="1003">
        <f t="shared" si="35"/>
        <v>0</v>
      </c>
      <c r="BC18" s="1003">
        <f t="shared" si="36"/>
        <v>0</v>
      </c>
      <c r="BD18" s="1003">
        <f t="shared" si="37"/>
        <v>0</v>
      </c>
      <c r="BE18" s="1003">
        <f t="shared" si="38"/>
        <v>0</v>
      </c>
      <c r="BF18" s="1003">
        <f t="shared" si="39"/>
        <v>0</v>
      </c>
      <c r="BG18" s="1049">
        <f t="shared" si="40"/>
        <v>0</v>
      </c>
      <c r="BH18" s="2"/>
      <c r="BI18" s="1314"/>
      <c r="BJ18" s="2"/>
    </row>
    <row r="19" spans="1:62" ht="20.25" customHeight="1" x14ac:dyDescent="0.2">
      <c r="A19" s="2"/>
      <c r="B19" s="18">
        <v>12</v>
      </c>
      <c r="C19" s="155">
        <f t="shared" si="53"/>
        <v>12</v>
      </c>
      <c r="D19" s="156">
        <f t="shared" si="41"/>
        <v>1</v>
      </c>
      <c r="E19" s="1959">
        <f t="shared" si="9"/>
        <v>0</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54"/>
        <v>45303</v>
      </c>
      <c r="X19" s="489">
        <f t="shared" si="42"/>
        <v>0</v>
      </c>
      <c r="Y19" s="490">
        <f t="shared" si="43"/>
        <v>0</v>
      </c>
      <c r="Z19" s="490">
        <f t="shared" si="44"/>
        <v>0</v>
      </c>
      <c r="AA19" s="490">
        <f t="shared" si="45"/>
        <v>0</v>
      </c>
      <c r="AB19" s="490">
        <f t="shared" si="46"/>
        <v>0</v>
      </c>
      <c r="AC19" s="490">
        <f t="shared" si="47"/>
        <v>0</v>
      </c>
      <c r="AD19" s="491">
        <f t="shared" si="48"/>
        <v>0</v>
      </c>
      <c r="AE19" s="414">
        <f>VLOOKUP(W19,CASSA!$B$180:$C$545,2,FALSE)</f>
        <v>0</v>
      </c>
      <c r="AF19" s="512">
        <f t="shared" si="18"/>
        <v>0</v>
      </c>
      <c r="AG19" s="513">
        <f t="shared" si="19"/>
        <v>0</v>
      </c>
      <c r="AH19" s="490">
        <f t="shared" si="20"/>
        <v>0</v>
      </c>
      <c r="AI19" s="490">
        <f t="shared" si="21"/>
        <v>0</v>
      </c>
      <c r="AJ19" s="514">
        <f t="shared" si="22"/>
        <v>0</v>
      </c>
      <c r="AK19" s="1003">
        <f t="shared" si="49"/>
        <v>0</v>
      </c>
      <c r="AL19" s="512">
        <f t="shared" si="50"/>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51"/>
        <v/>
      </c>
      <c r="BA19" s="1048">
        <f t="shared" si="52"/>
        <v>0</v>
      </c>
      <c r="BB19" s="1003">
        <f t="shared" si="35"/>
        <v>0</v>
      </c>
      <c r="BC19" s="1003">
        <f t="shared" si="36"/>
        <v>0</v>
      </c>
      <c r="BD19" s="1003">
        <f t="shared" si="37"/>
        <v>0</v>
      </c>
      <c r="BE19" s="1003">
        <f t="shared" si="38"/>
        <v>0</v>
      </c>
      <c r="BF19" s="1003">
        <f t="shared" si="39"/>
        <v>0</v>
      </c>
      <c r="BG19" s="1049">
        <f t="shared" si="40"/>
        <v>0</v>
      </c>
      <c r="BH19" s="2"/>
      <c r="BI19" s="1314"/>
      <c r="BJ19" s="2"/>
    </row>
    <row r="20" spans="1:62" ht="20.25" customHeight="1" x14ac:dyDescent="0.2">
      <c r="A20" s="2"/>
      <c r="B20" s="18">
        <v>13</v>
      </c>
      <c r="C20" s="155">
        <f t="shared" si="53"/>
        <v>13</v>
      </c>
      <c r="D20" s="156">
        <f t="shared" si="41"/>
        <v>1</v>
      </c>
      <c r="E20" s="1959">
        <f t="shared" si="9"/>
        <v>0</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54"/>
        <v>45304</v>
      </c>
      <c r="X20" s="489">
        <f t="shared" si="42"/>
        <v>0</v>
      </c>
      <c r="Y20" s="490">
        <f t="shared" si="43"/>
        <v>0</v>
      </c>
      <c r="Z20" s="490">
        <f t="shared" si="44"/>
        <v>0</v>
      </c>
      <c r="AA20" s="490">
        <f t="shared" si="45"/>
        <v>0</v>
      </c>
      <c r="AB20" s="490">
        <f t="shared" si="46"/>
        <v>0</v>
      </c>
      <c r="AC20" s="490">
        <f t="shared" si="47"/>
        <v>0</v>
      </c>
      <c r="AD20" s="491">
        <f t="shared" si="48"/>
        <v>0</v>
      </c>
      <c r="AE20" s="414">
        <f>VLOOKUP(W20,CASSA!$B$180:$C$545,2,FALSE)</f>
        <v>0</v>
      </c>
      <c r="AF20" s="512">
        <f t="shared" si="18"/>
        <v>0</v>
      </c>
      <c r="AG20" s="513">
        <f t="shared" si="19"/>
        <v>0</v>
      </c>
      <c r="AH20" s="490">
        <f t="shared" si="20"/>
        <v>0</v>
      </c>
      <c r="AI20" s="490">
        <f t="shared" si="21"/>
        <v>0</v>
      </c>
      <c r="AJ20" s="514">
        <f t="shared" si="22"/>
        <v>0</v>
      </c>
      <c r="AK20" s="1003">
        <f t="shared" si="49"/>
        <v>0</v>
      </c>
      <c r="AL20" s="512">
        <f t="shared" si="50"/>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51"/>
        <v/>
      </c>
      <c r="BA20" s="1048">
        <f t="shared" si="52"/>
        <v>0</v>
      </c>
      <c r="BB20" s="1003">
        <f t="shared" si="35"/>
        <v>0</v>
      </c>
      <c r="BC20" s="1003">
        <f t="shared" si="36"/>
        <v>0</v>
      </c>
      <c r="BD20" s="1003">
        <f t="shared" si="37"/>
        <v>0</v>
      </c>
      <c r="BE20" s="1003">
        <f t="shared" si="38"/>
        <v>0</v>
      </c>
      <c r="BF20" s="1003">
        <f t="shared" si="39"/>
        <v>0</v>
      </c>
      <c r="BG20" s="1049">
        <f t="shared" si="40"/>
        <v>0</v>
      </c>
      <c r="BH20" s="2"/>
      <c r="BI20" s="1314"/>
      <c r="BJ20" s="2"/>
    </row>
    <row r="21" spans="1:62" ht="20.25" customHeight="1" x14ac:dyDescent="0.2">
      <c r="A21" s="2"/>
      <c r="B21" s="18">
        <v>14</v>
      </c>
      <c r="C21" s="155">
        <f t="shared" si="53"/>
        <v>14</v>
      </c>
      <c r="D21" s="156">
        <f t="shared" si="41"/>
        <v>1</v>
      </c>
      <c r="E21" s="1959">
        <f t="shared" si="9"/>
        <v>0</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54"/>
        <v>45305</v>
      </c>
      <c r="X21" s="489">
        <f t="shared" si="42"/>
        <v>0</v>
      </c>
      <c r="Y21" s="490">
        <f t="shared" si="43"/>
        <v>0</v>
      </c>
      <c r="Z21" s="490">
        <f t="shared" si="44"/>
        <v>0</v>
      </c>
      <c r="AA21" s="490">
        <f t="shared" si="45"/>
        <v>0</v>
      </c>
      <c r="AB21" s="490">
        <f t="shared" si="46"/>
        <v>0</v>
      </c>
      <c r="AC21" s="490">
        <f t="shared" si="47"/>
        <v>0</v>
      </c>
      <c r="AD21" s="491">
        <f t="shared" si="48"/>
        <v>0</v>
      </c>
      <c r="AE21" s="414">
        <f>VLOOKUP(W21,CASSA!$B$180:$C$545,2,FALSE)</f>
        <v>0</v>
      </c>
      <c r="AF21" s="512">
        <f t="shared" si="18"/>
        <v>0</v>
      </c>
      <c r="AG21" s="513">
        <f t="shared" si="19"/>
        <v>0</v>
      </c>
      <c r="AH21" s="490">
        <f t="shared" si="20"/>
        <v>0</v>
      </c>
      <c r="AI21" s="490">
        <f t="shared" si="21"/>
        <v>0</v>
      </c>
      <c r="AJ21" s="514">
        <f t="shared" si="22"/>
        <v>0</v>
      </c>
      <c r="AK21" s="1003">
        <f t="shared" si="49"/>
        <v>0</v>
      </c>
      <c r="AL21" s="512">
        <f t="shared" si="50"/>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51"/>
        <v/>
      </c>
      <c r="BA21" s="1048">
        <f t="shared" si="52"/>
        <v>0</v>
      </c>
      <c r="BB21" s="1003">
        <f t="shared" si="35"/>
        <v>0</v>
      </c>
      <c r="BC21" s="1003">
        <f t="shared" si="36"/>
        <v>0</v>
      </c>
      <c r="BD21" s="1003">
        <f t="shared" si="37"/>
        <v>0</v>
      </c>
      <c r="BE21" s="1003">
        <f t="shared" si="38"/>
        <v>0</v>
      </c>
      <c r="BF21" s="1003">
        <f t="shared" si="39"/>
        <v>0</v>
      </c>
      <c r="BG21" s="1049">
        <f t="shared" si="40"/>
        <v>0</v>
      </c>
      <c r="BH21" s="2"/>
      <c r="BI21" s="1314"/>
      <c r="BJ21" s="2"/>
    </row>
    <row r="22" spans="1:62" ht="20.25" customHeight="1" x14ac:dyDescent="0.2">
      <c r="A22" s="2"/>
      <c r="B22" s="18">
        <v>15</v>
      </c>
      <c r="C22" s="155">
        <f t="shared" si="53"/>
        <v>15</v>
      </c>
      <c r="D22" s="156">
        <f t="shared" si="41"/>
        <v>1</v>
      </c>
      <c r="E22" s="1959">
        <f t="shared" si="9"/>
        <v>0</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54"/>
        <v>45306</v>
      </c>
      <c r="X22" s="489">
        <f t="shared" si="42"/>
        <v>0</v>
      </c>
      <c r="Y22" s="490">
        <f t="shared" si="43"/>
        <v>0</v>
      </c>
      <c r="Z22" s="490">
        <f t="shared" si="44"/>
        <v>0</v>
      </c>
      <c r="AA22" s="490">
        <f t="shared" si="45"/>
        <v>0</v>
      </c>
      <c r="AB22" s="490">
        <f t="shared" si="46"/>
        <v>0</v>
      </c>
      <c r="AC22" s="490">
        <f t="shared" si="47"/>
        <v>0</v>
      </c>
      <c r="AD22" s="491">
        <f t="shared" si="48"/>
        <v>0</v>
      </c>
      <c r="AE22" s="414">
        <f>VLOOKUP(W22,CASSA!$B$180:$C$545,2,FALSE)</f>
        <v>0</v>
      </c>
      <c r="AF22" s="512">
        <f t="shared" si="18"/>
        <v>0</v>
      </c>
      <c r="AG22" s="513">
        <f t="shared" si="19"/>
        <v>0</v>
      </c>
      <c r="AH22" s="490">
        <f t="shared" si="20"/>
        <v>0</v>
      </c>
      <c r="AI22" s="490">
        <f t="shared" si="21"/>
        <v>0</v>
      </c>
      <c r="AJ22" s="514">
        <f t="shared" si="22"/>
        <v>0</v>
      </c>
      <c r="AK22" s="1003">
        <f t="shared" si="49"/>
        <v>0</v>
      </c>
      <c r="AL22" s="512">
        <f t="shared" si="50"/>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51"/>
        <v/>
      </c>
      <c r="BA22" s="1048">
        <f t="shared" si="52"/>
        <v>0</v>
      </c>
      <c r="BB22" s="1003">
        <f t="shared" si="35"/>
        <v>0</v>
      </c>
      <c r="BC22" s="1003">
        <f t="shared" si="36"/>
        <v>0</v>
      </c>
      <c r="BD22" s="1003">
        <f t="shared" si="37"/>
        <v>0</v>
      </c>
      <c r="BE22" s="1003">
        <f t="shared" si="38"/>
        <v>0</v>
      </c>
      <c r="BF22" s="1003">
        <f t="shared" si="39"/>
        <v>0</v>
      </c>
      <c r="BG22" s="1049">
        <f t="shared" si="40"/>
        <v>0</v>
      </c>
      <c r="BH22" s="2"/>
      <c r="BI22" s="1314"/>
      <c r="BJ22" s="2"/>
    </row>
    <row r="23" spans="1:62" ht="20.25" customHeight="1" x14ac:dyDescent="0.2">
      <c r="A23" s="2"/>
      <c r="B23" s="18">
        <v>16</v>
      </c>
      <c r="C23" s="155">
        <f t="shared" si="53"/>
        <v>16</v>
      </c>
      <c r="D23" s="156">
        <f t="shared" si="41"/>
        <v>1</v>
      </c>
      <c r="E23" s="1959">
        <f t="shared" si="9"/>
        <v>0</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54"/>
        <v>45307</v>
      </c>
      <c r="X23" s="489">
        <f t="shared" si="42"/>
        <v>0</v>
      </c>
      <c r="Y23" s="490">
        <f t="shared" si="43"/>
        <v>0</v>
      </c>
      <c r="Z23" s="490">
        <f t="shared" si="44"/>
        <v>0</v>
      </c>
      <c r="AA23" s="490">
        <f t="shared" si="45"/>
        <v>0</v>
      </c>
      <c r="AB23" s="490">
        <f t="shared" si="46"/>
        <v>0</v>
      </c>
      <c r="AC23" s="490">
        <f t="shared" si="47"/>
        <v>0</v>
      </c>
      <c r="AD23" s="491">
        <f t="shared" si="48"/>
        <v>0</v>
      </c>
      <c r="AE23" s="414">
        <f>VLOOKUP(W23,CASSA!$B$180:$C$545,2,FALSE)</f>
        <v>0</v>
      </c>
      <c r="AF23" s="512">
        <f t="shared" si="18"/>
        <v>0</v>
      </c>
      <c r="AG23" s="513">
        <f t="shared" si="19"/>
        <v>0</v>
      </c>
      <c r="AH23" s="490">
        <f t="shared" si="20"/>
        <v>0</v>
      </c>
      <c r="AI23" s="490">
        <f t="shared" si="21"/>
        <v>0</v>
      </c>
      <c r="AJ23" s="514">
        <f t="shared" si="22"/>
        <v>0</v>
      </c>
      <c r="AK23" s="1003">
        <f t="shared" si="49"/>
        <v>0</v>
      </c>
      <c r="AL23" s="512">
        <f t="shared" si="50"/>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51"/>
        <v/>
      </c>
      <c r="BA23" s="1048">
        <f t="shared" si="52"/>
        <v>0</v>
      </c>
      <c r="BB23" s="1003">
        <f t="shared" si="35"/>
        <v>0</v>
      </c>
      <c r="BC23" s="1003">
        <f t="shared" si="36"/>
        <v>0</v>
      </c>
      <c r="BD23" s="1003">
        <f t="shared" si="37"/>
        <v>0</v>
      </c>
      <c r="BE23" s="1003">
        <f t="shared" si="38"/>
        <v>0</v>
      </c>
      <c r="BF23" s="1003">
        <f t="shared" si="39"/>
        <v>0</v>
      </c>
      <c r="BG23" s="1049">
        <f t="shared" si="40"/>
        <v>0</v>
      </c>
      <c r="BH23" s="2"/>
      <c r="BI23" s="1314"/>
      <c r="BJ23" s="2"/>
    </row>
    <row r="24" spans="1:62" ht="20.25" customHeight="1" x14ac:dyDescent="0.2">
      <c r="A24" s="2"/>
      <c r="B24" s="18">
        <v>17</v>
      </c>
      <c r="C24" s="155">
        <f t="shared" si="53"/>
        <v>17</v>
      </c>
      <c r="D24" s="156">
        <f t="shared" si="41"/>
        <v>1</v>
      </c>
      <c r="E24" s="1959">
        <f t="shared" si="9"/>
        <v>0</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54"/>
        <v>45308</v>
      </c>
      <c r="X24" s="489">
        <f t="shared" si="42"/>
        <v>0</v>
      </c>
      <c r="Y24" s="490">
        <f t="shared" si="43"/>
        <v>0</v>
      </c>
      <c r="Z24" s="490">
        <f t="shared" si="44"/>
        <v>0</v>
      </c>
      <c r="AA24" s="490">
        <f t="shared" si="45"/>
        <v>0</v>
      </c>
      <c r="AB24" s="490">
        <f t="shared" si="46"/>
        <v>0</v>
      </c>
      <c r="AC24" s="490">
        <f t="shared" si="47"/>
        <v>0</v>
      </c>
      <c r="AD24" s="491">
        <f t="shared" si="48"/>
        <v>0</v>
      </c>
      <c r="AE24" s="414">
        <f>VLOOKUP(W24,CASSA!$B$180:$C$545,2,FALSE)</f>
        <v>0</v>
      </c>
      <c r="AF24" s="512">
        <f t="shared" si="18"/>
        <v>0</v>
      </c>
      <c r="AG24" s="513">
        <f t="shared" si="19"/>
        <v>0</v>
      </c>
      <c r="AH24" s="490">
        <f t="shared" si="20"/>
        <v>0</v>
      </c>
      <c r="AI24" s="490">
        <f t="shared" si="21"/>
        <v>0</v>
      </c>
      <c r="AJ24" s="514">
        <f t="shared" si="22"/>
        <v>0</v>
      </c>
      <c r="AK24" s="1003">
        <f t="shared" si="49"/>
        <v>0</v>
      </c>
      <c r="AL24" s="512">
        <f t="shared" si="50"/>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51"/>
        <v/>
      </c>
      <c r="BA24" s="1048">
        <f t="shared" si="52"/>
        <v>0</v>
      </c>
      <c r="BB24" s="1003">
        <f t="shared" si="35"/>
        <v>0</v>
      </c>
      <c r="BC24" s="1003">
        <f t="shared" si="36"/>
        <v>0</v>
      </c>
      <c r="BD24" s="1003">
        <f t="shared" si="37"/>
        <v>0</v>
      </c>
      <c r="BE24" s="1003">
        <f t="shared" si="38"/>
        <v>0</v>
      </c>
      <c r="BF24" s="1003">
        <f t="shared" si="39"/>
        <v>0</v>
      </c>
      <c r="BG24" s="1049">
        <f t="shared" si="40"/>
        <v>0</v>
      </c>
      <c r="BH24" s="2"/>
      <c r="BI24" s="1314"/>
      <c r="BJ24" s="2"/>
    </row>
    <row r="25" spans="1:62" ht="20.25" customHeight="1" x14ac:dyDescent="0.2">
      <c r="A25" s="2"/>
      <c r="B25" s="18">
        <v>18</v>
      </c>
      <c r="C25" s="155">
        <f t="shared" si="53"/>
        <v>18</v>
      </c>
      <c r="D25" s="156">
        <f t="shared" si="41"/>
        <v>1</v>
      </c>
      <c r="E25" s="1959">
        <f t="shared" si="9"/>
        <v>0</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54"/>
        <v>45309</v>
      </c>
      <c r="X25" s="489">
        <f t="shared" si="42"/>
        <v>0</v>
      </c>
      <c r="Y25" s="490">
        <f t="shared" si="43"/>
        <v>0</v>
      </c>
      <c r="Z25" s="490">
        <f t="shared" si="44"/>
        <v>0</v>
      </c>
      <c r="AA25" s="490">
        <f t="shared" si="45"/>
        <v>0</v>
      </c>
      <c r="AB25" s="490">
        <f t="shared" si="46"/>
        <v>0</v>
      </c>
      <c r="AC25" s="490">
        <f t="shared" si="47"/>
        <v>0</v>
      </c>
      <c r="AD25" s="491">
        <f t="shared" si="48"/>
        <v>0</v>
      </c>
      <c r="AE25" s="414">
        <f>VLOOKUP(W25,CASSA!$B$180:$C$545,2,FALSE)</f>
        <v>0</v>
      </c>
      <c r="AF25" s="512">
        <f t="shared" si="18"/>
        <v>0</v>
      </c>
      <c r="AG25" s="513">
        <f t="shared" si="19"/>
        <v>0</v>
      </c>
      <c r="AH25" s="490">
        <f t="shared" si="20"/>
        <v>0</v>
      </c>
      <c r="AI25" s="490">
        <f t="shared" si="21"/>
        <v>0</v>
      </c>
      <c r="AJ25" s="514">
        <f t="shared" si="22"/>
        <v>0</v>
      </c>
      <c r="AK25" s="1003">
        <f t="shared" si="49"/>
        <v>0</v>
      </c>
      <c r="AL25" s="512">
        <f t="shared" si="50"/>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51"/>
        <v/>
      </c>
      <c r="BA25" s="1048">
        <f t="shared" si="52"/>
        <v>0</v>
      </c>
      <c r="BB25" s="1003">
        <f t="shared" si="35"/>
        <v>0</v>
      </c>
      <c r="BC25" s="1003">
        <f t="shared" si="36"/>
        <v>0</v>
      </c>
      <c r="BD25" s="1003">
        <f t="shared" si="37"/>
        <v>0</v>
      </c>
      <c r="BE25" s="1003">
        <f t="shared" si="38"/>
        <v>0</v>
      </c>
      <c r="BF25" s="1003">
        <f t="shared" si="39"/>
        <v>0</v>
      </c>
      <c r="BG25" s="1049">
        <f t="shared" si="40"/>
        <v>0</v>
      </c>
      <c r="BH25" s="2"/>
      <c r="BI25" s="1314"/>
      <c r="BJ25" s="2"/>
    </row>
    <row r="26" spans="1:62" ht="20.25" customHeight="1" x14ac:dyDescent="0.2">
      <c r="A26" s="2"/>
      <c r="B26" s="18">
        <v>19</v>
      </c>
      <c r="C26" s="155">
        <f t="shared" si="53"/>
        <v>19</v>
      </c>
      <c r="D26" s="156">
        <f t="shared" si="41"/>
        <v>1</v>
      </c>
      <c r="E26" s="1959">
        <f t="shared" si="9"/>
        <v>0</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54"/>
        <v>45310</v>
      </c>
      <c r="X26" s="489">
        <f t="shared" si="42"/>
        <v>0</v>
      </c>
      <c r="Y26" s="490">
        <f t="shared" si="43"/>
        <v>0</v>
      </c>
      <c r="Z26" s="490">
        <f t="shared" si="44"/>
        <v>0</v>
      </c>
      <c r="AA26" s="490">
        <f t="shared" si="45"/>
        <v>0</v>
      </c>
      <c r="AB26" s="490">
        <f t="shared" si="46"/>
        <v>0</v>
      </c>
      <c r="AC26" s="490">
        <f t="shared" si="47"/>
        <v>0</v>
      </c>
      <c r="AD26" s="491">
        <f t="shared" si="48"/>
        <v>0</v>
      </c>
      <c r="AE26" s="414">
        <f>VLOOKUP(W26,CASSA!$B$180:$C$545,2,FALSE)</f>
        <v>0</v>
      </c>
      <c r="AF26" s="512">
        <f t="shared" si="18"/>
        <v>0</v>
      </c>
      <c r="AG26" s="513">
        <f t="shared" si="19"/>
        <v>0</v>
      </c>
      <c r="AH26" s="490">
        <f t="shared" si="20"/>
        <v>0</v>
      </c>
      <c r="AI26" s="490">
        <f t="shared" si="21"/>
        <v>0</v>
      </c>
      <c r="AJ26" s="514">
        <f t="shared" si="22"/>
        <v>0</v>
      </c>
      <c r="AK26" s="1003">
        <f t="shared" si="49"/>
        <v>0</v>
      </c>
      <c r="AL26" s="512">
        <f t="shared" si="50"/>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51"/>
        <v/>
      </c>
      <c r="BA26" s="1048">
        <f t="shared" si="52"/>
        <v>0</v>
      </c>
      <c r="BB26" s="1003">
        <f t="shared" si="35"/>
        <v>0</v>
      </c>
      <c r="BC26" s="1003">
        <f t="shared" si="36"/>
        <v>0</v>
      </c>
      <c r="BD26" s="1003">
        <f t="shared" si="37"/>
        <v>0</v>
      </c>
      <c r="BE26" s="1003">
        <f t="shared" si="38"/>
        <v>0</v>
      </c>
      <c r="BF26" s="1003">
        <f t="shared" si="39"/>
        <v>0</v>
      </c>
      <c r="BG26" s="1049">
        <f t="shared" si="40"/>
        <v>0</v>
      </c>
      <c r="BH26" s="2"/>
      <c r="BI26" s="1314"/>
      <c r="BJ26" s="2"/>
    </row>
    <row r="27" spans="1:62" ht="20.25" customHeight="1" x14ac:dyDescent="0.2">
      <c r="A27" s="2"/>
      <c r="B27" s="18">
        <v>20</v>
      </c>
      <c r="C27" s="155">
        <f t="shared" si="53"/>
        <v>20</v>
      </c>
      <c r="D27" s="156">
        <f t="shared" si="41"/>
        <v>1</v>
      </c>
      <c r="E27" s="1959">
        <f t="shared" si="9"/>
        <v>0</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54"/>
        <v>45311</v>
      </c>
      <c r="X27" s="489">
        <f t="shared" si="42"/>
        <v>0</v>
      </c>
      <c r="Y27" s="490">
        <f t="shared" si="43"/>
        <v>0</v>
      </c>
      <c r="Z27" s="490">
        <f t="shared" si="44"/>
        <v>0</v>
      </c>
      <c r="AA27" s="490">
        <f t="shared" si="45"/>
        <v>0</v>
      </c>
      <c r="AB27" s="490">
        <f t="shared" si="46"/>
        <v>0</v>
      </c>
      <c r="AC27" s="490">
        <f t="shared" si="47"/>
        <v>0</v>
      </c>
      <c r="AD27" s="491">
        <f t="shared" si="48"/>
        <v>0</v>
      </c>
      <c r="AE27" s="414">
        <f>VLOOKUP(W27,CASSA!$B$180:$C$545,2,FALSE)</f>
        <v>0</v>
      </c>
      <c r="AF27" s="512">
        <f t="shared" si="18"/>
        <v>0</v>
      </c>
      <c r="AG27" s="513">
        <f t="shared" si="19"/>
        <v>0</v>
      </c>
      <c r="AH27" s="490">
        <f t="shared" si="20"/>
        <v>0</v>
      </c>
      <c r="AI27" s="490">
        <f t="shared" si="21"/>
        <v>0</v>
      </c>
      <c r="AJ27" s="514">
        <f t="shared" si="22"/>
        <v>0</v>
      </c>
      <c r="AK27" s="1003">
        <f t="shared" si="49"/>
        <v>0</v>
      </c>
      <c r="AL27" s="512">
        <f t="shared" si="50"/>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51"/>
        <v/>
      </c>
      <c r="BA27" s="1048">
        <f t="shared" si="52"/>
        <v>0</v>
      </c>
      <c r="BB27" s="1003">
        <f t="shared" si="35"/>
        <v>0</v>
      </c>
      <c r="BC27" s="1003">
        <f t="shared" si="36"/>
        <v>0</v>
      </c>
      <c r="BD27" s="1003">
        <f t="shared" si="37"/>
        <v>0</v>
      </c>
      <c r="BE27" s="1003">
        <f t="shared" si="38"/>
        <v>0</v>
      </c>
      <c r="BF27" s="1003">
        <f t="shared" si="39"/>
        <v>0</v>
      </c>
      <c r="BG27" s="1049">
        <f t="shared" si="40"/>
        <v>0</v>
      </c>
      <c r="BH27" s="2"/>
      <c r="BI27" s="1314"/>
      <c r="BJ27" s="2"/>
    </row>
    <row r="28" spans="1:62" ht="20.25" customHeight="1" x14ac:dyDescent="0.2">
      <c r="A28" s="2"/>
      <c r="B28" s="18">
        <v>21</v>
      </c>
      <c r="C28" s="155">
        <f t="shared" si="53"/>
        <v>21</v>
      </c>
      <c r="D28" s="156">
        <f t="shared" si="41"/>
        <v>1</v>
      </c>
      <c r="E28" s="1959">
        <f t="shared" si="9"/>
        <v>0</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54"/>
        <v>45312</v>
      </c>
      <c r="X28" s="489">
        <f t="shared" si="42"/>
        <v>0</v>
      </c>
      <c r="Y28" s="490">
        <f t="shared" si="43"/>
        <v>0</v>
      </c>
      <c r="Z28" s="490">
        <f t="shared" si="44"/>
        <v>0</v>
      </c>
      <c r="AA28" s="490">
        <f t="shared" si="45"/>
        <v>0</v>
      </c>
      <c r="AB28" s="490">
        <f t="shared" si="46"/>
        <v>0</v>
      </c>
      <c r="AC28" s="490">
        <f t="shared" si="47"/>
        <v>0</v>
      </c>
      <c r="AD28" s="491">
        <f t="shared" si="48"/>
        <v>0</v>
      </c>
      <c r="AE28" s="414">
        <f>VLOOKUP(W28,CASSA!$B$180:$C$545,2,FALSE)</f>
        <v>0</v>
      </c>
      <c r="AF28" s="512">
        <f t="shared" si="18"/>
        <v>0</v>
      </c>
      <c r="AG28" s="513">
        <f t="shared" si="19"/>
        <v>0</v>
      </c>
      <c r="AH28" s="490">
        <f t="shared" si="20"/>
        <v>0</v>
      </c>
      <c r="AI28" s="490">
        <f t="shared" si="21"/>
        <v>0</v>
      </c>
      <c r="AJ28" s="514">
        <f t="shared" si="22"/>
        <v>0</v>
      </c>
      <c r="AK28" s="1003">
        <f t="shared" si="49"/>
        <v>0</v>
      </c>
      <c r="AL28" s="512">
        <f t="shared" si="50"/>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51"/>
        <v/>
      </c>
      <c r="BA28" s="1048">
        <f t="shared" si="52"/>
        <v>0</v>
      </c>
      <c r="BB28" s="1003">
        <f t="shared" si="35"/>
        <v>0</v>
      </c>
      <c r="BC28" s="1003">
        <f t="shared" si="36"/>
        <v>0</v>
      </c>
      <c r="BD28" s="1003">
        <f t="shared" si="37"/>
        <v>0</v>
      </c>
      <c r="BE28" s="1003">
        <f t="shared" si="38"/>
        <v>0</v>
      </c>
      <c r="BF28" s="1003">
        <f t="shared" si="39"/>
        <v>0</v>
      </c>
      <c r="BG28" s="1049">
        <f t="shared" si="40"/>
        <v>0</v>
      </c>
      <c r="BH28" s="2"/>
      <c r="BI28" s="1314"/>
      <c r="BJ28" s="2"/>
    </row>
    <row r="29" spans="1:62" ht="20.25" customHeight="1" x14ac:dyDescent="0.2">
      <c r="A29" s="2"/>
      <c r="B29" s="18">
        <v>22</v>
      </c>
      <c r="C29" s="155">
        <f t="shared" si="53"/>
        <v>22</v>
      </c>
      <c r="D29" s="156">
        <f t="shared" si="41"/>
        <v>1</v>
      </c>
      <c r="E29" s="1959">
        <f t="shared" si="9"/>
        <v>0</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54"/>
        <v>45313</v>
      </c>
      <c r="X29" s="489">
        <f t="shared" si="42"/>
        <v>0</v>
      </c>
      <c r="Y29" s="490">
        <f t="shared" si="43"/>
        <v>0</v>
      </c>
      <c r="Z29" s="490">
        <f t="shared" si="44"/>
        <v>0</v>
      </c>
      <c r="AA29" s="490">
        <f t="shared" si="45"/>
        <v>0</v>
      </c>
      <c r="AB29" s="490">
        <f t="shared" si="46"/>
        <v>0</v>
      </c>
      <c r="AC29" s="490">
        <f t="shared" si="47"/>
        <v>0</v>
      </c>
      <c r="AD29" s="491">
        <f t="shared" si="48"/>
        <v>0</v>
      </c>
      <c r="AE29" s="414">
        <f>VLOOKUP(W29,CASSA!$B$180:$C$545,2,FALSE)</f>
        <v>0</v>
      </c>
      <c r="AF29" s="512">
        <f t="shared" si="18"/>
        <v>0</v>
      </c>
      <c r="AG29" s="513">
        <f t="shared" si="19"/>
        <v>0</v>
      </c>
      <c r="AH29" s="490">
        <f t="shared" si="20"/>
        <v>0</v>
      </c>
      <c r="AI29" s="490">
        <f t="shared" si="21"/>
        <v>0</v>
      </c>
      <c r="AJ29" s="514">
        <f t="shared" si="22"/>
        <v>0</v>
      </c>
      <c r="AK29" s="1003">
        <f t="shared" si="49"/>
        <v>0</v>
      </c>
      <c r="AL29" s="512">
        <f t="shared" si="50"/>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51"/>
        <v/>
      </c>
      <c r="BA29" s="1048">
        <f t="shared" si="52"/>
        <v>0</v>
      </c>
      <c r="BB29" s="1003">
        <f t="shared" si="35"/>
        <v>0</v>
      </c>
      <c r="BC29" s="1003">
        <f t="shared" si="36"/>
        <v>0</v>
      </c>
      <c r="BD29" s="1003">
        <f t="shared" si="37"/>
        <v>0</v>
      </c>
      <c r="BE29" s="1003">
        <f t="shared" si="38"/>
        <v>0</v>
      </c>
      <c r="BF29" s="1003">
        <f t="shared" si="39"/>
        <v>0</v>
      </c>
      <c r="BG29" s="1049">
        <f t="shared" si="40"/>
        <v>0</v>
      </c>
      <c r="BH29" s="2"/>
      <c r="BI29" s="1314"/>
      <c r="BJ29" s="2"/>
    </row>
    <row r="30" spans="1:62" ht="20.25" customHeight="1" x14ac:dyDescent="0.2">
      <c r="A30" s="2"/>
      <c r="B30" s="18">
        <v>23</v>
      </c>
      <c r="C30" s="155">
        <f t="shared" si="53"/>
        <v>23</v>
      </c>
      <c r="D30" s="156">
        <f t="shared" si="41"/>
        <v>1</v>
      </c>
      <c r="E30" s="1959">
        <f t="shared" si="9"/>
        <v>0</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54"/>
        <v>45314</v>
      </c>
      <c r="X30" s="489">
        <f t="shared" si="42"/>
        <v>0</v>
      </c>
      <c r="Y30" s="490">
        <f t="shared" si="43"/>
        <v>0</v>
      </c>
      <c r="Z30" s="490">
        <f t="shared" si="44"/>
        <v>0</v>
      </c>
      <c r="AA30" s="490">
        <f t="shared" si="45"/>
        <v>0</v>
      </c>
      <c r="AB30" s="490">
        <f t="shared" si="46"/>
        <v>0</v>
      </c>
      <c r="AC30" s="490">
        <f t="shared" si="47"/>
        <v>0</v>
      </c>
      <c r="AD30" s="491">
        <f t="shared" si="48"/>
        <v>0</v>
      </c>
      <c r="AE30" s="414">
        <f>VLOOKUP(W30,CASSA!$B$180:$C$545,2,FALSE)</f>
        <v>0</v>
      </c>
      <c r="AF30" s="512">
        <f t="shared" si="18"/>
        <v>0</v>
      </c>
      <c r="AG30" s="513">
        <f t="shared" si="19"/>
        <v>0</v>
      </c>
      <c r="AH30" s="490">
        <f t="shared" si="20"/>
        <v>0</v>
      </c>
      <c r="AI30" s="490">
        <f t="shared" si="21"/>
        <v>0</v>
      </c>
      <c r="AJ30" s="514">
        <f t="shared" si="22"/>
        <v>0</v>
      </c>
      <c r="AK30" s="1003">
        <f t="shared" si="49"/>
        <v>0</v>
      </c>
      <c r="AL30" s="512">
        <f t="shared" si="50"/>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51"/>
        <v/>
      </c>
      <c r="BA30" s="1048">
        <f t="shared" si="52"/>
        <v>0</v>
      </c>
      <c r="BB30" s="1003">
        <f t="shared" si="35"/>
        <v>0</v>
      </c>
      <c r="BC30" s="1003">
        <f t="shared" si="36"/>
        <v>0</v>
      </c>
      <c r="BD30" s="1003">
        <f t="shared" si="37"/>
        <v>0</v>
      </c>
      <c r="BE30" s="1003">
        <f t="shared" si="38"/>
        <v>0</v>
      </c>
      <c r="BF30" s="1003">
        <f t="shared" si="39"/>
        <v>0</v>
      </c>
      <c r="BG30" s="1049">
        <f t="shared" si="40"/>
        <v>0</v>
      </c>
      <c r="BH30" s="2"/>
      <c r="BI30" s="1314"/>
      <c r="BJ30" s="2"/>
    </row>
    <row r="31" spans="1:62" ht="20.25" customHeight="1" x14ac:dyDescent="0.2">
      <c r="A31" s="2"/>
      <c r="B31" s="18">
        <v>24</v>
      </c>
      <c r="C31" s="155">
        <f t="shared" si="53"/>
        <v>24</v>
      </c>
      <c r="D31" s="156">
        <f t="shared" si="41"/>
        <v>1</v>
      </c>
      <c r="E31" s="1959">
        <f t="shared" si="9"/>
        <v>0</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54"/>
        <v>45315</v>
      </c>
      <c r="X31" s="489">
        <f t="shared" si="42"/>
        <v>0</v>
      </c>
      <c r="Y31" s="490">
        <f t="shared" si="43"/>
        <v>0</v>
      </c>
      <c r="Z31" s="490">
        <f t="shared" si="44"/>
        <v>0</v>
      </c>
      <c r="AA31" s="490">
        <f t="shared" si="45"/>
        <v>0</v>
      </c>
      <c r="AB31" s="490">
        <f t="shared" si="46"/>
        <v>0</v>
      </c>
      <c r="AC31" s="490">
        <f t="shared" si="47"/>
        <v>0</v>
      </c>
      <c r="AD31" s="491">
        <f t="shared" si="48"/>
        <v>0</v>
      </c>
      <c r="AE31" s="414">
        <f>VLOOKUP(W31,CASSA!$B$180:$C$545,2,FALSE)</f>
        <v>0</v>
      </c>
      <c r="AF31" s="512">
        <f t="shared" si="18"/>
        <v>0</v>
      </c>
      <c r="AG31" s="513">
        <f t="shared" si="19"/>
        <v>0</v>
      </c>
      <c r="AH31" s="490">
        <f t="shared" si="20"/>
        <v>0</v>
      </c>
      <c r="AI31" s="490">
        <f t="shared" si="21"/>
        <v>0</v>
      </c>
      <c r="AJ31" s="514">
        <f t="shared" si="22"/>
        <v>0</v>
      </c>
      <c r="AK31" s="1003">
        <f t="shared" si="49"/>
        <v>0</v>
      </c>
      <c r="AL31" s="512">
        <f t="shared" si="50"/>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51"/>
        <v/>
      </c>
      <c r="BA31" s="1048">
        <f t="shared" si="52"/>
        <v>0</v>
      </c>
      <c r="BB31" s="1003">
        <f t="shared" si="35"/>
        <v>0</v>
      </c>
      <c r="BC31" s="1003">
        <f t="shared" si="36"/>
        <v>0</v>
      </c>
      <c r="BD31" s="1003">
        <f t="shared" si="37"/>
        <v>0</v>
      </c>
      <c r="BE31" s="1003">
        <f t="shared" si="38"/>
        <v>0</v>
      </c>
      <c r="BF31" s="1003">
        <f t="shared" si="39"/>
        <v>0</v>
      </c>
      <c r="BG31" s="1049">
        <f t="shared" si="40"/>
        <v>0</v>
      </c>
      <c r="BH31" s="2"/>
      <c r="BI31" s="1314"/>
      <c r="BJ31" s="2"/>
    </row>
    <row r="32" spans="1:62" ht="20.25" customHeight="1" x14ac:dyDescent="0.2">
      <c r="A32" s="2"/>
      <c r="B32" s="18">
        <v>25</v>
      </c>
      <c r="C32" s="155">
        <f t="shared" si="53"/>
        <v>25</v>
      </c>
      <c r="D32" s="156">
        <f t="shared" si="41"/>
        <v>1</v>
      </c>
      <c r="E32" s="1959">
        <f t="shared" si="9"/>
        <v>0</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54"/>
        <v>45316</v>
      </c>
      <c r="X32" s="489">
        <f t="shared" si="42"/>
        <v>0</v>
      </c>
      <c r="Y32" s="490">
        <f t="shared" si="43"/>
        <v>0</v>
      </c>
      <c r="Z32" s="490">
        <f t="shared" si="44"/>
        <v>0</v>
      </c>
      <c r="AA32" s="490">
        <f t="shared" si="45"/>
        <v>0</v>
      </c>
      <c r="AB32" s="490">
        <f t="shared" si="46"/>
        <v>0</v>
      </c>
      <c r="AC32" s="490">
        <f t="shared" si="47"/>
        <v>0</v>
      </c>
      <c r="AD32" s="491">
        <f t="shared" si="48"/>
        <v>0</v>
      </c>
      <c r="AE32" s="414">
        <f>VLOOKUP(W32,CASSA!$B$180:$C$545,2,FALSE)</f>
        <v>0</v>
      </c>
      <c r="AF32" s="512">
        <f t="shared" si="18"/>
        <v>0</v>
      </c>
      <c r="AG32" s="513">
        <f t="shared" si="19"/>
        <v>0</v>
      </c>
      <c r="AH32" s="490">
        <f t="shared" si="20"/>
        <v>0</v>
      </c>
      <c r="AI32" s="490">
        <f t="shared" si="21"/>
        <v>0</v>
      </c>
      <c r="AJ32" s="514">
        <f t="shared" si="22"/>
        <v>0</v>
      </c>
      <c r="AK32" s="1003">
        <f t="shared" si="49"/>
        <v>0</v>
      </c>
      <c r="AL32" s="512">
        <f t="shared" si="50"/>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51"/>
        <v/>
      </c>
      <c r="BA32" s="1048">
        <f t="shared" si="52"/>
        <v>0</v>
      </c>
      <c r="BB32" s="1003">
        <f t="shared" si="35"/>
        <v>0</v>
      </c>
      <c r="BC32" s="1003">
        <f t="shared" si="36"/>
        <v>0</v>
      </c>
      <c r="BD32" s="1003">
        <f t="shared" si="37"/>
        <v>0</v>
      </c>
      <c r="BE32" s="1003">
        <f t="shared" si="38"/>
        <v>0</v>
      </c>
      <c r="BF32" s="1003">
        <f t="shared" si="39"/>
        <v>0</v>
      </c>
      <c r="BG32" s="1049">
        <f t="shared" si="40"/>
        <v>0</v>
      </c>
      <c r="BH32" s="2"/>
      <c r="BI32" s="1314"/>
      <c r="BJ32" s="2"/>
    </row>
    <row r="33" spans="1:62" ht="20.25" customHeight="1" x14ac:dyDescent="0.2">
      <c r="A33" s="2"/>
      <c r="B33" s="18">
        <v>26</v>
      </c>
      <c r="C33" s="155">
        <f t="shared" si="53"/>
        <v>26</v>
      </c>
      <c r="D33" s="156">
        <f t="shared" si="41"/>
        <v>1</v>
      </c>
      <c r="E33" s="1959">
        <f t="shared" si="9"/>
        <v>0</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54"/>
        <v>45317</v>
      </c>
      <c r="X33" s="489">
        <f t="shared" si="42"/>
        <v>0</v>
      </c>
      <c r="Y33" s="490">
        <f t="shared" si="43"/>
        <v>0</v>
      </c>
      <c r="Z33" s="490">
        <f t="shared" si="44"/>
        <v>0</v>
      </c>
      <c r="AA33" s="490">
        <f t="shared" si="45"/>
        <v>0</v>
      </c>
      <c r="AB33" s="490">
        <f t="shared" si="46"/>
        <v>0</v>
      </c>
      <c r="AC33" s="490">
        <f t="shared" si="47"/>
        <v>0</v>
      </c>
      <c r="AD33" s="491">
        <f t="shared" si="48"/>
        <v>0</v>
      </c>
      <c r="AE33" s="414">
        <f>VLOOKUP(W33,CASSA!$B$180:$C$545,2,FALSE)</f>
        <v>0</v>
      </c>
      <c r="AF33" s="512">
        <f t="shared" si="18"/>
        <v>0</v>
      </c>
      <c r="AG33" s="513">
        <f t="shared" si="19"/>
        <v>0</v>
      </c>
      <c r="AH33" s="490">
        <f t="shared" si="20"/>
        <v>0</v>
      </c>
      <c r="AI33" s="490">
        <f t="shared" si="21"/>
        <v>0</v>
      </c>
      <c r="AJ33" s="514">
        <f t="shared" si="22"/>
        <v>0</v>
      </c>
      <c r="AK33" s="1003">
        <f t="shared" si="49"/>
        <v>0</v>
      </c>
      <c r="AL33" s="512">
        <f t="shared" si="50"/>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51"/>
        <v/>
      </c>
      <c r="BA33" s="1048">
        <f t="shared" si="52"/>
        <v>0</v>
      </c>
      <c r="BB33" s="1003">
        <f t="shared" si="35"/>
        <v>0</v>
      </c>
      <c r="BC33" s="1003">
        <f t="shared" si="36"/>
        <v>0</v>
      </c>
      <c r="BD33" s="1003">
        <f t="shared" si="37"/>
        <v>0</v>
      </c>
      <c r="BE33" s="1003">
        <f t="shared" si="38"/>
        <v>0</v>
      </c>
      <c r="BF33" s="1003">
        <f t="shared" si="39"/>
        <v>0</v>
      </c>
      <c r="BG33" s="1049">
        <f t="shared" si="40"/>
        <v>0</v>
      </c>
      <c r="BH33" s="2"/>
      <c r="BI33" s="1314"/>
      <c r="BJ33" s="2"/>
    </row>
    <row r="34" spans="1:62" ht="20.25" customHeight="1" x14ac:dyDescent="0.2">
      <c r="A34" s="2"/>
      <c r="B34" s="18">
        <v>27</v>
      </c>
      <c r="C34" s="155">
        <f t="shared" si="53"/>
        <v>27</v>
      </c>
      <c r="D34" s="156">
        <f t="shared" si="41"/>
        <v>1</v>
      </c>
      <c r="E34" s="1959">
        <f t="shared" si="9"/>
        <v>0</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54"/>
        <v>45318</v>
      </c>
      <c r="X34" s="489">
        <f t="shared" si="42"/>
        <v>0</v>
      </c>
      <c r="Y34" s="490">
        <f t="shared" si="43"/>
        <v>0</v>
      </c>
      <c r="Z34" s="490">
        <f t="shared" si="44"/>
        <v>0</v>
      </c>
      <c r="AA34" s="490">
        <f t="shared" si="45"/>
        <v>0</v>
      </c>
      <c r="AB34" s="490">
        <f t="shared" si="46"/>
        <v>0</v>
      </c>
      <c r="AC34" s="490">
        <f t="shared" si="47"/>
        <v>0</v>
      </c>
      <c r="AD34" s="491">
        <f t="shared" si="48"/>
        <v>0</v>
      </c>
      <c r="AE34" s="414">
        <f>VLOOKUP(W34,CASSA!$B$180:$C$545,2,FALSE)</f>
        <v>0</v>
      </c>
      <c r="AF34" s="512">
        <f t="shared" si="18"/>
        <v>0</v>
      </c>
      <c r="AG34" s="513">
        <f t="shared" si="19"/>
        <v>0</v>
      </c>
      <c r="AH34" s="490">
        <f t="shared" si="20"/>
        <v>0</v>
      </c>
      <c r="AI34" s="490">
        <f t="shared" si="21"/>
        <v>0</v>
      </c>
      <c r="AJ34" s="514">
        <f t="shared" si="22"/>
        <v>0</v>
      </c>
      <c r="AK34" s="1003">
        <f t="shared" si="49"/>
        <v>0</v>
      </c>
      <c r="AL34" s="512">
        <f t="shared" si="50"/>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51"/>
        <v/>
      </c>
      <c r="BA34" s="1048">
        <f t="shared" si="52"/>
        <v>0</v>
      </c>
      <c r="BB34" s="1003">
        <f t="shared" si="35"/>
        <v>0</v>
      </c>
      <c r="BC34" s="1003">
        <f t="shared" si="36"/>
        <v>0</v>
      </c>
      <c r="BD34" s="1003">
        <f t="shared" si="37"/>
        <v>0</v>
      </c>
      <c r="BE34" s="1003">
        <f t="shared" si="38"/>
        <v>0</v>
      </c>
      <c r="BF34" s="1003">
        <f t="shared" si="39"/>
        <v>0</v>
      </c>
      <c r="BG34" s="1049">
        <f t="shared" si="40"/>
        <v>0</v>
      </c>
      <c r="BH34" s="2"/>
      <c r="BI34" s="1314"/>
      <c r="BJ34" s="2"/>
    </row>
    <row r="35" spans="1:62" ht="20.25" customHeight="1" x14ac:dyDescent="0.2">
      <c r="A35" s="2"/>
      <c r="B35" s="18">
        <v>28</v>
      </c>
      <c r="C35" s="155">
        <f t="shared" si="53"/>
        <v>28</v>
      </c>
      <c r="D35" s="156">
        <f t="shared" si="41"/>
        <v>1</v>
      </c>
      <c r="E35" s="1959">
        <f t="shared" si="9"/>
        <v>0</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54"/>
        <v>45319</v>
      </c>
      <c r="X35" s="489">
        <f t="shared" si="42"/>
        <v>0</v>
      </c>
      <c r="Y35" s="490">
        <f t="shared" si="43"/>
        <v>0</v>
      </c>
      <c r="Z35" s="490">
        <f t="shared" si="44"/>
        <v>0</v>
      </c>
      <c r="AA35" s="490">
        <f t="shared" si="45"/>
        <v>0</v>
      </c>
      <c r="AB35" s="490">
        <f t="shared" si="46"/>
        <v>0</v>
      </c>
      <c r="AC35" s="490">
        <f t="shared" si="47"/>
        <v>0</v>
      </c>
      <c r="AD35" s="491">
        <f t="shared" si="48"/>
        <v>0</v>
      </c>
      <c r="AE35" s="414">
        <f>VLOOKUP(W35,CASSA!$B$180:$C$545,2,FALSE)</f>
        <v>0</v>
      </c>
      <c r="AF35" s="512">
        <f t="shared" si="18"/>
        <v>0</v>
      </c>
      <c r="AG35" s="513">
        <f t="shared" si="19"/>
        <v>0</v>
      </c>
      <c r="AH35" s="490">
        <f t="shared" si="20"/>
        <v>0</v>
      </c>
      <c r="AI35" s="490">
        <f t="shared" si="21"/>
        <v>0</v>
      </c>
      <c r="AJ35" s="514">
        <f t="shared" si="22"/>
        <v>0</v>
      </c>
      <c r="AK35" s="1003">
        <f t="shared" si="49"/>
        <v>0</v>
      </c>
      <c r="AL35" s="512">
        <f t="shared" si="50"/>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51"/>
        <v/>
      </c>
      <c r="BA35" s="1048">
        <f t="shared" si="52"/>
        <v>0</v>
      </c>
      <c r="BB35" s="1003">
        <f t="shared" si="35"/>
        <v>0</v>
      </c>
      <c r="BC35" s="1003">
        <f t="shared" si="36"/>
        <v>0</v>
      </c>
      <c r="BD35" s="1003">
        <f t="shared" si="37"/>
        <v>0</v>
      </c>
      <c r="BE35" s="1003">
        <f t="shared" si="38"/>
        <v>0</v>
      </c>
      <c r="BF35" s="1003">
        <f t="shared" si="39"/>
        <v>0</v>
      </c>
      <c r="BG35" s="1049">
        <f t="shared" si="40"/>
        <v>0</v>
      </c>
      <c r="BH35" s="2"/>
      <c r="BI35" s="1314"/>
      <c r="BJ35" s="2"/>
    </row>
    <row r="36" spans="1:62" ht="20.25" customHeight="1" x14ac:dyDescent="0.2">
      <c r="A36" s="2"/>
      <c r="B36" s="18">
        <v>29</v>
      </c>
      <c r="C36" s="155">
        <f t="shared" si="53"/>
        <v>29</v>
      </c>
      <c r="D36" s="156">
        <f t="shared" si="41"/>
        <v>1</v>
      </c>
      <c r="E36" s="1959">
        <f t="shared" si="9"/>
        <v>0</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54"/>
        <v>45320</v>
      </c>
      <c r="X36" s="489">
        <f t="shared" si="42"/>
        <v>0</v>
      </c>
      <c r="Y36" s="490">
        <f t="shared" si="43"/>
        <v>0</v>
      </c>
      <c r="Z36" s="490">
        <f t="shared" si="44"/>
        <v>0</v>
      </c>
      <c r="AA36" s="490">
        <f t="shared" si="45"/>
        <v>0</v>
      </c>
      <c r="AB36" s="490">
        <f t="shared" si="46"/>
        <v>0</v>
      </c>
      <c r="AC36" s="490">
        <f t="shared" si="47"/>
        <v>0</v>
      </c>
      <c r="AD36" s="491">
        <f t="shared" si="48"/>
        <v>0</v>
      </c>
      <c r="AE36" s="414">
        <f>VLOOKUP(W36,CASSA!$B$180:$C$545,2,FALSE)</f>
        <v>0</v>
      </c>
      <c r="AF36" s="512">
        <f t="shared" si="18"/>
        <v>0</v>
      </c>
      <c r="AG36" s="513">
        <f t="shared" si="19"/>
        <v>0</v>
      </c>
      <c r="AH36" s="490">
        <f t="shared" si="20"/>
        <v>0</v>
      </c>
      <c r="AI36" s="490">
        <f t="shared" si="21"/>
        <v>0</v>
      </c>
      <c r="AJ36" s="514">
        <f t="shared" si="22"/>
        <v>0</v>
      </c>
      <c r="AK36" s="1003">
        <f t="shared" si="49"/>
        <v>0</v>
      </c>
      <c r="AL36" s="512">
        <f t="shared" si="50"/>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51"/>
        <v/>
      </c>
      <c r="BA36" s="1048">
        <f t="shared" si="52"/>
        <v>0</v>
      </c>
      <c r="BB36" s="1003">
        <f t="shared" si="35"/>
        <v>0</v>
      </c>
      <c r="BC36" s="1003">
        <f t="shared" si="36"/>
        <v>0</v>
      </c>
      <c r="BD36" s="1003">
        <f t="shared" si="37"/>
        <v>0</v>
      </c>
      <c r="BE36" s="1003">
        <f t="shared" si="38"/>
        <v>0</v>
      </c>
      <c r="BF36" s="1003">
        <f t="shared" si="39"/>
        <v>0</v>
      </c>
      <c r="BG36" s="1049">
        <f t="shared" si="40"/>
        <v>0</v>
      </c>
      <c r="BH36" s="2"/>
      <c r="BI36" s="1314"/>
      <c r="BJ36" s="2"/>
    </row>
    <row r="37" spans="1:62" ht="20.25" customHeight="1" x14ac:dyDescent="0.2">
      <c r="A37" s="2"/>
      <c r="B37" s="18">
        <v>30</v>
      </c>
      <c r="C37" s="155">
        <f t="shared" si="53"/>
        <v>30</v>
      </c>
      <c r="D37" s="156">
        <f t="shared" si="41"/>
        <v>1</v>
      </c>
      <c r="E37" s="1959">
        <f t="shared" si="9"/>
        <v>0</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54"/>
        <v>45321</v>
      </c>
      <c r="X37" s="489">
        <f t="shared" si="42"/>
        <v>0</v>
      </c>
      <c r="Y37" s="490">
        <f t="shared" si="43"/>
        <v>0</v>
      </c>
      <c r="Z37" s="490">
        <f t="shared" si="44"/>
        <v>0</v>
      </c>
      <c r="AA37" s="490">
        <f t="shared" si="45"/>
        <v>0</v>
      </c>
      <c r="AB37" s="490">
        <f t="shared" si="46"/>
        <v>0</v>
      </c>
      <c r="AC37" s="490">
        <f t="shared" si="47"/>
        <v>0</v>
      </c>
      <c r="AD37" s="491">
        <f t="shared" si="48"/>
        <v>0</v>
      </c>
      <c r="AE37" s="414">
        <f>VLOOKUP(W37,CASSA!$B$180:$C$545,2,FALSE)</f>
        <v>0</v>
      </c>
      <c r="AF37" s="512">
        <f t="shared" si="18"/>
        <v>0</v>
      </c>
      <c r="AG37" s="513">
        <f t="shared" si="19"/>
        <v>0</v>
      </c>
      <c r="AH37" s="490">
        <f t="shared" si="20"/>
        <v>0</v>
      </c>
      <c r="AI37" s="490">
        <f t="shared" si="21"/>
        <v>0</v>
      </c>
      <c r="AJ37" s="514">
        <f t="shared" si="22"/>
        <v>0</v>
      </c>
      <c r="AK37" s="1003">
        <f t="shared" si="49"/>
        <v>0</v>
      </c>
      <c r="AL37" s="512">
        <f t="shared" si="50"/>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51"/>
        <v/>
      </c>
      <c r="BA37" s="1048">
        <f t="shared" si="52"/>
        <v>0</v>
      </c>
      <c r="BB37" s="1003">
        <f t="shared" si="35"/>
        <v>0</v>
      </c>
      <c r="BC37" s="1003">
        <f t="shared" si="36"/>
        <v>0</v>
      </c>
      <c r="BD37" s="1003">
        <f t="shared" si="37"/>
        <v>0</v>
      </c>
      <c r="BE37" s="1003">
        <f t="shared" si="38"/>
        <v>0</v>
      </c>
      <c r="BF37" s="1003">
        <f t="shared" si="39"/>
        <v>0</v>
      </c>
      <c r="BG37" s="1049">
        <f t="shared" si="40"/>
        <v>0</v>
      </c>
      <c r="BH37" s="2"/>
      <c r="BI37" s="1314"/>
      <c r="BJ37" s="2"/>
    </row>
    <row r="38" spans="1:62" ht="20.25" customHeight="1" x14ac:dyDescent="0.2">
      <c r="A38" s="2"/>
      <c r="B38" s="18">
        <v>31</v>
      </c>
      <c r="C38" s="155">
        <f t="shared" si="53"/>
        <v>31</v>
      </c>
      <c r="D38" s="156">
        <f t="shared" si="41"/>
        <v>1</v>
      </c>
      <c r="E38" s="2039">
        <f t="shared" si="9"/>
        <v>0</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54"/>
        <v>45322</v>
      </c>
      <c r="X38" s="492">
        <f t="shared" si="42"/>
        <v>0</v>
      </c>
      <c r="Y38" s="493">
        <f t="shared" si="43"/>
        <v>0</v>
      </c>
      <c r="Z38" s="493">
        <f t="shared" si="44"/>
        <v>0</v>
      </c>
      <c r="AA38" s="493">
        <f t="shared" si="45"/>
        <v>0</v>
      </c>
      <c r="AB38" s="493">
        <f t="shared" si="46"/>
        <v>0</v>
      </c>
      <c r="AC38" s="493">
        <f t="shared" si="47"/>
        <v>0</v>
      </c>
      <c r="AD38" s="494">
        <f t="shared" si="48"/>
        <v>0</v>
      </c>
      <c r="AE38" s="414">
        <f>VLOOKUP(W38,CASSA!$B$180:$C$545,2,FALSE)</f>
        <v>0</v>
      </c>
      <c r="AF38" s="515">
        <f t="shared" si="18"/>
        <v>0</v>
      </c>
      <c r="AG38" s="516">
        <f t="shared" si="19"/>
        <v>0</v>
      </c>
      <c r="AH38" s="493">
        <f t="shared" si="20"/>
        <v>0</v>
      </c>
      <c r="AI38" s="493">
        <f t="shared" si="21"/>
        <v>0</v>
      </c>
      <c r="AJ38" s="517">
        <f t="shared" si="22"/>
        <v>0</v>
      </c>
      <c r="AK38" s="1003">
        <f t="shared" si="49"/>
        <v>0</v>
      </c>
      <c r="AL38" s="515">
        <f t="shared" si="50"/>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51"/>
        <v/>
      </c>
      <c r="BA38" s="1050">
        <f t="shared" si="52"/>
        <v>0</v>
      </c>
      <c r="BB38" s="1051">
        <f t="shared" si="35"/>
        <v>0</v>
      </c>
      <c r="BC38" s="1051">
        <f t="shared" si="36"/>
        <v>0</v>
      </c>
      <c r="BD38" s="1051">
        <f t="shared" si="37"/>
        <v>0</v>
      </c>
      <c r="BE38" s="1051">
        <f t="shared" si="38"/>
        <v>0</v>
      </c>
      <c r="BF38" s="1051">
        <f t="shared" si="39"/>
        <v>0</v>
      </c>
      <c r="BG38" s="1052">
        <f t="shared" si="40"/>
        <v>0</v>
      </c>
      <c r="BH38" s="2"/>
      <c r="BI38" s="1316"/>
      <c r="BJ38" s="2"/>
    </row>
    <row r="39" spans="1:62" ht="20.25" customHeight="1" x14ac:dyDescent="0.2">
      <c r="A39" s="2"/>
      <c r="B39" s="7"/>
      <c r="C39" s="1992" t="s">
        <v>244</v>
      </c>
      <c r="D39" s="1993"/>
      <c r="E39" s="1996">
        <f>IMPOSTAZIONI!D273</f>
        <v>0</v>
      </c>
      <c r="F39" s="1997"/>
      <c r="G39" s="813">
        <f t="shared" ref="G39:M39" si="55">IF(ISERROR(G$123),0,SUM(G8:G38)-SUMIF($E8:$E38,$W4,G8:G38))</f>
        <v>1000</v>
      </c>
      <c r="H39" s="813">
        <f t="shared" si="55"/>
        <v>0</v>
      </c>
      <c r="I39" s="813">
        <f t="shared" si="55"/>
        <v>0</v>
      </c>
      <c r="J39" s="813">
        <f t="shared" si="55"/>
        <v>0</v>
      </c>
      <c r="K39" s="813">
        <f t="shared" si="55"/>
        <v>0</v>
      </c>
      <c r="L39" s="813">
        <f t="shared" si="55"/>
        <v>0</v>
      </c>
      <c r="M39" s="813">
        <f t="shared" si="55"/>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6">G6</f>
        <v/>
      </c>
      <c r="H43" s="902" t="str">
        <f t="shared" si="56"/>
        <v/>
      </c>
      <c r="I43" s="902" t="str">
        <f t="shared" si="56"/>
        <v/>
      </c>
      <c r="J43" s="902" t="str">
        <f t="shared" si="56"/>
        <v/>
      </c>
      <c r="K43" s="902" t="str">
        <f t="shared" si="56"/>
        <v/>
      </c>
      <c r="L43" s="902" t="str">
        <f t="shared" si="56"/>
        <v/>
      </c>
      <c r="M43" s="903" t="str">
        <f t="shared" si="56"/>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7">G4</f>
        <v/>
      </c>
      <c r="H44" s="41" t="str">
        <f t="shared" si="57"/>
        <v/>
      </c>
      <c r="I44" s="41" t="str">
        <f t="shared" si="57"/>
        <v/>
      </c>
      <c r="J44" s="41" t="str">
        <f t="shared" ref="J44:M45" si="58">J4</f>
        <v/>
      </c>
      <c r="K44" s="41" t="str">
        <f t="shared" si="58"/>
        <v/>
      </c>
      <c r="L44" s="41" t="str">
        <f t="shared" si="58"/>
        <v/>
      </c>
      <c r="M44" s="41" t="str">
        <f t="shared" si="58"/>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323</v>
      </c>
      <c r="D45" s="2041"/>
      <c r="E45" s="2042"/>
      <c r="F45" s="2042"/>
      <c r="G45" s="697" t="str">
        <f t="shared" si="57"/>
        <v/>
      </c>
      <c r="H45" s="697" t="str">
        <f t="shared" si="57"/>
        <v/>
      </c>
      <c r="I45" s="697" t="str">
        <f t="shared" si="57"/>
        <v/>
      </c>
      <c r="J45" s="697" t="str">
        <f t="shared" si="58"/>
        <v/>
      </c>
      <c r="K45" s="697" t="str">
        <f t="shared" si="58"/>
        <v/>
      </c>
      <c r="L45" s="697" t="str">
        <f t="shared" si="58"/>
        <v/>
      </c>
      <c r="M45" s="697" t="str">
        <f t="shared" si="58"/>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1000</v>
      </c>
      <c r="F46" s="1999"/>
      <c r="G46" s="904">
        <f t="shared" ref="G46:M46" si="59">IF(ISERROR(G$123),0,SUM(G8:G38)-SUMIF($E8:$E38,$W4,G8:G38))</f>
        <v>1000</v>
      </c>
      <c r="H46" s="905">
        <f t="shared" si="59"/>
        <v>0</v>
      </c>
      <c r="I46" s="905">
        <f t="shared" si="59"/>
        <v>0</v>
      </c>
      <c r="J46" s="905">
        <f t="shared" si="59"/>
        <v>0</v>
      </c>
      <c r="K46" s="905">
        <f t="shared" si="59"/>
        <v>0</v>
      </c>
      <c r="L46" s="905">
        <f t="shared" si="59"/>
        <v>0</v>
      </c>
      <c r="M46" s="906">
        <f t="shared" si="59"/>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1000</v>
      </c>
      <c r="H47" s="815">
        <f t="shared" ref="H47:M47" si="60">IF($E$8=$W$4,0,IF(H123="X",H66,IF(H130=$N130,H46+H48,H46-H48)))</f>
        <v>0</v>
      </c>
      <c r="I47" s="815">
        <f t="shared" si="60"/>
        <v>0</v>
      </c>
      <c r="J47" s="815">
        <f t="shared" si="60"/>
        <v>0</v>
      </c>
      <c r="K47" s="815">
        <f t="shared" si="60"/>
        <v>0</v>
      </c>
      <c r="L47" s="815">
        <f t="shared" si="60"/>
        <v>0</v>
      </c>
      <c r="M47" s="816">
        <f t="shared" si="60"/>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61">IF($E$8=$W$4,0,IF(H120=0,SUM(Q8:Q38)-SUMIF($E8:$E38,$W4,Q8:Q38),H67))</f>
        <v>0</v>
      </c>
      <c r="I48" s="818">
        <f t="shared" si="61"/>
        <v>0</v>
      </c>
      <c r="J48" s="818">
        <f t="shared" si="61"/>
        <v>0</v>
      </c>
      <c r="K48" s="818">
        <f t="shared" si="61"/>
        <v>0</v>
      </c>
      <c r="L48" s="818">
        <f t="shared" si="61"/>
        <v>0</v>
      </c>
      <c r="M48" s="819">
        <f t="shared" si="61"/>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1</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62">IF(G$123="X",G43,"")</f>
        <v/>
      </c>
      <c r="H62" s="184" t="str">
        <f t="shared" si="62"/>
        <v/>
      </c>
      <c r="I62" s="184" t="str">
        <f t="shared" si="62"/>
        <v/>
      </c>
      <c r="J62" s="184" t="str">
        <f t="shared" si="62"/>
        <v/>
      </c>
      <c r="K62" s="184" t="str">
        <f t="shared" si="62"/>
        <v/>
      </c>
      <c r="L62" s="184" t="str">
        <f t="shared" si="62"/>
        <v/>
      </c>
      <c r="M62" s="184" t="str">
        <f t="shared" si="62"/>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62"/>
        <v/>
      </c>
      <c r="H63" s="41" t="str">
        <f t="shared" si="62"/>
        <v/>
      </c>
      <c r="I63" s="41" t="str">
        <f t="shared" si="62"/>
        <v/>
      </c>
      <c r="J63" s="41" t="str">
        <f t="shared" si="62"/>
        <v/>
      </c>
      <c r="K63" s="41" t="str">
        <f t="shared" si="62"/>
        <v/>
      </c>
      <c r="L63" s="41" t="str">
        <f t="shared" si="62"/>
        <v/>
      </c>
      <c r="M63" s="41" t="str">
        <f t="shared" si="62"/>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63">IF(AND($BC$3=$BA$44,BB65&lt;&gt;0),BB66/BB65*BB64,IF(AND($BC$3=$BA$45,BB65&lt;&gt;0),BB67/BB65*BB64,0))</f>
        <v>0</v>
      </c>
      <c r="BC63" s="1143">
        <f t="shared" si="63"/>
        <v>0</v>
      </c>
      <c r="BD63" s="1143">
        <f t="shared" si="63"/>
        <v>0</v>
      </c>
      <c r="BE63" s="1143">
        <f t="shared" si="63"/>
        <v>0</v>
      </c>
      <c r="BF63" s="1143">
        <f t="shared" si="63"/>
        <v>0</v>
      </c>
      <c r="BG63" s="1146">
        <f t="shared" si="63"/>
        <v>0</v>
      </c>
      <c r="BH63" s="696"/>
      <c r="BI63" s="321"/>
      <c r="BJ63" s="321"/>
    </row>
    <row r="64" spans="1:62" ht="18" customHeight="1" x14ac:dyDescent="0.2">
      <c r="A64" s="300"/>
      <c r="B64" s="2"/>
      <c r="C64" s="2050" t="str">
        <f>C45</f>
        <v>01/01 - 31/01</v>
      </c>
      <c r="D64" s="2050"/>
      <c r="E64" s="2050"/>
      <c r="F64" s="2050"/>
      <c r="G64" s="698" t="str">
        <f t="shared" si="62"/>
        <v/>
      </c>
      <c r="H64" s="698" t="str">
        <f t="shared" si="62"/>
        <v/>
      </c>
      <c r="I64" s="698" t="str">
        <f t="shared" si="62"/>
        <v/>
      </c>
      <c r="J64" s="698" t="str">
        <f t="shared" si="62"/>
        <v/>
      </c>
      <c r="K64" s="698" t="str">
        <f t="shared" si="62"/>
        <v/>
      </c>
      <c r="L64" s="698" t="str">
        <f t="shared" si="62"/>
        <v/>
      </c>
      <c r="M64" s="698" t="str">
        <f t="shared" si="62"/>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64">IF(BB65&lt;&gt;0,SUMIF($AZ8:$AZ38,"X",H8:H38),0)</f>
        <v>0</v>
      </c>
      <c r="BC64" s="1046">
        <f t="shared" si="64"/>
        <v>0</v>
      </c>
      <c r="BD64" s="1046">
        <f t="shared" si="64"/>
        <v>0</v>
      </c>
      <c r="BE64" s="1046">
        <f t="shared" si="64"/>
        <v>0</v>
      </c>
      <c r="BF64" s="1046">
        <f t="shared" si="64"/>
        <v>0</v>
      </c>
      <c r="BG64" s="1047">
        <f t="shared" si="64"/>
        <v>0</v>
      </c>
      <c r="BH64" s="696"/>
      <c r="BI64" s="321"/>
      <c r="BJ64" s="321"/>
    </row>
    <row r="65" spans="1:61" ht="18.75" customHeight="1" x14ac:dyDescent="0.2">
      <c r="A65" s="300"/>
      <c r="B65" s="7"/>
      <c r="C65" s="2051"/>
      <c r="D65" s="2051"/>
      <c r="E65" s="2048"/>
      <c r="F65" s="2048"/>
      <c r="G65" s="699">
        <f>IF(G123="X",SUM(G8:G38),0)</f>
        <v>0</v>
      </c>
      <c r="H65" s="699">
        <f t="shared" ref="H65:M65" si="65">IF(H123="X",SUM(H8:H38),0)</f>
        <v>0</v>
      </c>
      <c r="I65" s="699">
        <f t="shared" si="65"/>
        <v>0</v>
      </c>
      <c r="J65" s="699">
        <f t="shared" si="65"/>
        <v>0</v>
      </c>
      <c r="K65" s="699">
        <f t="shared" si="65"/>
        <v>0</v>
      </c>
      <c r="L65" s="699">
        <f t="shared" si="65"/>
        <v>0</v>
      </c>
      <c r="M65" s="699">
        <f t="shared" si="65"/>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5" si="66">H65</f>
        <v>0</v>
      </c>
      <c r="BC65" s="1143">
        <f t="shared" si="66"/>
        <v>0</v>
      </c>
      <c r="BD65" s="1143">
        <f t="shared" si="66"/>
        <v>0</v>
      </c>
      <c r="BE65" s="1143">
        <f t="shared" si="66"/>
        <v>0</v>
      </c>
      <c r="BF65" s="1143">
        <f t="shared" si="66"/>
        <v>0</v>
      </c>
      <c r="BG65" s="1146">
        <f t="shared" si="66"/>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7">G66</f>
        <v>0</v>
      </c>
      <c r="BB66" s="1143">
        <f t="shared" ref="BB66:BB67" si="68">H66</f>
        <v>0</v>
      </c>
      <c r="BC66" s="1143">
        <f t="shared" ref="BC66:BC67" si="69">I66</f>
        <v>0</v>
      </c>
      <c r="BD66" s="1143">
        <f t="shared" ref="BD66:BD67" si="70">J66</f>
        <v>0</v>
      </c>
      <c r="BE66" s="1143">
        <f t="shared" ref="BE66:BE67" si="71">K66</f>
        <v>0</v>
      </c>
      <c r="BF66" s="1143">
        <f t="shared" ref="BF66:BF67" si="72">L66</f>
        <v>0</v>
      </c>
      <c r="BG66" s="1146">
        <f t="shared" ref="BG66:BG67" si="73">M66</f>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7"/>
        <v>0</v>
      </c>
      <c r="BB67" s="1144">
        <f t="shared" si="68"/>
        <v>0</v>
      </c>
      <c r="BC67" s="1144">
        <f t="shared" si="69"/>
        <v>0</v>
      </c>
      <c r="BD67" s="1144">
        <f t="shared" si="70"/>
        <v>0</v>
      </c>
      <c r="BE67" s="1144">
        <f t="shared" si="71"/>
        <v>0</v>
      </c>
      <c r="BF67" s="1144">
        <f t="shared" si="72"/>
        <v>0</v>
      </c>
      <c r="BG67" s="1147">
        <f t="shared" si="73"/>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74">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74"/>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74"/>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14"/>
      <c r="D75" s="14"/>
      <c r="E75" s="14"/>
      <c r="F75" s="14"/>
      <c r="G75" s="14"/>
      <c r="H75" s="14"/>
      <c r="I75" s="14"/>
      <c r="J75" s="14"/>
      <c r="K75" s="14"/>
      <c r="L75" s="14"/>
      <c r="M75" s="14"/>
      <c r="N75" s="14"/>
      <c r="O75" s="14"/>
      <c r="P75" s="14"/>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14"/>
      <c r="D76" s="14"/>
      <c r="E76" s="14"/>
      <c r="F76" s="14"/>
      <c r="G76" s="419"/>
      <c r="H76" s="696"/>
      <c r="I76" s="696"/>
      <c r="J76" s="696"/>
      <c r="K76" s="696"/>
      <c r="L76" s="420"/>
      <c r="M76" s="14"/>
      <c r="N76" s="14"/>
      <c r="O76" s="14"/>
      <c r="P76" s="14"/>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14"/>
      <c r="D77" s="14"/>
      <c r="E77" s="14"/>
      <c r="F77" s="14"/>
      <c r="G77" s="764"/>
      <c r="H77" s="696"/>
      <c r="I77" s="696"/>
      <c r="J77" s="696"/>
      <c r="K77" s="696"/>
      <c r="L77" s="14"/>
      <c r="M77" s="422"/>
      <c r="N77" s="1983"/>
      <c r="O77" s="1983"/>
      <c r="P77" s="14"/>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14"/>
      <c r="D78" s="14"/>
      <c r="E78" s="14"/>
      <c r="F78" s="14"/>
      <c r="G78" s="766"/>
      <c r="H78" s="696"/>
      <c r="I78" s="696"/>
      <c r="J78" s="696"/>
      <c r="K78" s="696"/>
      <c r="L78" s="14"/>
      <c r="M78" s="424"/>
      <c r="N78" s="1962"/>
      <c r="O78" s="1962"/>
      <c r="P78" s="14"/>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14"/>
      <c r="D79" s="14"/>
      <c r="E79" s="14"/>
      <c r="F79" s="14"/>
      <c r="G79" s="768"/>
      <c r="H79" s="696"/>
      <c r="I79" s="696"/>
      <c r="J79" s="696"/>
      <c r="K79" s="696"/>
      <c r="L79" s="696"/>
      <c r="M79" s="14"/>
      <c r="N79" s="14"/>
      <c r="O79" s="14"/>
      <c r="P79" s="14"/>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14"/>
      <c r="D80" s="14"/>
      <c r="E80" s="14"/>
      <c r="F80" s="14"/>
      <c r="G80" s="770"/>
      <c r="H80" s="696"/>
      <c r="I80" s="696"/>
      <c r="J80" s="696"/>
      <c r="K80" s="696"/>
      <c r="L80" s="696"/>
      <c r="M80" s="14"/>
      <c r="N80" s="14"/>
      <c r="O80" s="14"/>
      <c r="P80" s="14"/>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14"/>
      <c r="D81" s="14"/>
      <c r="E81" s="14"/>
      <c r="F81" s="14"/>
      <c r="G81" s="420"/>
      <c r="H81" s="696"/>
      <c r="I81" s="696"/>
      <c r="J81" s="696"/>
      <c r="K81" s="696"/>
      <c r="L81" s="696"/>
      <c r="M81" s="14"/>
      <c r="N81" s="14"/>
      <c r="O81" s="14"/>
      <c r="P81" s="14"/>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14"/>
      <c r="D82" s="14"/>
      <c r="E82" s="14"/>
      <c r="F82" s="14"/>
      <c r="G82" s="14"/>
      <c r="H82" s="696"/>
      <c r="I82" s="696"/>
      <c r="J82" s="696"/>
      <c r="K82" s="696"/>
      <c r="L82" s="696"/>
      <c r="M82" s="14"/>
      <c r="N82" s="14"/>
      <c r="O82" s="14"/>
      <c r="P82" s="14"/>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c r="I83" s="771"/>
      <c r="J83" s="771"/>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c r="I84" s="772"/>
      <c r="J84" s="772"/>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14"/>
      <c r="D85" s="14"/>
      <c r="E85" s="14"/>
      <c r="F85" s="14"/>
      <c r="G85" s="14"/>
      <c r="H85" s="425"/>
      <c r="I85" s="425"/>
      <c r="J85" s="425"/>
      <c r="K85" s="14"/>
      <c r="L85" s="696"/>
      <c r="M85" s="14"/>
      <c r="N85" s="14"/>
      <c r="O85" s="14"/>
      <c r="P85" s="14"/>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14"/>
      <c r="D86" s="14"/>
      <c r="E86" s="14"/>
      <c r="F86" s="14"/>
      <c r="G86" s="14"/>
      <c r="H86" s="426"/>
      <c r="I86" s="426"/>
      <c r="J86" s="426"/>
      <c r="K86" s="14"/>
      <c r="L86" s="696"/>
      <c r="M86" s="14"/>
      <c r="N86" s="14"/>
      <c r="O86" s="14"/>
      <c r="P86" s="14"/>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14"/>
      <c r="D87" s="14"/>
      <c r="E87" s="14"/>
      <c r="F87" s="14"/>
      <c r="G87" s="14"/>
      <c r="H87" s="427"/>
      <c r="I87" s="427"/>
      <c r="J87" s="427"/>
      <c r="K87" s="14"/>
      <c r="L87" s="696"/>
      <c r="M87" s="14"/>
      <c r="N87" s="14"/>
      <c r="O87" s="14"/>
      <c r="P87" s="14"/>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c r="I88" s="773"/>
      <c r="J88" s="773"/>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14"/>
      <c r="D90" s="14"/>
      <c r="E90" s="14"/>
      <c r="F90" s="14"/>
      <c r="G90" s="428"/>
      <c r="H90" s="429"/>
      <c r="I90" s="429"/>
      <c r="J90" s="429"/>
      <c r="K90" s="421"/>
      <c r="L90" s="14"/>
      <c r="M90" s="14"/>
      <c r="N90" s="14"/>
      <c r="O90" s="14"/>
      <c r="P90" s="14"/>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14"/>
      <c r="D91" s="14"/>
      <c r="E91" s="14"/>
      <c r="F91" s="14"/>
      <c r="G91" s="430"/>
      <c r="H91" s="431"/>
      <c r="I91" s="431"/>
      <c r="J91" s="431"/>
      <c r="K91" s="423"/>
      <c r="L91" s="14"/>
      <c r="M91" s="14"/>
      <c r="N91" s="14"/>
      <c r="O91" s="14"/>
      <c r="P91" s="14"/>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14"/>
      <c r="D92" s="14"/>
      <c r="E92" s="14"/>
      <c r="F92" s="14"/>
      <c r="G92" s="432"/>
      <c r="H92" s="14"/>
      <c r="I92" s="14"/>
      <c r="J92" s="14"/>
      <c r="K92" s="14"/>
      <c r="L92" s="14"/>
      <c r="M92" s="14"/>
      <c r="N92" s="14"/>
      <c r="O92" s="14"/>
      <c r="P92" s="14"/>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IF(IMPOSTAZIONI!O181=0,1,0)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IF(IMPOSTAZIONI!O182=0,1,0)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IF(IMPOSTAZIONI!O183=0,1,0)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75">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75"/>
        <v/>
      </c>
      <c r="I108" s="757">
        <f t="shared" ref="I108:I116" si="76">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75"/>
        <v/>
      </c>
      <c r="I109" s="757">
        <f t="shared" si="76"/>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75"/>
        <v/>
      </c>
      <c r="I110" s="757">
        <f t="shared" si="76"/>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75"/>
        <v/>
      </c>
      <c r="I111" s="757">
        <f t="shared" si="76"/>
        <v>0</v>
      </c>
      <c r="J111" s="824">
        <f>IF(ISERROR(J107),1,0)</f>
        <v>1</v>
      </c>
      <c r="K111" s="824">
        <f t="shared" ref="K111:L111" si="77">IF(ISERROR(K107),1,0)</f>
        <v>1</v>
      </c>
      <c r="L111" s="824">
        <f t="shared" si="77"/>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75"/>
        <v/>
      </c>
      <c r="I112" s="757">
        <f t="shared" si="76"/>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75"/>
        <v/>
      </c>
      <c r="I113" s="757">
        <f t="shared" si="76"/>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75"/>
        <v/>
      </c>
      <c r="I114" s="757">
        <f t="shared" si="76"/>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75"/>
        <v/>
      </c>
      <c r="I115" s="757">
        <f t="shared" si="76"/>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75"/>
        <v/>
      </c>
      <c r="I116" s="757">
        <f t="shared" si="76"/>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3</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78">IF(AND(G120&gt;0,OR(G68&lt;&gt;"OK",G74&lt;&gt;"OK")),1,0)</f>
        <v>0</v>
      </c>
      <c r="H118" s="753">
        <f t="shared" si="78"/>
        <v>0</v>
      </c>
      <c r="I118" s="730">
        <f t="shared" si="78"/>
        <v>0</v>
      </c>
      <c r="J118" s="730">
        <f t="shared" si="78"/>
        <v>0</v>
      </c>
      <c r="K118" s="730">
        <f t="shared" si="78"/>
        <v>0</v>
      </c>
      <c r="L118" s="730">
        <f t="shared" si="78"/>
        <v>0</v>
      </c>
      <c r="M118" s="730">
        <f t="shared" si="78"/>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79">IF(H123="X",1,0)</f>
        <v>0</v>
      </c>
      <c r="I120" s="727">
        <f t="shared" si="79"/>
        <v>0</v>
      </c>
      <c r="J120" s="727">
        <f t="shared" si="79"/>
        <v>0</v>
      </c>
      <c r="K120" s="727">
        <f t="shared" si="79"/>
        <v>0</v>
      </c>
      <c r="L120" s="727">
        <f t="shared" si="79"/>
        <v>0</v>
      </c>
      <c r="M120" s="727">
        <f t="shared" si="79"/>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80">MID(H1,4,2)</f>
        <v>..</v>
      </c>
      <c r="I121" s="838" t="str">
        <f t="shared" si="80"/>
        <v>..</v>
      </c>
      <c r="J121" s="838" t="str">
        <f t="shared" si="80"/>
        <v>..</v>
      </c>
      <c r="K121" s="838" t="str">
        <f t="shared" si="80"/>
        <v>..</v>
      </c>
      <c r="L121" s="838" t="str">
        <f t="shared" si="80"/>
        <v>..</v>
      </c>
      <c r="M121" s="838" t="str">
        <f t="shared" si="80"/>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81">G48</f>
        <v>0</v>
      </c>
      <c r="H122" s="705">
        <f t="shared" si="81"/>
        <v>0</v>
      </c>
      <c r="I122" s="705">
        <f t="shared" si="81"/>
        <v>0</v>
      </c>
      <c r="J122" s="705">
        <f t="shared" si="81"/>
        <v>0</v>
      </c>
      <c r="K122" s="705">
        <f t="shared" si="81"/>
        <v>0</v>
      </c>
      <c r="L122" s="705">
        <f t="shared" si="81"/>
        <v>0</v>
      </c>
      <c r="M122" s="705">
        <f t="shared" si="81"/>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IMPOSTAZIONI!F191</f>
        <v/>
      </c>
      <c r="H124" s="803" t="str">
        <f>IMPOSTAZIONI!K191</f>
        <v/>
      </c>
      <c r="I124" s="803" t="str">
        <f>IMPOSTAZIONI!P191</f>
        <v/>
      </c>
      <c r="J124" s="803" t="str">
        <f>IMPOSTAZIONI!U191</f>
        <v/>
      </c>
      <c r="K124" s="803" t="str">
        <f>IMPOSTAZIONI!Z191</f>
        <v/>
      </c>
      <c r="L124" s="803" t="str">
        <f>IMPOSTAZIONI!AE191</f>
        <v/>
      </c>
      <c r="M124" s="803" t="str">
        <f>IMPOSTAZIONI!AJ191</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82">MID(H1,7,2)</f>
        <v>..</v>
      </c>
      <c r="I125" s="706" t="str">
        <f t="shared" si="82"/>
        <v>..</v>
      </c>
      <c r="J125" s="706" t="str">
        <f t="shared" si="82"/>
        <v>..</v>
      </c>
      <c r="K125" s="706" t="str">
        <f t="shared" si="82"/>
        <v>..</v>
      </c>
      <c r="L125" s="706" t="str">
        <f t="shared" si="82"/>
        <v>..</v>
      </c>
      <c r="M125" s="706" t="str">
        <f t="shared" si="82"/>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83">MID(G1,1,2)</f>
        <v>..</v>
      </c>
      <c r="H126" s="707" t="str">
        <f t="shared" si="83"/>
        <v>..</v>
      </c>
      <c r="I126" s="707" t="str">
        <f t="shared" si="83"/>
        <v>..</v>
      </c>
      <c r="J126" s="707" t="str">
        <f t="shared" si="83"/>
        <v>..</v>
      </c>
      <c r="K126" s="707" t="str">
        <f t="shared" si="83"/>
        <v>..</v>
      </c>
      <c r="L126" s="707" t="str">
        <f t="shared" si="83"/>
        <v>..</v>
      </c>
      <c r="M126" s="707" t="str">
        <f t="shared" si="83"/>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84">SUM(G70:G73)</f>
        <v>0</v>
      </c>
      <c r="H127" s="708">
        <f t="shared" si="84"/>
        <v>0</v>
      </c>
      <c r="I127" s="708">
        <f t="shared" si="84"/>
        <v>0</v>
      </c>
      <c r="J127" s="708">
        <f t="shared" si="84"/>
        <v>0</v>
      </c>
      <c r="K127" s="708">
        <f t="shared" si="84"/>
        <v>0</v>
      </c>
      <c r="L127" s="708">
        <f t="shared" si="84"/>
        <v>0</v>
      </c>
      <c r="M127" s="708">
        <f t="shared" si="84"/>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85">IF(G42=$K102,G48,0)</f>
        <v>0</v>
      </c>
      <c r="H128" s="708">
        <f t="shared" si="85"/>
        <v>0</v>
      </c>
      <c r="I128" s="708">
        <f t="shared" si="85"/>
        <v>0</v>
      </c>
      <c r="J128" s="708">
        <f t="shared" si="85"/>
        <v>0</v>
      </c>
      <c r="K128" s="708">
        <f t="shared" si="85"/>
        <v>0</v>
      </c>
      <c r="L128" s="708">
        <f t="shared" si="85"/>
        <v>0</v>
      </c>
      <c r="M128" s="708">
        <f t="shared" si="85"/>
        <v>0</v>
      </c>
      <c r="N128" s="88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86">G48-G128</f>
        <v>0</v>
      </c>
      <c r="H129" s="708">
        <f t="shared" si="86"/>
        <v>0</v>
      </c>
      <c r="I129" s="708">
        <f t="shared" si="86"/>
        <v>0</v>
      </c>
      <c r="J129" s="708">
        <f t="shared" si="86"/>
        <v>0</v>
      </c>
      <c r="K129" s="708">
        <f t="shared" si="86"/>
        <v>0</v>
      </c>
      <c r="L129" s="708">
        <f t="shared" si="86"/>
        <v>0</v>
      </c>
      <c r="M129" s="708">
        <f t="shared" si="86"/>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IMPOSTAZIONI!J191</f>
        <v>0</v>
      </c>
      <c r="H130" s="803">
        <f>IMPOSTAZIONI!O191</f>
        <v>0</v>
      </c>
      <c r="I130" s="803">
        <f>IMPOSTAZIONI!T191</f>
        <v>0</v>
      </c>
      <c r="J130" s="803">
        <f>IMPOSTAZIONI!Y191</f>
        <v>0</v>
      </c>
      <c r="K130" s="803">
        <f>IMPOSTAZIONI!AD191</f>
        <v>0</v>
      </c>
      <c r="L130" s="803">
        <f>IMPOSTAZIONI!AI191</f>
        <v>0</v>
      </c>
      <c r="M130" s="803">
        <f>IMPOSTAZIONI!AN191</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87">G43</f>
        <v/>
      </c>
      <c r="H134" s="320" t="str">
        <f t="shared" si="87"/>
        <v/>
      </c>
      <c r="I134" s="320" t="str">
        <f t="shared" si="87"/>
        <v/>
      </c>
      <c r="J134" s="320" t="str">
        <f t="shared" si="87"/>
        <v/>
      </c>
      <c r="K134" s="320" t="str">
        <f t="shared" si="87"/>
        <v/>
      </c>
      <c r="L134" s="320" t="str">
        <f t="shared" si="87"/>
        <v/>
      </c>
      <c r="M134" s="320" t="str">
        <f t="shared" si="87"/>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5" t="str">
        <f t="shared" si="87"/>
        <v/>
      </c>
      <c r="H135" s="935" t="str">
        <f t="shared" si="87"/>
        <v/>
      </c>
      <c r="I135" s="935" t="str">
        <f t="shared" si="87"/>
        <v/>
      </c>
      <c r="J135" s="935" t="str">
        <f t="shared" si="87"/>
        <v/>
      </c>
      <c r="K135" s="935" t="str">
        <f t="shared" si="87"/>
        <v/>
      </c>
      <c r="L135" s="935" t="str">
        <f t="shared" si="87"/>
        <v/>
      </c>
      <c r="M135" s="935" t="str">
        <f t="shared" si="87"/>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01/01 - 31/01</v>
      </c>
      <c r="D136" s="1982"/>
      <c r="E136" s="1982"/>
      <c r="F136" s="1982"/>
      <c r="G136" s="936" t="str">
        <f t="shared" si="87"/>
        <v/>
      </c>
      <c r="H136" s="936" t="str">
        <f t="shared" si="87"/>
        <v/>
      </c>
      <c r="I136" s="936" t="str">
        <f t="shared" si="87"/>
        <v/>
      </c>
      <c r="J136" s="936" t="str">
        <f t="shared" si="87"/>
        <v/>
      </c>
      <c r="K136" s="936" t="str">
        <f t="shared" si="87"/>
        <v/>
      </c>
      <c r="L136" s="936" t="str">
        <f t="shared" si="87"/>
        <v/>
      </c>
      <c r="M136" s="936" t="str">
        <f t="shared" si="87"/>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1</v>
      </c>
      <c r="H137" s="1301">
        <f t="shared" ref="H137:M137" si="88">IF(AND(H$147&lt;&gt;0,H$147&gt;0),IF(($E$138*9)&gt;=H$147,0,1),IF(AND(H$147&lt;&gt;0,H$147&lt;0),IF(($E$138*9)&lt;=H$147,0,1),0))</f>
        <v>0</v>
      </c>
      <c r="I137" s="1301">
        <f t="shared" si="88"/>
        <v>0</v>
      </c>
      <c r="J137" s="1301">
        <f t="shared" si="88"/>
        <v>0</v>
      </c>
      <c r="K137" s="1301">
        <f t="shared" si="88"/>
        <v>0</v>
      </c>
      <c r="L137" s="1301">
        <f t="shared" si="88"/>
        <v>0</v>
      </c>
      <c r="M137" s="1301">
        <f t="shared" si="88"/>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100</v>
      </c>
      <c r="F138" s="2"/>
      <c r="G138" s="1301">
        <f>IF(AND(G$147&lt;&gt;0,G$147&gt;0),IF(($E$138*8)&gt;=G$147,0,1),IF(AND(G$147&lt;&gt;0,G$147&lt;0),IF(($E$138*8)&lt;=G$147,0,1),0))</f>
        <v>1</v>
      </c>
      <c r="H138" s="1301">
        <f t="shared" ref="H138:M138" si="89">IF(AND(H$147&lt;&gt;0,H$147&gt;0),IF(($E$138*8)&gt;=H$147,0,1),IF(AND(H$147&lt;&gt;0,H$147&lt;0),IF(($E$138*8)&lt;=H$147,0,1),0))</f>
        <v>0</v>
      </c>
      <c r="I138" s="1301">
        <f t="shared" si="89"/>
        <v>0</v>
      </c>
      <c r="J138" s="1301">
        <f t="shared" si="89"/>
        <v>0</v>
      </c>
      <c r="K138" s="1301">
        <f t="shared" si="89"/>
        <v>0</v>
      </c>
      <c r="L138" s="1301">
        <f t="shared" si="89"/>
        <v>0</v>
      </c>
      <c r="M138" s="1301">
        <f t="shared" si="89"/>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1</v>
      </c>
      <c r="H139" s="1301">
        <f t="shared" ref="H139:M139" si="90">IF(AND(H$147&lt;&gt;0,H$147&gt;0),IF(($E$138*7)&gt;=H$147,0,1),IF(AND(H$147&lt;&gt;0,H$147&lt;0),IF(($E$138*7)&lt;=H$147,0,1),0))</f>
        <v>0</v>
      </c>
      <c r="I139" s="1301">
        <f t="shared" si="90"/>
        <v>0</v>
      </c>
      <c r="J139" s="1301">
        <f t="shared" si="90"/>
        <v>0</v>
      </c>
      <c r="K139" s="1301">
        <f t="shared" si="90"/>
        <v>0</v>
      </c>
      <c r="L139" s="1301">
        <f t="shared" si="90"/>
        <v>0</v>
      </c>
      <c r="M139" s="1301">
        <f t="shared" si="90"/>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1</v>
      </c>
      <c r="H140" s="1301">
        <f t="shared" ref="H140:M140" si="91">IF(AND(H$147&lt;&gt;0,H$147&gt;0),IF(($E$138*6)&gt;=H$147,0,1),IF(AND(H$147&lt;&gt;0,H$147&lt;0),IF(($E$138*6)&lt;=H$147,0,1),0))</f>
        <v>0</v>
      </c>
      <c r="I140" s="1301">
        <f t="shared" si="91"/>
        <v>0</v>
      </c>
      <c r="J140" s="1301">
        <f t="shared" si="91"/>
        <v>0</v>
      </c>
      <c r="K140" s="1301">
        <f t="shared" si="91"/>
        <v>0</v>
      </c>
      <c r="L140" s="1301">
        <f t="shared" si="91"/>
        <v>0</v>
      </c>
      <c r="M140" s="1301">
        <f t="shared" si="91"/>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1</v>
      </c>
      <c r="H141" s="1301">
        <f t="shared" ref="H141:M141" si="92">IF(AND(H$147&lt;&gt;0,H$147&gt;0),IF(($E$138*5)&gt;=H$147,0,1),IF(AND(H$147&lt;&gt;0,H$147&lt;0),IF(($E$138*5)&lt;=H$147,0,1),0))</f>
        <v>0</v>
      </c>
      <c r="I141" s="1301">
        <f t="shared" si="92"/>
        <v>0</v>
      </c>
      <c r="J141" s="1301">
        <f t="shared" si="92"/>
        <v>0</v>
      </c>
      <c r="K141" s="1301">
        <f t="shared" si="92"/>
        <v>0</v>
      </c>
      <c r="L141" s="1301">
        <f t="shared" si="92"/>
        <v>0</v>
      </c>
      <c r="M141" s="1301">
        <f t="shared" si="92"/>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1</v>
      </c>
      <c r="H142" s="1301">
        <f t="shared" ref="H142:M142" si="93">IF(AND(H$147&lt;&gt;0,H$147&gt;0),IF(($E$138*4)&gt;=H$147,0,1),IF(AND(H$147&lt;&gt;0,H$147&lt;0),IF(($E$138*4)&lt;=H$147,0,1),0))</f>
        <v>0</v>
      </c>
      <c r="I142" s="1301">
        <f t="shared" si="93"/>
        <v>0</v>
      </c>
      <c r="J142" s="1301">
        <f t="shared" si="93"/>
        <v>0</v>
      </c>
      <c r="K142" s="1301">
        <f t="shared" si="93"/>
        <v>0</v>
      </c>
      <c r="L142" s="1301">
        <f t="shared" si="93"/>
        <v>0</v>
      </c>
      <c r="M142" s="1301">
        <f t="shared" si="93"/>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1</v>
      </c>
      <c r="H143" s="1301">
        <f t="shared" ref="H143:M143" si="94">IF(AND(H$147&lt;&gt;0,H$147&gt;0),IF(($E$138*3)&gt;=H$147,0,1),IF(AND(H$147&lt;&gt;0,H$147&lt;0),IF(($E$138*3)&lt;=H$147,0,1),0))</f>
        <v>0</v>
      </c>
      <c r="I143" s="1301">
        <f t="shared" si="94"/>
        <v>0</v>
      </c>
      <c r="J143" s="1301">
        <f t="shared" si="94"/>
        <v>0</v>
      </c>
      <c r="K143" s="1301">
        <f t="shared" si="94"/>
        <v>0</v>
      </c>
      <c r="L143" s="1301">
        <f t="shared" si="94"/>
        <v>0</v>
      </c>
      <c r="M143" s="1301">
        <f t="shared" si="94"/>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1</v>
      </c>
      <c r="H144" s="1301">
        <f t="shared" ref="H144:M144" si="95">IF(AND(H$147&lt;&gt;0,H$147&gt;0),IF(($E$138*2)&gt;=H$147,0,1),IF(AND(H$147&lt;&gt;0,H$147&lt;0),IF(($E$138*2)&lt;=H$147,0,1),0))</f>
        <v>0</v>
      </c>
      <c r="I144" s="1301">
        <f t="shared" si="95"/>
        <v>0</v>
      </c>
      <c r="J144" s="1301">
        <f t="shared" si="95"/>
        <v>0</v>
      </c>
      <c r="K144" s="1301">
        <f t="shared" si="95"/>
        <v>0</v>
      </c>
      <c r="L144" s="1301">
        <f t="shared" si="95"/>
        <v>0</v>
      </c>
      <c r="M144" s="1301">
        <f t="shared" si="95"/>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1</v>
      </c>
      <c r="H145" s="1301">
        <f t="shared" ref="H145:M145" si="96">IF(AND(H$147&lt;&gt;0,H$147&gt;0),IF(($E$138*1)&gt;=H$147,0,1),IF(AND(H$147&lt;&gt;0,H$147&lt;0),IF(($E$138*1)&lt;=H$147,0,1),0))</f>
        <v>0</v>
      </c>
      <c r="I145" s="1301">
        <f t="shared" si="96"/>
        <v>0</v>
      </c>
      <c r="J145" s="1301">
        <f t="shared" si="96"/>
        <v>0</v>
      </c>
      <c r="K145" s="1301">
        <f t="shared" si="96"/>
        <v>0</v>
      </c>
      <c r="L145" s="1301">
        <f t="shared" si="96"/>
        <v>0</v>
      </c>
      <c r="M145" s="1301">
        <f t="shared" si="96"/>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1</v>
      </c>
      <c r="H146" s="1301">
        <f t="shared" ref="H146:M146" si="97">IF(H147&lt;&gt;0,1,0)</f>
        <v>0</v>
      </c>
      <c r="I146" s="1301">
        <f t="shared" si="97"/>
        <v>0</v>
      </c>
      <c r="J146" s="1301">
        <f t="shared" si="97"/>
        <v>0</v>
      </c>
      <c r="K146" s="1301">
        <f t="shared" si="97"/>
        <v>0</v>
      </c>
      <c r="L146" s="1301">
        <f t="shared" si="97"/>
        <v>0</v>
      </c>
      <c r="M146" s="1301">
        <f t="shared" si="97"/>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1000</v>
      </c>
      <c r="F147" s="1973"/>
      <c r="G147" s="1300">
        <f>VLOOKUP($N133,$C46:G48,G133+4,FALSE)</f>
        <v>1000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01/01 - 31/01</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98">IF(AND(G$160&lt;&gt;0,G$160&gt;0),IF(($E$151*9)&gt;=G$160,0,1),IF(AND(G$160&lt;&gt;0,G$160&lt;0),IF(($E$151*9)&lt;=G$160,0,1),0))</f>
        <v>#N/A</v>
      </c>
      <c r="H150" s="1301" t="e">
        <f t="shared" si="98"/>
        <v>#N/A</v>
      </c>
      <c r="I150" s="1301" t="e">
        <f t="shared" si="98"/>
        <v>#N/A</v>
      </c>
      <c r="J150" s="1301" t="e">
        <f t="shared" si="98"/>
        <v>#N/A</v>
      </c>
      <c r="K150" s="1301" t="e">
        <f t="shared" si="98"/>
        <v>#N/A</v>
      </c>
      <c r="L150" s="1301" t="e">
        <f t="shared" si="98"/>
        <v>#N/A</v>
      </c>
      <c r="M150" s="1301" t="e">
        <f t="shared" si="98"/>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99">IF(AND(G$160&lt;&gt;0,G$160&gt;0),IF(($E$151*8)&gt;=G$160,0,1),IF(AND(G$160&lt;&gt;0,G$160&lt;0),IF(($E$151*8)&lt;=G$160,0,1),0))</f>
        <v>#N/A</v>
      </c>
      <c r="H151" s="1301" t="e">
        <f t="shared" si="99"/>
        <v>#N/A</v>
      </c>
      <c r="I151" s="1301" t="e">
        <f t="shared" si="99"/>
        <v>#N/A</v>
      </c>
      <c r="J151" s="1301" t="e">
        <f t="shared" si="99"/>
        <v>#N/A</v>
      </c>
      <c r="K151" s="1301" t="e">
        <f t="shared" si="99"/>
        <v>#N/A</v>
      </c>
      <c r="L151" s="1301" t="e">
        <f t="shared" si="99"/>
        <v>#N/A</v>
      </c>
      <c r="M151" s="1301" t="e">
        <f t="shared" si="99"/>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100">IF(AND(G$160&lt;&gt;0,G$160&gt;0),IF(($E$151*7)&gt;=G$160,0,1),IF(AND(G$160&lt;&gt;0,G$160&lt;0),IF(($E$151*7)&lt;=G$160,0,1),0))</f>
        <v>#N/A</v>
      </c>
      <c r="H152" s="1301" t="e">
        <f t="shared" si="100"/>
        <v>#N/A</v>
      </c>
      <c r="I152" s="1301" t="e">
        <f t="shared" si="100"/>
        <v>#N/A</v>
      </c>
      <c r="J152" s="1301" t="e">
        <f t="shared" si="100"/>
        <v>#N/A</v>
      </c>
      <c r="K152" s="1301" t="e">
        <f t="shared" si="100"/>
        <v>#N/A</v>
      </c>
      <c r="L152" s="1301" t="e">
        <f t="shared" si="100"/>
        <v>#N/A</v>
      </c>
      <c r="M152" s="1301" t="e">
        <f t="shared" si="100"/>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101">IF(AND(G$160&lt;&gt;0,G$160&gt;0),IF(($E$151*6)&gt;=G$160,0,1),IF(AND(G$160&lt;&gt;0,G$160&lt;0),IF(($E$151*6)&lt;=G$160,0,1),0))</f>
        <v>#N/A</v>
      </c>
      <c r="H153" s="1301" t="e">
        <f t="shared" si="101"/>
        <v>#N/A</v>
      </c>
      <c r="I153" s="1301" t="e">
        <f t="shared" si="101"/>
        <v>#N/A</v>
      </c>
      <c r="J153" s="1301" t="e">
        <f t="shared" si="101"/>
        <v>#N/A</v>
      </c>
      <c r="K153" s="1301" t="e">
        <f t="shared" si="101"/>
        <v>#N/A</v>
      </c>
      <c r="L153" s="1301" t="e">
        <f t="shared" si="101"/>
        <v>#N/A</v>
      </c>
      <c r="M153" s="1301" t="e">
        <f t="shared" si="101"/>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102">IF(AND(G$160&lt;&gt;0,G$160&gt;0),IF(($E$151*5)&gt;=G$160,0,1),IF(AND(G$160&lt;&gt;0,G$160&lt;0),IF(($E$151*5)&lt;=G$160,0,1),0))</f>
        <v>#N/A</v>
      </c>
      <c r="H154" s="1301" t="e">
        <f t="shared" si="102"/>
        <v>#N/A</v>
      </c>
      <c r="I154" s="1301" t="e">
        <f t="shared" si="102"/>
        <v>#N/A</v>
      </c>
      <c r="J154" s="1301" t="e">
        <f t="shared" si="102"/>
        <v>#N/A</v>
      </c>
      <c r="K154" s="1301" t="e">
        <f t="shared" si="102"/>
        <v>#N/A</v>
      </c>
      <c r="L154" s="1301" t="e">
        <f t="shared" si="102"/>
        <v>#N/A</v>
      </c>
      <c r="M154" s="1301" t="e">
        <f t="shared" si="102"/>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103">IF(AND(G$160&lt;&gt;0,G$160&gt;0),IF(($E$151*4)&gt;=G$160,0,1),IF(AND(G$160&lt;&gt;0,G$160&lt;0),IF(($E$151*4)&lt;=G$160,0,1),0))</f>
        <v>#N/A</v>
      </c>
      <c r="H155" s="1301" t="e">
        <f t="shared" si="103"/>
        <v>#N/A</v>
      </c>
      <c r="I155" s="1301" t="e">
        <f t="shared" si="103"/>
        <v>#N/A</v>
      </c>
      <c r="J155" s="1301" t="e">
        <f t="shared" si="103"/>
        <v>#N/A</v>
      </c>
      <c r="K155" s="1301" t="e">
        <f t="shared" si="103"/>
        <v>#N/A</v>
      </c>
      <c r="L155" s="1301" t="e">
        <f t="shared" si="103"/>
        <v>#N/A</v>
      </c>
      <c r="M155" s="1301" t="e">
        <f t="shared" si="103"/>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104">IF(AND(G$160&lt;&gt;0,G$160&gt;0),IF(($E$151*3)&gt;=G$160,0,1),IF(AND(G$160&lt;&gt;0,G$160&lt;0),IF(($E$151*3)&lt;=G$160,0,1),0))</f>
        <v>#N/A</v>
      </c>
      <c r="H156" s="1301" t="e">
        <f t="shared" si="104"/>
        <v>#N/A</v>
      </c>
      <c r="I156" s="1301" t="e">
        <f t="shared" si="104"/>
        <v>#N/A</v>
      </c>
      <c r="J156" s="1301" t="e">
        <f t="shared" si="104"/>
        <v>#N/A</v>
      </c>
      <c r="K156" s="1301" t="e">
        <f t="shared" si="104"/>
        <v>#N/A</v>
      </c>
      <c r="L156" s="1301" t="e">
        <f t="shared" si="104"/>
        <v>#N/A</v>
      </c>
      <c r="M156" s="1301" t="e">
        <f t="shared" si="104"/>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105">IF(AND(G$160&lt;&gt;0,G$160&gt;0),IF(($E$151*2)&gt;=G$160,0,1),IF(AND(G$160&lt;&gt;0,G$160&lt;0),IF(($E$151*2)&lt;=G$160,0,1),0))</f>
        <v>#N/A</v>
      </c>
      <c r="H157" s="1301" t="e">
        <f t="shared" si="105"/>
        <v>#N/A</v>
      </c>
      <c r="I157" s="1301" t="e">
        <f t="shared" si="105"/>
        <v>#N/A</v>
      </c>
      <c r="J157" s="1301" t="e">
        <f t="shared" si="105"/>
        <v>#N/A</v>
      </c>
      <c r="K157" s="1301" t="e">
        <f t="shared" si="105"/>
        <v>#N/A</v>
      </c>
      <c r="L157" s="1301" t="e">
        <f t="shared" si="105"/>
        <v>#N/A</v>
      </c>
      <c r="M157" s="1301" t="e">
        <f t="shared" si="105"/>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106">IF(AND(G$160&lt;&gt;0,G$160&gt;0),IF(($E$151*1)&gt;=G$160,0,1),IF(AND(G$160&lt;&gt;0,G$160&lt;0),IF(($E$151*1)&lt;=G$160,0,1),0))</f>
        <v>#N/A</v>
      </c>
      <c r="H158" s="1301" t="e">
        <f t="shared" si="106"/>
        <v>#N/A</v>
      </c>
      <c r="I158" s="1301" t="e">
        <f t="shared" si="106"/>
        <v>#N/A</v>
      </c>
      <c r="J158" s="1301" t="e">
        <f t="shared" si="106"/>
        <v>#N/A</v>
      </c>
      <c r="K158" s="1301" t="e">
        <f t="shared" si="106"/>
        <v>#N/A</v>
      </c>
      <c r="L158" s="1301" t="e">
        <f t="shared" si="106"/>
        <v>#N/A</v>
      </c>
      <c r="M158" s="1301" t="e">
        <f t="shared" si="106"/>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107">IF(H160&lt;&gt;0,1,0)</f>
        <v>#N/A</v>
      </c>
      <c r="I159" s="1301" t="e">
        <f t="shared" si="107"/>
        <v>#N/A</v>
      </c>
      <c r="J159" s="1301" t="e">
        <f t="shared" si="107"/>
        <v>#N/A</v>
      </c>
      <c r="K159" s="1301" t="e">
        <f t="shared" si="107"/>
        <v>#N/A</v>
      </c>
      <c r="L159" s="1301" t="e">
        <f t="shared" si="107"/>
        <v>#N/A</v>
      </c>
      <c r="M159" s="1301" t="e">
        <f t="shared" si="107"/>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108">IF(AND(H$173&lt;&gt;0,H$173&gt;0),IF(($E$164*9)&gt;=H$173,0,1),IF(AND(H$173&lt;&gt;0,H$173&lt;0),IF(($E$164*9)&lt;=H$173,0,1),0))</f>
        <v>#N/A</v>
      </c>
      <c r="I163" s="1301" t="e">
        <f t="shared" si="108"/>
        <v>#N/A</v>
      </c>
      <c r="J163" s="1301" t="e">
        <f t="shared" si="108"/>
        <v>#N/A</v>
      </c>
      <c r="K163" s="1301" t="e">
        <f t="shared" si="108"/>
        <v>#N/A</v>
      </c>
      <c r="L163" s="1301" t="e">
        <f t="shared" si="108"/>
        <v>#N/A</v>
      </c>
      <c r="M163" s="1301" t="e">
        <f t="shared" si="108"/>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109">IF(AND(H$173&lt;&gt;0,H$173&gt;0),IF(($E$164*8)&gt;=H$173,0,1),IF(AND(H$173&lt;&gt;0,H$173&lt;0),IF(($E$164*8)&lt;=H$173,0,1),0))</f>
        <v>#N/A</v>
      </c>
      <c r="I164" s="1301" t="e">
        <f t="shared" si="109"/>
        <v>#N/A</v>
      </c>
      <c r="J164" s="1301" t="e">
        <f t="shared" si="109"/>
        <v>#N/A</v>
      </c>
      <c r="K164" s="1301" t="e">
        <f t="shared" si="109"/>
        <v>#N/A</v>
      </c>
      <c r="L164" s="1301" t="e">
        <f t="shared" si="109"/>
        <v>#N/A</v>
      </c>
      <c r="M164" s="1301" t="e">
        <f t="shared" si="109"/>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110">IF(AND(H$173&lt;&gt;0,H$173&gt;0),IF(($E$164*7)&gt;=H$173,0,1),IF(AND(H$173&lt;&gt;0,H$173&lt;0),IF(($E$164*7)&lt;=H$173,0,1),0))</f>
        <v>#N/A</v>
      </c>
      <c r="I165" s="1301" t="e">
        <f t="shared" si="110"/>
        <v>#N/A</v>
      </c>
      <c r="J165" s="1301" t="e">
        <f t="shared" si="110"/>
        <v>#N/A</v>
      </c>
      <c r="K165" s="1301" t="e">
        <f t="shared" si="110"/>
        <v>#N/A</v>
      </c>
      <c r="L165" s="1301" t="e">
        <f t="shared" si="110"/>
        <v>#N/A</v>
      </c>
      <c r="M165" s="1301" t="e">
        <f t="shared" si="110"/>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11">IF(AND(H$173&lt;&gt;0,H$173&gt;0),IF(($E$164*6)&gt;=H$173,0,1),IF(AND(H$173&lt;&gt;0,H$173&lt;0),IF(($E$164*6)&lt;=H$173,0,1),0))</f>
        <v>#N/A</v>
      </c>
      <c r="I166" s="1301" t="e">
        <f t="shared" si="111"/>
        <v>#N/A</v>
      </c>
      <c r="J166" s="1301" t="e">
        <f t="shared" si="111"/>
        <v>#N/A</v>
      </c>
      <c r="K166" s="1301" t="e">
        <f t="shared" si="111"/>
        <v>#N/A</v>
      </c>
      <c r="L166" s="1301" t="e">
        <f t="shared" si="111"/>
        <v>#N/A</v>
      </c>
      <c r="M166" s="1301" t="e">
        <f t="shared" si="111"/>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12">IF(AND(H$173&lt;&gt;0,H$173&gt;0),IF(($E$164*5)&gt;=H$173,0,1),IF(AND(H$173&lt;&gt;0,H$173&lt;0),IF(($E$164*5)&lt;=H$173,0,1),0))</f>
        <v>#N/A</v>
      </c>
      <c r="I167" s="1301" t="e">
        <f t="shared" si="112"/>
        <v>#N/A</v>
      </c>
      <c r="J167" s="1301" t="e">
        <f t="shared" si="112"/>
        <v>#N/A</v>
      </c>
      <c r="K167" s="1301" t="e">
        <f t="shared" si="112"/>
        <v>#N/A</v>
      </c>
      <c r="L167" s="1301" t="e">
        <f t="shared" si="112"/>
        <v>#N/A</v>
      </c>
      <c r="M167" s="1301" t="e">
        <f t="shared" si="112"/>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13">IF(AND(H$173&lt;&gt;0,H$173&gt;0),IF(($E$164*4)&gt;=H$173,0,1),IF(AND(H$173&lt;&gt;0,H$173&lt;0),IF(($E$164*4)&lt;=H$173,0,1),0))</f>
        <v>#N/A</v>
      </c>
      <c r="I168" s="1301" t="e">
        <f t="shared" si="113"/>
        <v>#N/A</v>
      </c>
      <c r="J168" s="1301" t="e">
        <f t="shared" si="113"/>
        <v>#N/A</v>
      </c>
      <c r="K168" s="1301" t="e">
        <f t="shared" si="113"/>
        <v>#N/A</v>
      </c>
      <c r="L168" s="1301" t="e">
        <f t="shared" si="113"/>
        <v>#N/A</v>
      </c>
      <c r="M168" s="1301" t="e">
        <f t="shared" si="113"/>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14">IF(AND(H$173&lt;&gt;0,H$173&gt;0),IF(($E$164*3)&gt;=H$173,0,1),IF(AND(H$173&lt;&gt;0,H$173&lt;0),IF(($E$164*3)&lt;=H$173,0,1),0))</f>
        <v>#N/A</v>
      </c>
      <c r="I169" s="1301" t="e">
        <f t="shared" si="114"/>
        <v>#N/A</v>
      </c>
      <c r="J169" s="1301" t="e">
        <f t="shared" si="114"/>
        <v>#N/A</v>
      </c>
      <c r="K169" s="1301" t="e">
        <f t="shared" si="114"/>
        <v>#N/A</v>
      </c>
      <c r="L169" s="1301" t="e">
        <f t="shared" si="114"/>
        <v>#N/A</v>
      </c>
      <c r="M169" s="1301" t="e">
        <f t="shared" si="114"/>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15">IF(AND(H$173&lt;&gt;0,H$173&gt;0),IF(($E$164*2)&gt;=H$173,0,1),IF(AND(H$173&lt;&gt;0,H$173&lt;0),IF(($E$164*2)&lt;=H$173,0,1),0))</f>
        <v>#N/A</v>
      </c>
      <c r="I170" s="1301" t="e">
        <f t="shared" si="115"/>
        <v>#N/A</v>
      </c>
      <c r="J170" s="1301" t="e">
        <f t="shared" si="115"/>
        <v>#N/A</v>
      </c>
      <c r="K170" s="1301" t="e">
        <f t="shared" si="115"/>
        <v>#N/A</v>
      </c>
      <c r="L170" s="1301" t="e">
        <f t="shared" si="115"/>
        <v>#N/A</v>
      </c>
      <c r="M170" s="1301" t="e">
        <f t="shared" si="115"/>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16">IF(AND(H$173&lt;&gt;0,H$173&gt;0),IF(($E$164*1)&gt;=H$173,0,1),IF(AND(H$173&lt;&gt;0,H$173&lt;0),IF(($E$164*1)&lt;=H$173,0,1),0))</f>
        <v>#N/A</v>
      </c>
      <c r="I171" s="1301" t="e">
        <f t="shared" si="116"/>
        <v>#N/A</v>
      </c>
      <c r="J171" s="1301" t="e">
        <f t="shared" si="116"/>
        <v>#N/A</v>
      </c>
      <c r="K171" s="1301" t="e">
        <f t="shared" si="116"/>
        <v>#N/A</v>
      </c>
      <c r="L171" s="1301" t="e">
        <f t="shared" si="116"/>
        <v>#N/A</v>
      </c>
      <c r="M171" s="1301" t="e">
        <f t="shared" si="116"/>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17">IF(H173&lt;&gt;0,1,0)</f>
        <v>#N/A</v>
      </c>
      <c r="I172" s="1301" t="e">
        <f t="shared" si="117"/>
        <v>#N/A</v>
      </c>
      <c r="J172" s="1301" t="e">
        <f t="shared" si="117"/>
        <v>#N/A</v>
      </c>
      <c r="K172" s="1301" t="e">
        <f t="shared" si="117"/>
        <v>#N/A</v>
      </c>
      <c r="L172" s="1301" t="e">
        <f t="shared" si="117"/>
        <v>#N/A</v>
      </c>
      <c r="M172" s="1301" t="e">
        <f t="shared" si="117"/>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3</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18">H182-H183</f>
        <v>#N/A</v>
      </c>
      <c r="I184" s="327" t="e">
        <f t="shared" si="118"/>
        <v>#N/A</v>
      </c>
      <c r="J184" s="327" t="e">
        <f t="shared" si="118"/>
        <v>#N/A</v>
      </c>
      <c r="K184" s="327" t="e">
        <f t="shared" si="118"/>
        <v>#N/A</v>
      </c>
      <c r="L184" s="327" t="e">
        <f t="shared" si="118"/>
        <v>#N/A</v>
      </c>
      <c r="M184" s="327" t="e">
        <f t="shared" si="118"/>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19">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19"/>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19"/>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19"/>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19"/>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19"/>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19"/>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19"/>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19"/>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19"/>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VAl3dB3em3k3uGLdMUGhwkrO+79RYNIjVSVHiIqv2y3aiV/nfmJm9XaO8APaz36sn2NyeGZnZSGMTFHZmIG8nA==" saltValue="2fi5zR7bb2duCg9wQWcN5A==" spinCount="100000" sheet="1" objects="1" scenarios="1" selectLockedCells="1"/>
  <mergeCells count="132">
    <mergeCell ref="C2:I2"/>
    <mergeCell ref="E46:F46"/>
    <mergeCell ref="E48:F48"/>
    <mergeCell ref="H53:I53"/>
    <mergeCell ref="M50:N50"/>
    <mergeCell ref="M51:N51"/>
    <mergeCell ref="M52:N52"/>
    <mergeCell ref="M53:N53"/>
    <mergeCell ref="M56:N56"/>
    <mergeCell ref="H50:K50"/>
    <mergeCell ref="J51:K52"/>
    <mergeCell ref="J53:K53"/>
    <mergeCell ref="J54:K54"/>
    <mergeCell ref="J55:K55"/>
    <mergeCell ref="J56:K56"/>
    <mergeCell ref="E24:F24"/>
    <mergeCell ref="E21:F21"/>
    <mergeCell ref="E37:F37"/>
    <mergeCell ref="I3:K3"/>
    <mergeCell ref="L3:N3"/>
    <mergeCell ref="J2:N2"/>
    <mergeCell ref="C3:D3"/>
    <mergeCell ref="E3:H3"/>
    <mergeCell ref="C56:D56"/>
    <mergeCell ref="AU7:AY7"/>
    <mergeCell ref="AM6:AS6"/>
    <mergeCell ref="E151:E152"/>
    <mergeCell ref="C149:F149"/>
    <mergeCell ref="G119:M119"/>
    <mergeCell ref="C138:D139"/>
    <mergeCell ref="E138:E139"/>
    <mergeCell ref="B130:D130"/>
    <mergeCell ref="C134:D134"/>
    <mergeCell ref="E134:F134"/>
    <mergeCell ref="E35:F35"/>
    <mergeCell ref="E38:F38"/>
    <mergeCell ref="C45:F45"/>
    <mergeCell ref="P7:V7"/>
    <mergeCell ref="C53:F53"/>
    <mergeCell ref="E32:F32"/>
    <mergeCell ref="AF7:AJ7"/>
    <mergeCell ref="E65:F65"/>
    <mergeCell ref="C63:F63"/>
    <mergeCell ref="C64:F64"/>
    <mergeCell ref="C65:D65"/>
    <mergeCell ref="C58:F58"/>
    <mergeCell ref="E56:F56"/>
    <mergeCell ref="C57:F57"/>
    <mergeCell ref="C184:D184"/>
    <mergeCell ref="E47:F47"/>
    <mergeCell ref="C46:D46"/>
    <mergeCell ref="C47:D47"/>
    <mergeCell ref="C71:F71"/>
    <mergeCell ref="C73:F73"/>
    <mergeCell ref="C72:F72"/>
    <mergeCell ref="C160:D160"/>
    <mergeCell ref="E160:F160"/>
    <mergeCell ref="C162:H162"/>
    <mergeCell ref="C174:J174"/>
    <mergeCell ref="C164:D165"/>
    <mergeCell ref="E164:E165"/>
    <mergeCell ref="C163:D163"/>
    <mergeCell ref="E184:F184"/>
    <mergeCell ref="C182:D182"/>
    <mergeCell ref="E182:F182"/>
    <mergeCell ref="C183:D183"/>
    <mergeCell ref="C55:F55"/>
    <mergeCell ref="C62:D62"/>
    <mergeCell ref="C54:F54"/>
    <mergeCell ref="C52:F52"/>
    <mergeCell ref="C50:F50"/>
    <mergeCell ref="E183:F183"/>
    <mergeCell ref="E12:F12"/>
    <mergeCell ref="E33:F33"/>
    <mergeCell ref="C51:F51"/>
    <mergeCell ref="C48:D48"/>
    <mergeCell ref="C39:D39"/>
    <mergeCell ref="E8:F8"/>
    <mergeCell ref="E15:F15"/>
    <mergeCell ref="E39:F39"/>
    <mergeCell ref="E7:F7"/>
    <mergeCell ref="E10:F10"/>
    <mergeCell ref="C44:F44"/>
    <mergeCell ref="E31:F31"/>
    <mergeCell ref="C43:D43"/>
    <mergeCell ref="E16:F16"/>
    <mergeCell ref="C66:F66"/>
    <mergeCell ref="N78:O78"/>
    <mergeCell ref="C59:E59"/>
    <mergeCell ref="E62:F62"/>
    <mergeCell ref="C60:N60"/>
    <mergeCell ref="C151:D152"/>
    <mergeCell ref="K174:M174"/>
    <mergeCell ref="C173:D173"/>
    <mergeCell ref="E173:F173"/>
    <mergeCell ref="N133:O133"/>
    <mergeCell ref="B129:D129"/>
    <mergeCell ref="E147:F147"/>
    <mergeCell ref="C150:D150"/>
    <mergeCell ref="C137:D137"/>
    <mergeCell ref="C135:F135"/>
    <mergeCell ref="C136:F136"/>
    <mergeCell ref="C147:D147"/>
    <mergeCell ref="N135:O135"/>
    <mergeCell ref="N77:O77"/>
    <mergeCell ref="C70:F70"/>
    <mergeCell ref="C69:F69"/>
    <mergeCell ref="C67:F67"/>
    <mergeCell ref="N5:N6"/>
    <mergeCell ref="C4:D5"/>
    <mergeCell ref="C6:D6"/>
    <mergeCell ref="E6:F6"/>
    <mergeCell ref="E4:F5"/>
    <mergeCell ref="E43:F43"/>
    <mergeCell ref="E17:F17"/>
    <mergeCell ref="E34:F34"/>
    <mergeCell ref="E36:F36"/>
    <mergeCell ref="E22:F22"/>
    <mergeCell ref="E29:F29"/>
    <mergeCell ref="E30:F30"/>
    <mergeCell ref="E18:F18"/>
    <mergeCell ref="E11:F11"/>
    <mergeCell ref="E14:F14"/>
    <mergeCell ref="E13:F13"/>
    <mergeCell ref="E9:F9"/>
    <mergeCell ref="E19:F19"/>
    <mergeCell ref="E20:F20"/>
    <mergeCell ref="E27:F27"/>
    <mergeCell ref="E28:F28"/>
    <mergeCell ref="E25:F25"/>
    <mergeCell ref="E26:F26"/>
    <mergeCell ref="E23:F23"/>
  </mergeCells>
  <phoneticPr fontId="24" type="noConversion"/>
  <conditionalFormatting sqref="C57 G57">
    <cfRule type="expression" dxfId="4772" priority="209" stopIfTrue="1">
      <formula>C58=0</formula>
    </cfRule>
  </conditionalFormatting>
  <conditionalFormatting sqref="O182:O184 O147 O160 O173">
    <cfRule type="expression" dxfId="4771" priority="335" stopIfTrue="1">
      <formula>$N$44=""</formula>
    </cfRule>
    <cfRule type="expression" dxfId="4770" priority="336" stopIfTrue="1">
      <formula>$N$44=0</formula>
    </cfRule>
  </conditionalFormatting>
  <conditionalFormatting sqref="G182:M184">
    <cfRule type="expression" dxfId="4769" priority="337" stopIfTrue="1">
      <formula>ISERROR(G182)</formula>
    </cfRule>
    <cfRule type="cellIs" dxfId="4768" priority="338" stopIfTrue="1" operator="equal">
      <formula>0</formula>
    </cfRule>
  </conditionalFormatting>
  <conditionalFormatting sqref="N63">
    <cfRule type="expression" dxfId="4767" priority="344" stopIfTrue="1">
      <formula>$N$44=""</formula>
    </cfRule>
  </conditionalFormatting>
  <conditionalFormatting sqref="N65:N67 C66:F67">
    <cfRule type="expression" dxfId="4766" priority="345" stopIfTrue="1">
      <formula>SUM($G$120:$M$120)=0</formula>
    </cfRule>
  </conditionalFormatting>
  <conditionalFormatting sqref="E47:F48">
    <cfRule type="expression" dxfId="4765" priority="348" stopIfTrue="1">
      <formula>ISERROR(E47)</formula>
    </cfRule>
  </conditionalFormatting>
  <conditionalFormatting sqref="G63">
    <cfRule type="expression" dxfId="4764" priority="161">
      <formula>ISERROR(G46)</formula>
    </cfRule>
    <cfRule type="cellIs" dxfId="4763" priority="349" operator="equal">
      <formula>0</formula>
    </cfRule>
  </conditionalFormatting>
  <conditionalFormatting sqref="G43:M43 G134:M134">
    <cfRule type="cellIs" dxfId="4762" priority="350" stopIfTrue="1" operator="equal">
      <formula>0</formula>
    </cfRule>
  </conditionalFormatting>
  <conditionalFormatting sqref="G123:M123">
    <cfRule type="cellIs" dxfId="4761" priority="352" stopIfTrue="1" operator="equal">
      <formula>0</formula>
    </cfRule>
  </conditionalFormatting>
  <conditionalFormatting sqref="P8:V38 X8:AD38 AF8:AJ38 AU8:AY38 AL8:AS38">
    <cfRule type="cellIs" dxfId="4760" priority="353" stopIfTrue="1" operator="equal">
      <formula>0</formula>
    </cfRule>
  </conditionalFormatting>
  <conditionalFormatting sqref="G68:M68 G74:M74 H107:H116">
    <cfRule type="cellIs" dxfId="4759" priority="356" stopIfTrue="1" operator="equal">
      <formula>"OK"</formula>
    </cfRule>
  </conditionalFormatting>
  <conditionalFormatting sqref="I107:I116">
    <cfRule type="cellIs" dxfId="4758" priority="357" stopIfTrue="1" operator="greaterThan">
      <formula>0</formula>
    </cfRule>
  </conditionalFormatting>
  <conditionalFormatting sqref="M88:M89 M83:M84">
    <cfRule type="expression" dxfId="4757" priority="358" stopIfTrue="1">
      <formula>$M$78=0</formula>
    </cfRule>
  </conditionalFormatting>
  <conditionalFormatting sqref="G125:M126">
    <cfRule type="cellIs" dxfId="4756" priority="359" stopIfTrue="1" operator="equal">
      <formula>$E$125</formula>
    </cfRule>
  </conditionalFormatting>
  <conditionalFormatting sqref="C162:H162">
    <cfRule type="expression" dxfId="4755" priority="361" stopIfTrue="1">
      <formula>ISERROR($C$162)</formula>
    </cfRule>
  </conditionalFormatting>
  <conditionalFormatting sqref="E46:F46">
    <cfRule type="expression" dxfId="4754" priority="364" stopIfTrue="1">
      <formula>ISERROR($E$46)</formula>
    </cfRule>
  </conditionalFormatting>
  <conditionalFormatting sqref="C60">
    <cfRule type="expression" dxfId="4753" priority="398" stopIfTrue="1">
      <formula>SUM($G$118:$M$118)=0</formula>
    </cfRule>
  </conditionalFormatting>
  <conditionalFormatting sqref="E8:F38">
    <cfRule type="expression" dxfId="4752" priority="2025" stopIfTrue="1">
      <formula>$AE8=$AC$6</formula>
    </cfRule>
    <cfRule type="expression" dxfId="4751" priority="2026" stopIfTrue="1">
      <formula>AND($AE8=0,$E8=0)</formula>
    </cfRule>
    <cfRule type="expression" dxfId="4750" priority="2027" stopIfTrue="1">
      <formula>$AE8=0</formula>
    </cfRule>
  </conditionalFormatting>
  <conditionalFormatting sqref="G120:M120">
    <cfRule type="cellIs" dxfId="4749" priority="208" operator="equal">
      <formula>0</formula>
    </cfRule>
  </conditionalFormatting>
  <conditionalFormatting sqref="G65:M65">
    <cfRule type="expression" dxfId="4748" priority="205">
      <formula>$D$120=0</formula>
    </cfRule>
    <cfRule type="cellIs" dxfId="4747" priority="355" operator="equal">
      <formula>0</formula>
    </cfRule>
  </conditionalFormatting>
  <conditionalFormatting sqref="G62:M62">
    <cfRule type="expression" dxfId="4746" priority="2326" stopIfTrue="1">
      <formula>AND(G$123="X",G$62&lt;&gt;"")</formula>
    </cfRule>
  </conditionalFormatting>
  <conditionalFormatting sqref="G47:M47">
    <cfRule type="expression" dxfId="4745" priority="168" stopIfTrue="1">
      <formula>ISERROR(G47)</formula>
    </cfRule>
    <cfRule type="expression" dxfId="4744" priority="2337" stopIfTrue="1">
      <formula>G$42=$K$102</formula>
    </cfRule>
    <cfRule type="expression" dxfId="4743" priority="2338" stopIfTrue="1">
      <formula>AND(G$46&gt;0,OR(G$68=$E$120,G$68=$N$120))</formula>
    </cfRule>
    <cfRule type="cellIs" dxfId="4742" priority="2339" operator="equal">
      <formula>0</formula>
    </cfRule>
  </conditionalFormatting>
  <conditionalFormatting sqref="G48:M48">
    <cfRule type="expression" dxfId="4741" priority="167" stopIfTrue="1">
      <formula>ISERROR(G48)</formula>
    </cfRule>
    <cfRule type="expression" dxfId="4740" priority="2340" stopIfTrue="1">
      <formula>G$42=$K$102</formula>
    </cfRule>
    <cfRule type="expression" dxfId="4739" priority="2341" stopIfTrue="1">
      <formula>AND(G$46&gt;0,OR(G$68=$E$120,G$68=$N$120,COUNTIF($C$70:$F$73,"ERROR")&gt;0,G$74=$E$120,G$74=$N$120))</formula>
    </cfRule>
    <cfRule type="cellIs" dxfId="4738" priority="2342" operator="equal">
      <formula>0</formula>
    </cfRule>
  </conditionalFormatting>
  <conditionalFormatting sqref="G66:M66">
    <cfRule type="expression" dxfId="4737" priority="2353">
      <formula>AND(G$66&lt;&gt;0,G$68=$O$120)</formula>
    </cfRule>
    <cfRule type="expression" dxfId="4736" priority="2354">
      <formula>$D$120=0</formula>
    </cfRule>
  </conditionalFormatting>
  <conditionalFormatting sqref="G67:M67">
    <cfRule type="expression" dxfId="4735" priority="2355">
      <formula>AND(G$67&lt;&gt;0,G$68=$O$120)</formula>
    </cfRule>
    <cfRule type="expression" dxfId="4734" priority="2356">
      <formula>$D$120=0</formula>
    </cfRule>
  </conditionalFormatting>
  <conditionalFormatting sqref="G73:M73">
    <cfRule type="expression" dxfId="4733" priority="2357">
      <formula>AND(G$73&lt;&gt;0,G$74=$O$120)</formula>
    </cfRule>
    <cfRule type="expression" dxfId="4732" priority="2358">
      <formula>$D$120=0</formula>
    </cfRule>
  </conditionalFormatting>
  <conditionalFormatting sqref="G70:M70">
    <cfRule type="expression" dxfId="4731" priority="2359">
      <formula>AND(G$70&lt;&gt;0,G$74=$O$120)</formula>
    </cfRule>
    <cfRule type="expression" dxfId="4730" priority="2360">
      <formula>$D$120=0</formula>
    </cfRule>
  </conditionalFormatting>
  <conditionalFormatting sqref="G71:M71">
    <cfRule type="expression" dxfId="4729" priority="2361">
      <formula>AND(G$71&lt;&gt;0,G$74=$O$120)</formula>
    </cfRule>
    <cfRule type="expression" dxfId="4728" priority="2362">
      <formula>$D$120=0</formula>
    </cfRule>
  </conditionalFormatting>
  <conditionalFormatting sqref="G72:M72">
    <cfRule type="expression" dxfId="4727" priority="2363">
      <formula>AND(G$72&lt;&gt;0,G$74=$O$120)</formula>
    </cfRule>
    <cfRule type="expression" dxfId="4726" priority="2364">
      <formula>$D$120=0</formula>
    </cfRule>
  </conditionalFormatting>
  <conditionalFormatting sqref="N70:N73">
    <cfRule type="expression" dxfId="4725" priority="2365" stopIfTrue="1">
      <formula>$D$120=0</formula>
    </cfRule>
    <cfRule type="expression" dxfId="4724" priority="2366" stopIfTrue="1">
      <formula>$B70=""</formula>
    </cfRule>
  </conditionalFormatting>
  <conditionalFormatting sqref="C95 P95">
    <cfRule type="expression" dxfId="4723" priority="2913" stopIfTrue="1">
      <formula>ISERROR($H$199)</formula>
    </cfRule>
  </conditionalFormatting>
  <conditionalFormatting sqref="C2:J2">
    <cfRule type="expression" dxfId="4722" priority="2914" stopIfTrue="1">
      <formula>$I$199=0</formula>
    </cfRule>
  </conditionalFormatting>
  <conditionalFormatting sqref="G7:M7">
    <cfRule type="expression" dxfId="4721" priority="2915" stopIfTrue="1">
      <formula>$I$199=0</formula>
    </cfRule>
    <cfRule type="cellIs" dxfId="4720" priority="2916" stopIfTrue="1" operator="equal">
      <formula>0</formula>
    </cfRule>
  </conditionalFormatting>
  <conditionalFormatting sqref="N136:O136">
    <cfRule type="expression" dxfId="4719" priority="3166" stopIfTrue="1">
      <formula>$N$5=#REF!</formula>
    </cfRule>
    <cfRule type="expression" dxfId="4718" priority="3167" stopIfTrue="1">
      <formula>$N$44=0</formula>
    </cfRule>
  </conditionalFormatting>
  <conditionalFormatting sqref="N5">
    <cfRule type="expression" dxfId="4717" priority="3180" stopIfTrue="1">
      <formula>#REF!=""</formula>
    </cfRule>
    <cfRule type="cellIs" dxfId="4716" priority="3181" stopIfTrue="1" operator="equal">
      <formula>0</formula>
    </cfRule>
    <cfRule type="expression" dxfId="4715" priority="3182" stopIfTrue="1">
      <formula>$N$5=#REF!</formula>
    </cfRule>
  </conditionalFormatting>
  <conditionalFormatting sqref="G44:M45">
    <cfRule type="cellIs" dxfId="4714" priority="170" operator="equal">
      <formula>0</formula>
    </cfRule>
  </conditionalFormatting>
  <conditionalFormatting sqref="E39:N39">
    <cfRule type="expression" dxfId="4713" priority="169">
      <formula>ISERROR($H$199)</formula>
    </cfRule>
  </conditionalFormatting>
  <conditionalFormatting sqref="G42:M42">
    <cfRule type="cellIs" dxfId="4712" priority="166" stopIfTrue="1" operator="equal">
      <formula>0</formula>
    </cfRule>
  </conditionalFormatting>
  <conditionalFormatting sqref="G130:M130">
    <cfRule type="cellIs" dxfId="4711" priority="165" stopIfTrue="1" operator="equal">
      <formula>0</formula>
    </cfRule>
  </conditionalFormatting>
  <conditionalFormatting sqref="G4:M4">
    <cfRule type="cellIs" dxfId="4710" priority="164" operator="equal">
      <formula>0</formula>
    </cfRule>
  </conditionalFormatting>
  <conditionalFormatting sqref="N130">
    <cfRule type="cellIs" dxfId="4709" priority="163" stopIfTrue="1" operator="equal">
      <formula>0</formula>
    </cfRule>
  </conditionalFormatting>
  <conditionalFormatting sqref="G64">
    <cfRule type="expression" dxfId="4708" priority="160">
      <formula>ISERROR(G46)</formula>
    </cfRule>
    <cfRule type="cellIs" dxfId="4707" priority="162" operator="equal">
      <formula>0</formula>
    </cfRule>
  </conditionalFormatting>
  <conditionalFormatting sqref="H63:M63">
    <cfRule type="expression" dxfId="4706" priority="157">
      <formula>ISERROR(H46)</formula>
    </cfRule>
    <cfRule type="cellIs" dxfId="4705" priority="159" operator="equal">
      <formula>0</formula>
    </cfRule>
  </conditionalFormatting>
  <conditionalFormatting sqref="H64:M64">
    <cfRule type="expression" dxfId="4704" priority="156">
      <formula>ISERROR(H46)</formula>
    </cfRule>
    <cfRule type="cellIs" dxfId="4703" priority="158" operator="equal">
      <formula>0</formula>
    </cfRule>
  </conditionalFormatting>
  <conditionalFormatting sqref="C70:F73">
    <cfRule type="cellIs" dxfId="4702" priority="153" stopIfTrue="1" operator="equal">
      <formula>"ERROR"</formula>
    </cfRule>
    <cfRule type="cellIs" dxfId="4701" priority="154" stopIfTrue="1" operator="equal">
      <formula>0</formula>
    </cfRule>
    <cfRule type="expression" dxfId="4700" priority="155" stopIfTrue="1">
      <formula>SUM($G$120:$M$120)=0</formula>
    </cfRule>
  </conditionalFormatting>
  <conditionalFormatting sqref="G49">
    <cfRule type="cellIs" dxfId="4699" priority="152" operator="equal">
      <formula>$E$130</formula>
    </cfRule>
  </conditionalFormatting>
  <conditionalFormatting sqref="H49:M49">
    <cfRule type="cellIs" dxfId="4698" priority="151" operator="equal">
      <formula>$E$130</formula>
    </cfRule>
  </conditionalFormatting>
  <conditionalFormatting sqref="G8:M38">
    <cfRule type="expression" dxfId="4697" priority="5905" stopIfTrue="1">
      <formula>$AE8=$AC$6</formula>
    </cfRule>
    <cfRule type="expression" dxfId="4696" priority="5906" stopIfTrue="1">
      <formula>OR($AE8=0,$E8=$E$129)</formula>
    </cfRule>
  </conditionalFormatting>
  <conditionalFormatting sqref="G46:M46">
    <cfRule type="expression" dxfId="4695" priority="5907" stopIfTrue="1">
      <formula>G$42=$K$102</formula>
    </cfRule>
    <cfRule type="expression" dxfId="4694" priority="5908" stopIfTrue="1">
      <formula>$I$199=0</formula>
    </cfRule>
  </conditionalFormatting>
  <conditionalFormatting sqref="C8:D38">
    <cfRule type="expression" dxfId="4693" priority="4" stopIfTrue="1">
      <formula>$AE8=$AC$6</formula>
    </cfRule>
    <cfRule type="expression" dxfId="4692" priority="5909" stopIfTrue="1">
      <formula>AND($L$199=0,OR($W8&lt;$B$129,$W8&gt;$B$130))</formula>
    </cfRule>
    <cfRule type="expression" dxfId="4691" priority="5910" stopIfTrue="1">
      <formula>AND($AE8=0,$E8=0)</formula>
    </cfRule>
    <cfRule type="expression" dxfId="4690" priority="5911" stopIfTrue="1">
      <formula>$AE8=0</formula>
    </cfRule>
  </conditionalFormatting>
  <conditionalFormatting sqref="H53:H54">
    <cfRule type="expression" dxfId="4689" priority="148" stopIfTrue="1">
      <formula>ISERROR($G$123)</formula>
    </cfRule>
    <cfRule type="expression" dxfId="4688" priority="149" stopIfTrue="1">
      <formula>ISERROR(H53)</formula>
    </cfRule>
  </conditionalFormatting>
  <conditionalFormatting sqref="H51:I52">
    <cfRule type="expression" dxfId="4687" priority="150" stopIfTrue="1">
      <formula>ISERROR(H51)</formula>
    </cfRule>
  </conditionalFormatting>
  <conditionalFormatting sqref="I54">
    <cfRule type="expression" dxfId="4686" priority="146" stopIfTrue="1">
      <formula>ISERROR($G$123)</formula>
    </cfRule>
    <cfRule type="expression" dxfId="4685" priority="147" stopIfTrue="1">
      <formula>ISERROR(I54)</formula>
    </cfRule>
  </conditionalFormatting>
  <conditionalFormatting sqref="H56:I56">
    <cfRule type="expression" dxfId="4684" priority="145" stopIfTrue="1">
      <formula>ISERROR(H56)</formula>
    </cfRule>
  </conditionalFormatting>
  <conditionalFormatting sqref="H55">
    <cfRule type="expression" dxfId="4683" priority="143" stopIfTrue="1">
      <formula>ISERROR($G$123)</formula>
    </cfRule>
    <cfRule type="expression" dxfId="4682" priority="144" stopIfTrue="1">
      <formula>ISERROR(H55)</formula>
    </cfRule>
  </conditionalFormatting>
  <conditionalFormatting sqref="I55">
    <cfRule type="expression" dxfId="4681" priority="141" stopIfTrue="1">
      <formula>ISERROR($G$123)</formula>
    </cfRule>
    <cfRule type="expression" dxfId="4680" priority="142" stopIfTrue="1">
      <formula>ISERROR(I55)</formula>
    </cfRule>
  </conditionalFormatting>
  <conditionalFormatting sqref="G147">
    <cfRule type="expression" dxfId="4679" priority="138" stopIfTrue="1">
      <formula>$E147=0</formula>
    </cfRule>
    <cfRule type="expression" dxfId="4678" priority="139" stopIfTrue="1">
      <formula>ISERROR(G147)</formula>
    </cfRule>
    <cfRule type="expression" dxfId="4677" priority="140" stopIfTrue="1">
      <formula>$E147&lt;&gt;0</formula>
    </cfRule>
  </conditionalFormatting>
  <conditionalFormatting sqref="G145">
    <cfRule type="expression" dxfId="4676" priority="135" stopIfTrue="1">
      <formula>AND(G144=0,G145=1,G146=1)</formula>
    </cfRule>
    <cfRule type="expression" dxfId="4675" priority="136" stopIfTrue="1">
      <formula>AND(G144=1,G146=1)</formula>
    </cfRule>
    <cfRule type="expression" dxfId="4674" priority="137" stopIfTrue="1">
      <formula>AND(G145=1,G144=0)</formula>
    </cfRule>
  </conditionalFormatting>
  <conditionalFormatting sqref="G146">
    <cfRule type="expression" dxfId="4673" priority="133" stopIfTrue="1">
      <formula>AND(G146=1,G145=1)</formula>
    </cfRule>
    <cfRule type="expression" dxfId="4672" priority="134" stopIfTrue="1">
      <formula>AND(G146=1,G145=0)</formula>
    </cfRule>
  </conditionalFormatting>
  <conditionalFormatting sqref="G144">
    <cfRule type="expression" dxfId="4671" priority="130" stopIfTrue="1">
      <formula>AND(G143=0,G144=1,G145=1)</formula>
    </cfRule>
    <cfRule type="expression" dxfId="4670" priority="131" stopIfTrue="1">
      <formula>AND(G143=1,G145=1)</formula>
    </cfRule>
    <cfRule type="expression" dxfId="4669" priority="132" stopIfTrue="1">
      <formula>AND(G144=1,G143=0)</formula>
    </cfRule>
  </conditionalFormatting>
  <conditionalFormatting sqref="G138:G143">
    <cfRule type="expression" dxfId="4668" priority="127" stopIfTrue="1">
      <formula>AND(G137=0,G138=1,G139=1)</formula>
    </cfRule>
    <cfRule type="expression" dxfId="4667" priority="128" stopIfTrue="1">
      <formula>AND(G137=1,G139=1)</formula>
    </cfRule>
    <cfRule type="expression" dxfId="4666" priority="129" stopIfTrue="1">
      <formula>AND(G138=1,G137=0)</formula>
    </cfRule>
  </conditionalFormatting>
  <conditionalFormatting sqref="G137">
    <cfRule type="expression" dxfId="4665" priority="125" stopIfTrue="1">
      <formula>AND(G137=1,G138=1)</formula>
    </cfRule>
    <cfRule type="expression" dxfId="4664" priority="126" stopIfTrue="1">
      <formula>AND(G137=1,G136=0)</formula>
    </cfRule>
  </conditionalFormatting>
  <conditionalFormatting sqref="G160">
    <cfRule type="expression" dxfId="4663" priority="122" stopIfTrue="1">
      <formula>$E160=0</formula>
    </cfRule>
    <cfRule type="expression" dxfId="4662" priority="123" stopIfTrue="1">
      <formula>ISERROR(G160)</formula>
    </cfRule>
    <cfRule type="expression" dxfId="4661" priority="124" stopIfTrue="1">
      <formula>$E160&lt;&gt;0</formula>
    </cfRule>
  </conditionalFormatting>
  <conditionalFormatting sqref="G158">
    <cfRule type="expression" dxfId="4660" priority="119" stopIfTrue="1">
      <formula>AND(G157=0,G158=1,G159=1)</formula>
    </cfRule>
    <cfRule type="expression" dxfId="4659" priority="120" stopIfTrue="1">
      <formula>AND(G157=1,G159=1)</formula>
    </cfRule>
    <cfRule type="expression" dxfId="4658" priority="121" stopIfTrue="1">
      <formula>AND(G158=1,G157=0)</formula>
    </cfRule>
  </conditionalFormatting>
  <conditionalFormatting sqref="G159">
    <cfRule type="expression" dxfId="4657" priority="117" stopIfTrue="1">
      <formula>AND(G159=1,G158=1)</formula>
    </cfRule>
    <cfRule type="expression" dxfId="4656" priority="118" stopIfTrue="1">
      <formula>AND(G159=1,G158=0)</formula>
    </cfRule>
  </conditionalFormatting>
  <conditionalFormatting sqref="G157">
    <cfRule type="expression" dxfId="4655" priority="114" stopIfTrue="1">
      <formula>AND(G156=0,G157=1,G158=1)</formula>
    </cfRule>
    <cfRule type="expression" dxfId="4654" priority="115" stopIfTrue="1">
      <formula>AND(G156=1,G158=1)</formula>
    </cfRule>
    <cfRule type="expression" dxfId="4653" priority="116" stopIfTrue="1">
      <formula>AND(G157=1,G156=0)</formula>
    </cfRule>
  </conditionalFormatting>
  <conditionalFormatting sqref="G151:G156">
    <cfRule type="expression" dxfId="4652" priority="111" stopIfTrue="1">
      <formula>AND(G150=0,G151=1,G152=1)</formula>
    </cfRule>
    <cfRule type="expression" dxfId="4651" priority="112" stopIfTrue="1">
      <formula>AND(G150=1,G152=1)</formula>
    </cfRule>
    <cfRule type="expression" dxfId="4650" priority="113" stopIfTrue="1">
      <formula>AND(G151=1,G150=0)</formula>
    </cfRule>
  </conditionalFormatting>
  <conditionalFormatting sqref="G150">
    <cfRule type="expression" dxfId="4649" priority="109" stopIfTrue="1">
      <formula>AND(G150=1,G151=1)</formula>
    </cfRule>
    <cfRule type="expression" dxfId="4648" priority="110" stopIfTrue="1">
      <formula>AND(G150=1,G149=0)</formula>
    </cfRule>
  </conditionalFormatting>
  <conditionalFormatting sqref="H147:M147">
    <cfRule type="expression" dxfId="4647" priority="106" stopIfTrue="1">
      <formula>$E147=0</formula>
    </cfRule>
    <cfRule type="expression" dxfId="4646" priority="107" stopIfTrue="1">
      <formula>ISERROR(H147)</formula>
    </cfRule>
    <cfRule type="expression" dxfId="4645" priority="108" stopIfTrue="1">
      <formula>$E147&lt;&gt;0</formula>
    </cfRule>
  </conditionalFormatting>
  <conditionalFormatting sqref="H145:M145">
    <cfRule type="expression" dxfId="4644" priority="103" stopIfTrue="1">
      <formula>AND(H144=0,H145=1,H146=1)</formula>
    </cfRule>
    <cfRule type="expression" dxfId="4643" priority="104" stopIfTrue="1">
      <formula>AND(H144=1,H146=1)</formula>
    </cfRule>
    <cfRule type="expression" dxfId="4642" priority="105" stopIfTrue="1">
      <formula>AND(H145=1,H144=0)</formula>
    </cfRule>
  </conditionalFormatting>
  <conditionalFormatting sqref="H146:M146">
    <cfRule type="expression" dxfId="4641" priority="101" stopIfTrue="1">
      <formula>AND(H146=1,H145=1)</formula>
    </cfRule>
    <cfRule type="expression" dxfId="4640" priority="102" stopIfTrue="1">
      <formula>AND(H146=1,H145=0)</formula>
    </cfRule>
  </conditionalFormatting>
  <conditionalFormatting sqref="H144:M144">
    <cfRule type="expression" dxfId="4639" priority="98" stopIfTrue="1">
      <formula>AND(H143=0,H144=1,H145=1)</formula>
    </cfRule>
    <cfRule type="expression" dxfId="4638" priority="99" stopIfTrue="1">
      <formula>AND(H143=1,H145=1)</formula>
    </cfRule>
    <cfRule type="expression" dxfId="4637" priority="100" stopIfTrue="1">
      <formula>AND(H144=1,H143=0)</formula>
    </cfRule>
  </conditionalFormatting>
  <conditionalFormatting sqref="H138:M143">
    <cfRule type="expression" dxfId="4636" priority="95" stopIfTrue="1">
      <formula>AND(H137=0,H138=1,H139=1)</formula>
    </cfRule>
    <cfRule type="expression" dxfId="4635" priority="96" stopIfTrue="1">
      <formula>AND(H137=1,H139=1)</formula>
    </cfRule>
    <cfRule type="expression" dxfId="4634" priority="97" stopIfTrue="1">
      <formula>AND(H138=1,H137=0)</formula>
    </cfRule>
  </conditionalFormatting>
  <conditionalFormatting sqref="H137:M137">
    <cfRule type="expression" dxfId="4633" priority="93" stopIfTrue="1">
      <formula>AND(H137=1,H138=1)</formula>
    </cfRule>
    <cfRule type="expression" dxfId="4632" priority="94" stopIfTrue="1">
      <formula>AND(H137=1,H136=0)</formula>
    </cfRule>
  </conditionalFormatting>
  <conditionalFormatting sqref="H160:M160">
    <cfRule type="expression" dxfId="4631" priority="90" stopIfTrue="1">
      <formula>$E160=0</formula>
    </cfRule>
    <cfRule type="expression" dxfId="4630" priority="91" stopIfTrue="1">
      <formula>ISERROR(H160)</formula>
    </cfRule>
    <cfRule type="expression" dxfId="4629" priority="92" stopIfTrue="1">
      <formula>$E160&lt;&gt;0</formula>
    </cfRule>
  </conditionalFormatting>
  <conditionalFormatting sqref="H158:M158">
    <cfRule type="expression" dxfId="4628" priority="87" stopIfTrue="1">
      <formula>AND(H157=0,H158=1,H159=1)</formula>
    </cfRule>
    <cfRule type="expression" dxfId="4627" priority="88" stopIfTrue="1">
      <formula>AND(H157=1,H159=1)</formula>
    </cfRule>
    <cfRule type="expression" dxfId="4626" priority="89" stopIfTrue="1">
      <formula>AND(H158=1,H157=0)</formula>
    </cfRule>
  </conditionalFormatting>
  <conditionalFormatting sqref="H159:M159">
    <cfRule type="expression" dxfId="4625" priority="85" stopIfTrue="1">
      <formula>AND(H159=1,H158=1)</formula>
    </cfRule>
    <cfRule type="expression" dxfId="4624" priority="86" stopIfTrue="1">
      <formula>AND(H159=1,H158=0)</formula>
    </cfRule>
  </conditionalFormatting>
  <conditionalFormatting sqref="H157:M157">
    <cfRule type="expression" dxfId="4623" priority="82" stopIfTrue="1">
      <formula>AND(H156=0,H157=1,H158=1)</formula>
    </cfRule>
    <cfRule type="expression" dxfId="4622" priority="83" stopIfTrue="1">
      <formula>AND(H156=1,H158=1)</formula>
    </cfRule>
    <cfRule type="expression" dxfId="4621" priority="84" stopIfTrue="1">
      <formula>AND(H157=1,H156=0)</formula>
    </cfRule>
  </conditionalFormatting>
  <conditionalFormatting sqref="H151:M156">
    <cfRule type="expression" dxfId="4620" priority="79" stopIfTrue="1">
      <formula>AND(H150=0,H151=1,H152=1)</formula>
    </cfRule>
    <cfRule type="expression" dxfId="4619" priority="80" stopIfTrue="1">
      <formula>AND(H150=1,H152=1)</formula>
    </cfRule>
    <cfRule type="expression" dxfId="4618" priority="81" stopIfTrue="1">
      <formula>AND(H151=1,H150=0)</formula>
    </cfRule>
  </conditionalFormatting>
  <conditionalFormatting sqref="H150:M150">
    <cfRule type="expression" dxfId="4617" priority="77" stopIfTrue="1">
      <formula>AND(H150=1,H151=1)</formula>
    </cfRule>
    <cfRule type="expression" dxfId="4616" priority="78" stopIfTrue="1">
      <formula>AND(H150=1,H149=0)</formula>
    </cfRule>
  </conditionalFormatting>
  <conditionalFormatting sqref="N133:O133 N135:O135">
    <cfRule type="containsBlanks" dxfId="4615" priority="76">
      <formula>LEN(TRIM(N133))=0</formula>
    </cfRule>
  </conditionalFormatting>
  <conditionalFormatting sqref="N132">
    <cfRule type="expression" dxfId="4614" priority="75">
      <formula>N133=""</formula>
    </cfRule>
  </conditionalFormatting>
  <conditionalFormatting sqref="N134">
    <cfRule type="expression" dxfId="4613" priority="74">
      <formula>N135=""</formula>
    </cfRule>
  </conditionalFormatting>
  <conditionalFormatting sqref="G173">
    <cfRule type="expression" dxfId="4612" priority="71" stopIfTrue="1">
      <formula>$E173=0</formula>
    </cfRule>
    <cfRule type="expression" dxfId="4611" priority="72" stopIfTrue="1">
      <formula>ISERROR(G173)</formula>
    </cfRule>
    <cfRule type="expression" dxfId="4610" priority="73" stopIfTrue="1">
      <formula>$E173&lt;&gt;0</formula>
    </cfRule>
  </conditionalFormatting>
  <conditionalFormatting sqref="G171">
    <cfRule type="expression" dxfId="4609" priority="65" stopIfTrue="1">
      <formula>AND(G170=0,G171=1,G172=1)</formula>
    </cfRule>
    <cfRule type="expression" dxfId="4608" priority="66" stopIfTrue="1">
      <formula>AND(G170=1,G172=1)</formula>
    </cfRule>
    <cfRule type="expression" dxfId="4607" priority="67" stopIfTrue="1">
      <formula>AND(G171=1,G170=0)</formula>
    </cfRule>
  </conditionalFormatting>
  <conditionalFormatting sqref="G170">
    <cfRule type="expression" dxfId="4606" priority="68" stopIfTrue="1">
      <formula>AND(G169=0,G170=1,G171=1)</formula>
    </cfRule>
    <cfRule type="expression" dxfId="4605" priority="69" stopIfTrue="1">
      <formula>AND(G169=1,G171=1)</formula>
    </cfRule>
    <cfRule type="expression" dxfId="4604" priority="70" stopIfTrue="1">
      <formula>AND(G170=1,G169=0)</formula>
    </cfRule>
  </conditionalFormatting>
  <conditionalFormatting sqref="G164:G169">
    <cfRule type="expression" dxfId="4603" priority="62" stopIfTrue="1">
      <formula>AND(G163=0,G164=1,G165=1)</formula>
    </cfRule>
    <cfRule type="expression" dxfId="4602" priority="63" stopIfTrue="1">
      <formula>AND(G163=1,G165=1)</formula>
    </cfRule>
    <cfRule type="expression" dxfId="4601" priority="64" stopIfTrue="1">
      <formula>AND(G164=1,G163=0)</formula>
    </cfRule>
  </conditionalFormatting>
  <conditionalFormatting sqref="G163">
    <cfRule type="expression" dxfId="4600" priority="60" stopIfTrue="1">
      <formula>AND(G163=1,G164=1)</formula>
    </cfRule>
    <cfRule type="expression" dxfId="4599" priority="61" stopIfTrue="1">
      <formula>AND(G163=1,G162=0)</formula>
    </cfRule>
  </conditionalFormatting>
  <conditionalFormatting sqref="G172">
    <cfRule type="expression" dxfId="4598" priority="58" stopIfTrue="1">
      <formula>AND(G172=1,G171=1)</formula>
    </cfRule>
    <cfRule type="expression" dxfId="4597" priority="59" stopIfTrue="1">
      <formula>AND(G172=1,G171=0)</formula>
    </cfRule>
  </conditionalFormatting>
  <conditionalFormatting sqref="H173:M173">
    <cfRule type="expression" dxfId="4596" priority="55" stopIfTrue="1">
      <formula>$E173=0</formula>
    </cfRule>
    <cfRule type="expression" dxfId="4595" priority="56" stopIfTrue="1">
      <formula>ISERROR(H173)</formula>
    </cfRule>
    <cfRule type="expression" dxfId="4594" priority="57" stopIfTrue="1">
      <formula>$E173&lt;&gt;0</formula>
    </cfRule>
  </conditionalFormatting>
  <conditionalFormatting sqref="H171:M171">
    <cfRule type="expression" dxfId="4593" priority="49" stopIfTrue="1">
      <formula>AND(H170=0,H171=1,H172=1)</formula>
    </cfRule>
    <cfRule type="expression" dxfId="4592" priority="50" stopIfTrue="1">
      <formula>AND(H170=1,H172=1)</formula>
    </cfRule>
    <cfRule type="expression" dxfId="4591" priority="51" stopIfTrue="1">
      <formula>AND(H171=1,H170=0)</formula>
    </cfRule>
  </conditionalFormatting>
  <conditionalFormatting sqref="H170:M170">
    <cfRule type="expression" dxfId="4590" priority="52" stopIfTrue="1">
      <formula>AND(H169=0,H170=1,H171=1)</formula>
    </cfRule>
    <cfRule type="expression" dxfId="4589" priority="53" stopIfTrue="1">
      <formula>AND(H169=1,H171=1)</formula>
    </cfRule>
    <cfRule type="expression" dxfId="4588" priority="54" stopIfTrue="1">
      <formula>AND(H170=1,H169=0)</formula>
    </cfRule>
  </conditionalFormatting>
  <conditionalFormatting sqref="H164:M169">
    <cfRule type="expression" dxfId="4587" priority="46" stopIfTrue="1">
      <formula>AND(H163=0,H164=1,H165=1)</formula>
    </cfRule>
    <cfRule type="expression" dxfId="4586" priority="47" stopIfTrue="1">
      <formula>AND(H163=1,H165=1)</formula>
    </cfRule>
    <cfRule type="expression" dxfId="4585" priority="48" stopIfTrue="1">
      <formula>AND(H164=1,H163=0)</formula>
    </cfRule>
  </conditionalFormatting>
  <conditionalFormatting sqref="H163:M163">
    <cfRule type="expression" dxfId="4584" priority="44" stopIfTrue="1">
      <formula>AND(H163=1,H164=1)</formula>
    </cfRule>
    <cfRule type="expression" dxfId="4583" priority="45" stopIfTrue="1">
      <formula>AND(H163=1,H162=0)</formula>
    </cfRule>
  </conditionalFormatting>
  <conditionalFormatting sqref="H172:M172">
    <cfRule type="expression" dxfId="4582" priority="42" stopIfTrue="1">
      <formula>AND(H172=1,H171=1)</formula>
    </cfRule>
    <cfRule type="expression" dxfId="4581" priority="43" stopIfTrue="1">
      <formula>AND(H172=1,H171=0)</formula>
    </cfRule>
  </conditionalFormatting>
  <conditionalFormatting sqref="E173:F173">
    <cfRule type="containsErrors" dxfId="4580" priority="41" stopIfTrue="1">
      <formula>ISERROR(E173)</formula>
    </cfRule>
  </conditionalFormatting>
  <conditionalFormatting sqref="AK8:AK38">
    <cfRule type="cellIs" dxfId="4579" priority="40" stopIfTrue="1" operator="equal">
      <formula>0</formula>
    </cfRule>
  </conditionalFormatting>
  <conditionalFormatting sqref="BA9:BG38 BB8:BG8">
    <cfRule type="cellIs" dxfId="4578" priority="39" stopIfTrue="1" operator="equal">
      <formula>0</formula>
    </cfRule>
  </conditionalFormatting>
  <conditionalFormatting sqref="BA6:BG6">
    <cfRule type="cellIs" dxfId="4577" priority="38" stopIfTrue="1" operator="equal">
      <formula>$E$125</formula>
    </cfRule>
  </conditionalFormatting>
  <conditionalFormatting sqref="BA8">
    <cfRule type="cellIs" dxfId="4576" priority="37" stopIfTrue="1" operator="equal">
      <formula>0</formula>
    </cfRule>
  </conditionalFormatting>
  <conditionalFormatting sqref="BA5:BG5">
    <cfRule type="cellIs" dxfId="4575" priority="36" stopIfTrue="1" operator="equal">
      <formula>$E$125</formula>
    </cfRule>
  </conditionalFormatting>
  <conditionalFormatting sqref="L3:N3">
    <cfRule type="cellIs" dxfId="4574" priority="35" stopIfTrue="1" operator="equal">
      <formula>0</formula>
    </cfRule>
  </conditionalFormatting>
  <conditionalFormatting sqref="BC3">
    <cfRule type="cellIs" dxfId="4573" priority="34" stopIfTrue="1" operator="equal">
      <formula>$E$125</formula>
    </cfRule>
  </conditionalFormatting>
  <conditionalFormatting sqref="BB4:BG4">
    <cfRule type="cellIs" dxfId="4572" priority="33" stopIfTrue="1" operator="equal">
      <formula>0</formula>
    </cfRule>
  </conditionalFormatting>
  <conditionalFormatting sqref="BA4">
    <cfRule type="cellIs" dxfId="4571" priority="26" stopIfTrue="1" operator="equal">
      <formula>0</formula>
    </cfRule>
  </conditionalFormatting>
  <conditionalFormatting sqref="BB66:BF66">
    <cfRule type="cellIs" dxfId="4570" priority="19" stopIfTrue="1" operator="equal">
      <formula>0</formula>
    </cfRule>
  </conditionalFormatting>
  <conditionalFormatting sqref="BB67:BF67">
    <cfRule type="cellIs" dxfId="4569" priority="18" stopIfTrue="1" operator="equal">
      <formula>0</formula>
    </cfRule>
  </conditionalFormatting>
  <conditionalFormatting sqref="BB64:BF64">
    <cfRule type="cellIs" dxfId="4568" priority="17" stopIfTrue="1" operator="equal">
      <formula>0</formula>
    </cfRule>
  </conditionalFormatting>
  <conditionalFormatting sqref="BB65:BF65">
    <cfRule type="cellIs" dxfId="4567" priority="16" stopIfTrue="1" operator="equal">
      <formula>0</formula>
    </cfRule>
  </conditionalFormatting>
  <conditionalFormatting sqref="BB63:BF63">
    <cfRule type="cellIs" dxfId="4566" priority="15" stopIfTrue="1" operator="equal">
      <formula>0</formula>
    </cfRule>
  </conditionalFormatting>
  <conditionalFormatting sqref="BA66">
    <cfRule type="cellIs" dxfId="4565" priority="14" stopIfTrue="1" operator="equal">
      <formula>0</formula>
    </cfRule>
  </conditionalFormatting>
  <conditionalFormatting sqref="BA67">
    <cfRule type="cellIs" dxfId="4564" priority="13" stopIfTrue="1" operator="equal">
      <formula>0</formula>
    </cfRule>
  </conditionalFormatting>
  <conditionalFormatting sqref="BA64">
    <cfRule type="cellIs" dxfId="4563" priority="12" stopIfTrue="1" operator="equal">
      <formula>0</formula>
    </cfRule>
  </conditionalFormatting>
  <conditionalFormatting sqref="BA65">
    <cfRule type="cellIs" dxfId="4562" priority="11" stopIfTrue="1" operator="equal">
      <formula>0</formula>
    </cfRule>
  </conditionalFormatting>
  <conditionalFormatting sqref="BA63">
    <cfRule type="cellIs" dxfId="4561" priority="10" stopIfTrue="1" operator="equal">
      <formula>0</formula>
    </cfRule>
  </conditionalFormatting>
  <conditionalFormatting sqref="BG66">
    <cfRule type="cellIs" dxfId="4560" priority="9" stopIfTrue="1" operator="equal">
      <formula>0</formula>
    </cfRule>
  </conditionalFormatting>
  <conditionalFormatting sqref="BG67">
    <cfRule type="cellIs" dxfId="4559" priority="8" stopIfTrue="1" operator="equal">
      <formula>0</formula>
    </cfRule>
  </conditionalFormatting>
  <conditionalFormatting sqref="BG64">
    <cfRule type="cellIs" dxfId="4558" priority="7" stopIfTrue="1" operator="equal">
      <formula>0</formula>
    </cfRule>
  </conditionalFormatting>
  <conditionalFormatting sqref="BG65">
    <cfRule type="cellIs" dxfId="4557" priority="6" stopIfTrue="1" operator="equal">
      <formula>0</formula>
    </cfRule>
  </conditionalFormatting>
  <conditionalFormatting sqref="BG63">
    <cfRule type="cellIs" dxfId="4556" priority="5" stopIfTrue="1" operator="equal">
      <formula>0</formula>
    </cfRule>
  </conditionalFormatting>
  <conditionalFormatting sqref="N64">
    <cfRule type="expression" dxfId="4555" priority="3" stopIfTrue="1">
      <formula>SUM($G$120:$M$120)=0</formula>
    </cfRule>
  </conditionalFormatting>
  <conditionalFormatting sqref="C58:F58">
    <cfRule type="cellIs" dxfId="4554" priority="2" operator="equal">
      <formula>0</formula>
    </cfRule>
  </conditionalFormatting>
  <conditionalFormatting sqref="E164:E165">
    <cfRule type="containsErrors" dxfId="4553" priority="1">
      <formula>ISERROR(E164)</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CONCATENATE(IF(IMPOSTAZIONI!F193="","..",IMPOSTAZIONI!F193),"-",IF(IMPOSTAZIONI!F194="","..",IMPOSTAZIONI!F194),"-",IF(IMPOSTAZIONI!F195="","..",IMPOSTAZIONI!F195))</f>
        <v>..-..-..</v>
      </c>
      <c r="H1" s="167" t="str">
        <f>CONCATENATE(IF(IMPOSTAZIONI!K193="","..",IMPOSTAZIONI!K193),"-",IF(IMPOSTAZIONI!K194="","..",IMPOSTAZIONI!K194),"-",IF(IMPOSTAZIONI!K195="","..",IMPOSTAZIONI!K195))</f>
        <v>..-..-..</v>
      </c>
      <c r="I1" s="167" t="str">
        <f>CONCATENATE(IF(IMPOSTAZIONI!P193="","..",IMPOSTAZIONI!P193),"-",IF(IMPOSTAZIONI!P194="","..",IMPOSTAZIONI!P194),"-",IF(IMPOSTAZIONI!P195="","..",IMPOSTAZIONI!P195))</f>
        <v>..-..-..</v>
      </c>
      <c r="J1" s="167" t="str">
        <f>CONCATENATE(IF(IMPOSTAZIONI!U193="","..",IMPOSTAZIONI!U193),"-",IF(IMPOSTAZIONI!U194="","..",IMPOSTAZIONI!U194),"-",IF(IMPOSTAZIONI!U195="","..",IMPOSTAZIONI!U195))</f>
        <v>..-..-..</v>
      </c>
      <c r="K1" s="167" t="str">
        <f>CONCATENATE(IF(IMPOSTAZIONI!Z193="","..",IMPOSTAZIONI!Z193),"-",IF(IMPOSTAZIONI!Z194="","..",IMPOSTAZIONI!Z194),"-",IF(IMPOSTAZIONI!Z195="","..",IMPOSTAZIONI!Z195))</f>
        <v>..-..-..</v>
      </c>
      <c r="L1" s="167" t="str">
        <f>CONCATENATE(IF(IMPOSTAZIONI!AE193="","..",IMPOSTAZIONI!AE193),"-",IF(IMPOSTAZIONI!AE194="","..",IMPOSTAZIONI!AE194),"-",IF(IMPOSTAZIONI!AE195="","..",IMPOSTAZIONI!AE195))</f>
        <v>..-..-..</v>
      </c>
      <c r="M1" s="167" t="str">
        <f>CONCATENATE(IF(IMPOSTAZIONI!AJ193="","..",IMPOSTAZIONI!AJ193),"-",IF(IMPOSTAZIONI!AJ194="","..",IMPOSTAZIONI!AJ194),"-",IF(IMPOSTAZIONI!AJ195="","..",IMPOSTAZIONI!AJ195))</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261</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IF($I$199=0,"",IMPOSTAZIONI!G193)</f>
        <v/>
      </c>
      <c r="H4" s="183" t="str">
        <f>IF($I$199=0,"",IMPOSTAZIONI!L193)</f>
        <v/>
      </c>
      <c r="I4" s="183" t="str">
        <f>IF($I$199=0,"",IMPOSTAZIONI!Q193)</f>
        <v/>
      </c>
      <c r="J4" s="183" t="str">
        <f>IF($I$199=0,"",IMPOSTAZIONI!V193)</f>
        <v/>
      </c>
      <c r="K4" s="183" t="str">
        <f>IF($I$199=0,"",IMPOSTAZIONI!AA193)</f>
        <v/>
      </c>
      <c r="L4" s="183" t="str">
        <f>IF($I$199=0,"",IMPOSTAZIONI!AF193)</f>
        <v/>
      </c>
      <c r="M4" s="183" t="str">
        <f>IF($I$199=0,"",IMPOSTAZIONI!AK193)</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IF($I$199=0,"",IMPOSTAZIONI!G194)</f>
        <v/>
      </c>
      <c r="H5" s="823" t="str">
        <f>IF($I$199=0,"",IMPOSTAZIONI!L194)</f>
        <v/>
      </c>
      <c r="I5" s="823" t="str">
        <f>IF($I$199=0,"",IMPOSTAZIONI!Q194)</f>
        <v/>
      </c>
      <c r="J5" s="823" t="str">
        <f>IF($I$199=0,"",IMPOSTAZIONI!V194)</f>
        <v/>
      </c>
      <c r="K5" s="823" t="str">
        <f>IF($I$199=0,"",IMPOSTAZIONI!AA194)</f>
        <v/>
      </c>
      <c r="L5" s="823" t="str">
        <f>IF($I$199=0,"",IMPOSTAZIONI!AF194)</f>
        <v/>
      </c>
      <c r="M5" s="823" t="str">
        <f>IF($I$199=0,"",IMPOSTAZIONI!AK194)</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IF($I$199=0,"",IMPOSTAZIONI!G195)</f>
        <v/>
      </c>
      <c r="H6" s="40" t="str">
        <f>IF($I$199=0,"",IMPOSTAZIONI!L195)</f>
        <v/>
      </c>
      <c r="I6" s="40" t="str">
        <f>IF($I$199=0,"",IMPOSTAZIONI!Q195)</f>
        <v/>
      </c>
      <c r="J6" s="40" t="str">
        <f>IF($I$199=0,"",IMPOSTAZIONI!V195)</f>
        <v/>
      </c>
      <c r="K6" s="40" t="str">
        <f>IF($I$199=0,"",IMPOSTAZIONI!AA195)</f>
        <v/>
      </c>
      <c r="L6" s="40" t="str">
        <f>IF($I$199=0,"",IMPOSTAZIONI!AF195)</f>
        <v/>
      </c>
      <c r="M6" s="40" t="str">
        <f>IF($I$199=0,"",IMPOSTAZIONI!AK195)</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IMPOSTAZIONI!D273</f>
        <v>0</v>
      </c>
      <c r="F7" s="1999"/>
      <c r="G7" s="811">
        <f>IMPOSTAZIONI!$K277</f>
        <v>0</v>
      </c>
      <c r="H7" s="811">
        <f>IMPOSTAZIONI!$K278</f>
        <v>0</v>
      </c>
      <c r="I7" s="811">
        <f>IMPOSTAZIONI!$K279</f>
        <v>0</v>
      </c>
      <c r="J7" s="811">
        <f>IMPOSTAZIONI!$K280</f>
        <v>0</v>
      </c>
      <c r="K7" s="811">
        <f>IMPOSTAZIONI!$K281</f>
        <v>0</v>
      </c>
      <c r="L7" s="811">
        <f>IMPOSTAZIONI!$K282</f>
        <v>0</v>
      </c>
      <c r="M7" s="811">
        <f>IMPOSTAZIONI!$K283</f>
        <v>0</v>
      </c>
      <c r="N7" s="1288"/>
      <c r="O7" s="57"/>
      <c r="P7" s="2044" t="s">
        <v>524</v>
      </c>
      <c r="Q7" s="2044"/>
      <c r="R7" s="2044"/>
      <c r="S7" s="2044"/>
      <c r="T7" s="2044"/>
      <c r="U7" s="2044"/>
      <c r="V7" s="2044"/>
      <c r="W7" s="285"/>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2</v>
      </c>
      <c r="E8" s="1994">
        <f t="shared" ref="E8:E36" si="9">IF(AND(L$199=0,OR(W8&lt;B$129,W8&gt;B$130)),CONCATENATE(L$99,"  "),IF(AND(SUM(G8:M8)&lt;&gt;0,AE8=AD$6),E$130,IF(AND(SUM(G8:M8)=0,AE8=AD$6),E$129,IF(ISERROR($H$199),0,SUM(G8:M8)-SUMIF(G$42:M$42,K$102,G8:M8)))))</f>
        <v>0</v>
      </c>
      <c r="F8" s="1995"/>
      <c r="G8" s="1307"/>
      <c r="H8" s="1307"/>
      <c r="I8" s="1307"/>
      <c r="J8" s="1307"/>
      <c r="K8" s="1307"/>
      <c r="L8" s="1307"/>
      <c r="M8" s="1307"/>
      <c r="N8" s="1308"/>
      <c r="O8" s="57"/>
      <c r="P8" s="486">
        <f t="shared" ref="P8:P36" si="10">IF(AND($L$199=0,$W8&gt;$B$130),0,IF(G$123="X",0,ROUND(G8*P$6,2)))</f>
        <v>0</v>
      </c>
      <c r="Q8" s="487">
        <f t="shared" ref="Q8:Q36" si="11">IF(AND($L$199=0,$W8&gt;$B$130),0,IF(H$123="X",0,ROUND(H8*Q$6,2)))</f>
        <v>0</v>
      </c>
      <c r="R8" s="487">
        <f t="shared" ref="R8:R36" si="12">IF(AND($L$199=0,$W8&gt;$B$130),0,IF(I$123="X",0,ROUND(I8*R$6,2)))</f>
        <v>0</v>
      </c>
      <c r="S8" s="487">
        <f t="shared" ref="S8:S36" si="13">IF(AND($L$199=0,$W8&gt;$B$130),0,IF(J$123="X",0,ROUND(J8*S$6,2)))</f>
        <v>0</v>
      </c>
      <c r="T8" s="487">
        <f t="shared" ref="T8:T36" si="14">IF(AND($L$199=0,$W8&gt;$B$130),0,IF(K$123="X",0,ROUND(K8*T$6,2)))</f>
        <v>0</v>
      </c>
      <c r="U8" s="487">
        <f t="shared" ref="U8:U36" si="15">IF(AND($L$199=0,$W8&gt;$B$130),0,IF(L$123="X",0,ROUND(L8*U$6,2)))</f>
        <v>0</v>
      </c>
      <c r="V8" s="488">
        <f t="shared" ref="V8:V36" si="16">IF(AND($L$199=0,$W8&gt;$B$130),0,IF(M$123="X",0,ROUND(M8*V$6,2)))</f>
        <v>0</v>
      </c>
      <c r="W8" s="154">
        <f>DATE(C$6,D8,C8)</f>
        <v>45323</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6" si="18">SUMIF($G$120:$M$120,1,$X8:$AD8)-SUM(AG8:AJ8)</f>
        <v>0</v>
      </c>
      <c r="AG8" s="510">
        <f t="shared" ref="AG8:AG36" si="19">IF(AND($AF$6=1,$P$70&lt;&gt;0),$P$70/$P$65*SUMIF($G$120:$M$120,1,$X8:$AD8),0)</f>
        <v>0</v>
      </c>
      <c r="AH8" s="487">
        <f t="shared" ref="AH8:AH36" si="20">IF(AND($AF$6=1,$P$71&lt;&gt;0),$P$71/$P$65*SUMIF($G$120:$M$120,1,$X8:$AD8),0)</f>
        <v>0</v>
      </c>
      <c r="AI8" s="487">
        <f t="shared" ref="AI8:AI36" si="21">IF(AND($AF$6=1,$P$72&lt;&gt;0),$P$72/$P$65*SUMIF($G$120:$M$120,1,$X8:$AD8),0)</f>
        <v>0</v>
      </c>
      <c r="AJ8" s="511">
        <f t="shared" ref="AJ8:AJ36" si="22">IF(AND($AF$6=1,$P$73&lt;&gt;0),$P$73/$P$65*SUMIF($G$120:$M$120,1,$X8:$AD8),0)</f>
        <v>0</v>
      </c>
      <c r="AK8" s="1003">
        <f>IF(AND($L$199=0,OR($W8&lt;$B$129,$W8&gt;$B$130)),0,SUMIF($G$42:$M$42,$K$102,$G8:$M8))</f>
        <v>0</v>
      </c>
      <c r="AL8" s="509">
        <f>SUMIF($G$42:$M$42,$K$102,$X8:$AD8)</f>
        <v>0</v>
      </c>
      <c r="AM8" s="525">
        <f t="shared" ref="AM8:AM36" si="23">IF(G$42=$K$102,P8,0)</f>
        <v>0</v>
      </c>
      <c r="AN8" s="487">
        <f t="shared" ref="AN8:AN36" si="24">IF(H$42=$K$102,Q8,0)</f>
        <v>0</v>
      </c>
      <c r="AO8" s="487">
        <f t="shared" ref="AO8:AO36" si="25">IF(I$42=$K$102,R8,0)</f>
        <v>0</v>
      </c>
      <c r="AP8" s="487">
        <f t="shared" ref="AP8:AP36" si="26">IF(J$42=$K$102,S8,0)</f>
        <v>0</v>
      </c>
      <c r="AQ8" s="487">
        <f t="shared" ref="AQ8:AQ36" si="27">IF(K$42=$K$102,T8,0)</f>
        <v>0</v>
      </c>
      <c r="AR8" s="487">
        <f t="shared" ref="AR8:AR36" si="28">IF(L$42=$K$102,U8,0)</f>
        <v>0</v>
      </c>
      <c r="AS8" s="511">
        <f t="shared" ref="AS8:AS36" si="29">IF(M$42=$K$102,V8,0)</f>
        <v>0</v>
      </c>
      <c r="AT8" s="2"/>
      <c r="AU8" s="509">
        <f t="shared" ref="AU8:AU36" si="30">IF(AF8&lt;&gt;0,AF8*$R$66/100,0)</f>
        <v>0</v>
      </c>
      <c r="AV8" s="510">
        <f t="shared" ref="AV8:AV36" si="31">IF(AG8&lt;&gt;0,AG8*$R$70/100,0)</f>
        <v>0</v>
      </c>
      <c r="AW8" s="487">
        <f t="shared" ref="AW8:AW36" si="32">IF(AH8&lt;&gt;0,AH8*$R$71/100,0)</f>
        <v>0</v>
      </c>
      <c r="AX8" s="487">
        <f t="shared" ref="AX8:AX36" si="33">IF(AI8&lt;&gt;0,AI8*$R$72/100,0)</f>
        <v>0</v>
      </c>
      <c r="AY8" s="511">
        <f t="shared" ref="AY8:AY36" si="34">IF(AJ8&lt;&gt;0,AJ8*$R$73/100,0)</f>
        <v>0</v>
      </c>
      <c r="AZ8" s="1123" t="str">
        <f>IF(AND(W8&gt;=BA$3,W8&lt;=BB$3),"X","")</f>
        <v/>
      </c>
      <c r="BA8" s="1045">
        <f>IF(G$123=$E$124,$P$66/$P$65*X8,X8)</f>
        <v>0</v>
      </c>
      <c r="BB8" s="1046">
        <f t="shared" ref="BB8:BG36"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2</v>
      </c>
      <c r="E9" s="1959">
        <f t="shared" si="9"/>
        <v>0</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45324</v>
      </c>
      <c r="X9" s="489">
        <f t="shared" ref="X9:X36" si="37">IF(AND($L$199=0,OR($W9&lt;$B$129,$W9&gt;$B$130)),0,IF(G$130=$N$130,G9+P9,G9-P9))</f>
        <v>0</v>
      </c>
      <c r="Y9" s="490">
        <f t="shared" ref="Y9:Y36" si="38">IF(AND($L$199=0,OR($W9&lt;$B$129,$W9&gt;$B$130)),0,IF(H$130=$N$130,H9+Q9,H9-Q9))</f>
        <v>0</v>
      </c>
      <c r="Z9" s="490">
        <f t="shared" ref="Z9:Z36" si="39">IF(AND($L$199=0,OR($W9&lt;$B$129,$W9&gt;$B$130)),0,IF(I$130=$N$130,I9+R9,I9-R9))</f>
        <v>0</v>
      </c>
      <c r="AA9" s="490">
        <f t="shared" ref="AA9:AA36" si="40">IF(AND($L$199=0,OR($W9&lt;$B$129,$W9&gt;$B$130)),0,IF(J$130=$N$130,J9+S9,J9-S9))</f>
        <v>0</v>
      </c>
      <c r="AB9" s="490">
        <f t="shared" ref="AB9:AB36" si="41">IF(AND($L$199=0,OR($W9&lt;$B$129,$W9&gt;$B$130)),0,IF(K$130=$N$130,K9+T9,K9-T9))</f>
        <v>0</v>
      </c>
      <c r="AC9" s="490">
        <f t="shared" ref="AC9:AC36" si="42">IF(AND($L$199=0,OR($W9&lt;$B$129,$W9&gt;$B$130)),0,IF(L$130=$N$130,L9+U9,L9-U9))</f>
        <v>0</v>
      </c>
      <c r="AD9" s="491">
        <f t="shared" ref="AD9:AD36"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6" si="44">IF(AND($L$199=0,OR($W9&lt;$B$129,$W9&gt;$B$130)),0,SUMIF($G$42:$M$42,$K$102,$G9:$M9))</f>
        <v>0</v>
      </c>
      <c r="AL9" s="512">
        <f t="shared" ref="AL9:AL36"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6" si="46">IF(AND(W9&gt;=BA$3,W9&lt;=BB$3),"X","")</f>
        <v/>
      </c>
      <c r="BA9" s="1048">
        <f t="shared" ref="BA9:BA36"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2</v>
      </c>
      <c r="E10" s="1959">
        <f t="shared" si="9"/>
        <v>0</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6" si="49">W9+1</f>
        <v>45325</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2</v>
      </c>
      <c r="E11" s="1959">
        <f t="shared" si="9"/>
        <v>0</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45326</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2</v>
      </c>
      <c r="E12" s="1959">
        <f t="shared" si="9"/>
        <v>0</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45327</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2</v>
      </c>
      <c r="E13" s="1959">
        <f t="shared" si="9"/>
        <v>0</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45328</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2</v>
      </c>
      <c r="E14" s="1959">
        <f t="shared" si="9"/>
        <v>0</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45329</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2</v>
      </c>
      <c r="E15" s="1959">
        <f t="shared" si="9"/>
        <v>0</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45330</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2</v>
      </c>
      <c r="E16" s="1959">
        <f t="shared" si="9"/>
        <v>0</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45331</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2</v>
      </c>
      <c r="E17" s="1959">
        <f t="shared" si="9"/>
        <v>0</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45332</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2</v>
      </c>
      <c r="E18" s="1959">
        <f t="shared" si="9"/>
        <v>0</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45333</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2</v>
      </c>
      <c r="E19" s="1959">
        <f t="shared" si="9"/>
        <v>0</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45334</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2</v>
      </c>
      <c r="E20" s="1959">
        <f t="shared" si="9"/>
        <v>0</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45335</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2</v>
      </c>
      <c r="E21" s="1959">
        <f t="shared" si="9"/>
        <v>0</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45336</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2</v>
      </c>
      <c r="E22" s="1959">
        <f t="shared" si="9"/>
        <v>0</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45337</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2</v>
      </c>
      <c r="E23" s="1959">
        <f t="shared" si="9"/>
        <v>0</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45338</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2</v>
      </c>
      <c r="E24" s="1959">
        <f t="shared" si="9"/>
        <v>0</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45339</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2</v>
      </c>
      <c r="E25" s="1959">
        <f t="shared" si="9"/>
        <v>0</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45340</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2</v>
      </c>
      <c r="E26" s="1959">
        <f t="shared" si="9"/>
        <v>0</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45341</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2</v>
      </c>
      <c r="E27" s="1959">
        <f t="shared" si="9"/>
        <v>0</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45342</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2</v>
      </c>
      <c r="E28" s="1959">
        <f t="shared" si="9"/>
        <v>0</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45343</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2</v>
      </c>
      <c r="E29" s="1959">
        <f t="shared" si="9"/>
        <v>0</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45344</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2</v>
      </c>
      <c r="E30" s="1959">
        <f t="shared" si="9"/>
        <v>0</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45345</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2</v>
      </c>
      <c r="E31" s="1959">
        <f t="shared" si="9"/>
        <v>0</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45346</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2</v>
      </c>
      <c r="E32" s="1959">
        <f t="shared" si="9"/>
        <v>0</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45347</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2</v>
      </c>
      <c r="E33" s="1959">
        <f t="shared" si="9"/>
        <v>0</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45348</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2</v>
      </c>
      <c r="E34" s="1959">
        <f t="shared" si="9"/>
        <v>0</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45349</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2</v>
      </c>
      <c r="E35" s="1959">
        <f t="shared" si="9"/>
        <v>0</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45350</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2</v>
      </c>
      <c r="E36" s="2039">
        <f t="shared" si="9"/>
        <v>0</v>
      </c>
      <c r="F36" s="2040"/>
      <c r="G36" s="1311"/>
      <c r="H36" s="1311"/>
      <c r="I36" s="1311"/>
      <c r="J36" s="1311"/>
      <c r="K36" s="1311"/>
      <c r="L36" s="1311"/>
      <c r="M36" s="1311"/>
      <c r="N36" s="1312"/>
      <c r="O36" s="6"/>
      <c r="P36" s="492">
        <f t="shared" si="10"/>
        <v>0</v>
      </c>
      <c r="Q36" s="493">
        <f t="shared" si="11"/>
        <v>0</v>
      </c>
      <c r="R36" s="493">
        <f t="shared" si="12"/>
        <v>0</v>
      </c>
      <c r="S36" s="493">
        <f t="shared" si="13"/>
        <v>0</v>
      </c>
      <c r="T36" s="493">
        <f t="shared" si="14"/>
        <v>0</v>
      </c>
      <c r="U36" s="493">
        <f t="shared" si="15"/>
        <v>0</v>
      </c>
      <c r="V36" s="494">
        <f t="shared" si="16"/>
        <v>0</v>
      </c>
      <c r="W36" s="154">
        <f t="shared" si="49"/>
        <v>45351</v>
      </c>
      <c r="X36" s="492">
        <f t="shared" si="37"/>
        <v>0</v>
      </c>
      <c r="Y36" s="493">
        <f t="shared" si="38"/>
        <v>0</v>
      </c>
      <c r="Z36" s="493">
        <f t="shared" si="39"/>
        <v>0</v>
      </c>
      <c r="AA36" s="493">
        <f t="shared" si="40"/>
        <v>0</v>
      </c>
      <c r="AB36" s="493">
        <f t="shared" si="41"/>
        <v>0</v>
      </c>
      <c r="AC36" s="493">
        <f t="shared" si="42"/>
        <v>0</v>
      </c>
      <c r="AD36" s="494">
        <f t="shared" si="43"/>
        <v>0</v>
      </c>
      <c r="AE36" s="414">
        <f>IF(MONTH(W36)&lt;&gt;MONTH(W35),0,VLOOKUP(W36,CASSA!$B$180:$C$545,2,FALSE))</f>
        <v>0</v>
      </c>
      <c r="AF36" s="515">
        <f t="shared" si="18"/>
        <v>0</v>
      </c>
      <c r="AG36" s="516">
        <f t="shared" si="19"/>
        <v>0</v>
      </c>
      <c r="AH36" s="493">
        <f t="shared" si="20"/>
        <v>0</v>
      </c>
      <c r="AI36" s="493">
        <f t="shared" si="21"/>
        <v>0</v>
      </c>
      <c r="AJ36" s="517">
        <f t="shared" si="22"/>
        <v>0</v>
      </c>
      <c r="AK36" s="1003">
        <f t="shared" si="44"/>
        <v>0</v>
      </c>
      <c r="AL36" s="515">
        <f t="shared" si="45"/>
        <v>0</v>
      </c>
      <c r="AM36" s="527">
        <f t="shared" si="23"/>
        <v>0</v>
      </c>
      <c r="AN36" s="493">
        <f t="shared" si="24"/>
        <v>0</v>
      </c>
      <c r="AO36" s="493">
        <f t="shared" si="25"/>
        <v>0</v>
      </c>
      <c r="AP36" s="493">
        <f t="shared" si="26"/>
        <v>0</v>
      </c>
      <c r="AQ36" s="493">
        <f t="shared" si="27"/>
        <v>0</v>
      </c>
      <c r="AR36" s="493">
        <f t="shared" si="28"/>
        <v>0</v>
      </c>
      <c r="AS36" s="517">
        <f t="shared" si="29"/>
        <v>0</v>
      </c>
      <c r="AT36" s="2"/>
      <c r="AU36" s="515">
        <f t="shared" si="30"/>
        <v>0</v>
      </c>
      <c r="AV36" s="516">
        <f t="shared" si="31"/>
        <v>0</v>
      </c>
      <c r="AW36" s="493">
        <f t="shared" si="32"/>
        <v>0</v>
      </c>
      <c r="AX36" s="493">
        <f t="shared" si="33"/>
        <v>0</v>
      </c>
      <c r="AY36" s="517">
        <f t="shared" si="34"/>
        <v>0</v>
      </c>
      <c r="AZ36" s="1123" t="str">
        <f t="shared" si="46"/>
        <v/>
      </c>
      <c r="BA36" s="1050">
        <f t="shared" si="47"/>
        <v>0</v>
      </c>
      <c r="BB36" s="1051">
        <f t="shared" si="35"/>
        <v>0</v>
      </c>
      <c r="BC36" s="1051">
        <f t="shared" si="35"/>
        <v>0</v>
      </c>
      <c r="BD36" s="1051">
        <f t="shared" si="35"/>
        <v>0</v>
      </c>
      <c r="BE36" s="1051">
        <f t="shared" si="35"/>
        <v>0</v>
      </c>
      <c r="BF36" s="1051">
        <f t="shared" si="35"/>
        <v>0</v>
      </c>
      <c r="BG36" s="1052">
        <f t="shared" si="35"/>
        <v>0</v>
      </c>
      <c r="BH36" s="2"/>
      <c r="BI36" s="1314"/>
      <c r="BJ36" s="2"/>
    </row>
    <row r="37" spans="1:62" ht="20.25" customHeight="1" x14ac:dyDescent="0.2">
      <c r="A37" s="2"/>
      <c r="B37" s="18">
        <v>30</v>
      </c>
      <c r="C37" s="799" t="str">
        <f t="shared" si="48"/>
        <v>--</v>
      </c>
      <c r="D37" s="800" t="str">
        <f t="shared" si="36"/>
        <v>--</v>
      </c>
      <c r="E37" s="2092"/>
      <c r="F37" s="2093"/>
      <c r="G37" s="1291"/>
      <c r="H37" s="1291"/>
      <c r="I37" s="1291"/>
      <c r="J37" s="1291"/>
      <c r="K37" s="1291"/>
      <c r="L37" s="1291"/>
      <c r="M37" s="1291"/>
      <c r="N37" s="1292"/>
      <c r="O37" s="6"/>
      <c r="P37" s="495"/>
      <c r="Q37" s="495"/>
      <c r="R37" s="495"/>
      <c r="S37" s="495"/>
      <c r="T37" s="495"/>
      <c r="U37" s="495"/>
      <c r="V37" s="495"/>
      <c r="W37" s="496"/>
      <c r="X37" s="495"/>
      <c r="Y37" s="495"/>
      <c r="Z37" s="495"/>
      <c r="AA37" s="495"/>
      <c r="AB37" s="495"/>
      <c r="AC37" s="495"/>
      <c r="AD37" s="495"/>
      <c r="AE37" s="414"/>
      <c r="AF37" s="2"/>
      <c r="AG37" s="2"/>
      <c r="AH37" s="2"/>
      <c r="AI37" s="2"/>
      <c r="AJ37" s="2"/>
      <c r="AK37" s="2"/>
      <c r="AL37" s="2"/>
      <c r="AM37" s="2"/>
      <c r="AN37" s="2"/>
      <c r="AO37" s="2"/>
      <c r="AP37" s="2"/>
      <c r="AQ37" s="2"/>
      <c r="AR37" s="2"/>
      <c r="AS37" s="2"/>
      <c r="AT37" s="2"/>
      <c r="AU37" s="2"/>
      <c r="AV37" s="2"/>
      <c r="AW37" s="2"/>
      <c r="AX37" s="2"/>
      <c r="AY37" s="2"/>
      <c r="AZ37" s="1123"/>
      <c r="BA37" s="2"/>
      <c r="BB37" s="2"/>
      <c r="BC37" s="2"/>
      <c r="BD37" s="2"/>
      <c r="BE37" s="2"/>
      <c r="BF37" s="2"/>
      <c r="BG37" s="2"/>
      <c r="BH37" s="2"/>
      <c r="BI37" s="1286"/>
      <c r="BJ37" s="2"/>
    </row>
    <row r="38" spans="1:62" ht="20.25" customHeight="1" x14ac:dyDescent="0.2">
      <c r="A38" s="2"/>
      <c r="B38" s="18">
        <v>31</v>
      </c>
      <c r="C38" s="155" t="str">
        <f t="shared" si="48"/>
        <v>--</v>
      </c>
      <c r="D38" s="156" t="str">
        <f t="shared" si="36"/>
        <v>--</v>
      </c>
      <c r="E38" s="2090"/>
      <c r="F38" s="2091"/>
      <c r="G38" s="1293"/>
      <c r="H38" s="1293"/>
      <c r="I38" s="1293"/>
      <c r="J38" s="1293"/>
      <c r="K38" s="1293"/>
      <c r="L38" s="1293"/>
      <c r="M38" s="1293"/>
      <c r="N38" s="1294"/>
      <c r="O38" s="6"/>
      <c r="P38" s="495"/>
      <c r="Q38" s="495"/>
      <c r="R38" s="495"/>
      <c r="S38" s="495"/>
      <c r="T38" s="495"/>
      <c r="U38" s="495"/>
      <c r="V38" s="495"/>
      <c r="W38" s="496"/>
      <c r="X38" s="495"/>
      <c r="Y38" s="495"/>
      <c r="Z38" s="495"/>
      <c r="AA38" s="495"/>
      <c r="AB38" s="495"/>
      <c r="AC38" s="495"/>
      <c r="AD38" s="495"/>
      <c r="AE38" s="414"/>
      <c r="AF38" s="2"/>
      <c r="AG38" s="2"/>
      <c r="AH38" s="2"/>
      <c r="AI38" s="2"/>
      <c r="AJ38" s="2"/>
      <c r="AK38" s="2"/>
      <c r="AL38" s="2"/>
      <c r="AM38" s="2"/>
      <c r="AN38" s="2"/>
      <c r="AO38" s="2"/>
      <c r="AP38" s="2"/>
      <c r="AQ38" s="2"/>
      <c r="AR38" s="2"/>
      <c r="AS38" s="2"/>
      <c r="AT38" s="2"/>
      <c r="AU38" s="2"/>
      <c r="AV38" s="2"/>
      <c r="AW38" s="2"/>
      <c r="AX38" s="2"/>
      <c r="AY38" s="2"/>
      <c r="AZ38" s="1123"/>
      <c r="BA38" s="2"/>
      <c r="BB38" s="2"/>
      <c r="BC38" s="2"/>
      <c r="BD38" s="2"/>
      <c r="BE38" s="2"/>
      <c r="BF38" s="2"/>
      <c r="BG38" s="2"/>
      <c r="BH38" s="2"/>
      <c r="BI38" s="1287"/>
      <c r="BJ38" s="2"/>
    </row>
    <row r="39" spans="1:62" ht="20.25" customHeight="1" x14ac:dyDescent="0.2">
      <c r="A39" s="2"/>
      <c r="B39" s="7"/>
      <c r="C39" s="1992" t="s">
        <v>244</v>
      </c>
      <c r="D39" s="1993"/>
      <c r="E39" s="1996">
        <f>IMPOSTAZIONI!G273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tr">
        <f>D122</f>
        <v>01/02 - 29/02</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2</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01/02 - 29/02</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IMPOSTAZIONI!K298</f>
        <v>0</v>
      </c>
      <c r="I90" s="784">
        <f>IMPOSTAZIONI!K299</f>
        <v>0</v>
      </c>
      <c r="J90" s="785">
        <f>IMPOSTAZIONI!K300</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IMPOSTAZIONI!P298</f>
        <v>0</v>
      </c>
      <c r="I91" s="788">
        <f>IMPOSTAZIONI!P299</f>
        <v>0</v>
      </c>
      <c r="J91" s="789">
        <f>IMPOSTAZIONI!P300</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IF(IMPOSTAZIONI!P181=0,1,0)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IF(IMPOSTAZIONI!P182=0,1,0)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IF(IMPOSTAZIONI!P183=0,1,0)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6</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094" t="str">
        <f>CONCATENATE("01/02 - ",TEXT(D123-1,"gg/mm"))</f>
        <v>01/02 - 29/02</v>
      </c>
      <c r="E122" s="2094"/>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095">
        <f>DATE(E43,3,1)</f>
        <v>45352</v>
      </c>
      <c r="E123" s="2096"/>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IMPOSTAZIONI!F194</f>
        <v/>
      </c>
      <c r="H124" s="803" t="str">
        <f>IMPOSTAZIONI!K194</f>
        <v/>
      </c>
      <c r="I124" s="803" t="str">
        <f>IMPOSTAZIONI!P194</f>
        <v/>
      </c>
      <c r="J124" s="803" t="str">
        <f>IMPOSTAZIONI!U194</f>
        <v/>
      </c>
      <c r="K124" s="803" t="str">
        <f>IMPOSTAZIONI!Z194</f>
        <v/>
      </c>
      <c r="L124" s="803" t="str">
        <f>IMPOSTAZIONI!AE194</f>
        <v/>
      </c>
      <c r="M124" s="803" t="str">
        <f>IMPOSTAZIONI!AJ194</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IMPOSTAZIONI!J194</f>
        <v>0</v>
      </c>
      <c r="H130" s="803">
        <f>IMPOSTAZIONI!O194</f>
        <v>0</v>
      </c>
      <c r="I130" s="803">
        <f>IMPOSTAZIONI!T194</f>
        <v>0</v>
      </c>
      <c r="J130" s="803">
        <f>IMPOSTAZIONI!Y194</f>
        <v>0</v>
      </c>
      <c r="K130" s="803">
        <f>IMPOSTAZIONI!AD194</f>
        <v>0</v>
      </c>
      <c r="L130" s="803">
        <f>IMPOSTAZIONI!AI194</f>
        <v>0</v>
      </c>
      <c r="M130" s="803">
        <f>IMPOSTAZIONI!AN194</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01/02 - 29/02</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01/01 - 29/02</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6</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KmKtnqU0sjQURqZa8RPzAeR+AuiVGh0OeBw1QADjdjELH5zbsy94lYNGKj8PnJPfY/tRvoCf4XKjiJEe61+V7w==" saltValue="XBAxZblUgknUfy+o9L25xg==" spinCount="100000" sheet="1" objects="1" scenarios="1" selectLockedCells="1"/>
  <mergeCells count="135">
    <mergeCell ref="N135:O135"/>
    <mergeCell ref="M56:N56"/>
    <mergeCell ref="H50:K50"/>
    <mergeCell ref="J51:K52"/>
    <mergeCell ref="J53:K53"/>
    <mergeCell ref="J54:K54"/>
    <mergeCell ref="J55:K55"/>
    <mergeCell ref="J56:K56"/>
    <mergeCell ref="E29:F29"/>
    <mergeCell ref="E39:F39"/>
    <mergeCell ref="E37:F37"/>
    <mergeCell ref="E33:F33"/>
    <mergeCell ref="E48:F48"/>
    <mergeCell ref="D122:E122"/>
    <mergeCell ref="D123:E123"/>
    <mergeCell ref="C65:D65"/>
    <mergeCell ref="E56:F56"/>
    <mergeCell ref="C57:F57"/>
    <mergeCell ref="C58:F58"/>
    <mergeCell ref="C56:D56"/>
    <mergeCell ref="C59:E59"/>
    <mergeCell ref="E62:F62"/>
    <mergeCell ref="C62:D62"/>
    <mergeCell ref="N133:O133"/>
    <mergeCell ref="E28:F28"/>
    <mergeCell ref="E20:F20"/>
    <mergeCell ref="H53:I53"/>
    <mergeCell ref="M50:N50"/>
    <mergeCell ref="M51:N51"/>
    <mergeCell ref="M52:N52"/>
    <mergeCell ref="M53:N53"/>
    <mergeCell ref="C50:F50"/>
    <mergeCell ref="E32:F32"/>
    <mergeCell ref="E35:F35"/>
    <mergeCell ref="E34:F34"/>
    <mergeCell ref="E30:F30"/>
    <mergeCell ref="E31:F31"/>
    <mergeCell ref="E38:F38"/>
    <mergeCell ref="C47:D47"/>
    <mergeCell ref="E43:F43"/>
    <mergeCell ref="C43:D43"/>
    <mergeCell ref="E47:F47"/>
    <mergeCell ref="C45:F45"/>
    <mergeCell ref="C48:D48"/>
    <mergeCell ref="E46:F46"/>
    <mergeCell ref="C44:F44"/>
    <mergeCell ref="C39:D39"/>
    <mergeCell ref="E36:F36"/>
    <mergeCell ref="E10:F10"/>
    <mergeCell ref="E11:F11"/>
    <mergeCell ref="E26:F26"/>
    <mergeCell ref="E22:F22"/>
    <mergeCell ref="E24:F24"/>
    <mergeCell ref="E23:F23"/>
    <mergeCell ref="E27:F27"/>
    <mergeCell ref="E25:F25"/>
    <mergeCell ref="E21:F21"/>
    <mergeCell ref="E14:F14"/>
    <mergeCell ref="E12:F12"/>
    <mergeCell ref="E13:F13"/>
    <mergeCell ref="E18:F18"/>
    <mergeCell ref="E16:F16"/>
    <mergeCell ref="E17:F17"/>
    <mergeCell ref="E19:F19"/>
    <mergeCell ref="E15:F15"/>
    <mergeCell ref="AU7:AY7"/>
    <mergeCell ref="E9:F9"/>
    <mergeCell ref="P7:V7"/>
    <mergeCell ref="AF7:AJ7"/>
    <mergeCell ref="C6:D6"/>
    <mergeCell ref="E6:F6"/>
    <mergeCell ref="J2:N2"/>
    <mergeCell ref="AM6:AS6"/>
    <mergeCell ref="C2:I2"/>
    <mergeCell ref="C3:D3"/>
    <mergeCell ref="E3:H3"/>
    <mergeCell ref="C4:D5"/>
    <mergeCell ref="E8:F8"/>
    <mergeCell ref="E4:F5"/>
    <mergeCell ref="E7:F7"/>
    <mergeCell ref="C7:D7"/>
    <mergeCell ref="N5:N6"/>
    <mergeCell ref="I3:K3"/>
    <mergeCell ref="L3:N3"/>
    <mergeCell ref="C184:D184"/>
    <mergeCell ref="E184:F184"/>
    <mergeCell ref="C182:D182"/>
    <mergeCell ref="E182:F182"/>
    <mergeCell ref="C183:D183"/>
    <mergeCell ref="E183:F183"/>
    <mergeCell ref="B129:D129"/>
    <mergeCell ref="B130:D130"/>
    <mergeCell ref="C151:D152"/>
    <mergeCell ref="E147:F147"/>
    <mergeCell ref="E151:E152"/>
    <mergeCell ref="C147:D147"/>
    <mergeCell ref="C150:D150"/>
    <mergeCell ref="E134:F134"/>
    <mergeCell ref="C138:D139"/>
    <mergeCell ref="E138:E139"/>
    <mergeCell ref="C149:F149"/>
    <mergeCell ref="C137:D137"/>
    <mergeCell ref="C135:F135"/>
    <mergeCell ref="C136:F136"/>
    <mergeCell ref="K174:M174"/>
    <mergeCell ref="C173:D173"/>
    <mergeCell ref="C162:H162"/>
    <mergeCell ref="C160:D160"/>
    <mergeCell ref="E160:F160"/>
    <mergeCell ref="E173:F173"/>
    <mergeCell ref="C174:J174"/>
    <mergeCell ref="C164:D165"/>
    <mergeCell ref="E164:E165"/>
    <mergeCell ref="C163:D163"/>
    <mergeCell ref="N78:O78"/>
    <mergeCell ref="C134:D134"/>
    <mergeCell ref="G119:M119"/>
    <mergeCell ref="E65:F65"/>
    <mergeCell ref="C64:F64"/>
    <mergeCell ref="C46:D46"/>
    <mergeCell ref="C60:N60"/>
    <mergeCell ref="C54:F54"/>
    <mergeCell ref="C52:F52"/>
    <mergeCell ref="C53:F53"/>
    <mergeCell ref="C63:F63"/>
    <mergeCell ref="N77:O77"/>
    <mergeCell ref="C72:F72"/>
    <mergeCell ref="C71:F71"/>
    <mergeCell ref="C73:F73"/>
    <mergeCell ref="C67:F67"/>
    <mergeCell ref="C69:F69"/>
    <mergeCell ref="C51:F51"/>
    <mergeCell ref="C55:F55"/>
    <mergeCell ref="C66:F66"/>
    <mergeCell ref="C70:F70"/>
  </mergeCells>
  <phoneticPr fontId="24" type="noConversion"/>
  <conditionalFormatting sqref="C57 G57">
    <cfRule type="expression" dxfId="4552" priority="248" stopIfTrue="1">
      <formula>C58=0</formula>
    </cfRule>
  </conditionalFormatting>
  <conditionalFormatting sqref="O182:O184 O147 O160 O173">
    <cfRule type="expression" dxfId="4551" priority="384" stopIfTrue="1">
      <formula>$N$44=""</formula>
    </cfRule>
    <cfRule type="expression" dxfId="4550" priority="385" stopIfTrue="1">
      <formula>$N$44=0</formula>
    </cfRule>
  </conditionalFormatting>
  <conditionalFormatting sqref="G182:M184">
    <cfRule type="expression" dxfId="4549" priority="386" stopIfTrue="1">
      <formula>ISERROR(G182)</formula>
    </cfRule>
    <cfRule type="cellIs" dxfId="4548" priority="387" stopIfTrue="1" operator="equal">
      <formula>0</formula>
    </cfRule>
  </conditionalFormatting>
  <conditionalFormatting sqref="G58 C58 AE8:AE38 G42:M42 E6:F6">
    <cfRule type="cellIs" dxfId="4547" priority="390" stopIfTrue="1" operator="equal">
      <formula>0</formula>
    </cfRule>
  </conditionalFormatting>
  <conditionalFormatting sqref="N63">
    <cfRule type="expression" dxfId="4546" priority="395" stopIfTrue="1">
      <formula>$N$44=""</formula>
    </cfRule>
  </conditionalFormatting>
  <conditionalFormatting sqref="E47:F48">
    <cfRule type="expression" dxfId="4545" priority="399" stopIfTrue="1">
      <formula>ISERROR(E47)</formula>
    </cfRule>
  </conditionalFormatting>
  <conditionalFormatting sqref="G135:M136 E164:E165 E138:E139 E147:F147 E151:E152 E160:F160">
    <cfRule type="expression" dxfId="4544" priority="400" stopIfTrue="1">
      <formula>ISERROR(E135)</formula>
    </cfRule>
  </conditionalFormatting>
  <conditionalFormatting sqref="G43:M43 G134:M134">
    <cfRule type="cellIs" dxfId="4543" priority="401" stopIfTrue="1" operator="equal">
      <formula>0</formula>
    </cfRule>
  </conditionalFormatting>
  <conditionalFormatting sqref="G123:M123">
    <cfRule type="cellIs" dxfId="4542" priority="406" stopIfTrue="1" operator="equal">
      <formula>0</formula>
    </cfRule>
  </conditionalFormatting>
  <conditionalFormatting sqref="X8:AD38 P8:V36 AF8:AJ36 AU8:AY36 AL8:AS36">
    <cfRule type="cellIs" dxfId="4541" priority="407" stopIfTrue="1" operator="equal">
      <formula>0</formula>
    </cfRule>
  </conditionalFormatting>
  <conditionalFormatting sqref="G68:M68 G74:M74 H107:H116">
    <cfRule type="cellIs" dxfId="4540" priority="410" stopIfTrue="1" operator="equal">
      <formula>"OK"</formula>
    </cfRule>
  </conditionalFormatting>
  <conditionalFormatting sqref="I107:I116">
    <cfRule type="cellIs" dxfId="4539" priority="411" stopIfTrue="1" operator="greaterThan">
      <formula>0</formula>
    </cfRule>
  </conditionalFormatting>
  <conditionalFormatting sqref="G125:M126">
    <cfRule type="cellIs" dxfId="4538" priority="414" stopIfTrue="1" operator="equal">
      <formula>$E$125</formula>
    </cfRule>
  </conditionalFormatting>
  <conditionalFormatting sqref="C162:H162">
    <cfRule type="expression" dxfId="4537" priority="419" stopIfTrue="1">
      <formula>ISERROR($C$162)</formula>
    </cfRule>
  </conditionalFormatting>
  <conditionalFormatting sqref="E46:F46">
    <cfRule type="expression" dxfId="4536" priority="423" stopIfTrue="1">
      <formula>ISERROR($E$46)</formula>
    </cfRule>
  </conditionalFormatting>
  <conditionalFormatting sqref="C60">
    <cfRule type="expression" dxfId="4535" priority="457" stopIfTrue="1">
      <formula>SUM($G$118:$M$118)=0</formula>
    </cfRule>
  </conditionalFormatting>
  <conditionalFormatting sqref="E36:F36">
    <cfRule type="expression" dxfId="4534" priority="2180" stopIfTrue="1">
      <formula>$C36="--"</formula>
    </cfRule>
    <cfRule type="expression" dxfId="4533" priority="2181" stopIfTrue="1">
      <formula>AND($AE36=0,$AE36=0)</formula>
    </cfRule>
    <cfRule type="expression" dxfId="4532" priority="2182" stopIfTrue="1">
      <formula>$AE36=0</formula>
    </cfRule>
  </conditionalFormatting>
  <conditionalFormatting sqref="G120:M120">
    <cfRule type="cellIs" dxfId="4531" priority="246" operator="equal">
      <formula>0</formula>
    </cfRule>
  </conditionalFormatting>
  <conditionalFormatting sqref="N65:N67 C66:F67">
    <cfRule type="expression" dxfId="4530" priority="244" stopIfTrue="1">
      <formula>SUM($G$120:$M$120)=0</formula>
    </cfRule>
  </conditionalFormatting>
  <conditionalFormatting sqref="G65:M65">
    <cfRule type="expression" dxfId="4529" priority="243">
      <formula>$D$120=0</formula>
    </cfRule>
    <cfRule type="cellIs" dxfId="4528" priority="245" operator="equal">
      <formula>0</formula>
    </cfRule>
  </conditionalFormatting>
  <conditionalFormatting sqref="G62:M62">
    <cfRule type="expression" dxfId="4527" priority="2914" stopIfTrue="1">
      <formula>AND(G$123="X",G$62&lt;&gt;"")</formula>
    </cfRule>
  </conditionalFormatting>
  <conditionalFormatting sqref="G66:M66">
    <cfRule type="expression" dxfId="4526" priority="2945">
      <formula>AND(G$66&lt;&gt;0,G$68=$O$120)</formula>
    </cfRule>
    <cfRule type="expression" dxfId="4525" priority="2946">
      <formula>$D$120=0</formula>
    </cfRule>
  </conditionalFormatting>
  <conditionalFormatting sqref="G67:M67">
    <cfRule type="expression" dxfId="4524" priority="2947">
      <formula>AND(G$67&lt;&gt;0,G$68=$O$120)</formula>
    </cfRule>
    <cfRule type="expression" dxfId="4523" priority="2948">
      <formula>$D$120=0</formula>
    </cfRule>
  </conditionalFormatting>
  <conditionalFormatting sqref="G73:M73">
    <cfRule type="expression" dxfId="4522" priority="2949">
      <formula>AND(G$73&lt;&gt;0,G$74=$O$120)</formula>
    </cfRule>
    <cfRule type="expression" dxfId="4521" priority="2950">
      <formula>$D$120=0</formula>
    </cfRule>
  </conditionalFormatting>
  <conditionalFormatting sqref="G70:M70">
    <cfRule type="expression" dxfId="4520" priority="2951">
      <formula>AND(G$70&lt;&gt;0,G$74=$O$120)</formula>
    </cfRule>
    <cfRule type="expression" dxfId="4519" priority="2952">
      <formula>$D$120=0</formula>
    </cfRule>
  </conditionalFormatting>
  <conditionalFormatting sqref="G71:M71">
    <cfRule type="expression" dxfId="4518" priority="2953">
      <formula>AND(G$71&lt;&gt;0,G$74=$O$120)</formula>
    </cfRule>
    <cfRule type="expression" dxfId="4517" priority="2954">
      <formula>$D$120=0</formula>
    </cfRule>
  </conditionalFormatting>
  <conditionalFormatting sqref="G72:M72">
    <cfRule type="expression" dxfId="4516" priority="2955">
      <formula>AND(G$72&lt;&gt;0,G$74=$O$120)</formula>
    </cfRule>
    <cfRule type="expression" dxfId="4515" priority="2956">
      <formula>$D$120=0</formula>
    </cfRule>
  </conditionalFormatting>
  <conditionalFormatting sqref="N70:N73">
    <cfRule type="expression" dxfId="4514" priority="2957" stopIfTrue="1">
      <formula>$D$120=0</formula>
    </cfRule>
    <cfRule type="expression" dxfId="4513" priority="2958" stopIfTrue="1">
      <formula>$B70=""</formula>
    </cfRule>
  </conditionalFormatting>
  <conditionalFormatting sqref="C95 P95">
    <cfRule type="expression" dxfId="4512" priority="3092" stopIfTrue="1">
      <formula>ISERROR($H$199)</formula>
    </cfRule>
  </conditionalFormatting>
  <conditionalFormatting sqref="C2:J2">
    <cfRule type="expression" dxfId="4511" priority="3093" stopIfTrue="1">
      <formula>$I$199=0</formula>
    </cfRule>
  </conditionalFormatting>
  <conditionalFormatting sqref="N136:O136">
    <cfRule type="expression" dxfId="4510" priority="3399" stopIfTrue="1">
      <formula>$N$5=#REF!</formula>
    </cfRule>
    <cfRule type="expression" dxfId="4509" priority="3400" stopIfTrue="1">
      <formula>$N$44=0</formula>
    </cfRule>
  </conditionalFormatting>
  <conditionalFormatting sqref="N5">
    <cfRule type="expression" dxfId="4508" priority="3413" stopIfTrue="1">
      <formula>#REF!=""</formula>
    </cfRule>
    <cfRule type="cellIs" dxfId="4507" priority="3414" stopIfTrue="1" operator="equal">
      <formula>0</formula>
    </cfRule>
    <cfRule type="expression" dxfId="4506" priority="3415" stopIfTrue="1">
      <formula>$N$5=#REF!</formula>
    </cfRule>
  </conditionalFormatting>
  <conditionalFormatting sqref="G44:M45">
    <cfRule type="cellIs" dxfId="4505" priority="204" operator="equal">
      <formula>0</formula>
    </cfRule>
  </conditionalFormatting>
  <conditionalFormatting sqref="E39:N39">
    <cfRule type="expression" dxfId="4504" priority="203">
      <formula>ISERROR($H$199)</formula>
    </cfRule>
  </conditionalFormatting>
  <conditionalFormatting sqref="E7:N7">
    <cfRule type="expression" dxfId="4503" priority="202">
      <formula>ISERROR($H$199)</formula>
    </cfRule>
  </conditionalFormatting>
  <conditionalFormatting sqref="G47:M47">
    <cfRule type="expression" dxfId="4502" priority="193" stopIfTrue="1">
      <formula>ISERROR(G47)</formula>
    </cfRule>
    <cfRule type="expression" dxfId="4501" priority="194" stopIfTrue="1">
      <formula>G$42=$K$102</formula>
    </cfRule>
    <cfRule type="expression" dxfId="4500" priority="195" stopIfTrue="1">
      <formula>AND(G$46&gt;0,OR(G$68=$E$120,G$68=$N$120))</formula>
    </cfRule>
    <cfRule type="cellIs" dxfId="4499" priority="196" operator="equal">
      <formula>0</formula>
    </cfRule>
  </conditionalFormatting>
  <conditionalFormatting sqref="G48:M48">
    <cfRule type="expression" dxfId="4498" priority="192" stopIfTrue="1">
      <formula>ISERROR(G48)</formula>
    </cfRule>
    <cfRule type="expression" dxfId="4497" priority="197" stopIfTrue="1">
      <formula>G$42=$K$102</formula>
    </cfRule>
    <cfRule type="expression" dxfId="4496" priority="198" stopIfTrue="1">
      <formula>AND(G$46&gt;0,OR(G$68=$E$120,G$68=$N$120,COUNTIF($C$70:$F$73,"ERROR")&gt;0,G$74=$E$120,G$74=$N$120))</formula>
    </cfRule>
    <cfRule type="cellIs" dxfId="4495" priority="199" operator="equal">
      <formula>0</formula>
    </cfRule>
  </conditionalFormatting>
  <conditionalFormatting sqref="G130:M130">
    <cfRule type="cellIs" dxfId="4494" priority="191" stopIfTrue="1" operator="equal">
      <formula>0</formula>
    </cfRule>
  </conditionalFormatting>
  <conditionalFormatting sqref="G4:M4">
    <cfRule type="cellIs" dxfId="4493" priority="190" operator="equal">
      <formula>0</formula>
    </cfRule>
  </conditionalFormatting>
  <conditionalFormatting sqref="N130">
    <cfRule type="cellIs" dxfId="4492" priority="189" stopIfTrue="1" operator="equal">
      <formula>0</formula>
    </cfRule>
  </conditionalFormatting>
  <conditionalFormatting sqref="G63">
    <cfRule type="expression" dxfId="4491" priority="186">
      <formula>ISERROR(G46)</formula>
    </cfRule>
    <cfRule type="cellIs" dxfId="4490" priority="188" operator="equal">
      <formula>0</formula>
    </cfRule>
  </conditionalFormatting>
  <conditionalFormatting sqref="G64">
    <cfRule type="expression" dxfId="4489" priority="185">
      <formula>ISERROR(G46)</formula>
    </cfRule>
    <cfRule type="cellIs" dxfId="4488" priority="187" operator="equal">
      <formula>0</formula>
    </cfRule>
  </conditionalFormatting>
  <conditionalFormatting sqref="H63:M63">
    <cfRule type="expression" dxfId="4487" priority="182">
      <formula>ISERROR(H46)</formula>
    </cfRule>
    <cfRule type="cellIs" dxfId="4486" priority="184" operator="equal">
      <formula>0</formula>
    </cfRule>
  </conditionalFormatting>
  <conditionalFormatting sqref="H64:M64">
    <cfRule type="expression" dxfId="4485" priority="181">
      <formula>ISERROR(H46)</formula>
    </cfRule>
    <cfRule type="cellIs" dxfId="4484" priority="183" operator="equal">
      <formula>0</formula>
    </cfRule>
  </conditionalFormatting>
  <conditionalFormatting sqref="C70:F73">
    <cfRule type="cellIs" dxfId="4483" priority="175" stopIfTrue="1" operator="equal">
      <formula>"ERROR"</formula>
    </cfRule>
    <cfRule type="cellIs" dxfId="4482" priority="176" stopIfTrue="1" operator="equal">
      <formula>0</formula>
    </cfRule>
    <cfRule type="expression" dxfId="4481" priority="177" stopIfTrue="1">
      <formula>SUM($G$120:$M$120)=0</formula>
    </cfRule>
  </conditionalFormatting>
  <conditionalFormatting sqref="G49">
    <cfRule type="cellIs" dxfId="4480" priority="174" operator="equal">
      <formula>$E$130</formula>
    </cfRule>
  </conditionalFormatting>
  <conditionalFormatting sqref="H49:M49">
    <cfRule type="cellIs" dxfId="4479" priority="173" operator="equal">
      <formula>$E$130</formula>
    </cfRule>
  </conditionalFormatting>
  <conditionalFormatting sqref="G90:G91">
    <cfRule type="expression" dxfId="4478" priority="171" stopIfTrue="1">
      <formula>SUM($H90:$J90)=0</formula>
    </cfRule>
  </conditionalFormatting>
  <conditionalFormatting sqref="N77:N78">
    <cfRule type="expression" dxfId="4477" priority="172" stopIfTrue="1">
      <formula>$M$77=0</formula>
    </cfRule>
  </conditionalFormatting>
  <conditionalFormatting sqref="H85:J87">
    <cfRule type="expression" dxfId="4476" priority="169">
      <formula>AND($E$103=3,$J$112=3)</formula>
    </cfRule>
    <cfRule type="cellIs" dxfId="4475" priority="170" operator="equal">
      <formula>0</formula>
    </cfRule>
  </conditionalFormatting>
  <conditionalFormatting sqref="H90:J91">
    <cfRule type="expression" dxfId="4474" priority="167">
      <formula>AND($E$103=3,$J$112=3)</formula>
    </cfRule>
    <cfRule type="cellIs" dxfId="4473" priority="168" operator="equal">
      <formula>0</formula>
    </cfRule>
  </conditionalFormatting>
  <conditionalFormatting sqref="K90:K91">
    <cfRule type="expression" dxfId="4472" priority="166">
      <formula>AND($E$103=3,$J$112=3)</formula>
    </cfRule>
  </conditionalFormatting>
  <conditionalFormatting sqref="M90:M91">
    <cfRule type="expression" dxfId="4471" priority="165">
      <formula>AND($E$103=3,$J$112=3)</formula>
    </cfRule>
  </conditionalFormatting>
  <conditionalFormatting sqref="M79:M89">
    <cfRule type="expression" dxfId="4470" priority="164">
      <formula>AND($E$103=3,$J$112=3)</formula>
    </cfRule>
  </conditionalFormatting>
  <conditionalFormatting sqref="M77:M78">
    <cfRule type="expression" dxfId="4469" priority="163">
      <formula>AND($E$103=3,$J$112=3)</formula>
    </cfRule>
  </conditionalFormatting>
  <conditionalFormatting sqref="L91">
    <cfRule type="expression" dxfId="4468" priority="162">
      <formula>AND($E$103=3,$J$112=3)</formula>
    </cfRule>
  </conditionalFormatting>
  <conditionalFormatting sqref="L77:L78">
    <cfRule type="expression" dxfId="4467" priority="161">
      <formula>AND($E$103=3,$J$112=3)</formula>
    </cfRule>
  </conditionalFormatting>
  <conditionalFormatting sqref="G76:G81">
    <cfRule type="expression" dxfId="4466" priority="160">
      <formula>AND($E$103=3,$J$112=3)</formula>
    </cfRule>
  </conditionalFormatting>
  <conditionalFormatting sqref="G36:M36">
    <cfRule type="expression" dxfId="4465" priority="6015" stopIfTrue="1">
      <formula>$C36="--"</formula>
    </cfRule>
    <cfRule type="expression" dxfId="4464" priority="6016" stopIfTrue="1">
      <formula>OR($AE36=0,$E36=$E$129)</formula>
    </cfRule>
  </conditionalFormatting>
  <conditionalFormatting sqref="C37:D38">
    <cfRule type="expression" dxfId="4463" priority="6017" stopIfTrue="1">
      <formula>$AE37=$AC$6</formula>
    </cfRule>
    <cfRule type="expression" dxfId="4462" priority="6018" stopIfTrue="1">
      <formula>AND($L$199=0,OR($W37&lt;$B$129,$W37&gt;$B$130))</formula>
    </cfRule>
    <cfRule type="expression" dxfId="4461" priority="6019" stopIfTrue="1">
      <formula>AND($AE37=0,$E37=0)</formula>
    </cfRule>
  </conditionalFormatting>
  <conditionalFormatting sqref="G46:M46">
    <cfRule type="expression" dxfId="4460" priority="6020" stopIfTrue="1">
      <formula>G$42=$K$102</formula>
    </cfRule>
    <cfRule type="expression" dxfId="4459" priority="6021" stopIfTrue="1">
      <formula>$I$199=0</formula>
    </cfRule>
  </conditionalFormatting>
  <conditionalFormatting sqref="H53:H54">
    <cfRule type="expression" dxfId="4458" priority="157" stopIfTrue="1">
      <formula>ISERROR($G$123)</formula>
    </cfRule>
    <cfRule type="expression" dxfId="4457" priority="158" stopIfTrue="1">
      <formula>ISERROR(H53)</formula>
    </cfRule>
  </conditionalFormatting>
  <conditionalFormatting sqref="H51:I52">
    <cfRule type="expression" dxfId="4456" priority="159" stopIfTrue="1">
      <formula>ISERROR(H51)</formula>
    </cfRule>
  </conditionalFormatting>
  <conditionalFormatting sqref="I54">
    <cfRule type="expression" dxfId="4455" priority="155" stopIfTrue="1">
      <formula>ISERROR($G$123)</formula>
    </cfRule>
    <cfRule type="expression" dxfId="4454" priority="156" stopIfTrue="1">
      <formula>ISERROR(I54)</formula>
    </cfRule>
  </conditionalFormatting>
  <conditionalFormatting sqref="H56:I56">
    <cfRule type="expression" dxfId="4453" priority="154" stopIfTrue="1">
      <formula>ISERROR(H56)</formula>
    </cfRule>
  </conditionalFormatting>
  <conditionalFormatting sqref="H55">
    <cfRule type="expression" dxfId="4452" priority="152" stopIfTrue="1">
      <formula>ISERROR($G$123)</formula>
    </cfRule>
    <cfRule type="expression" dxfId="4451" priority="153" stopIfTrue="1">
      <formula>ISERROR(H55)</formula>
    </cfRule>
  </conditionalFormatting>
  <conditionalFormatting sqref="I55">
    <cfRule type="expression" dxfId="4450" priority="150" stopIfTrue="1">
      <formula>ISERROR($G$123)</formula>
    </cfRule>
    <cfRule type="expression" dxfId="4449" priority="151" stopIfTrue="1">
      <formula>ISERROR(I55)</formula>
    </cfRule>
  </conditionalFormatting>
  <conditionalFormatting sqref="G147">
    <cfRule type="expression" dxfId="4448" priority="147" stopIfTrue="1">
      <formula>$E147=0</formula>
    </cfRule>
    <cfRule type="expression" dxfId="4447" priority="148" stopIfTrue="1">
      <formula>ISERROR(G147)</formula>
    </cfRule>
    <cfRule type="expression" dxfId="4446" priority="149" stopIfTrue="1">
      <formula>$E147&lt;&gt;0</formula>
    </cfRule>
  </conditionalFormatting>
  <conditionalFormatting sqref="G145">
    <cfRule type="expression" dxfId="4445" priority="144" stopIfTrue="1">
      <formula>AND(G144=0,G145=1,G146=1)</formula>
    </cfRule>
    <cfRule type="expression" dxfId="4444" priority="145" stopIfTrue="1">
      <formula>AND(G144=1,G146=1)</formula>
    </cfRule>
    <cfRule type="expression" dxfId="4443" priority="146" stopIfTrue="1">
      <formula>AND(G145=1,G144=0)</formula>
    </cfRule>
  </conditionalFormatting>
  <conditionalFormatting sqref="G146">
    <cfRule type="expression" dxfId="4442" priority="142" stopIfTrue="1">
      <formula>AND(G146=1,G145=1)</formula>
    </cfRule>
    <cfRule type="expression" dxfId="4441" priority="143" stopIfTrue="1">
      <formula>AND(G146=1,G145=0)</formula>
    </cfRule>
  </conditionalFormatting>
  <conditionalFormatting sqref="G144">
    <cfRule type="expression" dxfId="4440" priority="139" stopIfTrue="1">
      <formula>AND(G143=0,G144=1,G145=1)</formula>
    </cfRule>
    <cfRule type="expression" dxfId="4439" priority="140" stopIfTrue="1">
      <formula>AND(G143=1,G145=1)</formula>
    </cfRule>
    <cfRule type="expression" dxfId="4438" priority="141" stopIfTrue="1">
      <formula>AND(G144=1,G143=0)</formula>
    </cfRule>
  </conditionalFormatting>
  <conditionalFormatting sqref="G138:G143">
    <cfRule type="expression" dxfId="4437" priority="136" stopIfTrue="1">
      <formula>AND(G137=0,G138=1,G139=1)</formula>
    </cfRule>
    <cfRule type="expression" dxfId="4436" priority="137" stopIfTrue="1">
      <formula>AND(G137=1,G139=1)</formula>
    </cfRule>
    <cfRule type="expression" dxfId="4435" priority="138" stopIfTrue="1">
      <formula>AND(G138=1,G137=0)</formula>
    </cfRule>
  </conditionalFormatting>
  <conditionalFormatting sqref="G137">
    <cfRule type="expression" dxfId="4434" priority="134" stopIfTrue="1">
      <formula>AND(G137=1,G138=1)</formula>
    </cfRule>
    <cfRule type="expression" dxfId="4433" priority="135" stopIfTrue="1">
      <formula>AND(G137=1,G136=0)</formula>
    </cfRule>
  </conditionalFormatting>
  <conditionalFormatting sqref="G160">
    <cfRule type="expression" dxfId="4432" priority="131" stopIfTrue="1">
      <formula>$E160=0</formula>
    </cfRule>
    <cfRule type="expression" dxfId="4431" priority="132" stopIfTrue="1">
      <formula>ISERROR(G160)</formula>
    </cfRule>
    <cfRule type="expression" dxfId="4430" priority="133" stopIfTrue="1">
      <formula>$E160&lt;&gt;0</formula>
    </cfRule>
  </conditionalFormatting>
  <conditionalFormatting sqref="G158">
    <cfRule type="expression" dxfId="4429" priority="128" stopIfTrue="1">
      <formula>AND(G157=0,G158=1,G159=1)</formula>
    </cfRule>
    <cfRule type="expression" dxfId="4428" priority="129" stopIfTrue="1">
      <formula>AND(G157=1,G159=1)</formula>
    </cfRule>
    <cfRule type="expression" dxfId="4427" priority="130" stopIfTrue="1">
      <formula>AND(G158=1,G157=0)</formula>
    </cfRule>
  </conditionalFormatting>
  <conditionalFormatting sqref="G159">
    <cfRule type="expression" dxfId="4426" priority="126" stopIfTrue="1">
      <formula>AND(G159=1,G158=1)</formula>
    </cfRule>
    <cfRule type="expression" dxfId="4425" priority="127" stopIfTrue="1">
      <formula>AND(G159=1,G158=0)</formula>
    </cfRule>
  </conditionalFormatting>
  <conditionalFormatting sqref="G157">
    <cfRule type="expression" dxfId="4424" priority="123" stopIfTrue="1">
      <formula>AND(G156=0,G157=1,G158=1)</formula>
    </cfRule>
    <cfRule type="expression" dxfId="4423" priority="124" stopIfTrue="1">
      <formula>AND(G156=1,G158=1)</formula>
    </cfRule>
    <cfRule type="expression" dxfId="4422" priority="125" stopIfTrue="1">
      <formula>AND(G157=1,G156=0)</formula>
    </cfRule>
  </conditionalFormatting>
  <conditionalFormatting sqref="G151:G156">
    <cfRule type="expression" dxfId="4421" priority="120" stopIfTrue="1">
      <formula>AND(G150=0,G151=1,G152=1)</formula>
    </cfRule>
    <cfRule type="expression" dxfId="4420" priority="121" stopIfTrue="1">
      <formula>AND(G150=1,G152=1)</formula>
    </cfRule>
    <cfRule type="expression" dxfId="4419" priority="122" stopIfTrue="1">
      <formula>AND(G151=1,G150=0)</formula>
    </cfRule>
  </conditionalFormatting>
  <conditionalFormatting sqref="G150">
    <cfRule type="expression" dxfId="4418" priority="118" stopIfTrue="1">
      <formula>AND(G150=1,G151=1)</formula>
    </cfRule>
    <cfRule type="expression" dxfId="4417" priority="119" stopIfTrue="1">
      <formula>AND(G150=1,G149=0)</formula>
    </cfRule>
  </conditionalFormatting>
  <conditionalFormatting sqref="H147:M147">
    <cfRule type="expression" dxfId="4416" priority="115" stopIfTrue="1">
      <formula>$E147=0</formula>
    </cfRule>
    <cfRule type="expression" dxfId="4415" priority="116" stopIfTrue="1">
      <formula>ISERROR(H147)</formula>
    </cfRule>
    <cfRule type="expression" dxfId="4414" priority="117" stopIfTrue="1">
      <formula>$E147&lt;&gt;0</formula>
    </cfRule>
  </conditionalFormatting>
  <conditionalFormatting sqref="H145:M145">
    <cfRule type="expression" dxfId="4413" priority="112" stopIfTrue="1">
      <formula>AND(H144=0,H145=1,H146=1)</formula>
    </cfRule>
    <cfRule type="expression" dxfId="4412" priority="113" stopIfTrue="1">
      <formula>AND(H144=1,H146=1)</formula>
    </cfRule>
    <cfRule type="expression" dxfId="4411" priority="114" stopIfTrue="1">
      <formula>AND(H145=1,H144=0)</formula>
    </cfRule>
  </conditionalFormatting>
  <conditionalFormatting sqref="H146:M146">
    <cfRule type="expression" dxfId="4410" priority="110" stopIfTrue="1">
      <formula>AND(H146=1,H145=1)</formula>
    </cfRule>
    <cfRule type="expression" dxfId="4409" priority="111" stopIfTrue="1">
      <formula>AND(H146=1,H145=0)</formula>
    </cfRule>
  </conditionalFormatting>
  <conditionalFormatting sqref="H144:M144">
    <cfRule type="expression" dxfId="4408" priority="107" stopIfTrue="1">
      <formula>AND(H143=0,H144=1,H145=1)</formula>
    </cfRule>
    <cfRule type="expression" dxfId="4407" priority="108" stopIfTrue="1">
      <formula>AND(H143=1,H145=1)</formula>
    </cfRule>
    <cfRule type="expression" dxfId="4406" priority="109" stopIfTrue="1">
      <formula>AND(H144=1,H143=0)</formula>
    </cfRule>
  </conditionalFormatting>
  <conditionalFormatting sqref="H138:M143">
    <cfRule type="expression" dxfId="4405" priority="104" stopIfTrue="1">
      <formula>AND(H137=0,H138=1,H139=1)</formula>
    </cfRule>
    <cfRule type="expression" dxfId="4404" priority="105" stopIfTrue="1">
      <formula>AND(H137=1,H139=1)</formula>
    </cfRule>
    <cfRule type="expression" dxfId="4403" priority="106" stopIfTrue="1">
      <formula>AND(H138=1,H137=0)</formula>
    </cfRule>
  </conditionalFormatting>
  <conditionalFormatting sqref="H137:M137">
    <cfRule type="expression" dxfId="4402" priority="102" stopIfTrue="1">
      <formula>AND(H137=1,H138=1)</formula>
    </cfRule>
    <cfRule type="expression" dxfId="4401" priority="103" stopIfTrue="1">
      <formula>AND(H137=1,H136=0)</formula>
    </cfRule>
  </conditionalFormatting>
  <conditionalFormatting sqref="H160:M160">
    <cfRule type="expression" dxfId="4400" priority="99" stopIfTrue="1">
      <formula>$E160=0</formula>
    </cfRule>
    <cfRule type="expression" dxfId="4399" priority="100" stopIfTrue="1">
      <formula>ISERROR(H160)</formula>
    </cfRule>
    <cfRule type="expression" dxfId="4398" priority="101" stopIfTrue="1">
      <formula>$E160&lt;&gt;0</formula>
    </cfRule>
  </conditionalFormatting>
  <conditionalFormatting sqref="H158:M158">
    <cfRule type="expression" dxfId="4397" priority="96" stopIfTrue="1">
      <formula>AND(H157=0,H158=1,H159=1)</formula>
    </cfRule>
    <cfRule type="expression" dxfId="4396" priority="97" stopIfTrue="1">
      <formula>AND(H157=1,H159=1)</formula>
    </cfRule>
    <cfRule type="expression" dxfId="4395" priority="98" stopIfTrue="1">
      <formula>AND(H158=1,H157=0)</formula>
    </cfRule>
  </conditionalFormatting>
  <conditionalFormatting sqref="H159:M159">
    <cfRule type="expression" dxfId="4394" priority="94" stopIfTrue="1">
      <formula>AND(H159=1,H158=1)</formula>
    </cfRule>
    <cfRule type="expression" dxfId="4393" priority="95" stopIfTrue="1">
      <formula>AND(H159=1,H158=0)</formula>
    </cfRule>
  </conditionalFormatting>
  <conditionalFormatting sqref="H157:M157">
    <cfRule type="expression" dxfId="4392" priority="91" stopIfTrue="1">
      <formula>AND(H156=0,H157=1,H158=1)</formula>
    </cfRule>
    <cfRule type="expression" dxfId="4391" priority="92" stopIfTrue="1">
      <formula>AND(H156=1,H158=1)</formula>
    </cfRule>
    <cfRule type="expression" dxfId="4390" priority="93" stopIfTrue="1">
      <formula>AND(H157=1,H156=0)</formula>
    </cfRule>
  </conditionalFormatting>
  <conditionalFormatting sqref="H151:M156">
    <cfRule type="expression" dxfId="4389" priority="88" stopIfTrue="1">
      <formula>AND(H150=0,H151=1,H152=1)</formula>
    </cfRule>
    <cfRule type="expression" dxfId="4388" priority="89" stopIfTrue="1">
      <formula>AND(H150=1,H152=1)</formula>
    </cfRule>
    <cfRule type="expression" dxfId="4387" priority="90" stopIfTrue="1">
      <formula>AND(H151=1,H150=0)</formula>
    </cfRule>
  </conditionalFormatting>
  <conditionalFormatting sqref="H150:M150">
    <cfRule type="expression" dxfId="4386" priority="86" stopIfTrue="1">
      <formula>AND(H150=1,H151=1)</formula>
    </cfRule>
    <cfRule type="expression" dxfId="4385" priority="87" stopIfTrue="1">
      <formula>AND(H150=1,H149=0)</formula>
    </cfRule>
  </conditionalFormatting>
  <conditionalFormatting sqref="N133:O133 N135:O135">
    <cfRule type="containsBlanks" dxfId="4384" priority="85">
      <formula>LEN(TRIM(N133))=0</formula>
    </cfRule>
  </conditionalFormatting>
  <conditionalFormatting sqref="N132">
    <cfRule type="expression" dxfId="4383" priority="84">
      <formula>N133=""</formula>
    </cfRule>
  </conditionalFormatting>
  <conditionalFormatting sqref="N134">
    <cfRule type="expression" dxfId="4382" priority="83">
      <formula>N135=""</formula>
    </cfRule>
  </conditionalFormatting>
  <conditionalFormatting sqref="G173">
    <cfRule type="expression" dxfId="4381" priority="80" stopIfTrue="1">
      <formula>$E173=0</formula>
    </cfRule>
    <cfRule type="expression" dxfId="4380" priority="81" stopIfTrue="1">
      <formula>ISERROR(G173)</formula>
    </cfRule>
    <cfRule type="expression" dxfId="4379" priority="82" stopIfTrue="1">
      <formula>$E173&lt;&gt;0</formula>
    </cfRule>
  </conditionalFormatting>
  <conditionalFormatting sqref="G171">
    <cfRule type="expression" dxfId="4378" priority="74" stopIfTrue="1">
      <formula>AND(G170=0,G171=1,G172=1)</formula>
    </cfRule>
    <cfRule type="expression" dxfId="4377" priority="75" stopIfTrue="1">
      <formula>AND(G170=1,G172=1)</formula>
    </cfRule>
    <cfRule type="expression" dxfId="4376" priority="76" stopIfTrue="1">
      <formula>AND(G171=1,G170=0)</formula>
    </cfRule>
  </conditionalFormatting>
  <conditionalFormatting sqref="G170">
    <cfRule type="expression" dxfId="4375" priority="77" stopIfTrue="1">
      <formula>AND(G169=0,G170=1,G171=1)</formula>
    </cfRule>
    <cfRule type="expression" dxfId="4374" priority="78" stopIfTrue="1">
      <formula>AND(G169=1,G171=1)</formula>
    </cfRule>
    <cfRule type="expression" dxfId="4373" priority="79" stopIfTrue="1">
      <formula>AND(G170=1,G169=0)</formula>
    </cfRule>
  </conditionalFormatting>
  <conditionalFormatting sqref="G164:G169">
    <cfRule type="expression" dxfId="4372" priority="71" stopIfTrue="1">
      <formula>AND(G163=0,G164=1,G165=1)</formula>
    </cfRule>
    <cfRule type="expression" dxfId="4371" priority="72" stopIfTrue="1">
      <formula>AND(G163=1,G165=1)</formula>
    </cfRule>
    <cfRule type="expression" dxfId="4370" priority="73" stopIfTrue="1">
      <formula>AND(G164=1,G163=0)</formula>
    </cfRule>
  </conditionalFormatting>
  <conditionalFormatting sqref="G163">
    <cfRule type="expression" dxfId="4369" priority="69" stopIfTrue="1">
      <formula>AND(G163=1,G164=1)</formula>
    </cfRule>
    <cfRule type="expression" dxfId="4368" priority="70" stopIfTrue="1">
      <formula>AND(G163=1,G162=0)</formula>
    </cfRule>
  </conditionalFormatting>
  <conditionalFormatting sqref="G172">
    <cfRule type="expression" dxfId="4367" priority="67" stopIfTrue="1">
      <formula>AND(G172=1,G171=1)</formula>
    </cfRule>
    <cfRule type="expression" dxfId="4366" priority="68" stopIfTrue="1">
      <formula>AND(G172=1,G171=0)</formula>
    </cfRule>
  </conditionalFormatting>
  <conditionalFormatting sqref="H173:M173">
    <cfRule type="expression" dxfId="4365" priority="64" stopIfTrue="1">
      <formula>$E173=0</formula>
    </cfRule>
    <cfRule type="expression" dxfId="4364" priority="65" stopIfTrue="1">
      <formula>ISERROR(H173)</formula>
    </cfRule>
    <cfRule type="expression" dxfId="4363" priority="66" stopIfTrue="1">
      <formula>$E173&lt;&gt;0</formula>
    </cfRule>
  </conditionalFormatting>
  <conditionalFormatting sqref="H171:M171">
    <cfRule type="expression" dxfId="4362" priority="58" stopIfTrue="1">
      <formula>AND(H170=0,H171=1,H172=1)</formula>
    </cfRule>
    <cfRule type="expression" dxfId="4361" priority="59" stopIfTrue="1">
      <formula>AND(H170=1,H172=1)</formula>
    </cfRule>
    <cfRule type="expression" dxfId="4360" priority="60" stopIfTrue="1">
      <formula>AND(H171=1,H170=0)</formula>
    </cfRule>
  </conditionalFormatting>
  <conditionalFormatting sqref="H170:M170">
    <cfRule type="expression" dxfId="4359" priority="61" stopIfTrue="1">
      <formula>AND(H169=0,H170=1,H171=1)</formula>
    </cfRule>
    <cfRule type="expression" dxfId="4358" priority="62" stopIfTrue="1">
      <formula>AND(H169=1,H171=1)</formula>
    </cfRule>
    <cfRule type="expression" dxfId="4357" priority="63" stopIfTrue="1">
      <formula>AND(H170=1,H169=0)</formula>
    </cfRule>
  </conditionalFormatting>
  <conditionalFormatting sqref="H164:M169">
    <cfRule type="expression" dxfId="4356" priority="55" stopIfTrue="1">
      <formula>AND(H163=0,H164=1,H165=1)</formula>
    </cfRule>
    <cfRule type="expression" dxfId="4355" priority="56" stopIfTrue="1">
      <formula>AND(H163=1,H165=1)</formula>
    </cfRule>
    <cfRule type="expression" dxfId="4354" priority="57" stopIfTrue="1">
      <formula>AND(H164=1,H163=0)</formula>
    </cfRule>
  </conditionalFormatting>
  <conditionalFormatting sqref="H163:M163">
    <cfRule type="expression" dxfId="4353" priority="53" stopIfTrue="1">
      <formula>AND(H163=1,H164=1)</formula>
    </cfRule>
    <cfRule type="expression" dxfId="4352" priority="54" stopIfTrue="1">
      <formula>AND(H163=1,H162=0)</formula>
    </cfRule>
  </conditionalFormatting>
  <conditionalFormatting sqref="H172:M172">
    <cfRule type="expression" dxfId="4351" priority="51" stopIfTrue="1">
      <formula>AND(H172=1,H171=1)</formula>
    </cfRule>
    <cfRule type="expression" dxfId="4350" priority="52" stopIfTrue="1">
      <formula>AND(H172=1,H171=0)</formula>
    </cfRule>
  </conditionalFormatting>
  <conditionalFormatting sqref="E173:F173">
    <cfRule type="containsErrors" dxfId="4349" priority="50" stopIfTrue="1">
      <formula>ISERROR(E173)</formula>
    </cfRule>
  </conditionalFormatting>
  <conditionalFormatting sqref="AK8:AK36">
    <cfRule type="cellIs" dxfId="4348" priority="49" stopIfTrue="1" operator="equal">
      <formula>0</formula>
    </cfRule>
  </conditionalFormatting>
  <conditionalFormatting sqref="BA6:BG6">
    <cfRule type="cellIs" dxfId="4347" priority="47" stopIfTrue="1" operator="equal">
      <formula>$E$125</formula>
    </cfRule>
  </conditionalFormatting>
  <conditionalFormatting sqref="BB8:BG8 BA9:BG36">
    <cfRule type="cellIs" dxfId="4346" priority="46" stopIfTrue="1" operator="equal">
      <formula>0</formula>
    </cfRule>
  </conditionalFormatting>
  <conditionalFormatting sqref="BA8">
    <cfRule type="cellIs" dxfId="4345" priority="45" stopIfTrue="1" operator="equal">
      <formula>0</formula>
    </cfRule>
  </conditionalFormatting>
  <conditionalFormatting sqref="BA5:BG5">
    <cfRule type="cellIs" dxfId="4344" priority="44" stopIfTrue="1" operator="equal">
      <formula>$E$125</formula>
    </cfRule>
  </conditionalFormatting>
  <conditionalFormatting sqref="L3:N3">
    <cfRule type="cellIs" dxfId="4343" priority="43" stopIfTrue="1" operator="equal">
      <formula>0</formula>
    </cfRule>
  </conditionalFormatting>
  <conditionalFormatting sqref="BC3">
    <cfRule type="cellIs" dxfId="4342" priority="42" stopIfTrue="1" operator="equal">
      <formula>$E$125</formula>
    </cfRule>
  </conditionalFormatting>
  <conditionalFormatting sqref="BB66:BF66">
    <cfRule type="cellIs" dxfId="4341" priority="39" stopIfTrue="1" operator="equal">
      <formula>0</formula>
    </cfRule>
  </conditionalFormatting>
  <conditionalFormatting sqref="BB67:BF67">
    <cfRule type="cellIs" dxfId="4340" priority="38" stopIfTrue="1" operator="equal">
      <formula>0</formula>
    </cfRule>
  </conditionalFormatting>
  <conditionalFormatting sqref="BB64:BF64">
    <cfRule type="cellIs" dxfId="4339" priority="37" stopIfTrue="1" operator="equal">
      <formula>0</formula>
    </cfRule>
  </conditionalFormatting>
  <conditionalFormatting sqref="BB65:BF65">
    <cfRule type="cellIs" dxfId="4338" priority="36" stopIfTrue="1" operator="equal">
      <formula>0</formula>
    </cfRule>
  </conditionalFormatting>
  <conditionalFormatting sqref="BB63:BF63">
    <cfRule type="cellIs" dxfId="4337" priority="35" stopIfTrue="1" operator="equal">
      <formula>0</formula>
    </cfRule>
  </conditionalFormatting>
  <conditionalFormatting sqref="BA66">
    <cfRule type="cellIs" dxfId="4336" priority="34" stopIfTrue="1" operator="equal">
      <formula>0</formula>
    </cfRule>
  </conditionalFormatting>
  <conditionalFormatting sqref="BA67">
    <cfRule type="cellIs" dxfId="4335" priority="33" stopIfTrue="1" operator="equal">
      <formula>0</formula>
    </cfRule>
  </conditionalFormatting>
  <conditionalFormatting sqref="BA64">
    <cfRule type="cellIs" dxfId="4334" priority="32" stopIfTrue="1" operator="equal">
      <formula>0</formula>
    </cfRule>
  </conditionalFormatting>
  <conditionalFormatting sqref="BA65">
    <cfRule type="cellIs" dxfId="4333" priority="31" stopIfTrue="1" operator="equal">
      <formula>0</formula>
    </cfRule>
  </conditionalFormatting>
  <conditionalFormatting sqref="BA63">
    <cfRule type="cellIs" dxfId="4332" priority="30" stopIfTrue="1" operator="equal">
      <formula>0</formula>
    </cfRule>
  </conditionalFormatting>
  <conditionalFormatting sqref="BG66">
    <cfRule type="cellIs" dxfId="4331" priority="29" stopIfTrue="1" operator="equal">
      <formula>0</formula>
    </cfRule>
  </conditionalFormatting>
  <conditionalFormatting sqref="BG67">
    <cfRule type="cellIs" dxfId="4330" priority="28" stopIfTrue="1" operator="equal">
      <formula>0</formula>
    </cfRule>
  </conditionalFormatting>
  <conditionalFormatting sqref="BG64">
    <cfRule type="cellIs" dxfId="4329" priority="27" stopIfTrue="1" operator="equal">
      <formula>0</formula>
    </cfRule>
  </conditionalFormatting>
  <conditionalFormatting sqref="BG65">
    <cfRule type="cellIs" dxfId="4328" priority="26" stopIfTrue="1" operator="equal">
      <formula>0</formula>
    </cfRule>
  </conditionalFormatting>
  <conditionalFormatting sqref="BG63">
    <cfRule type="cellIs" dxfId="4327" priority="25" stopIfTrue="1" operator="equal">
      <formula>0</formula>
    </cfRule>
  </conditionalFormatting>
  <conditionalFormatting sqref="BB4:BG4">
    <cfRule type="cellIs" dxfId="4326" priority="24" stopIfTrue="1" operator="equal">
      <formula>0</formula>
    </cfRule>
  </conditionalFormatting>
  <conditionalFormatting sqref="BA4">
    <cfRule type="cellIs" dxfId="4325" priority="23" stopIfTrue="1" operator="equal">
      <formula>0</formula>
    </cfRule>
  </conditionalFormatting>
  <conditionalFormatting sqref="E8:F35">
    <cfRule type="expression" dxfId="4324" priority="15" stopIfTrue="1">
      <formula>$AE8=$AC$6</formula>
    </cfRule>
    <cfRule type="expression" dxfId="4323" priority="16" stopIfTrue="1">
      <formula>AND($AE8=0,$E8=0)</formula>
    </cfRule>
    <cfRule type="expression" dxfId="4322" priority="17" stopIfTrue="1">
      <formula>$AE8=0</formula>
    </cfRule>
  </conditionalFormatting>
  <conditionalFormatting sqref="G8:M35">
    <cfRule type="expression" dxfId="4321" priority="18" stopIfTrue="1">
      <formula>$AE8=$AC$6</formula>
    </cfRule>
    <cfRule type="expression" dxfId="4320" priority="19" stopIfTrue="1">
      <formula>OR($AE8=0,$E8=$E$129)</formula>
    </cfRule>
  </conditionalFormatting>
  <conditionalFormatting sqref="C8:D35">
    <cfRule type="expression" dxfId="4319" priority="14" stopIfTrue="1">
      <formula>$AE8=$AC$6</formula>
    </cfRule>
    <cfRule type="expression" dxfId="4318" priority="20" stopIfTrue="1">
      <formula>AND($L$199=0,OR($W8&lt;$B$129,$W8&gt;$B$130))</formula>
    </cfRule>
    <cfRule type="expression" dxfId="4317" priority="21" stopIfTrue="1">
      <formula>AND($AE8=0,$E8=0)</formula>
    </cfRule>
    <cfRule type="expression" dxfId="4316" priority="22" stopIfTrue="1">
      <formula>$AE8=0</formula>
    </cfRule>
  </conditionalFormatting>
  <conditionalFormatting sqref="C36:D36">
    <cfRule type="expression" dxfId="4315" priority="2" stopIfTrue="1">
      <formula>$C$36="--"</formula>
    </cfRule>
    <cfRule type="expression" dxfId="4314" priority="3" stopIfTrue="1">
      <formula>AND($L$199=0,OR($W36&lt;$B$129,$W36&gt;$B$130))</formula>
    </cfRule>
    <cfRule type="expression" dxfId="4313" priority="4" stopIfTrue="1">
      <formula>AND($AE36=0,$E36=0)</formula>
    </cfRule>
    <cfRule type="expression" dxfId="4312" priority="5" stopIfTrue="1">
      <formula>$AE36=0</formula>
    </cfRule>
  </conditionalFormatting>
  <conditionalFormatting sqref="N64">
    <cfRule type="expression" dxfId="4311"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CONCATENATE(IF(IMPOSTAZIONI!F196="","..",IMPOSTAZIONI!F196),"-",IF(IMPOSTAZIONI!F197="","..",IMPOSTAZIONI!F197),"-",IF(IMPOSTAZIONI!F198="","..",IMPOSTAZIONI!F198))</f>
        <v>..-..-..</v>
      </c>
      <c r="H1" s="167" t="str">
        <f>CONCATENATE(IF(IMPOSTAZIONI!K196="","..",IMPOSTAZIONI!K196),"-",IF(IMPOSTAZIONI!K197="","..",IMPOSTAZIONI!K197),"-",IF(IMPOSTAZIONI!K198="","..",IMPOSTAZIONI!K198))</f>
        <v>..-..-..</v>
      </c>
      <c r="I1" s="167" t="str">
        <f>CONCATENATE(IF(IMPOSTAZIONI!P196="","..",IMPOSTAZIONI!P196),"-",IF(IMPOSTAZIONI!P197="","..",IMPOSTAZIONI!P197),"-",IF(IMPOSTAZIONI!P198="","..",IMPOSTAZIONI!P198))</f>
        <v>..-..-..</v>
      </c>
      <c r="J1" s="167" t="str">
        <f>CONCATENATE(IF(IMPOSTAZIONI!U196="","..",IMPOSTAZIONI!U196),"-",IF(IMPOSTAZIONI!U197="","..",IMPOSTAZIONI!U197),"-",IF(IMPOSTAZIONI!U198="","..",IMPOSTAZIONI!U198))</f>
        <v>..-..-..</v>
      </c>
      <c r="K1" s="167" t="str">
        <f>CONCATENATE(IF(IMPOSTAZIONI!Z196="","..",IMPOSTAZIONI!Z196),"-",IF(IMPOSTAZIONI!Z197="","..",IMPOSTAZIONI!Z197),"-",IF(IMPOSTAZIONI!Z198="","..",IMPOSTAZIONI!Z198))</f>
        <v>..-..-..</v>
      </c>
      <c r="L1" s="167" t="str">
        <f>CONCATENATE(IF(IMPOSTAZIONI!AE196="","..",IMPOSTAZIONI!AE196),"-",IF(IMPOSTAZIONI!AE197="","..",IMPOSTAZIONI!AE197),"-",IF(IMPOSTAZIONI!AE198="","..",IMPOSTAZIONI!AE198))</f>
        <v>..-..-..</v>
      </c>
      <c r="M1" s="167" t="str">
        <f>CONCATENATE(IF(IMPOSTAZIONI!AJ196="","..",IMPOSTAZIONI!AJ196),"-",IF(IMPOSTAZIONI!AJ197="","..",IMPOSTAZIONI!AJ197),"-",IF(IMPOSTAZIONI!AJ198="","..",IMPOSTAZIONI!AJ198))</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326</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IF($I$199=0,"",IMPOSTAZIONI!G196)</f>
        <v/>
      </c>
      <c r="H4" s="183" t="str">
        <f>IF($I$199=0,"",IMPOSTAZIONI!L196)</f>
        <v/>
      </c>
      <c r="I4" s="183" t="str">
        <f>IF($I$199=0,"",IMPOSTAZIONI!Q196)</f>
        <v/>
      </c>
      <c r="J4" s="183" t="str">
        <f>IF($I$199=0,"",IMPOSTAZIONI!V196)</f>
        <v/>
      </c>
      <c r="K4" s="183" t="str">
        <f>IF($I$199=0,"",IMPOSTAZIONI!AA196)</f>
        <v/>
      </c>
      <c r="L4" s="183" t="str">
        <f>IF($I$199=0,"",IMPOSTAZIONI!AF196)</f>
        <v/>
      </c>
      <c r="M4" s="183" t="str">
        <f>IF($I$199=0,"",IMPOSTAZIONI!AK196)</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IF($I$199=0,"",IMPOSTAZIONI!G197)</f>
        <v/>
      </c>
      <c r="H5" s="823" t="str">
        <f>IF($I$199=0,"",IMPOSTAZIONI!L197)</f>
        <v/>
      </c>
      <c r="I5" s="823" t="str">
        <f>IF($I$199=0,"",IMPOSTAZIONI!Q197)</f>
        <v/>
      </c>
      <c r="J5" s="823" t="str">
        <f>IF($I$199=0,"",IMPOSTAZIONI!V197)</f>
        <v/>
      </c>
      <c r="K5" s="823" t="str">
        <f>IF($I$199=0,"",IMPOSTAZIONI!AA197)</f>
        <v/>
      </c>
      <c r="L5" s="823" t="str">
        <f>IF($I$199=0,"",IMPOSTAZIONI!AF197)</f>
        <v/>
      </c>
      <c r="M5" s="823" t="str">
        <f>IF($I$199=0,"",IMPOSTAZIONI!AK197)</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IF($I$199=0,"",IMPOSTAZIONI!G198)</f>
        <v/>
      </c>
      <c r="H6" s="40" t="str">
        <f>IF($I$199=0,"",IMPOSTAZIONI!L198)</f>
        <v/>
      </c>
      <c r="I6" s="40" t="str">
        <f>IF($I$199=0,"",IMPOSTAZIONI!Q198)</f>
        <v/>
      </c>
      <c r="J6" s="40" t="str">
        <f>IF($I$199=0,"",IMPOSTAZIONI!V198)</f>
        <v/>
      </c>
      <c r="K6" s="40" t="str">
        <f>IF($I$199=0,"",IMPOSTAZIONI!AA198)</f>
        <v/>
      </c>
      <c r="L6" s="40" t="str">
        <f>IF($I$199=0,"",IMPOSTAZIONI!AF198)</f>
        <v/>
      </c>
      <c r="M6" s="40" t="str">
        <f>IF($I$199=0,"",IMPOSTAZIONI!AK198)</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IMPOSTAZIONI!G273</f>
        <v>0</v>
      </c>
      <c r="F7" s="1999"/>
      <c r="G7" s="811">
        <f>IMPOSTAZIONI!$T277</f>
        <v>0</v>
      </c>
      <c r="H7" s="811">
        <f>IMPOSTAZIONI!$T278</f>
        <v>0</v>
      </c>
      <c r="I7" s="811">
        <f>IMPOSTAZIONI!$T279</f>
        <v>0</v>
      </c>
      <c r="J7" s="811">
        <f>IMPOSTAZIONI!$T280</f>
        <v>0</v>
      </c>
      <c r="K7" s="811">
        <f>IMPOSTAZIONI!$T281</f>
        <v>0</v>
      </c>
      <c r="L7" s="811">
        <f>IMPOSTAZIONI!$T282</f>
        <v>0</v>
      </c>
      <c r="M7" s="811">
        <f>IMPOSTAZIONI!$T283</f>
        <v>0</v>
      </c>
      <c r="N7" s="1288"/>
      <c r="O7" s="57"/>
      <c r="P7" s="2044" t="s">
        <v>524</v>
      </c>
      <c r="Q7" s="2044"/>
      <c r="R7" s="2044"/>
      <c r="S7" s="2044"/>
      <c r="T7" s="2044"/>
      <c r="U7" s="2044"/>
      <c r="V7" s="2044"/>
      <c r="W7" s="285">
        <f>W8-1</f>
        <v>45351</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3</v>
      </c>
      <c r="E8" s="1994">
        <f t="shared" ref="E8:E38" si="9">IF(AND(L$199=0,OR(W8&lt;B$129,W8&gt;B$130)),CONCATENATE(L$99,"  "),IF(AND(SUM(G8:M8)&lt;&gt;0,AE8=AD$6),E$130,IF(AND(SUM(G8:M8)=0,AE8=AD$6),E$129,IF(ISERROR($H$199),0,SUM(G8:M8)-SUMIF(G$42:M$42,K$102,G8:M8)))))</f>
        <v>0</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45352</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3</v>
      </c>
      <c r="E9" s="1959">
        <f t="shared" si="9"/>
        <v>0</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45353</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3</v>
      </c>
      <c r="E10" s="1959">
        <f t="shared" si="9"/>
        <v>0</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45354</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3</v>
      </c>
      <c r="E11" s="1959">
        <f t="shared" si="9"/>
        <v>0</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45355</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3</v>
      </c>
      <c r="E12" s="1959">
        <f t="shared" si="9"/>
        <v>0</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45356</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3</v>
      </c>
      <c r="E13" s="1959">
        <f t="shared" si="9"/>
        <v>0</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45357</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3</v>
      </c>
      <c r="E14" s="1959">
        <f t="shared" si="9"/>
        <v>0</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45358</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3</v>
      </c>
      <c r="E15" s="1959">
        <f t="shared" si="9"/>
        <v>0</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45359</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3</v>
      </c>
      <c r="E16" s="1959">
        <f t="shared" si="9"/>
        <v>0</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45360</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3</v>
      </c>
      <c r="E17" s="1959">
        <f t="shared" si="9"/>
        <v>0</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45361</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3</v>
      </c>
      <c r="E18" s="1959">
        <f t="shared" si="9"/>
        <v>0</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45362</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3</v>
      </c>
      <c r="E19" s="1959">
        <f t="shared" si="9"/>
        <v>0</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45363</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3</v>
      </c>
      <c r="E20" s="1959">
        <f t="shared" si="9"/>
        <v>0</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45364</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3</v>
      </c>
      <c r="E21" s="1959">
        <f t="shared" si="9"/>
        <v>0</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45365</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3</v>
      </c>
      <c r="E22" s="1959">
        <f t="shared" si="9"/>
        <v>0</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45366</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3</v>
      </c>
      <c r="E23" s="1959">
        <f t="shared" si="9"/>
        <v>0</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45367</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3</v>
      </c>
      <c r="E24" s="1959">
        <f t="shared" si="9"/>
        <v>0</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45368</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3</v>
      </c>
      <c r="E25" s="1959">
        <f t="shared" si="9"/>
        <v>0</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45369</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3</v>
      </c>
      <c r="E26" s="1959">
        <f t="shared" si="9"/>
        <v>0</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45370</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3</v>
      </c>
      <c r="E27" s="1959">
        <f t="shared" si="9"/>
        <v>0</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45371</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3</v>
      </c>
      <c r="E28" s="1959">
        <f t="shared" si="9"/>
        <v>0</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45372</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3</v>
      </c>
      <c r="E29" s="1959">
        <f t="shared" si="9"/>
        <v>0</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45373</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3</v>
      </c>
      <c r="E30" s="1959">
        <f t="shared" si="9"/>
        <v>0</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45374</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3</v>
      </c>
      <c r="E31" s="1959">
        <f t="shared" si="9"/>
        <v>0</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45375</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3</v>
      </c>
      <c r="E32" s="1959">
        <f t="shared" si="9"/>
        <v>0</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45376</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3</v>
      </c>
      <c r="E33" s="1959">
        <f t="shared" si="9"/>
        <v>0</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45377</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3</v>
      </c>
      <c r="E34" s="1959">
        <f t="shared" si="9"/>
        <v>0</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45378</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3</v>
      </c>
      <c r="E35" s="1959">
        <f t="shared" si="9"/>
        <v>0</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45379</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3</v>
      </c>
      <c r="E36" s="1959">
        <f t="shared" si="9"/>
        <v>0</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45380</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3</v>
      </c>
      <c r="E37" s="1959">
        <f t="shared" si="9"/>
        <v>0</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45381</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3</v>
      </c>
      <c r="E38" s="2039">
        <f t="shared" si="9"/>
        <v>0</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45382</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IMPOSTAZIONI!J273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333</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3</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01/03 - 31/03</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IMPOSTAZIONI!T298</f>
        <v>0</v>
      </c>
      <c r="I90" s="784">
        <f>IMPOSTAZIONI!T299</f>
        <v>0</v>
      </c>
      <c r="J90" s="785">
        <f>IMPOSTAZIONI!T300</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IMPOSTAZIONI!Y298</f>
        <v>0</v>
      </c>
      <c r="I91" s="788">
        <f>IMPOSTAZIONI!Y299</f>
        <v>0</v>
      </c>
      <c r="J91" s="789">
        <f>IMPOSTAZIONI!Y300</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IF(IMPOSTAZIONI!Q181=0,1,0)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IF(IMPOSTAZIONI!Q182=0,1,0)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IF(IMPOSTAZIONI!Q183=0,1,0)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9</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IMPOSTAZIONI!F197</f>
        <v/>
      </c>
      <c r="H124" s="803" t="str">
        <f>IMPOSTAZIONI!K197</f>
        <v/>
      </c>
      <c r="I124" s="803" t="str">
        <f>IMPOSTAZIONI!P197</f>
        <v/>
      </c>
      <c r="J124" s="803" t="str">
        <f>IMPOSTAZIONI!U197</f>
        <v/>
      </c>
      <c r="K124" s="803" t="str">
        <f>IMPOSTAZIONI!Z197</f>
        <v/>
      </c>
      <c r="L124" s="803" t="str">
        <f>IMPOSTAZIONI!AE197</f>
        <v/>
      </c>
      <c r="M124" s="803" t="str">
        <f>IMPOSTAZIONI!AJ197</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IMPOSTAZIONI!J197</f>
        <v>0</v>
      </c>
      <c r="H130" s="803">
        <f>IMPOSTAZIONI!O197</f>
        <v>0</v>
      </c>
      <c r="I130" s="803">
        <f>IMPOSTAZIONI!T197</f>
        <v>0</v>
      </c>
      <c r="J130" s="803">
        <f>IMPOSTAZIONI!Y197</f>
        <v>0</v>
      </c>
      <c r="K130" s="803">
        <f>IMPOSTAZIONI!AD197</f>
        <v>0</v>
      </c>
      <c r="L130" s="803">
        <f>IMPOSTAZIONI!AI197</f>
        <v>0</v>
      </c>
      <c r="M130" s="803">
        <f>IMPOSTAZIONI!AN197</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01/03 - 31/03</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01/01 - 31/03</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9</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bXd+4g7AtOLR63PAbaW3fMQOYiuYz+CEh9mT2xZh/tRUiE+kdvAmPltYvM0cXUXwm3ylqX4pm9KffpyXtm7LFQ==" saltValue="F1OTRLAqycYX3NvTDNQ5Ig==" spinCount="100000" sheet="1" objects="1" scenarios="1" selectLockedCells="1"/>
  <mergeCells count="133">
    <mergeCell ref="E15:F15"/>
    <mergeCell ref="E16:F16"/>
    <mergeCell ref="E17:F17"/>
    <mergeCell ref="E22:F22"/>
    <mergeCell ref="C43:D43"/>
    <mergeCell ref="H53:I53"/>
    <mergeCell ref="M50:N50"/>
    <mergeCell ref="M51:N51"/>
    <mergeCell ref="M52:N52"/>
    <mergeCell ref="M53:N53"/>
    <mergeCell ref="H50:K50"/>
    <mergeCell ref="J51:K52"/>
    <mergeCell ref="C46:D46"/>
    <mergeCell ref="C47:D47"/>
    <mergeCell ref="C48:D48"/>
    <mergeCell ref="C45:F45"/>
    <mergeCell ref="C44:F44"/>
    <mergeCell ref="E48:F48"/>
    <mergeCell ref="E46:F46"/>
    <mergeCell ref="E47:F47"/>
    <mergeCell ref="E43:F43"/>
    <mergeCell ref="AU7:AY7"/>
    <mergeCell ref="AM6:AS6"/>
    <mergeCell ref="C7:D7"/>
    <mergeCell ref="E7:F7"/>
    <mergeCell ref="C6:D6"/>
    <mergeCell ref="C4:D5"/>
    <mergeCell ref="AF7:AJ7"/>
    <mergeCell ref="E10:F10"/>
    <mergeCell ref="P7:V7"/>
    <mergeCell ref="E8:F8"/>
    <mergeCell ref="E4:F5"/>
    <mergeCell ref="J2:N2"/>
    <mergeCell ref="C62:D62"/>
    <mergeCell ref="C59:E59"/>
    <mergeCell ref="C56:D56"/>
    <mergeCell ref="C53:F53"/>
    <mergeCell ref="E29:F29"/>
    <mergeCell ref="E26:F26"/>
    <mergeCell ref="E24:F24"/>
    <mergeCell ref="E30:F30"/>
    <mergeCell ref="E31:F31"/>
    <mergeCell ref="E36:F36"/>
    <mergeCell ref="E27:F27"/>
    <mergeCell ref="E25:F25"/>
    <mergeCell ref="N5:N6"/>
    <mergeCell ref="C2:I2"/>
    <mergeCell ref="E19:F19"/>
    <mergeCell ref="E28:F28"/>
    <mergeCell ref="E20:F20"/>
    <mergeCell ref="E6:F6"/>
    <mergeCell ref="E18:F18"/>
    <mergeCell ref="E9:F9"/>
    <mergeCell ref="E11:F11"/>
    <mergeCell ref="C3:D3"/>
    <mergeCell ref="E3:H3"/>
    <mergeCell ref="C184:D184"/>
    <mergeCell ref="E184:F184"/>
    <mergeCell ref="C182:D182"/>
    <mergeCell ref="E182:F182"/>
    <mergeCell ref="C183:D183"/>
    <mergeCell ref="E183:F183"/>
    <mergeCell ref="N133:O133"/>
    <mergeCell ref="C174:J174"/>
    <mergeCell ref="C164:D165"/>
    <mergeCell ref="E164:E165"/>
    <mergeCell ref="C173:D173"/>
    <mergeCell ref="C163:D163"/>
    <mergeCell ref="C137:D137"/>
    <mergeCell ref="C151:D152"/>
    <mergeCell ref="E151:E152"/>
    <mergeCell ref="C138:D139"/>
    <mergeCell ref="E138:E139"/>
    <mergeCell ref="C149:F149"/>
    <mergeCell ref="C150:D150"/>
    <mergeCell ref="C162:H162"/>
    <mergeCell ref="N135:O135"/>
    <mergeCell ref="B129:D129"/>
    <mergeCell ref="K174:M174"/>
    <mergeCell ref="C160:D160"/>
    <mergeCell ref="E160:F160"/>
    <mergeCell ref="B130:D130"/>
    <mergeCell ref="E147:F147"/>
    <mergeCell ref="C134:D134"/>
    <mergeCell ref="E134:F134"/>
    <mergeCell ref="C136:F136"/>
    <mergeCell ref="C135:F135"/>
    <mergeCell ref="C147:D147"/>
    <mergeCell ref="E173:F173"/>
    <mergeCell ref="G119:M119"/>
    <mergeCell ref="C71:F71"/>
    <mergeCell ref="C70:F70"/>
    <mergeCell ref="N77:O77"/>
    <mergeCell ref="N78:O78"/>
    <mergeCell ref="C73:F73"/>
    <mergeCell ref="C72:F72"/>
    <mergeCell ref="C69:F69"/>
    <mergeCell ref="J53:K53"/>
    <mergeCell ref="J54:K54"/>
    <mergeCell ref="J55:K55"/>
    <mergeCell ref="J56:K56"/>
    <mergeCell ref="C65:D65"/>
    <mergeCell ref="C64:F64"/>
    <mergeCell ref="E62:F62"/>
    <mergeCell ref="C63:F63"/>
    <mergeCell ref="C54:F54"/>
    <mergeCell ref="C60:N60"/>
    <mergeCell ref="M56:N56"/>
    <mergeCell ref="E65:F65"/>
    <mergeCell ref="L3:N3"/>
    <mergeCell ref="C67:F67"/>
    <mergeCell ref="E38:F38"/>
    <mergeCell ref="E32:F32"/>
    <mergeCell ref="E35:F35"/>
    <mergeCell ref="E34:F34"/>
    <mergeCell ref="E33:F33"/>
    <mergeCell ref="C50:F50"/>
    <mergeCell ref="C51:F51"/>
    <mergeCell ref="C52:F52"/>
    <mergeCell ref="E56:F56"/>
    <mergeCell ref="C55:F55"/>
    <mergeCell ref="C57:F57"/>
    <mergeCell ref="C58:F58"/>
    <mergeCell ref="C39:D39"/>
    <mergeCell ref="C66:F66"/>
    <mergeCell ref="E37:F37"/>
    <mergeCell ref="I3:K3"/>
    <mergeCell ref="E21:F21"/>
    <mergeCell ref="E14:F14"/>
    <mergeCell ref="E12:F12"/>
    <mergeCell ref="E13:F13"/>
    <mergeCell ref="E23:F23"/>
    <mergeCell ref="E39:F39"/>
  </mergeCells>
  <phoneticPr fontId="24" type="noConversion"/>
  <conditionalFormatting sqref="C57 G57">
    <cfRule type="expression" dxfId="4310" priority="235" stopIfTrue="1">
      <formula>C58=0</formula>
    </cfRule>
  </conditionalFormatting>
  <conditionalFormatting sqref="O182:O184 O147 O160 O173">
    <cfRule type="expression" dxfId="4309" priority="354" stopIfTrue="1">
      <formula>$N$44=""</formula>
    </cfRule>
    <cfRule type="expression" dxfId="4308" priority="355" stopIfTrue="1">
      <formula>$N$44=0</formula>
    </cfRule>
  </conditionalFormatting>
  <conditionalFormatting sqref="G182:M184">
    <cfRule type="expression" dxfId="4307" priority="356" stopIfTrue="1">
      <formula>ISERROR(G182)</formula>
    </cfRule>
    <cfRule type="cellIs" dxfId="4306" priority="357" stopIfTrue="1" operator="equal">
      <formula>0</formula>
    </cfRule>
  </conditionalFormatting>
  <conditionalFormatting sqref="G58 C58 AE8:AE38 G42:M42 E6:F6">
    <cfRule type="cellIs" dxfId="4305" priority="360" stopIfTrue="1" operator="equal">
      <formula>0</formula>
    </cfRule>
  </conditionalFormatting>
  <conditionalFormatting sqref="N63">
    <cfRule type="expression" dxfId="4304" priority="365" stopIfTrue="1">
      <formula>$N$44=""</formula>
    </cfRule>
  </conditionalFormatting>
  <conditionalFormatting sqref="E47:F48">
    <cfRule type="expression" dxfId="4303" priority="369" stopIfTrue="1">
      <formula>ISERROR(E47)</formula>
    </cfRule>
  </conditionalFormatting>
  <conditionalFormatting sqref="G135:M136 E164:E165 E138:E139 E147:F147 E151:E152 E160:F160">
    <cfRule type="expression" dxfId="4302" priority="370" stopIfTrue="1">
      <formula>ISERROR(E135)</formula>
    </cfRule>
  </conditionalFormatting>
  <conditionalFormatting sqref="G43:M43 G134:M134">
    <cfRule type="cellIs" dxfId="4301" priority="371" stopIfTrue="1" operator="equal">
      <formula>0</formula>
    </cfRule>
  </conditionalFormatting>
  <conditionalFormatting sqref="G123:M123">
    <cfRule type="cellIs" dxfId="4300" priority="376" stopIfTrue="1" operator="equal">
      <formula>0</formula>
    </cfRule>
  </conditionalFormatting>
  <conditionalFormatting sqref="P8:V38 X8:AD38 AF8:AJ38 AU8:AY38 AL8:AS38">
    <cfRule type="cellIs" dxfId="4299" priority="377" stopIfTrue="1" operator="equal">
      <formula>0</formula>
    </cfRule>
  </conditionalFormatting>
  <conditionalFormatting sqref="G68:M68 G74:M74 H107:H116">
    <cfRule type="cellIs" dxfId="4298" priority="380" stopIfTrue="1" operator="equal">
      <formula>"OK"</formula>
    </cfRule>
  </conditionalFormatting>
  <conditionalFormatting sqref="I107:I116">
    <cfRule type="cellIs" dxfId="4297" priority="381" stopIfTrue="1" operator="greaterThan">
      <formula>0</formula>
    </cfRule>
  </conditionalFormatting>
  <conditionalFormatting sqref="G125:M126">
    <cfRule type="cellIs" dxfId="4296" priority="384" stopIfTrue="1" operator="equal">
      <formula>$E$125</formula>
    </cfRule>
  </conditionalFormatting>
  <conditionalFormatting sqref="C162:H162">
    <cfRule type="expression" dxfId="4295" priority="389" stopIfTrue="1">
      <formula>ISERROR($C$162)</formula>
    </cfRule>
  </conditionalFormatting>
  <conditionalFormatting sqref="E46:F46">
    <cfRule type="expression" dxfId="4294" priority="393" stopIfTrue="1">
      <formula>ISERROR($E$46)</formula>
    </cfRule>
  </conditionalFormatting>
  <conditionalFormatting sqref="C60">
    <cfRule type="expression" dxfId="4293" priority="427" stopIfTrue="1">
      <formula>SUM($G$118:$M$118)=0</formula>
    </cfRule>
  </conditionalFormatting>
  <conditionalFormatting sqref="G120:M120">
    <cfRule type="cellIs" dxfId="4292" priority="233" operator="equal">
      <formula>0</formula>
    </cfRule>
  </conditionalFormatting>
  <conditionalFormatting sqref="N65:N67 C66:F67">
    <cfRule type="expression" dxfId="4291" priority="231" stopIfTrue="1">
      <formula>SUM($G$120:$M$120)=0</formula>
    </cfRule>
  </conditionalFormatting>
  <conditionalFormatting sqref="G65:M65">
    <cfRule type="expression" dxfId="4290" priority="230">
      <formula>$D$120=0</formula>
    </cfRule>
    <cfRule type="cellIs" dxfId="4289" priority="232" operator="equal">
      <formula>0</formula>
    </cfRule>
  </conditionalFormatting>
  <conditionalFormatting sqref="G62:M62">
    <cfRule type="expression" dxfId="4288" priority="2857" stopIfTrue="1">
      <formula>AND(G$123="X",G$62&lt;&gt;"")</formula>
    </cfRule>
  </conditionalFormatting>
  <conditionalFormatting sqref="G66:M66">
    <cfRule type="expression" dxfId="4287" priority="2884">
      <formula>AND(G$66&lt;&gt;0,G$68=$O$120)</formula>
    </cfRule>
    <cfRule type="expression" dxfId="4286" priority="2885">
      <formula>$D$120=0</formula>
    </cfRule>
  </conditionalFormatting>
  <conditionalFormatting sqref="G67:M67">
    <cfRule type="expression" dxfId="4285" priority="2886">
      <formula>AND(G$67&lt;&gt;0,G$68=$O$120)</formula>
    </cfRule>
    <cfRule type="expression" dxfId="4284" priority="2887">
      <formula>$D$120=0</formula>
    </cfRule>
  </conditionalFormatting>
  <conditionalFormatting sqref="G73:M73">
    <cfRule type="expression" dxfId="4283" priority="2888">
      <formula>AND(G$73&lt;&gt;0,G$74=$O$120)</formula>
    </cfRule>
    <cfRule type="expression" dxfId="4282" priority="2889">
      <formula>$D$120=0</formula>
    </cfRule>
  </conditionalFormatting>
  <conditionalFormatting sqref="G70:M70">
    <cfRule type="expression" dxfId="4281" priority="2890">
      <formula>AND(G$70&lt;&gt;0,G$74=$O$120)</formula>
    </cfRule>
    <cfRule type="expression" dxfId="4280" priority="2891">
      <formula>$D$120=0</formula>
    </cfRule>
  </conditionalFormatting>
  <conditionalFormatting sqref="G71:M71">
    <cfRule type="expression" dxfId="4279" priority="2892">
      <formula>AND(G$71&lt;&gt;0,G$74=$O$120)</formula>
    </cfRule>
    <cfRule type="expression" dxfId="4278" priority="2893">
      <formula>$D$120=0</formula>
    </cfRule>
  </conditionalFormatting>
  <conditionalFormatting sqref="G72:M72">
    <cfRule type="expression" dxfId="4277" priority="2894">
      <formula>AND(G$72&lt;&gt;0,G$74=$O$120)</formula>
    </cfRule>
    <cfRule type="expression" dxfId="4276" priority="2895">
      <formula>$D$120=0</formula>
    </cfRule>
  </conditionalFormatting>
  <conditionalFormatting sqref="N70:N73">
    <cfRule type="expression" dxfId="4275" priority="2896" stopIfTrue="1">
      <formula>$D$120=0</formula>
    </cfRule>
    <cfRule type="expression" dxfId="4274" priority="2897" stopIfTrue="1">
      <formula>$B70=""</formula>
    </cfRule>
  </conditionalFormatting>
  <conditionalFormatting sqref="C95 P95">
    <cfRule type="expression" dxfId="4273" priority="3067" stopIfTrue="1">
      <formula>ISERROR($H$199)</formula>
    </cfRule>
  </conditionalFormatting>
  <conditionalFormatting sqref="C2:J2">
    <cfRule type="expression" dxfId="4272" priority="3068" stopIfTrue="1">
      <formula>$I$199=0</formula>
    </cfRule>
  </conditionalFormatting>
  <conditionalFormatting sqref="N136:O136">
    <cfRule type="expression" dxfId="4271" priority="3369" stopIfTrue="1">
      <formula>$N$5=#REF!</formula>
    </cfRule>
    <cfRule type="expression" dxfId="4270" priority="3370" stopIfTrue="1">
      <formula>$N$44=0</formula>
    </cfRule>
  </conditionalFormatting>
  <conditionalFormatting sqref="N5">
    <cfRule type="expression" dxfId="4269" priority="3383" stopIfTrue="1">
      <formula>#REF!=""</formula>
    </cfRule>
    <cfRule type="cellIs" dxfId="4268" priority="3384" stopIfTrue="1" operator="equal">
      <formula>0</formula>
    </cfRule>
    <cfRule type="expression" dxfId="4267" priority="3385" stopIfTrue="1">
      <formula>$N$5=#REF!</formula>
    </cfRule>
  </conditionalFormatting>
  <conditionalFormatting sqref="G44:M45">
    <cfRule type="cellIs" dxfId="4266" priority="192" operator="equal">
      <formula>0</formula>
    </cfRule>
  </conditionalFormatting>
  <conditionalFormatting sqref="E39:N39">
    <cfRule type="expression" dxfId="4265" priority="191">
      <formula>ISERROR($H$199)</formula>
    </cfRule>
  </conditionalFormatting>
  <conditionalFormatting sqref="E7:N7">
    <cfRule type="expression" dxfId="4264" priority="190">
      <formula>ISERROR($H$199)</formula>
    </cfRule>
  </conditionalFormatting>
  <conditionalFormatting sqref="G47:M47">
    <cfRule type="expression" dxfId="4263" priority="181" stopIfTrue="1">
      <formula>ISERROR(G47)</formula>
    </cfRule>
    <cfRule type="expression" dxfId="4262" priority="182" stopIfTrue="1">
      <formula>G$42=$K$102</formula>
    </cfRule>
    <cfRule type="expression" dxfId="4261" priority="183" stopIfTrue="1">
      <formula>AND(G$46&gt;0,OR(G$68=$E$120,G$68=$N$120))</formula>
    </cfRule>
    <cfRule type="cellIs" dxfId="4260" priority="184" operator="equal">
      <formula>0</formula>
    </cfRule>
  </conditionalFormatting>
  <conditionalFormatting sqref="G48:M48">
    <cfRule type="expression" dxfId="4259" priority="180" stopIfTrue="1">
      <formula>ISERROR(G48)</formula>
    </cfRule>
    <cfRule type="expression" dxfId="4258" priority="185" stopIfTrue="1">
      <formula>G$42=$K$102</formula>
    </cfRule>
    <cfRule type="expression" dxfId="4257" priority="186" stopIfTrue="1">
      <formula>AND(G$46&gt;0,OR(G$68=$E$120,G$68=$N$120,COUNTIF($C$70:$F$73,"ERROR")&gt;0,G$74=$E$120,G$74=$N$120))</formula>
    </cfRule>
    <cfRule type="cellIs" dxfId="4256" priority="187" operator="equal">
      <formula>0</formula>
    </cfRule>
  </conditionalFormatting>
  <conditionalFormatting sqref="G130:M130">
    <cfRule type="cellIs" dxfId="4255" priority="179" stopIfTrue="1" operator="equal">
      <formula>0</formula>
    </cfRule>
  </conditionalFormatting>
  <conditionalFormatting sqref="G4:M4">
    <cfRule type="cellIs" dxfId="4254" priority="178" operator="equal">
      <formula>0</formula>
    </cfRule>
  </conditionalFormatting>
  <conditionalFormatting sqref="N130">
    <cfRule type="cellIs" dxfId="4253" priority="177" stopIfTrue="1" operator="equal">
      <formula>0</formula>
    </cfRule>
  </conditionalFormatting>
  <conditionalFormatting sqref="G63">
    <cfRule type="expression" dxfId="4252" priority="174">
      <formula>ISERROR(G46)</formula>
    </cfRule>
    <cfRule type="cellIs" dxfId="4251" priority="176" operator="equal">
      <formula>0</formula>
    </cfRule>
  </conditionalFormatting>
  <conditionalFormatting sqref="G64">
    <cfRule type="expression" dxfId="4250" priority="173">
      <formula>ISERROR(G46)</formula>
    </cfRule>
    <cfRule type="cellIs" dxfId="4249" priority="175" operator="equal">
      <formula>0</formula>
    </cfRule>
  </conditionalFormatting>
  <conditionalFormatting sqref="H63:M63">
    <cfRule type="expression" dxfId="4248" priority="170">
      <formula>ISERROR(H46)</formula>
    </cfRule>
    <cfRule type="cellIs" dxfId="4247" priority="172" operator="equal">
      <formula>0</formula>
    </cfRule>
  </conditionalFormatting>
  <conditionalFormatting sqref="H64:M64">
    <cfRule type="expression" dxfId="4246" priority="169">
      <formula>ISERROR(H46)</formula>
    </cfRule>
    <cfRule type="cellIs" dxfId="4245" priority="171" operator="equal">
      <formula>0</formula>
    </cfRule>
  </conditionalFormatting>
  <conditionalFormatting sqref="C70:F73">
    <cfRule type="cellIs" dxfId="4244" priority="163" stopIfTrue="1" operator="equal">
      <formula>"ERROR"</formula>
    </cfRule>
    <cfRule type="cellIs" dxfId="4243" priority="164" stopIfTrue="1" operator="equal">
      <formula>0</formula>
    </cfRule>
    <cfRule type="expression" dxfId="4242" priority="165" stopIfTrue="1">
      <formula>SUM($G$120:$M$120)=0</formula>
    </cfRule>
  </conditionalFormatting>
  <conditionalFormatting sqref="G49">
    <cfRule type="cellIs" dxfId="4241" priority="162" operator="equal">
      <formula>$E$130</formula>
    </cfRule>
  </conditionalFormatting>
  <conditionalFormatting sqref="H49:M49">
    <cfRule type="cellIs" dxfId="4240" priority="161" operator="equal">
      <formula>$E$130</formula>
    </cfRule>
  </conditionalFormatting>
  <conditionalFormatting sqref="G90:G91">
    <cfRule type="expression" dxfId="4239" priority="159" stopIfTrue="1">
      <formula>SUM($H90:$J90)=0</formula>
    </cfRule>
  </conditionalFormatting>
  <conditionalFormatting sqref="N77:N78">
    <cfRule type="expression" dxfId="4238" priority="160" stopIfTrue="1">
      <formula>$M$77=0</formula>
    </cfRule>
  </conditionalFormatting>
  <conditionalFormatting sqref="H85:J87">
    <cfRule type="expression" dxfId="4237" priority="157">
      <formula>AND($E$103=3,$J$112=3)</formula>
    </cfRule>
    <cfRule type="cellIs" dxfId="4236" priority="158" operator="equal">
      <formula>0</formula>
    </cfRule>
  </conditionalFormatting>
  <conditionalFormatting sqref="H90:J91">
    <cfRule type="expression" dxfId="4235" priority="155">
      <formula>AND($E$103=3,$J$112=3)</formula>
    </cfRule>
    <cfRule type="cellIs" dxfId="4234" priority="156" operator="equal">
      <formula>0</formula>
    </cfRule>
  </conditionalFormatting>
  <conditionalFormatting sqref="K90:K91">
    <cfRule type="expression" dxfId="4233" priority="154">
      <formula>AND($E$103=3,$J$112=3)</formula>
    </cfRule>
  </conditionalFormatting>
  <conditionalFormatting sqref="M90:M91">
    <cfRule type="expression" dxfId="4232" priority="153">
      <formula>AND($E$103=3,$J$112=3)</formula>
    </cfRule>
  </conditionalFormatting>
  <conditionalFormatting sqref="M79:M89">
    <cfRule type="expression" dxfId="4231" priority="152">
      <formula>AND($E$103=3,$J$112=3)</formula>
    </cfRule>
  </conditionalFormatting>
  <conditionalFormatting sqref="M77:M78">
    <cfRule type="expression" dxfId="4230" priority="151">
      <formula>AND($E$103=3,$J$112=3)</formula>
    </cfRule>
  </conditionalFormatting>
  <conditionalFormatting sqref="L91">
    <cfRule type="expression" dxfId="4229" priority="150">
      <formula>AND($E$103=3,$J$112=3)</formula>
    </cfRule>
  </conditionalFormatting>
  <conditionalFormatting sqref="L77:L78">
    <cfRule type="expression" dxfId="4228" priority="149">
      <formula>AND($E$103=3,$J$112=3)</formula>
    </cfRule>
  </conditionalFormatting>
  <conditionalFormatting sqref="G76:G81">
    <cfRule type="expression" dxfId="4227" priority="148">
      <formula>AND($E$103=3,$J$112=3)</formula>
    </cfRule>
  </conditionalFormatting>
  <conditionalFormatting sqref="G46:M46">
    <cfRule type="expression" dxfId="4226" priority="5997" stopIfTrue="1">
      <formula>G$42=$K$102</formula>
    </cfRule>
    <cfRule type="expression" dxfId="4225" priority="5998" stopIfTrue="1">
      <formula>$I$199=0</formula>
    </cfRule>
  </conditionalFormatting>
  <conditionalFormatting sqref="H53:H54">
    <cfRule type="expression" dxfId="4224" priority="145" stopIfTrue="1">
      <formula>ISERROR($G$123)</formula>
    </cfRule>
    <cfRule type="expression" dxfId="4223" priority="146" stopIfTrue="1">
      <formula>ISERROR(H53)</formula>
    </cfRule>
  </conditionalFormatting>
  <conditionalFormatting sqref="H51:I52">
    <cfRule type="expression" dxfId="4222" priority="147" stopIfTrue="1">
      <formula>ISERROR(H51)</formula>
    </cfRule>
  </conditionalFormatting>
  <conditionalFormatting sqref="I54">
    <cfRule type="expression" dxfId="4221" priority="143" stopIfTrue="1">
      <formula>ISERROR($G$123)</formula>
    </cfRule>
    <cfRule type="expression" dxfId="4220" priority="144" stopIfTrue="1">
      <formula>ISERROR(I54)</formula>
    </cfRule>
  </conditionalFormatting>
  <conditionalFormatting sqref="H56:I56">
    <cfRule type="expression" dxfId="4219" priority="142" stopIfTrue="1">
      <formula>ISERROR(H56)</formula>
    </cfRule>
  </conditionalFormatting>
  <conditionalFormatting sqref="H55">
    <cfRule type="expression" dxfId="4218" priority="140" stopIfTrue="1">
      <formula>ISERROR($G$123)</formula>
    </cfRule>
    <cfRule type="expression" dxfId="4217" priority="141" stopIfTrue="1">
      <formula>ISERROR(H55)</formula>
    </cfRule>
  </conditionalFormatting>
  <conditionalFormatting sqref="I55">
    <cfRule type="expression" dxfId="4216" priority="138" stopIfTrue="1">
      <formula>ISERROR($G$123)</formula>
    </cfRule>
    <cfRule type="expression" dxfId="4215" priority="139" stopIfTrue="1">
      <formula>ISERROR(I55)</formula>
    </cfRule>
  </conditionalFormatting>
  <conditionalFormatting sqref="G147">
    <cfRule type="expression" dxfId="4214" priority="135" stopIfTrue="1">
      <formula>$E147=0</formula>
    </cfRule>
    <cfRule type="expression" dxfId="4213" priority="136" stopIfTrue="1">
      <formula>ISERROR(G147)</formula>
    </cfRule>
    <cfRule type="expression" dxfId="4212" priority="137" stopIfTrue="1">
      <formula>$E147&lt;&gt;0</formula>
    </cfRule>
  </conditionalFormatting>
  <conditionalFormatting sqref="G145">
    <cfRule type="expression" dxfId="4211" priority="132" stopIfTrue="1">
      <formula>AND(G144=0,G145=1,G146=1)</formula>
    </cfRule>
    <cfRule type="expression" dxfId="4210" priority="133" stopIfTrue="1">
      <formula>AND(G144=1,G146=1)</formula>
    </cfRule>
    <cfRule type="expression" dxfId="4209" priority="134" stopIfTrue="1">
      <formula>AND(G145=1,G144=0)</formula>
    </cfRule>
  </conditionalFormatting>
  <conditionalFormatting sqref="G146">
    <cfRule type="expression" dxfId="4208" priority="130" stopIfTrue="1">
      <formula>AND(G146=1,G145=1)</formula>
    </cfRule>
    <cfRule type="expression" dxfId="4207" priority="131" stopIfTrue="1">
      <formula>AND(G146=1,G145=0)</formula>
    </cfRule>
  </conditionalFormatting>
  <conditionalFormatting sqref="G144">
    <cfRule type="expression" dxfId="4206" priority="127" stopIfTrue="1">
      <formula>AND(G143=0,G144=1,G145=1)</formula>
    </cfRule>
    <cfRule type="expression" dxfId="4205" priority="128" stopIfTrue="1">
      <formula>AND(G143=1,G145=1)</formula>
    </cfRule>
    <cfRule type="expression" dxfId="4204" priority="129" stopIfTrue="1">
      <formula>AND(G144=1,G143=0)</formula>
    </cfRule>
  </conditionalFormatting>
  <conditionalFormatting sqref="G138:G143">
    <cfRule type="expression" dxfId="4203" priority="124" stopIfTrue="1">
      <formula>AND(G137=0,G138=1,G139=1)</formula>
    </cfRule>
    <cfRule type="expression" dxfId="4202" priority="125" stopIfTrue="1">
      <formula>AND(G137=1,G139=1)</formula>
    </cfRule>
    <cfRule type="expression" dxfId="4201" priority="126" stopIfTrue="1">
      <formula>AND(G138=1,G137=0)</formula>
    </cfRule>
  </conditionalFormatting>
  <conditionalFormatting sqref="G137">
    <cfRule type="expression" dxfId="4200" priority="122" stopIfTrue="1">
      <formula>AND(G137=1,G138=1)</formula>
    </cfRule>
    <cfRule type="expression" dxfId="4199" priority="123" stopIfTrue="1">
      <formula>AND(G137=1,G136=0)</formula>
    </cfRule>
  </conditionalFormatting>
  <conditionalFormatting sqref="G160">
    <cfRule type="expression" dxfId="4198" priority="119" stopIfTrue="1">
      <formula>$E160=0</formula>
    </cfRule>
    <cfRule type="expression" dxfId="4197" priority="120" stopIfTrue="1">
      <formula>ISERROR(G160)</formula>
    </cfRule>
    <cfRule type="expression" dxfId="4196" priority="121" stopIfTrue="1">
      <formula>$E160&lt;&gt;0</formula>
    </cfRule>
  </conditionalFormatting>
  <conditionalFormatting sqref="G158">
    <cfRule type="expression" dxfId="4195" priority="116" stopIfTrue="1">
      <formula>AND(G157=0,G158=1,G159=1)</formula>
    </cfRule>
    <cfRule type="expression" dxfId="4194" priority="117" stopIfTrue="1">
      <formula>AND(G157=1,G159=1)</formula>
    </cfRule>
    <cfRule type="expression" dxfId="4193" priority="118" stopIfTrue="1">
      <formula>AND(G158=1,G157=0)</formula>
    </cfRule>
  </conditionalFormatting>
  <conditionalFormatting sqref="G159">
    <cfRule type="expression" dxfId="4192" priority="114" stopIfTrue="1">
      <formula>AND(G159=1,G158=1)</formula>
    </cfRule>
    <cfRule type="expression" dxfId="4191" priority="115" stopIfTrue="1">
      <formula>AND(G159=1,G158=0)</formula>
    </cfRule>
  </conditionalFormatting>
  <conditionalFormatting sqref="G157">
    <cfRule type="expression" dxfId="4190" priority="111" stopIfTrue="1">
      <formula>AND(G156=0,G157=1,G158=1)</formula>
    </cfRule>
    <cfRule type="expression" dxfId="4189" priority="112" stopIfTrue="1">
      <formula>AND(G156=1,G158=1)</formula>
    </cfRule>
    <cfRule type="expression" dxfId="4188" priority="113" stopIfTrue="1">
      <formula>AND(G157=1,G156=0)</formula>
    </cfRule>
  </conditionalFormatting>
  <conditionalFormatting sqref="G151:G156">
    <cfRule type="expression" dxfId="4187" priority="108" stopIfTrue="1">
      <formula>AND(G150=0,G151=1,G152=1)</formula>
    </cfRule>
    <cfRule type="expression" dxfId="4186" priority="109" stopIfTrue="1">
      <formula>AND(G150=1,G152=1)</formula>
    </cfRule>
    <cfRule type="expression" dxfId="4185" priority="110" stopIfTrue="1">
      <formula>AND(G151=1,G150=0)</formula>
    </cfRule>
  </conditionalFormatting>
  <conditionalFormatting sqref="G150">
    <cfRule type="expression" dxfId="4184" priority="106" stopIfTrue="1">
      <formula>AND(G150=1,G151=1)</formula>
    </cfRule>
    <cfRule type="expression" dxfId="4183" priority="107" stopIfTrue="1">
      <formula>AND(G150=1,G149=0)</formula>
    </cfRule>
  </conditionalFormatting>
  <conditionalFormatting sqref="H147:M147">
    <cfRule type="expression" dxfId="4182" priority="103" stopIfTrue="1">
      <formula>$E147=0</formula>
    </cfRule>
    <cfRule type="expression" dxfId="4181" priority="104" stopIfTrue="1">
      <formula>ISERROR(H147)</formula>
    </cfRule>
    <cfRule type="expression" dxfId="4180" priority="105" stopIfTrue="1">
      <formula>$E147&lt;&gt;0</formula>
    </cfRule>
  </conditionalFormatting>
  <conditionalFormatting sqref="H145:M145">
    <cfRule type="expression" dxfId="4179" priority="100" stopIfTrue="1">
      <formula>AND(H144=0,H145=1,H146=1)</formula>
    </cfRule>
    <cfRule type="expression" dxfId="4178" priority="101" stopIfTrue="1">
      <formula>AND(H144=1,H146=1)</formula>
    </cfRule>
    <cfRule type="expression" dxfId="4177" priority="102" stopIfTrue="1">
      <formula>AND(H145=1,H144=0)</formula>
    </cfRule>
  </conditionalFormatting>
  <conditionalFormatting sqref="H146:M146">
    <cfRule type="expression" dxfId="4176" priority="98" stopIfTrue="1">
      <formula>AND(H146=1,H145=1)</formula>
    </cfRule>
    <cfRule type="expression" dxfId="4175" priority="99" stopIfTrue="1">
      <formula>AND(H146=1,H145=0)</formula>
    </cfRule>
  </conditionalFormatting>
  <conditionalFormatting sqref="H144:M144">
    <cfRule type="expression" dxfId="4174" priority="95" stopIfTrue="1">
      <formula>AND(H143=0,H144=1,H145=1)</formula>
    </cfRule>
    <cfRule type="expression" dxfId="4173" priority="96" stopIfTrue="1">
      <formula>AND(H143=1,H145=1)</formula>
    </cfRule>
    <cfRule type="expression" dxfId="4172" priority="97" stopIfTrue="1">
      <formula>AND(H144=1,H143=0)</formula>
    </cfRule>
  </conditionalFormatting>
  <conditionalFormatting sqref="H138:M143">
    <cfRule type="expression" dxfId="4171" priority="92" stopIfTrue="1">
      <formula>AND(H137=0,H138=1,H139=1)</formula>
    </cfRule>
    <cfRule type="expression" dxfId="4170" priority="93" stopIfTrue="1">
      <formula>AND(H137=1,H139=1)</formula>
    </cfRule>
    <cfRule type="expression" dxfId="4169" priority="94" stopIfTrue="1">
      <formula>AND(H138=1,H137=0)</formula>
    </cfRule>
  </conditionalFormatting>
  <conditionalFormatting sqref="H137:M137">
    <cfRule type="expression" dxfId="4168" priority="90" stopIfTrue="1">
      <formula>AND(H137=1,H138=1)</formula>
    </cfRule>
    <cfRule type="expression" dxfId="4167" priority="91" stopIfTrue="1">
      <formula>AND(H137=1,H136=0)</formula>
    </cfRule>
  </conditionalFormatting>
  <conditionalFormatting sqref="H160:M160">
    <cfRule type="expression" dxfId="4166" priority="87" stopIfTrue="1">
      <formula>$E160=0</formula>
    </cfRule>
    <cfRule type="expression" dxfId="4165" priority="88" stopIfTrue="1">
      <formula>ISERROR(H160)</formula>
    </cfRule>
    <cfRule type="expression" dxfId="4164" priority="89" stopIfTrue="1">
      <formula>$E160&lt;&gt;0</formula>
    </cfRule>
  </conditionalFormatting>
  <conditionalFormatting sqref="H158:M158">
    <cfRule type="expression" dxfId="4163" priority="84" stopIfTrue="1">
      <formula>AND(H157=0,H158=1,H159=1)</formula>
    </cfRule>
    <cfRule type="expression" dxfId="4162" priority="85" stopIfTrue="1">
      <formula>AND(H157=1,H159=1)</formula>
    </cfRule>
    <cfRule type="expression" dxfId="4161" priority="86" stopIfTrue="1">
      <formula>AND(H158=1,H157=0)</formula>
    </cfRule>
  </conditionalFormatting>
  <conditionalFormatting sqref="H159:M159">
    <cfRule type="expression" dxfId="4160" priority="82" stopIfTrue="1">
      <formula>AND(H159=1,H158=1)</formula>
    </cfRule>
    <cfRule type="expression" dxfId="4159" priority="83" stopIfTrue="1">
      <formula>AND(H159=1,H158=0)</formula>
    </cfRule>
  </conditionalFormatting>
  <conditionalFormatting sqref="H157:M157">
    <cfRule type="expression" dxfId="4158" priority="79" stopIfTrue="1">
      <formula>AND(H156=0,H157=1,H158=1)</formula>
    </cfRule>
    <cfRule type="expression" dxfId="4157" priority="80" stopIfTrue="1">
      <formula>AND(H156=1,H158=1)</formula>
    </cfRule>
    <cfRule type="expression" dxfId="4156" priority="81" stopIfTrue="1">
      <formula>AND(H157=1,H156=0)</formula>
    </cfRule>
  </conditionalFormatting>
  <conditionalFormatting sqref="H151:M156">
    <cfRule type="expression" dxfId="4155" priority="76" stopIfTrue="1">
      <formula>AND(H150=0,H151=1,H152=1)</formula>
    </cfRule>
    <cfRule type="expression" dxfId="4154" priority="77" stopIfTrue="1">
      <formula>AND(H150=1,H152=1)</formula>
    </cfRule>
    <cfRule type="expression" dxfId="4153" priority="78" stopIfTrue="1">
      <formula>AND(H151=1,H150=0)</formula>
    </cfRule>
  </conditionalFormatting>
  <conditionalFormatting sqref="H150:M150">
    <cfRule type="expression" dxfId="4152" priority="74" stopIfTrue="1">
      <formula>AND(H150=1,H151=1)</formula>
    </cfRule>
    <cfRule type="expression" dxfId="4151" priority="75" stopIfTrue="1">
      <formula>AND(H150=1,H149=0)</formula>
    </cfRule>
  </conditionalFormatting>
  <conditionalFormatting sqref="N133:O133 N135:O135">
    <cfRule type="containsBlanks" dxfId="4150" priority="73">
      <formula>LEN(TRIM(N133))=0</formula>
    </cfRule>
  </conditionalFormatting>
  <conditionalFormatting sqref="N132">
    <cfRule type="expression" dxfId="4149" priority="72">
      <formula>N133=""</formula>
    </cfRule>
  </conditionalFormatting>
  <conditionalFormatting sqref="N134">
    <cfRule type="expression" dxfId="4148" priority="71">
      <formula>N135=""</formula>
    </cfRule>
  </conditionalFormatting>
  <conditionalFormatting sqref="G173">
    <cfRule type="expression" dxfId="4147" priority="68" stopIfTrue="1">
      <formula>$E173=0</formula>
    </cfRule>
    <cfRule type="expression" dxfId="4146" priority="69" stopIfTrue="1">
      <formula>ISERROR(G173)</formula>
    </cfRule>
    <cfRule type="expression" dxfId="4145" priority="70" stopIfTrue="1">
      <formula>$E173&lt;&gt;0</formula>
    </cfRule>
  </conditionalFormatting>
  <conditionalFormatting sqref="G171">
    <cfRule type="expression" dxfId="4144" priority="62" stopIfTrue="1">
      <formula>AND(G170=0,G171=1,G172=1)</formula>
    </cfRule>
    <cfRule type="expression" dxfId="4143" priority="63" stopIfTrue="1">
      <formula>AND(G170=1,G172=1)</formula>
    </cfRule>
    <cfRule type="expression" dxfId="4142" priority="64" stopIfTrue="1">
      <formula>AND(G171=1,G170=0)</formula>
    </cfRule>
  </conditionalFormatting>
  <conditionalFormatting sqref="G170">
    <cfRule type="expression" dxfId="4141" priority="65" stopIfTrue="1">
      <formula>AND(G169=0,G170=1,G171=1)</formula>
    </cfRule>
    <cfRule type="expression" dxfId="4140" priority="66" stopIfTrue="1">
      <formula>AND(G169=1,G171=1)</formula>
    </cfRule>
    <cfRule type="expression" dxfId="4139" priority="67" stopIfTrue="1">
      <formula>AND(G170=1,G169=0)</formula>
    </cfRule>
  </conditionalFormatting>
  <conditionalFormatting sqref="G164:G169">
    <cfRule type="expression" dxfId="4138" priority="59" stopIfTrue="1">
      <formula>AND(G163=0,G164=1,G165=1)</formula>
    </cfRule>
    <cfRule type="expression" dxfId="4137" priority="60" stopIfTrue="1">
      <formula>AND(G163=1,G165=1)</formula>
    </cfRule>
    <cfRule type="expression" dxfId="4136" priority="61" stopIfTrue="1">
      <formula>AND(G164=1,G163=0)</formula>
    </cfRule>
  </conditionalFormatting>
  <conditionalFormatting sqref="G163">
    <cfRule type="expression" dxfId="4135" priority="57" stopIfTrue="1">
      <formula>AND(G163=1,G164=1)</formula>
    </cfRule>
    <cfRule type="expression" dxfId="4134" priority="58" stopIfTrue="1">
      <formula>AND(G163=1,G162=0)</formula>
    </cfRule>
  </conditionalFormatting>
  <conditionalFormatting sqref="G172">
    <cfRule type="expression" dxfId="4133" priority="55" stopIfTrue="1">
      <formula>AND(G172=1,G171=1)</formula>
    </cfRule>
    <cfRule type="expression" dxfId="4132" priority="56" stopIfTrue="1">
      <formula>AND(G172=1,G171=0)</formula>
    </cfRule>
  </conditionalFormatting>
  <conditionalFormatting sqref="H173:M173">
    <cfRule type="expression" dxfId="4131" priority="52" stopIfTrue="1">
      <formula>$E173=0</formula>
    </cfRule>
    <cfRule type="expression" dxfId="4130" priority="53" stopIfTrue="1">
      <formula>ISERROR(H173)</formula>
    </cfRule>
    <cfRule type="expression" dxfId="4129" priority="54" stopIfTrue="1">
      <formula>$E173&lt;&gt;0</formula>
    </cfRule>
  </conditionalFormatting>
  <conditionalFormatting sqref="H171:M171">
    <cfRule type="expression" dxfId="4128" priority="46" stopIfTrue="1">
      <formula>AND(H170=0,H171=1,H172=1)</formula>
    </cfRule>
    <cfRule type="expression" dxfId="4127" priority="47" stopIfTrue="1">
      <formula>AND(H170=1,H172=1)</formula>
    </cfRule>
    <cfRule type="expression" dxfId="4126" priority="48" stopIfTrue="1">
      <formula>AND(H171=1,H170=0)</formula>
    </cfRule>
  </conditionalFormatting>
  <conditionalFormatting sqref="H170:M170">
    <cfRule type="expression" dxfId="4125" priority="49" stopIfTrue="1">
      <formula>AND(H169=0,H170=1,H171=1)</formula>
    </cfRule>
    <cfRule type="expression" dxfId="4124" priority="50" stopIfTrue="1">
      <formula>AND(H169=1,H171=1)</formula>
    </cfRule>
    <cfRule type="expression" dxfId="4123" priority="51" stopIfTrue="1">
      <formula>AND(H170=1,H169=0)</formula>
    </cfRule>
  </conditionalFormatting>
  <conditionalFormatting sqref="H164:M169">
    <cfRule type="expression" dxfId="4122" priority="43" stopIfTrue="1">
      <formula>AND(H163=0,H164=1,H165=1)</formula>
    </cfRule>
    <cfRule type="expression" dxfId="4121" priority="44" stopIfTrue="1">
      <formula>AND(H163=1,H165=1)</formula>
    </cfRule>
    <cfRule type="expression" dxfId="4120" priority="45" stopIfTrue="1">
      <formula>AND(H164=1,H163=0)</formula>
    </cfRule>
  </conditionalFormatting>
  <conditionalFormatting sqref="H163:M163">
    <cfRule type="expression" dxfId="4119" priority="41" stopIfTrue="1">
      <formula>AND(H163=1,H164=1)</formula>
    </cfRule>
    <cfRule type="expression" dxfId="4118" priority="42" stopIfTrue="1">
      <formula>AND(H163=1,H162=0)</formula>
    </cfRule>
  </conditionalFormatting>
  <conditionalFormatting sqref="H172:M172">
    <cfRule type="expression" dxfId="4117" priority="39" stopIfTrue="1">
      <formula>AND(H172=1,H171=1)</formula>
    </cfRule>
    <cfRule type="expression" dxfId="4116" priority="40" stopIfTrue="1">
      <formula>AND(H172=1,H171=0)</formula>
    </cfRule>
  </conditionalFormatting>
  <conditionalFormatting sqref="E173:F173">
    <cfRule type="containsErrors" dxfId="4115" priority="38" stopIfTrue="1">
      <formula>ISERROR(E173)</formula>
    </cfRule>
  </conditionalFormatting>
  <conditionalFormatting sqref="AK8:AK38">
    <cfRule type="cellIs" dxfId="4114" priority="37" stopIfTrue="1" operator="equal">
      <formula>0</formula>
    </cfRule>
  </conditionalFormatting>
  <conditionalFormatting sqref="BA6:BG6">
    <cfRule type="cellIs" dxfId="4113" priority="35" stopIfTrue="1" operator="equal">
      <formula>$E$125</formula>
    </cfRule>
  </conditionalFormatting>
  <conditionalFormatting sqref="BA9:BG38 BB8:BG8">
    <cfRule type="cellIs" dxfId="4112" priority="34" stopIfTrue="1" operator="equal">
      <formula>0</formula>
    </cfRule>
  </conditionalFormatting>
  <conditionalFormatting sqref="BA8">
    <cfRule type="cellIs" dxfId="4111" priority="33" stopIfTrue="1" operator="equal">
      <formula>0</formula>
    </cfRule>
  </conditionalFormatting>
  <conditionalFormatting sqref="BA5:BG5">
    <cfRule type="cellIs" dxfId="4110" priority="32" stopIfTrue="1" operator="equal">
      <formula>$E$125</formula>
    </cfRule>
  </conditionalFormatting>
  <conditionalFormatting sqref="L3:N3">
    <cfRule type="cellIs" dxfId="4109" priority="31" stopIfTrue="1" operator="equal">
      <formula>0</formula>
    </cfRule>
  </conditionalFormatting>
  <conditionalFormatting sqref="BC3">
    <cfRule type="cellIs" dxfId="4108" priority="30" stopIfTrue="1" operator="equal">
      <formula>$E$125</formula>
    </cfRule>
  </conditionalFormatting>
  <conditionalFormatting sqref="BB66:BF66">
    <cfRule type="cellIs" dxfId="4107" priority="27" stopIfTrue="1" operator="equal">
      <formula>0</formula>
    </cfRule>
  </conditionalFormatting>
  <conditionalFormatting sqref="BB67:BF67">
    <cfRule type="cellIs" dxfId="4106" priority="26" stopIfTrue="1" operator="equal">
      <formula>0</formula>
    </cfRule>
  </conditionalFormatting>
  <conditionalFormatting sqref="BB64:BF64">
    <cfRule type="cellIs" dxfId="4105" priority="25" stopIfTrue="1" operator="equal">
      <formula>0</formula>
    </cfRule>
  </conditionalFormatting>
  <conditionalFormatting sqref="BB65:BF65">
    <cfRule type="cellIs" dxfId="4104" priority="24" stopIfTrue="1" operator="equal">
      <formula>0</formula>
    </cfRule>
  </conditionalFormatting>
  <conditionalFormatting sqref="BB63:BF63">
    <cfRule type="cellIs" dxfId="4103" priority="23" stopIfTrue="1" operator="equal">
      <formula>0</formula>
    </cfRule>
  </conditionalFormatting>
  <conditionalFormatting sqref="BA66">
    <cfRule type="cellIs" dxfId="4102" priority="22" stopIfTrue="1" operator="equal">
      <formula>0</formula>
    </cfRule>
  </conditionalFormatting>
  <conditionalFormatting sqref="BA67">
    <cfRule type="cellIs" dxfId="4101" priority="21" stopIfTrue="1" operator="equal">
      <formula>0</formula>
    </cfRule>
  </conditionalFormatting>
  <conditionalFormatting sqref="BA64">
    <cfRule type="cellIs" dxfId="4100" priority="20" stopIfTrue="1" operator="equal">
      <formula>0</formula>
    </cfRule>
  </conditionalFormatting>
  <conditionalFormatting sqref="BA65">
    <cfRule type="cellIs" dxfId="4099" priority="19" stopIfTrue="1" operator="equal">
      <formula>0</formula>
    </cfRule>
  </conditionalFormatting>
  <conditionalFormatting sqref="BA63">
    <cfRule type="cellIs" dxfId="4098" priority="18" stopIfTrue="1" operator="equal">
      <formula>0</formula>
    </cfRule>
  </conditionalFormatting>
  <conditionalFormatting sqref="BG66">
    <cfRule type="cellIs" dxfId="4097" priority="17" stopIfTrue="1" operator="equal">
      <formula>0</formula>
    </cfRule>
  </conditionalFormatting>
  <conditionalFormatting sqref="BG67">
    <cfRule type="cellIs" dxfId="4096" priority="16" stopIfTrue="1" operator="equal">
      <formula>0</formula>
    </cfRule>
  </conditionalFormatting>
  <conditionalFormatting sqref="BG64">
    <cfRule type="cellIs" dxfId="4095" priority="15" stopIfTrue="1" operator="equal">
      <formula>0</formula>
    </cfRule>
  </conditionalFormatting>
  <conditionalFormatting sqref="BG65">
    <cfRule type="cellIs" dxfId="4094" priority="14" stopIfTrue="1" operator="equal">
      <formula>0</formula>
    </cfRule>
  </conditionalFormatting>
  <conditionalFormatting sqref="BG63">
    <cfRule type="cellIs" dxfId="4093" priority="13" stopIfTrue="1" operator="equal">
      <formula>0</formula>
    </cfRule>
  </conditionalFormatting>
  <conditionalFormatting sqref="BB4:BG4">
    <cfRule type="cellIs" dxfId="4092" priority="12" stopIfTrue="1" operator="equal">
      <formula>0</formula>
    </cfRule>
  </conditionalFormatting>
  <conditionalFormatting sqref="BA4">
    <cfRule type="cellIs" dxfId="4091" priority="11" stopIfTrue="1" operator="equal">
      <formula>0</formula>
    </cfRule>
  </conditionalFormatting>
  <conditionalFormatting sqref="E8:F38">
    <cfRule type="expression" dxfId="4090" priority="3" stopIfTrue="1">
      <formula>$AE8=$AC$6</formula>
    </cfRule>
    <cfRule type="expression" dxfId="4089" priority="4" stopIfTrue="1">
      <formula>AND($AE8=0,$E8=0)</formula>
    </cfRule>
    <cfRule type="expression" dxfId="4088" priority="5" stopIfTrue="1">
      <formula>$AE8=0</formula>
    </cfRule>
  </conditionalFormatting>
  <conditionalFormatting sqref="G8:M38">
    <cfRule type="expression" dxfId="4087" priority="6" stopIfTrue="1">
      <formula>$AE8=$AC$6</formula>
    </cfRule>
    <cfRule type="expression" dxfId="4086" priority="7" stopIfTrue="1">
      <formula>OR($AE8=0,$E8=$E$129)</formula>
    </cfRule>
  </conditionalFormatting>
  <conditionalFormatting sqref="C8:D38">
    <cfRule type="expression" dxfId="4085" priority="2" stopIfTrue="1">
      <formula>$AE8=$AC$6</formula>
    </cfRule>
    <cfRule type="expression" dxfId="4084" priority="8" stopIfTrue="1">
      <formula>AND($L$199=0,OR($W8&lt;$B$129,$W8&gt;$B$130))</formula>
    </cfRule>
    <cfRule type="expression" dxfId="4083" priority="9" stopIfTrue="1">
      <formula>AND($AE8=0,$E8=0)</formula>
    </cfRule>
    <cfRule type="expression" dxfId="4082" priority="10" stopIfTrue="1">
      <formula>$AE8=0</formula>
    </cfRule>
  </conditionalFormatting>
  <conditionalFormatting sqref="N64">
    <cfRule type="expression" dxfId="4081"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CONCATENATE(IF(IMPOSTAZIONI!F199="","..",IMPOSTAZIONI!F199),"-",IF(IMPOSTAZIONI!F200="","..",IMPOSTAZIONI!F200),"-",IF(IMPOSTAZIONI!F201="","..",IMPOSTAZIONI!F201))</f>
        <v>..-..-..</v>
      </c>
      <c r="H1" s="167" t="str">
        <f>CONCATENATE(IF(IMPOSTAZIONI!K199="","..",IMPOSTAZIONI!K199),"-",IF(IMPOSTAZIONI!K200="","..",IMPOSTAZIONI!K200),"-",IF(IMPOSTAZIONI!K201="","..",IMPOSTAZIONI!K201))</f>
        <v>..-..-..</v>
      </c>
      <c r="I1" s="167" t="str">
        <f>CONCATENATE(IF(IMPOSTAZIONI!P199="","..",IMPOSTAZIONI!P199),"-",IF(IMPOSTAZIONI!P200="","..",IMPOSTAZIONI!P200),"-",IF(IMPOSTAZIONI!P201="","..",IMPOSTAZIONI!P201))</f>
        <v>..-..-..</v>
      </c>
      <c r="J1" s="167" t="str">
        <f>CONCATENATE(IF(IMPOSTAZIONI!U199="","..",IMPOSTAZIONI!U199),"-",IF(IMPOSTAZIONI!U200="","..",IMPOSTAZIONI!U200),"-",IF(IMPOSTAZIONI!U201="","..",IMPOSTAZIONI!U201))</f>
        <v>..-..-..</v>
      </c>
      <c r="K1" s="167" t="str">
        <f>CONCATENATE(IF(IMPOSTAZIONI!Z199="","..",IMPOSTAZIONI!Z199),"-",IF(IMPOSTAZIONI!Z200="","..",IMPOSTAZIONI!Z200),"-",IF(IMPOSTAZIONI!Z201="","..",IMPOSTAZIONI!Z201))</f>
        <v>..-..-..</v>
      </c>
      <c r="L1" s="167" t="str">
        <f>CONCATENATE(IF(IMPOSTAZIONI!AE199="","..",IMPOSTAZIONI!AE199),"-",IF(IMPOSTAZIONI!AE200="","..",IMPOSTAZIONI!AE200),"-",IF(IMPOSTAZIONI!AE201="","..",IMPOSTAZIONI!AE201))</f>
        <v>..-..-..</v>
      </c>
      <c r="M1" s="167" t="str">
        <f>CONCATENATE(IF(IMPOSTAZIONI!AJ199="","..",IMPOSTAZIONI!AJ199),"-",IF(IMPOSTAZIONI!AJ200="","..",IMPOSTAZIONI!AJ200),"-",IF(IMPOSTAZIONI!AJ201="","..",IMPOSTAZIONI!AJ201))</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327</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IF($I$199=0,"",IMPOSTAZIONI!G199)</f>
        <v/>
      </c>
      <c r="H4" s="183" t="str">
        <f>IF($I$199=0,"",IMPOSTAZIONI!L199)</f>
        <v/>
      </c>
      <c r="I4" s="183" t="str">
        <f>IF($I$199=0,"",IMPOSTAZIONI!Q199)</f>
        <v/>
      </c>
      <c r="J4" s="183" t="str">
        <f>IF($I$199=0,"",IMPOSTAZIONI!V199)</f>
        <v/>
      </c>
      <c r="K4" s="183" t="str">
        <f>IF($I$199=0,"",IMPOSTAZIONI!AA199)</f>
        <v/>
      </c>
      <c r="L4" s="183" t="str">
        <f>IF($I$199=0,"",IMPOSTAZIONI!AF199)</f>
        <v/>
      </c>
      <c r="M4" s="183" t="str">
        <f>IF($I$199=0,"",IMPOSTAZIONI!AK199)</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IF($I$199=0,"",IMPOSTAZIONI!G200)</f>
        <v/>
      </c>
      <c r="H5" s="823" t="str">
        <f>IF($I$199=0,"",IMPOSTAZIONI!L200)</f>
        <v/>
      </c>
      <c r="I5" s="823" t="str">
        <f>IF($I$199=0,"",IMPOSTAZIONI!Q200)</f>
        <v/>
      </c>
      <c r="J5" s="823" t="str">
        <f>IF($I$199=0,"",IMPOSTAZIONI!V200)</f>
        <v/>
      </c>
      <c r="K5" s="823" t="str">
        <f>IF($I$199=0,"",IMPOSTAZIONI!AA200)</f>
        <v/>
      </c>
      <c r="L5" s="823" t="str">
        <f>IF($I$199=0,"",IMPOSTAZIONI!AF200)</f>
        <v/>
      </c>
      <c r="M5" s="823" t="str">
        <f>IF($I$199=0,"",IMPOSTAZIONI!AK200)</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IF($I$199=0,"",IMPOSTAZIONI!G201)</f>
        <v/>
      </c>
      <c r="H6" s="40" t="str">
        <f>IF($I$199=0,"",IMPOSTAZIONI!L201)</f>
        <v/>
      </c>
      <c r="I6" s="40" t="str">
        <f>IF($I$199=0,"",IMPOSTAZIONI!Q201)</f>
        <v/>
      </c>
      <c r="J6" s="40" t="str">
        <f>IF($I$199=0,"",IMPOSTAZIONI!V201)</f>
        <v/>
      </c>
      <c r="K6" s="40" t="str">
        <f>IF($I$199=0,"",IMPOSTAZIONI!AA201)</f>
        <v/>
      </c>
      <c r="L6" s="40" t="str">
        <f>IF($I$199=0,"",IMPOSTAZIONI!AF201)</f>
        <v/>
      </c>
      <c r="M6" s="40" t="str">
        <f>IF($I$199=0,"",IMPOSTAZIONI!AK201)</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IMPOSTAZIONI!J273</f>
        <v>0</v>
      </c>
      <c r="F7" s="1999"/>
      <c r="G7" s="811">
        <f>IMPOSTAZIONI!$AC277</f>
        <v>0</v>
      </c>
      <c r="H7" s="811">
        <f>IMPOSTAZIONI!$AC278</f>
        <v>0</v>
      </c>
      <c r="I7" s="811">
        <f>IMPOSTAZIONI!$AC279</f>
        <v>0</v>
      </c>
      <c r="J7" s="811">
        <f>IMPOSTAZIONI!$AC280</f>
        <v>0</v>
      </c>
      <c r="K7" s="811">
        <f>IMPOSTAZIONI!$AC281</f>
        <v>0</v>
      </c>
      <c r="L7" s="811">
        <f>IMPOSTAZIONI!$AC282</f>
        <v>0</v>
      </c>
      <c r="M7" s="811">
        <f>IMPOSTAZIONI!$AC283</f>
        <v>0</v>
      </c>
      <c r="N7" s="1288"/>
      <c r="O7" s="57"/>
      <c r="P7" s="2044" t="s">
        <v>524</v>
      </c>
      <c r="Q7" s="2044"/>
      <c r="R7" s="2044"/>
      <c r="S7" s="2044"/>
      <c r="T7" s="2044"/>
      <c r="U7" s="2044"/>
      <c r="V7" s="2044"/>
      <c r="W7" s="285">
        <f>W8-1</f>
        <v>45382</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4</v>
      </c>
      <c r="E8" s="1994" t="str">
        <f t="shared" ref="E8:E37"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7" si="10">IF(AND($L$199=0,$W8&gt;$B$130),0,IF(G$123="X",0,ROUND(G8*P$6,2)))</f>
        <v>0</v>
      </c>
      <c r="Q8" s="487">
        <f t="shared" ref="Q8:Q37" si="11">IF(AND($L$199=0,$W8&gt;$B$130),0,IF(H$123="X",0,ROUND(H8*Q$6,2)))</f>
        <v>0</v>
      </c>
      <c r="R8" s="487">
        <f t="shared" ref="R8:R37" si="12">IF(AND($L$199=0,$W8&gt;$B$130),0,IF(I$123="X",0,ROUND(I8*R$6,2)))</f>
        <v>0</v>
      </c>
      <c r="S8" s="487">
        <f t="shared" ref="S8:S37" si="13">IF(AND($L$199=0,$W8&gt;$B$130),0,IF(J$123="X",0,ROUND(J8*S$6,2)))</f>
        <v>0</v>
      </c>
      <c r="T8" s="487">
        <f t="shared" ref="T8:T37" si="14">IF(AND($L$199=0,$W8&gt;$B$130),0,IF(K$123="X",0,ROUND(K8*T$6,2)))</f>
        <v>0</v>
      </c>
      <c r="U8" s="487">
        <f t="shared" ref="U8:U37" si="15">IF(AND($L$199=0,$W8&gt;$B$130),0,IF(L$123="X",0,ROUND(L8*U$6,2)))</f>
        <v>0</v>
      </c>
      <c r="V8" s="488">
        <f t="shared" ref="V8:V37" si="16">IF(AND($L$199=0,$W8&gt;$B$130),0,IF(M$123="X",0,ROUND(M8*V$6,2)))</f>
        <v>0</v>
      </c>
      <c r="W8" s="154">
        <f>DATE(C$6,D8,C8)</f>
        <v>45383</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7" si="18">SUMIF($G$120:$M$120,1,$X8:$AD8)-SUM(AG8:AJ8)</f>
        <v>0</v>
      </c>
      <c r="AG8" s="510">
        <f t="shared" ref="AG8:AG37" si="19">IF(AND($AF$6=1,$P$70&lt;&gt;0),$P$70/$P$65*SUMIF($G$120:$M$120,1,$X8:$AD8),0)</f>
        <v>0</v>
      </c>
      <c r="AH8" s="487">
        <f t="shared" ref="AH8:AH37" si="20">IF(AND($AF$6=1,$P$71&lt;&gt;0),$P$71/$P$65*SUMIF($G$120:$M$120,1,$X8:$AD8),0)</f>
        <v>0</v>
      </c>
      <c r="AI8" s="487">
        <f t="shared" ref="AI8:AI37" si="21">IF(AND($AF$6=1,$P$72&lt;&gt;0),$P$72/$P$65*SUMIF($G$120:$M$120,1,$X8:$AD8),0)</f>
        <v>0</v>
      </c>
      <c r="AJ8" s="511">
        <f t="shared" ref="AJ8:AJ37" si="22">IF(AND($AF$6=1,$P$73&lt;&gt;0),$P$73/$P$65*SUMIF($G$120:$M$120,1,$X8:$AD8),0)</f>
        <v>0</v>
      </c>
      <c r="AK8" s="1003">
        <f>IF(AND($L$199=0,OR($W8&lt;$B$129,$W8&gt;$B$130)),0,SUMIF($G$42:$M$42,$K$102,$G8:$M8))</f>
        <v>0</v>
      </c>
      <c r="AL8" s="509">
        <f>SUMIF($G$42:$M$42,$K$102,$X8:$AD8)</f>
        <v>0</v>
      </c>
      <c r="AM8" s="525">
        <f t="shared" ref="AM8:AM37" si="23">IF(G$42=$K$102,P8,0)</f>
        <v>0</v>
      </c>
      <c r="AN8" s="487">
        <f t="shared" ref="AN8:AN37" si="24">IF(H$42=$K$102,Q8,0)</f>
        <v>0</v>
      </c>
      <c r="AO8" s="487">
        <f t="shared" ref="AO8:AO37" si="25">IF(I$42=$K$102,R8,0)</f>
        <v>0</v>
      </c>
      <c r="AP8" s="487">
        <f t="shared" ref="AP8:AP37" si="26">IF(J$42=$K$102,S8,0)</f>
        <v>0</v>
      </c>
      <c r="AQ8" s="487">
        <f t="shared" ref="AQ8:AQ37" si="27">IF(K$42=$K$102,T8,0)</f>
        <v>0</v>
      </c>
      <c r="AR8" s="487">
        <f t="shared" ref="AR8:AR37" si="28">IF(L$42=$K$102,U8,0)</f>
        <v>0</v>
      </c>
      <c r="AS8" s="511">
        <f t="shared" ref="AS8:AS37" si="29">IF(M$42=$K$102,V8,0)</f>
        <v>0</v>
      </c>
      <c r="AT8" s="2"/>
      <c r="AU8" s="509">
        <f t="shared" ref="AU8:AU37" si="30">IF(AF8&lt;&gt;0,AF8*$R$66/100,0)</f>
        <v>0</v>
      </c>
      <c r="AV8" s="510">
        <f t="shared" ref="AV8:AV37" si="31">IF(AG8&lt;&gt;0,AG8*$R$70/100,0)</f>
        <v>0</v>
      </c>
      <c r="AW8" s="487">
        <f t="shared" ref="AW8:AW37" si="32">IF(AH8&lt;&gt;0,AH8*$R$71/100,0)</f>
        <v>0</v>
      </c>
      <c r="AX8" s="487">
        <f t="shared" ref="AX8:AX37" si="33">IF(AI8&lt;&gt;0,AI8*$R$72/100,0)</f>
        <v>0</v>
      </c>
      <c r="AY8" s="511">
        <f t="shared" ref="AY8:AY37" si="34">IF(AJ8&lt;&gt;0,AJ8*$R$73/100,0)</f>
        <v>0</v>
      </c>
      <c r="AZ8" s="1123" t="str">
        <f>IF(AND(W8&gt;=BA$3,W8&lt;=BB$3),"X","")</f>
        <v/>
      </c>
      <c r="BA8" s="1045">
        <f>IF(G$123=$E$124,$P$66/$P$65*X8,X8)</f>
        <v>0</v>
      </c>
      <c r="BB8" s="1046">
        <f t="shared" ref="BB8:BG37"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4</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45384</v>
      </c>
      <c r="X9" s="489">
        <f t="shared" ref="X9:X37" si="37">IF(AND($L$199=0,OR($W9&lt;$B$129,$W9&gt;$B$130)),0,IF(G$130=$N$130,G9+P9,G9-P9))</f>
        <v>0</v>
      </c>
      <c r="Y9" s="490">
        <f t="shared" ref="Y9:Y37" si="38">IF(AND($L$199=0,OR($W9&lt;$B$129,$W9&gt;$B$130)),0,IF(H$130=$N$130,H9+Q9,H9-Q9))</f>
        <v>0</v>
      </c>
      <c r="Z9" s="490">
        <f t="shared" ref="Z9:Z37" si="39">IF(AND($L$199=0,OR($W9&lt;$B$129,$W9&gt;$B$130)),0,IF(I$130=$N$130,I9+R9,I9-R9))</f>
        <v>0</v>
      </c>
      <c r="AA9" s="490">
        <f t="shared" ref="AA9:AA37" si="40">IF(AND($L$199=0,OR($W9&lt;$B$129,$W9&gt;$B$130)),0,IF(J$130=$N$130,J9+S9,J9-S9))</f>
        <v>0</v>
      </c>
      <c r="AB9" s="490">
        <f t="shared" ref="AB9:AB37" si="41">IF(AND($L$199=0,OR($W9&lt;$B$129,$W9&gt;$B$130)),0,IF(K$130=$N$130,K9+T9,K9-T9))</f>
        <v>0</v>
      </c>
      <c r="AC9" s="490">
        <f t="shared" ref="AC9:AC37" si="42">IF(AND($L$199=0,OR($W9&lt;$B$129,$W9&gt;$B$130)),0,IF(L$130=$N$130,L9+U9,L9-U9))</f>
        <v>0</v>
      </c>
      <c r="AD9" s="491">
        <f t="shared" ref="AD9:AD37"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7" si="44">IF(AND($L$199=0,OR($W9&lt;$B$129,$W9&gt;$B$130)),0,SUMIF($G$42:$M$42,$K$102,$G9:$M9))</f>
        <v>0</v>
      </c>
      <c r="AL9" s="512">
        <f t="shared" ref="AL9:AL37"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7" si="46">IF(AND(W9&gt;=BA$3,W9&lt;=BB$3),"X","")</f>
        <v/>
      </c>
      <c r="BA9" s="1048">
        <f t="shared" ref="BA9:BA37"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4</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7" si="49">W9+1</f>
        <v>45385</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4</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45386</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4</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45387</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4</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45388</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4</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45389</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4</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45390</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4</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45391</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4</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45392</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4</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45393</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4</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45394</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4</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45395</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4</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45396</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4</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45397</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4</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45398</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4</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45399</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4</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45400</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4</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45401</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4</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45402</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4</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45403</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4</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45404</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4</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45405</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4</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45406</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4</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45407</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4</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45408</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4</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45409</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4</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45410</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4</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45411</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4</v>
      </c>
      <c r="E37" s="1959" t="str">
        <f t="shared" si="9"/>
        <v xml:space="preserve">disattivato  </v>
      </c>
      <c r="F37" s="1960"/>
      <c r="G37" s="1309"/>
      <c r="H37" s="1309"/>
      <c r="I37" s="1309"/>
      <c r="J37" s="1309"/>
      <c r="K37" s="1309"/>
      <c r="L37" s="1309"/>
      <c r="M37" s="1309"/>
      <c r="N37" s="1312"/>
      <c r="O37" s="6"/>
      <c r="P37" s="492">
        <f t="shared" si="10"/>
        <v>0</v>
      </c>
      <c r="Q37" s="493">
        <f t="shared" si="11"/>
        <v>0</v>
      </c>
      <c r="R37" s="493">
        <f t="shared" si="12"/>
        <v>0</v>
      </c>
      <c r="S37" s="493">
        <f t="shared" si="13"/>
        <v>0</v>
      </c>
      <c r="T37" s="493">
        <f t="shared" si="14"/>
        <v>0</v>
      </c>
      <c r="U37" s="493">
        <f t="shared" si="15"/>
        <v>0</v>
      </c>
      <c r="V37" s="494">
        <f t="shared" si="16"/>
        <v>0</v>
      </c>
      <c r="W37" s="154">
        <f t="shared" si="49"/>
        <v>45412</v>
      </c>
      <c r="X37" s="492">
        <f t="shared" si="37"/>
        <v>0</v>
      </c>
      <c r="Y37" s="493">
        <f t="shared" si="38"/>
        <v>0</v>
      </c>
      <c r="Z37" s="493">
        <f t="shared" si="39"/>
        <v>0</v>
      </c>
      <c r="AA37" s="493">
        <f t="shared" si="40"/>
        <v>0</v>
      </c>
      <c r="AB37" s="493">
        <f t="shared" si="41"/>
        <v>0</v>
      </c>
      <c r="AC37" s="493">
        <f t="shared" si="42"/>
        <v>0</v>
      </c>
      <c r="AD37" s="494">
        <f t="shared" si="43"/>
        <v>0</v>
      </c>
      <c r="AE37" s="414">
        <f>VLOOKUP(W37,CASSA!$B$180:$C$545,2,FALSE)</f>
        <v>0</v>
      </c>
      <c r="AF37" s="515">
        <f t="shared" si="18"/>
        <v>0</v>
      </c>
      <c r="AG37" s="516">
        <f t="shared" si="19"/>
        <v>0</v>
      </c>
      <c r="AH37" s="493">
        <f t="shared" si="20"/>
        <v>0</v>
      </c>
      <c r="AI37" s="493">
        <f t="shared" si="21"/>
        <v>0</v>
      </c>
      <c r="AJ37" s="517">
        <f t="shared" si="22"/>
        <v>0</v>
      </c>
      <c r="AK37" s="1003">
        <f t="shared" si="44"/>
        <v>0</v>
      </c>
      <c r="AL37" s="515">
        <f t="shared" si="45"/>
        <v>0</v>
      </c>
      <c r="AM37" s="527">
        <f t="shared" si="23"/>
        <v>0</v>
      </c>
      <c r="AN37" s="493">
        <f t="shared" si="24"/>
        <v>0</v>
      </c>
      <c r="AO37" s="493">
        <f t="shared" si="25"/>
        <v>0</v>
      </c>
      <c r="AP37" s="493">
        <f t="shared" si="26"/>
        <v>0</v>
      </c>
      <c r="AQ37" s="493">
        <f t="shared" si="27"/>
        <v>0</v>
      </c>
      <c r="AR37" s="493">
        <f t="shared" si="28"/>
        <v>0</v>
      </c>
      <c r="AS37" s="517">
        <f t="shared" si="29"/>
        <v>0</v>
      </c>
      <c r="AT37" s="2"/>
      <c r="AU37" s="515">
        <f t="shared" si="30"/>
        <v>0</v>
      </c>
      <c r="AV37" s="516">
        <f t="shared" si="31"/>
        <v>0</v>
      </c>
      <c r="AW37" s="493">
        <f t="shared" si="32"/>
        <v>0</v>
      </c>
      <c r="AX37" s="493">
        <f t="shared" si="33"/>
        <v>0</v>
      </c>
      <c r="AY37" s="517">
        <f t="shared" si="34"/>
        <v>0</v>
      </c>
      <c r="AZ37" s="1123" t="str">
        <f t="shared" si="46"/>
        <v/>
      </c>
      <c r="BA37" s="1050">
        <f t="shared" si="47"/>
        <v>0</v>
      </c>
      <c r="BB37" s="1051">
        <f t="shared" si="35"/>
        <v>0</v>
      </c>
      <c r="BC37" s="1051">
        <f t="shared" si="35"/>
        <v>0</v>
      </c>
      <c r="BD37" s="1051">
        <f t="shared" si="35"/>
        <v>0</v>
      </c>
      <c r="BE37" s="1051">
        <f t="shared" si="35"/>
        <v>0</v>
      </c>
      <c r="BF37" s="1051">
        <f t="shared" si="35"/>
        <v>0</v>
      </c>
      <c r="BG37" s="1052">
        <f t="shared" si="35"/>
        <v>0</v>
      </c>
      <c r="BH37" s="2"/>
      <c r="BI37" s="1314"/>
      <c r="BJ37" s="2"/>
    </row>
    <row r="38" spans="1:62" ht="20.25" customHeight="1" x14ac:dyDescent="0.2">
      <c r="A38" s="2"/>
      <c r="B38" s="18">
        <v>31</v>
      </c>
      <c r="C38" s="801" t="str">
        <f t="shared" si="48"/>
        <v>--</v>
      </c>
      <c r="D38" s="802" t="str">
        <f t="shared" si="36"/>
        <v>--</v>
      </c>
      <c r="E38" s="2097"/>
      <c r="F38" s="2098"/>
      <c r="G38" s="1289"/>
      <c r="H38" s="1289"/>
      <c r="I38" s="1289"/>
      <c r="J38" s="1289"/>
      <c r="K38" s="1289"/>
      <c r="L38" s="1289"/>
      <c r="M38" s="1289"/>
      <c r="N38" s="1290"/>
      <c r="O38" s="6"/>
      <c r="P38" s="495"/>
      <c r="Q38" s="495"/>
      <c r="R38" s="495"/>
      <c r="S38" s="495"/>
      <c r="T38" s="495"/>
      <c r="U38" s="495"/>
      <c r="V38" s="495"/>
      <c r="W38" s="496"/>
      <c r="X38" s="495"/>
      <c r="Y38" s="495"/>
      <c r="Z38" s="495"/>
      <c r="AA38" s="495"/>
      <c r="AB38" s="495"/>
      <c r="AC38" s="495"/>
      <c r="AD38" s="495"/>
      <c r="AE38" s="414"/>
      <c r="AF38" s="2"/>
      <c r="AG38" s="2"/>
      <c r="AH38" s="2"/>
      <c r="AI38" s="2"/>
      <c r="AJ38" s="2"/>
      <c r="AK38" s="2"/>
      <c r="AL38" s="2"/>
      <c r="AM38" s="2"/>
      <c r="AN38" s="2"/>
      <c r="AO38" s="2"/>
      <c r="AP38" s="2"/>
      <c r="AQ38" s="2"/>
      <c r="AR38" s="2"/>
      <c r="AS38" s="2"/>
      <c r="AT38" s="2"/>
      <c r="AU38" s="2"/>
      <c r="AV38" s="2"/>
      <c r="AW38" s="2"/>
      <c r="AX38" s="2"/>
      <c r="AY38" s="2"/>
      <c r="AZ38" s="1123"/>
      <c r="BA38" s="2"/>
      <c r="BB38" s="2"/>
      <c r="BC38" s="2"/>
      <c r="BD38" s="2"/>
      <c r="BE38" s="2"/>
      <c r="BF38" s="2"/>
      <c r="BG38" s="2"/>
      <c r="BH38" s="2"/>
      <c r="BI38" s="1287"/>
      <c r="BJ38" s="2"/>
    </row>
    <row r="39" spans="1:62" ht="20.25" customHeight="1" x14ac:dyDescent="0.2">
      <c r="A39" s="2"/>
      <c r="B39" s="7"/>
      <c r="C39" s="1992" t="s">
        <v>244</v>
      </c>
      <c r="D39" s="1993"/>
      <c r="E39" s="1996">
        <f>IMPOSTAZIONI!M273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332</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4</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01/04 - 30/04</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IMPOSTAZIONI!AC298</f>
        <v>0</v>
      </c>
      <c r="I90" s="784">
        <f>IMPOSTAZIONI!AC299</f>
        <v>0</v>
      </c>
      <c r="J90" s="785">
        <f>IMPOSTAZIONI!AC300</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IMPOSTAZIONI!AH298</f>
        <v>0</v>
      </c>
      <c r="I91" s="788">
        <f>IMPOSTAZIONI!AH299</f>
        <v>0</v>
      </c>
      <c r="J91" s="789">
        <f>IMPOSTAZIONI!AH300</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IF(IMPOSTAZIONI!R181=0,1,0)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IF(IMPOSTAZIONI!R182=0,1,0)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IF(IMPOSTAZIONI!R183=0,1,0)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12</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IMPOSTAZIONI!F200</f>
        <v/>
      </c>
      <c r="H124" s="803" t="str">
        <f>IMPOSTAZIONI!K200</f>
        <v/>
      </c>
      <c r="I124" s="803" t="str">
        <f>IMPOSTAZIONI!P200</f>
        <v/>
      </c>
      <c r="J124" s="803" t="str">
        <f>IMPOSTAZIONI!U200</f>
        <v/>
      </c>
      <c r="K124" s="803" t="str">
        <f>IMPOSTAZIONI!Z200</f>
        <v/>
      </c>
      <c r="L124" s="803" t="str">
        <f>IMPOSTAZIONI!AE200</f>
        <v/>
      </c>
      <c r="M124" s="803" t="str">
        <f>IMPOSTAZIONI!AJ200</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IMPOSTAZIONI!J200</f>
        <v>0</v>
      </c>
      <c r="H130" s="803">
        <f>IMPOSTAZIONI!O200</f>
        <v>0</v>
      </c>
      <c r="I130" s="803">
        <f>IMPOSTAZIONI!T200</f>
        <v>0</v>
      </c>
      <c r="J130" s="803">
        <f>IMPOSTAZIONI!Y200</f>
        <v>0</v>
      </c>
      <c r="K130" s="803">
        <f>IMPOSTAZIONI!AD200</f>
        <v>0</v>
      </c>
      <c r="L130" s="803">
        <f>IMPOSTAZIONI!AI200</f>
        <v>0</v>
      </c>
      <c r="M130" s="803">
        <f>IMPOSTAZIONI!AN200</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01/04 - 30/04</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01/01 - 30/04</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12</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rpGY2I/oHIpVz9lO4fnChBlDCK8JLR4tB1RnPbRL+mUcd3dKBLoodDDA2jCgj4xgbHeKGcQlo52zaDC/ZuMg==" saltValue="tgW+wQ7ec/3B3r/3qXzLAQ==" spinCount="100000" sheet="1" objects="1" scenarios="1" selectLockedCells="1"/>
  <mergeCells count="133">
    <mergeCell ref="AM6:AS6"/>
    <mergeCell ref="C137:D137"/>
    <mergeCell ref="C138:D139"/>
    <mergeCell ref="E138:E139"/>
    <mergeCell ref="C6:D6"/>
    <mergeCell ref="C7:D7"/>
    <mergeCell ref="E17:F17"/>
    <mergeCell ref="E21:F21"/>
    <mergeCell ref="E29:F29"/>
    <mergeCell ref="E30:F30"/>
    <mergeCell ref="E32:F32"/>
    <mergeCell ref="E28:F28"/>
    <mergeCell ref="E23:F23"/>
    <mergeCell ref="E24:F24"/>
    <mergeCell ref="E25:F25"/>
    <mergeCell ref="E26:F26"/>
    <mergeCell ref="E27:F27"/>
    <mergeCell ref="E38:F38"/>
    <mergeCell ref="E36:F36"/>
    <mergeCell ref="E47:F47"/>
    <mergeCell ref="AF7:AJ7"/>
    <mergeCell ref="E34:F34"/>
    <mergeCell ref="C55:F55"/>
    <mergeCell ref="P7:V7"/>
    <mergeCell ref="N133:O133"/>
    <mergeCell ref="E164:E165"/>
    <mergeCell ref="C162:H162"/>
    <mergeCell ref="C151:D152"/>
    <mergeCell ref="E151:E152"/>
    <mergeCell ref="C160:D160"/>
    <mergeCell ref="E160:F160"/>
    <mergeCell ref="C149:F149"/>
    <mergeCell ref="C150:D150"/>
    <mergeCell ref="N135:O135"/>
    <mergeCell ref="C147:D147"/>
    <mergeCell ref="E147:F147"/>
    <mergeCell ref="C134:D134"/>
    <mergeCell ref="E134:F134"/>
    <mergeCell ref="C136:F136"/>
    <mergeCell ref="C135:F135"/>
    <mergeCell ref="J2:N2"/>
    <mergeCell ref="H53:I53"/>
    <mergeCell ref="AU7:AY7"/>
    <mergeCell ref="G119:M119"/>
    <mergeCell ref="C46:D46"/>
    <mergeCell ref="E46:F46"/>
    <mergeCell ref="E12:F12"/>
    <mergeCell ref="E13:F13"/>
    <mergeCell ref="E19:F19"/>
    <mergeCell ref="E20:F20"/>
    <mergeCell ref="C44:F44"/>
    <mergeCell ref="C39:D39"/>
    <mergeCell ref="E37:F37"/>
    <mergeCell ref="E22:F22"/>
    <mergeCell ref="N77:O77"/>
    <mergeCell ref="N78:O78"/>
    <mergeCell ref="C73:F73"/>
    <mergeCell ref="C50:F50"/>
    <mergeCell ref="C51:F51"/>
    <mergeCell ref="C48:D48"/>
    <mergeCell ref="C45:F45"/>
    <mergeCell ref="E35:F35"/>
    <mergeCell ref="C43:D43"/>
    <mergeCell ref="C2:I2"/>
    <mergeCell ref="C53:F53"/>
    <mergeCell ref="C52:F52"/>
    <mergeCell ref="C3:D3"/>
    <mergeCell ref="E3:H3"/>
    <mergeCell ref="E43:F43"/>
    <mergeCell ref="E39:F39"/>
    <mergeCell ref="E15:F15"/>
    <mergeCell ref="E16:F16"/>
    <mergeCell ref="E18:F18"/>
    <mergeCell ref="E10:F10"/>
    <mergeCell ref="E8:F8"/>
    <mergeCell ref="C4:D5"/>
    <mergeCell ref="E7:F7"/>
    <mergeCell ref="E4:F5"/>
    <mergeCell ref="E6:F6"/>
    <mergeCell ref="E33:F33"/>
    <mergeCell ref="E31:F31"/>
    <mergeCell ref="E11:F11"/>
    <mergeCell ref="E9:F9"/>
    <mergeCell ref="E14:F14"/>
    <mergeCell ref="C70:F70"/>
    <mergeCell ref="C57:F57"/>
    <mergeCell ref="C66:F66"/>
    <mergeCell ref="C71:F71"/>
    <mergeCell ref="E173:F173"/>
    <mergeCell ref="B130:D130"/>
    <mergeCell ref="C163:D163"/>
    <mergeCell ref="C184:D184"/>
    <mergeCell ref="E184:F184"/>
    <mergeCell ref="C182:D182"/>
    <mergeCell ref="E182:F182"/>
    <mergeCell ref="C183:D183"/>
    <mergeCell ref="E183:F183"/>
    <mergeCell ref="C174:J174"/>
    <mergeCell ref="C173:D173"/>
    <mergeCell ref="C164:D165"/>
    <mergeCell ref="E56:F56"/>
    <mergeCell ref="C58:F58"/>
    <mergeCell ref="C64:F64"/>
    <mergeCell ref="C65:D65"/>
    <mergeCell ref="C62:D62"/>
    <mergeCell ref="C63:F63"/>
    <mergeCell ref="C69:F69"/>
    <mergeCell ref="C60:N60"/>
    <mergeCell ref="C67:F67"/>
    <mergeCell ref="K174:M174"/>
    <mergeCell ref="L3:N3"/>
    <mergeCell ref="M52:N52"/>
    <mergeCell ref="M53:N53"/>
    <mergeCell ref="M56:N56"/>
    <mergeCell ref="H50:K50"/>
    <mergeCell ref="J51:K52"/>
    <mergeCell ref="C72:F72"/>
    <mergeCell ref="E65:F65"/>
    <mergeCell ref="E62:F62"/>
    <mergeCell ref="J54:K54"/>
    <mergeCell ref="J55:K55"/>
    <mergeCell ref="J56:K56"/>
    <mergeCell ref="C54:F54"/>
    <mergeCell ref="J53:K53"/>
    <mergeCell ref="M50:N50"/>
    <mergeCell ref="M51:N51"/>
    <mergeCell ref="N5:N6"/>
    <mergeCell ref="E48:F48"/>
    <mergeCell ref="I3:K3"/>
    <mergeCell ref="B129:D129"/>
    <mergeCell ref="C59:E59"/>
    <mergeCell ref="C47:D47"/>
    <mergeCell ref="C56:D56"/>
  </mergeCells>
  <phoneticPr fontId="24" type="noConversion"/>
  <conditionalFormatting sqref="C57 G57">
    <cfRule type="expression" dxfId="4080" priority="235" stopIfTrue="1">
      <formula>C58=0</formula>
    </cfRule>
  </conditionalFormatting>
  <conditionalFormatting sqref="O182:O184 O147 O160 O173">
    <cfRule type="expression" dxfId="4079" priority="354" stopIfTrue="1">
      <formula>$N$44=""</formula>
    </cfRule>
    <cfRule type="expression" dxfId="4078" priority="355" stopIfTrue="1">
      <formula>$N$44=0</formula>
    </cfRule>
  </conditionalFormatting>
  <conditionalFormatting sqref="G182:M184">
    <cfRule type="expression" dxfId="4077" priority="356" stopIfTrue="1">
      <formula>ISERROR(G182)</formula>
    </cfRule>
    <cfRule type="cellIs" dxfId="4076" priority="357" stopIfTrue="1" operator="equal">
      <formula>0</formula>
    </cfRule>
  </conditionalFormatting>
  <conditionalFormatting sqref="G58 C58 AE8:AE38 G42:M42 E6:F6">
    <cfRule type="cellIs" dxfId="4075" priority="360" stopIfTrue="1" operator="equal">
      <formula>0</formula>
    </cfRule>
  </conditionalFormatting>
  <conditionalFormatting sqref="N63">
    <cfRule type="expression" dxfId="4074" priority="365" stopIfTrue="1">
      <formula>$N$44=""</formula>
    </cfRule>
  </conditionalFormatting>
  <conditionalFormatting sqref="E47:F48">
    <cfRule type="expression" dxfId="4073" priority="369" stopIfTrue="1">
      <formula>ISERROR(E47)</formula>
    </cfRule>
  </conditionalFormatting>
  <conditionalFormatting sqref="G135:M136 E164:E165 E138:E139 E147:F147 E151:E152 E160:F160">
    <cfRule type="expression" dxfId="4072" priority="370" stopIfTrue="1">
      <formula>ISERROR(E135)</formula>
    </cfRule>
  </conditionalFormatting>
  <conditionalFormatting sqref="G43:M43 G134:M134">
    <cfRule type="cellIs" dxfId="4071" priority="371" stopIfTrue="1" operator="equal">
      <formula>0</formula>
    </cfRule>
  </conditionalFormatting>
  <conditionalFormatting sqref="G123:M123">
    <cfRule type="cellIs" dxfId="4070" priority="376" stopIfTrue="1" operator="equal">
      <formula>0</formula>
    </cfRule>
  </conditionalFormatting>
  <conditionalFormatting sqref="X8:AD38 P8:V37 AF8:AJ37 AU8:AY37 AL8:AS37">
    <cfRule type="cellIs" dxfId="4069" priority="377" stopIfTrue="1" operator="equal">
      <formula>0</formula>
    </cfRule>
  </conditionalFormatting>
  <conditionalFormatting sqref="G68:M68 G74:M74 H107:H116">
    <cfRule type="cellIs" dxfId="4068" priority="380" stopIfTrue="1" operator="equal">
      <formula>"OK"</formula>
    </cfRule>
  </conditionalFormatting>
  <conditionalFormatting sqref="I107:I116">
    <cfRule type="cellIs" dxfId="4067" priority="381" stopIfTrue="1" operator="greaterThan">
      <formula>0</formula>
    </cfRule>
  </conditionalFormatting>
  <conditionalFormatting sqref="G125:M126">
    <cfRule type="cellIs" dxfId="4066" priority="384" stopIfTrue="1" operator="equal">
      <formula>$E$125</formula>
    </cfRule>
  </conditionalFormatting>
  <conditionalFormatting sqref="C162:H162">
    <cfRule type="expression" dxfId="4065" priority="389" stopIfTrue="1">
      <formula>ISERROR($C$162)</formula>
    </cfRule>
  </conditionalFormatting>
  <conditionalFormatting sqref="E46:F46">
    <cfRule type="expression" dxfId="4064" priority="393" stopIfTrue="1">
      <formula>ISERROR($E$46)</formula>
    </cfRule>
  </conditionalFormatting>
  <conditionalFormatting sqref="C60">
    <cfRule type="expression" dxfId="4063" priority="427" stopIfTrue="1">
      <formula>SUM($G$118:$M$118)=0</formula>
    </cfRule>
  </conditionalFormatting>
  <conditionalFormatting sqref="G120:M120">
    <cfRule type="cellIs" dxfId="4062" priority="233" operator="equal">
      <formula>0</formula>
    </cfRule>
  </conditionalFormatting>
  <conditionalFormatting sqref="N65:N67 C66:F67">
    <cfRule type="expression" dxfId="4061" priority="231" stopIfTrue="1">
      <formula>SUM($G$120:$M$120)=0</formula>
    </cfRule>
  </conditionalFormatting>
  <conditionalFormatting sqref="G65:M65">
    <cfRule type="expression" dxfId="4060" priority="230">
      <formula>$D$120=0</formula>
    </cfRule>
    <cfRule type="cellIs" dxfId="4059" priority="232" operator="equal">
      <formula>0</formula>
    </cfRule>
  </conditionalFormatting>
  <conditionalFormatting sqref="G62:M62">
    <cfRule type="expression" dxfId="4058" priority="2813" stopIfTrue="1">
      <formula>AND(G$123="X",G$62&lt;&gt;"")</formula>
    </cfRule>
  </conditionalFormatting>
  <conditionalFormatting sqref="G66:M66">
    <cfRule type="expression" dxfId="4057" priority="2840">
      <formula>AND(G$66&lt;&gt;0,G$68=$O$120)</formula>
    </cfRule>
    <cfRule type="expression" dxfId="4056" priority="2841">
      <formula>$D$120=0</formula>
    </cfRule>
  </conditionalFormatting>
  <conditionalFormatting sqref="G67:M67">
    <cfRule type="expression" dxfId="4055" priority="2842">
      <formula>AND(G$67&lt;&gt;0,G$68=$O$120)</formula>
    </cfRule>
    <cfRule type="expression" dxfId="4054" priority="2843">
      <formula>$D$120=0</formula>
    </cfRule>
  </conditionalFormatting>
  <conditionalFormatting sqref="G73:M73">
    <cfRule type="expression" dxfId="4053" priority="2844">
      <formula>AND(G$73&lt;&gt;0,G$74=$O$120)</formula>
    </cfRule>
    <cfRule type="expression" dxfId="4052" priority="2845">
      <formula>$D$120=0</formula>
    </cfRule>
  </conditionalFormatting>
  <conditionalFormatting sqref="G70:M70">
    <cfRule type="expression" dxfId="4051" priority="2846">
      <formula>AND(G$70&lt;&gt;0,G$74=$O$120)</formula>
    </cfRule>
    <cfRule type="expression" dxfId="4050" priority="2847">
      <formula>$D$120=0</formula>
    </cfRule>
  </conditionalFormatting>
  <conditionalFormatting sqref="G71:M71">
    <cfRule type="expression" dxfId="4049" priority="2848">
      <formula>AND(G$71&lt;&gt;0,G$74=$O$120)</formula>
    </cfRule>
    <cfRule type="expression" dxfId="4048" priority="2849">
      <formula>$D$120=0</formula>
    </cfRule>
  </conditionalFormatting>
  <conditionalFormatting sqref="G72:M72">
    <cfRule type="expression" dxfId="4047" priority="2850">
      <formula>AND(G$72&lt;&gt;0,G$74=$O$120)</formula>
    </cfRule>
    <cfRule type="expression" dxfId="4046" priority="2851">
      <formula>$D$120=0</formula>
    </cfRule>
  </conditionalFormatting>
  <conditionalFormatting sqref="N70:N73">
    <cfRule type="expression" dxfId="4045" priority="2852" stopIfTrue="1">
      <formula>$D$120=0</formula>
    </cfRule>
    <cfRule type="expression" dxfId="4044" priority="2853" stopIfTrue="1">
      <formula>$B70=""</formula>
    </cfRule>
  </conditionalFormatting>
  <conditionalFormatting sqref="C95 P95">
    <cfRule type="expression" dxfId="4043" priority="3055" stopIfTrue="1">
      <formula>ISERROR($H$199)</formula>
    </cfRule>
  </conditionalFormatting>
  <conditionalFormatting sqref="C2:J2">
    <cfRule type="expression" dxfId="4042" priority="3056" stopIfTrue="1">
      <formula>$I$199=0</formula>
    </cfRule>
  </conditionalFormatting>
  <conditionalFormatting sqref="N136:O136">
    <cfRule type="expression" dxfId="4041" priority="3352" stopIfTrue="1">
      <formula>$N$5=#REF!</formula>
    </cfRule>
    <cfRule type="expression" dxfId="4040" priority="3353" stopIfTrue="1">
      <formula>$N$44=0</formula>
    </cfRule>
  </conditionalFormatting>
  <conditionalFormatting sqref="N5">
    <cfRule type="expression" dxfId="4039" priority="3366" stopIfTrue="1">
      <formula>#REF!=""</formula>
    </cfRule>
    <cfRule type="cellIs" dxfId="4038" priority="3367" stopIfTrue="1" operator="equal">
      <formula>0</formula>
    </cfRule>
    <cfRule type="expression" dxfId="4037" priority="3368" stopIfTrue="1">
      <formula>$N$5=#REF!</formula>
    </cfRule>
  </conditionalFormatting>
  <conditionalFormatting sqref="G44:M45">
    <cfRule type="cellIs" dxfId="4036" priority="192" operator="equal">
      <formula>0</formula>
    </cfRule>
  </conditionalFormatting>
  <conditionalFormatting sqref="E39:N39">
    <cfRule type="expression" dxfId="4035" priority="191">
      <formula>ISERROR($H$199)</formula>
    </cfRule>
  </conditionalFormatting>
  <conditionalFormatting sqref="E7:N7">
    <cfRule type="expression" dxfId="4034" priority="190">
      <formula>ISERROR($H$199)</formula>
    </cfRule>
  </conditionalFormatting>
  <conditionalFormatting sqref="G47:M47">
    <cfRule type="expression" dxfId="4033" priority="181" stopIfTrue="1">
      <formula>ISERROR(G47)</formula>
    </cfRule>
    <cfRule type="expression" dxfId="4032" priority="182" stopIfTrue="1">
      <formula>G$42=$K$102</formula>
    </cfRule>
    <cfRule type="expression" dxfId="4031" priority="183" stopIfTrue="1">
      <formula>AND(G$46&gt;0,OR(G$68=$E$120,G$68=$N$120))</formula>
    </cfRule>
    <cfRule type="cellIs" dxfId="4030" priority="184" operator="equal">
      <formula>0</formula>
    </cfRule>
  </conditionalFormatting>
  <conditionalFormatting sqref="G48:M48">
    <cfRule type="expression" dxfId="4029" priority="180" stopIfTrue="1">
      <formula>ISERROR(G48)</formula>
    </cfRule>
    <cfRule type="expression" dxfId="4028" priority="185" stopIfTrue="1">
      <formula>G$42=$K$102</formula>
    </cfRule>
    <cfRule type="expression" dxfId="4027" priority="186" stopIfTrue="1">
      <formula>AND(G$46&gt;0,OR(G$68=$E$120,G$68=$N$120,COUNTIF($C$70:$F$73,"ERROR")&gt;0,G$74=$E$120,G$74=$N$120))</formula>
    </cfRule>
    <cfRule type="cellIs" dxfId="4026" priority="187" operator="equal">
      <formula>0</formula>
    </cfRule>
  </conditionalFormatting>
  <conditionalFormatting sqref="G130:M130">
    <cfRule type="cellIs" dxfId="4025" priority="179" stopIfTrue="1" operator="equal">
      <formula>0</formula>
    </cfRule>
  </conditionalFormatting>
  <conditionalFormatting sqref="G4:M4">
    <cfRule type="cellIs" dxfId="4024" priority="178" operator="equal">
      <formula>0</formula>
    </cfRule>
  </conditionalFormatting>
  <conditionalFormatting sqref="N130">
    <cfRule type="cellIs" dxfId="4023" priority="177" stopIfTrue="1" operator="equal">
      <formula>0</formula>
    </cfRule>
  </conditionalFormatting>
  <conditionalFormatting sqref="G63">
    <cfRule type="expression" dxfId="4022" priority="174">
      <formula>ISERROR(G46)</formula>
    </cfRule>
    <cfRule type="cellIs" dxfId="4021" priority="176" operator="equal">
      <formula>0</formula>
    </cfRule>
  </conditionalFormatting>
  <conditionalFormatting sqref="G64">
    <cfRule type="expression" dxfId="4020" priority="173">
      <formula>ISERROR(G46)</formula>
    </cfRule>
    <cfRule type="cellIs" dxfId="4019" priority="175" operator="equal">
      <formula>0</formula>
    </cfRule>
  </conditionalFormatting>
  <conditionalFormatting sqref="H63:M63">
    <cfRule type="expression" dxfId="4018" priority="170">
      <formula>ISERROR(H46)</formula>
    </cfRule>
    <cfRule type="cellIs" dxfId="4017" priority="172" operator="equal">
      <formula>0</formula>
    </cfRule>
  </conditionalFormatting>
  <conditionalFormatting sqref="H64:M64">
    <cfRule type="expression" dxfId="4016" priority="169">
      <formula>ISERROR(H46)</formula>
    </cfRule>
    <cfRule type="cellIs" dxfId="4015" priority="171" operator="equal">
      <formula>0</formula>
    </cfRule>
  </conditionalFormatting>
  <conditionalFormatting sqref="C70:F73">
    <cfRule type="cellIs" dxfId="4014" priority="163" stopIfTrue="1" operator="equal">
      <formula>"ERROR"</formula>
    </cfRule>
    <cfRule type="cellIs" dxfId="4013" priority="164" stopIfTrue="1" operator="equal">
      <formula>0</formula>
    </cfRule>
    <cfRule type="expression" dxfId="4012" priority="165" stopIfTrue="1">
      <formula>SUM($G$120:$M$120)=0</formula>
    </cfRule>
  </conditionalFormatting>
  <conditionalFormatting sqref="G49">
    <cfRule type="cellIs" dxfId="4011" priority="162" operator="equal">
      <formula>$E$130</formula>
    </cfRule>
  </conditionalFormatting>
  <conditionalFormatting sqref="H49:M49">
    <cfRule type="cellIs" dxfId="4010" priority="161" operator="equal">
      <formula>$E$130</formula>
    </cfRule>
  </conditionalFormatting>
  <conditionalFormatting sqref="G90:G91">
    <cfRule type="expression" dxfId="4009" priority="159" stopIfTrue="1">
      <formula>SUM($H90:$J90)=0</formula>
    </cfRule>
  </conditionalFormatting>
  <conditionalFormatting sqref="N77:N78">
    <cfRule type="expression" dxfId="4008" priority="160" stopIfTrue="1">
      <formula>$M$77=0</formula>
    </cfRule>
  </conditionalFormatting>
  <conditionalFormatting sqref="H85:J87">
    <cfRule type="expression" dxfId="4007" priority="157">
      <formula>AND($E$103=3,$J$112=3)</formula>
    </cfRule>
    <cfRule type="cellIs" dxfId="4006" priority="158" operator="equal">
      <formula>0</formula>
    </cfRule>
  </conditionalFormatting>
  <conditionalFormatting sqref="H90:J91">
    <cfRule type="expression" dxfId="4005" priority="155">
      <formula>AND($E$103=3,$J$112=3)</formula>
    </cfRule>
    <cfRule type="cellIs" dxfId="4004" priority="156" operator="equal">
      <formula>0</formula>
    </cfRule>
  </conditionalFormatting>
  <conditionalFormatting sqref="K90:K91">
    <cfRule type="expression" dxfId="4003" priority="154">
      <formula>AND($E$103=3,$J$112=3)</formula>
    </cfRule>
  </conditionalFormatting>
  <conditionalFormatting sqref="M90:M91">
    <cfRule type="expression" dxfId="4002" priority="153">
      <formula>AND($E$103=3,$J$112=3)</formula>
    </cfRule>
  </conditionalFormatting>
  <conditionalFormatting sqref="M79:M89">
    <cfRule type="expression" dxfId="4001" priority="152">
      <formula>AND($E$103=3,$J$112=3)</formula>
    </cfRule>
  </conditionalFormatting>
  <conditionalFormatting sqref="M77:M78">
    <cfRule type="expression" dxfId="4000" priority="151">
      <formula>AND($E$103=3,$J$112=3)</formula>
    </cfRule>
  </conditionalFormatting>
  <conditionalFormatting sqref="L91">
    <cfRule type="expression" dxfId="3999" priority="150">
      <formula>AND($E$103=3,$J$112=3)</formula>
    </cfRule>
  </conditionalFormatting>
  <conditionalFormatting sqref="L77:L78">
    <cfRule type="expression" dxfId="3998" priority="149">
      <formula>AND($E$103=3,$J$112=3)</formula>
    </cfRule>
  </conditionalFormatting>
  <conditionalFormatting sqref="G76:G81">
    <cfRule type="expression" dxfId="3997" priority="148">
      <formula>AND($E$103=3,$J$112=3)</formula>
    </cfRule>
  </conditionalFormatting>
  <conditionalFormatting sqref="C38:D38">
    <cfRule type="expression" dxfId="3996" priority="5985" stopIfTrue="1">
      <formula>$AE38=$AC$6</formula>
    </cfRule>
    <cfRule type="expression" dxfId="3995" priority="5986" stopIfTrue="1">
      <formula>AND($L$199=0,OR($W38&lt;$B$129,$W38&gt;$B$130))</formula>
    </cfRule>
    <cfRule type="expression" dxfId="3994" priority="5987" stopIfTrue="1">
      <formula>AND($AE38=0,$E38=0)</formula>
    </cfRule>
  </conditionalFormatting>
  <conditionalFormatting sqref="G46:M46">
    <cfRule type="expression" dxfId="3993" priority="5988" stopIfTrue="1">
      <formula>G$42=$K$102</formula>
    </cfRule>
    <cfRule type="expression" dxfId="3992" priority="5989" stopIfTrue="1">
      <formula>$I$199=0</formula>
    </cfRule>
  </conditionalFormatting>
  <conditionalFormatting sqref="H53:H54">
    <cfRule type="expression" dxfId="3991" priority="145" stopIfTrue="1">
      <formula>ISERROR($G$123)</formula>
    </cfRule>
    <cfRule type="expression" dxfId="3990" priority="146" stopIfTrue="1">
      <formula>ISERROR(H53)</formula>
    </cfRule>
  </conditionalFormatting>
  <conditionalFormatting sqref="H51:I52">
    <cfRule type="expression" dxfId="3989" priority="147" stopIfTrue="1">
      <formula>ISERROR(H51)</formula>
    </cfRule>
  </conditionalFormatting>
  <conditionalFormatting sqref="I54">
    <cfRule type="expression" dxfId="3988" priority="143" stopIfTrue="1">
      <formula>ISERROR($G$123)</formula>
    </cfRule>
    <cfRule type="expression" dxfId="3987" priority="144" stopIfTrue="1">
      <formula>ISERROR(I54)</formula>
    </cfRule>
  </conditionalFormatting>
  <conditionalFormatting sqref="H56:I56">
    <cfRule type="expression" dxfId="3986" priority="142" stopIfTrue="1">
      <formula>ISERROR(H56)</formula>
    </cfRule>
  </conditionalFormatting>
  <conditionalFormatting sqref="H55">
    <cfRule type="expression" dxfId="3985" priority="140" stopIfTrue="1">
      <formula>ISERROR($G$123)</formula>
    </cfRule>
    <cfRule type="expression" dxfId="3984" priority="141" stopIfTrue="1">
      <formula>ISERROR(H55)</formula>
    </cfRule>
  </conditionalFormatting>
  <conditionalFormatting sqref="I55">
    <cfRule type="expression" dxfId="3983" priority="138" stopIfTrue="1">
      <formula>ISERROR($G$123)</formula>
    </cfRule>
    <cfRule type="expression" dxfId="3982" priority="139" stopIfTrue="1">
      <formula>ISERROR(I55)</formula>
    </cfRule>
  </conditionalFormatting>
  <conditionalFormatting sqref="G147">
    <cfRule type="expression" dxfId="3981" priority="135" stopIfTrue="1">
      <formula>$E147=0</formula>
    </cfRule>
    <cfRule type="expression" dxfId="3980" priority="136" stopIfTrue="1">
      <formula>ISERROR(G147)</formula>
    </cfRule>
    <cfRule type="expression" dxfId="3979" priority="137" stopIfTrue="1">
      <formula>$E147&lt;&gt;0</formula>
    </cfRule>
  </conditionalFormatting>
  <conditionalFormatting sqref="G145">
    <cfRule type="expression" dxfId="3978" priority="132" stopIfTrue="1">
      <formula>AND(G144=0,G145=1,G146=1)</formula>
    </cfRule>
    <cfRule type="expression" dxfId="3977" priority="133" stopIfTrue="1">
      <formula>AND(G144=1,G146=1)</formula>
    </cfRule>
    <cfRule type="expression" dxfId="3976" priority="134" stopIfTrue="1">
      <formula>AND(G145=1,G144=0)</formula>
    </cfRule>
  </conditionalFormatting>
  <conditionalFormatting sqref="G146">
    <cfRule type="expression" dxfId="3975" priority="130" stopIfTrue="1">
      <formula>AND(G146=1,G145=1)</formula>
    </cfRule>
    <cfRule type="expression" dxfId="3974" priority="131" stopIfTrue="1">
      <formula>AND(G146=1,G145=0)</formula>
    </cfRule>
  </conditionalFormatting>
  <conditionalFormatting sqref="G144">
    <cfRule type="expression" dxfId="3973" priority="127" stopIfTrue="1">
      <formula>AND(G143=0,G144=1,G145=1)</formula>
    </cfRule>
    <cfRule type="expression" dxfId="3972" priority="128" stopIfTrue="1">
      <formula>AND(G143=1,G145=1)</formula>
    </cfRule>
    <cfRule type="expression" dxfId="3971" priority="129" stopIfTrue="1">
      <formula>AND(G144=1,G143=0)</formula>
    </cfRule>
  </conditionalFormatting>
  <conditionalFormatting sqref="G138:G143">
    <cfRule type="expression" dxfId="3970" priority="124" stopIfTrue="1">
      <formula>AND(G137=0,G138=1,G139=1)</formula>
    </cfRule>
    <cfRule type="expression" dxfId="3969" priority="125" stopIfTrue="1">
      <formula>AND(G137=1,G139=1)</formula>
    </cfRule>
    <cfRule type="expression" dxfId="3968" priority="126" stopIfTrue="1">
      <formula>AND(G138=1,G137=0)</formula>
    </cfRule>
  </conditionalFormatting>
  <conditionalFormatting sqref="G137">
    <cfRule type="expression" dxfId="3967" priority="122" stopIfTrue="1">
      <formula>AND(G137=1,G138=1)</formula>
    </cfRule>
    <cfRule type="expression" dxfId="3966" priority="123" stopIfTrue="1">
      <formula>AND(G137=1,G136=0)</formula>
    </cfRule>
  </conditionalFormatting>
  <conditionalFormatting sqref="G160">
    <cfRule type="expression" dxfId="3965" priority="119" stopIfTrue="1">
      <formula>$E160=0</formula>
    </cfRule>
    <cfRule type="expression" dxfId="3964" priority="120" stopIfTrue="1">
      <formula>ISERROR(G160)</formula>
    </cfRule>
    <cfRule type="expression" dxfId="3963" priority="121" stopIfTrue="1">
      <formula>$E160&lt;&gt;0</formula>
    </cfRule>
  </conditionalFormatting>
  <conditionalFormatting sqref="G158">
    <cfRule type="expression" dxfId="3962" priority="116" stopIfTrue="1">
      <formula>AND(G157=0,G158=1,G159=1)</formula>
    </cfRule>
    <cfRule type="expression" dxfId="3961" priority="117" stopIfTrue="1">
      <formula>AND(G157=1,G159=1)</formula>
    </cfRule>
    <cfRule type="expression" dxfId="3960" priority="118" stopIfTrue="1">
      <formula>AND(G158=1,G157=0)</formula>
    </cfRule>
  </conditionalFormatting>
  <conditionalFormatting sqref="G159">
    <cfRule type="expression" dxfId="3959" priority="114" stopIfTrue="1">
      <formula>AND(G159=1,G158=1)</formula>
    </cfRule>
    <cfRule type="expression" dxfId="3958" priority="115" stopIfTrue="1">
      <formula>AND(G159=1,G158=0)</formula>
    </cfRule>
  </conditionalFormatting>
  <conditionalFormatting sqref="G157">
    <cfRule type="expression" dxfId="3957" priority="111" stopIfTrue="1">
      <formula>AND(G156=0,G157=1,G158=1)</formula>
    </cfRule>
    <cfRule type="expression" dxfId="3956" priority="112" stopIfTrue="1">
      <formula>AND(G156=1,G158=1)</formula>
    </cfRule>
    <cfRule type="expression" dxfId="3955" priority="113" stopIfTrue="1">
      <formula>AND(G157=1,G156=0)</formula>
    </cfRule>
  </conditionalFormatting>
  <conditionalFormatting sqref="G151:G156">
    <cfRule type="expression" dxfId="3954" priority="108" stopIfTrue="1">
      <formula>AND(G150=0,G151=1,G152=1)</formula>
    </cfRule>
    <cfRule type="expression" dxfId="3953" priority="109" stopIfTrue="1">
      <formula>AND(G150=1,G152=1)</formula>
    </cfRule>
    <cfRule type="expression" dxfId="3952" priority="110" stopIfTrue="1">
      <formula>AND(G151=1,G150=0)</formula>
    </cfRule>
  </conditionalFormatting>
  <conditionalFormatting sqref="G150">
    <cfRule type="expression" dxfId="3951" priority="106" stopIfTrue="1">
      <formula>AND(G150=1,G151=1)</formula>
    </cfRule>
    <cfRule type="expression" dxfId="3950" priority="107" stopIfTrue="1">
      <formula>AND(G150=1,G149=0)</formula>
    </cfRule>
  </conditionalFormatting>
  <conditionalFormatting sqref="H147:M147">
    <cfRule type="expression" dxfId="3949" priority="103" stopIfTrue="1">
      <formula>$E147=0</formula>
    </cfRule>
    <cfRule type="expression" dxfId="3948" priority="104" stopIfTrue="1">
      <formula>ISERROR(H147)</formula>
    </cfRule>
    <cfRule type="expression" dxfId="3947" priority="105" stopIfTrue="1">
      <formula>$E147&lt;&gt;0</formula>
    </cfRule>
  </conditionalFormatting>
  <conditionalFormatting sqref="H145:M145">
    <cfRule type="expression" dxfId="3946" priority="100" stopIfTrue="1">
      <formula>AND(H144=0,H145=1,H146=1)</formula>
    </cfRule>
    <cfRule type="expression" dxfId="3945" priority="101" stopIfTrue="1">
      <formula>AND(H144=1,H146=1)</formula>
    </cfRule>
    <cfRule type="expression" dxfId="3944" priority="102" stopIfTrue="1">
      <formula>AND(H145=1,H144=0)</formula>
    </cfRule>
  </conditionalFormatting>
  <conditionalFormatting sqref="H146:M146">
    <cfRule type="expression" dxfId="3943" priority="98" stopIfTrue="1">
      <formula>AND(H146=1,H145=1)</formula>
    </cfRule>
    <cfRule type="expression" dxfId="3942" priority="99" stopIfTrue="1">
      <formula>AND(H146=1,H145=0)</formula>
    </cfRule>
  </conditionalFormatting>
  <conditionalFormatting sqref="H144:M144">
    <cfRule type="expression" dxfId="3941" priority="95" stopIfTrue="1">
      <formula>AND(H143=0,H144=1,H145=1)</formula>
    </cfRule>
    <cfRule type="expression" dxfId="3940" priority="96" stopIfTrue="1">
      <formula>AND(H143=1,H145=1)</formula>
    </cfRule>
    <cfRule type="expression" dxfId="3939" priority="97" stopIfTrue="1">
      <formula>AND(H144=1,H143=0)</formula>
    </cfRule>
  </conditionalFormatting>
  <conditionalFormatting sqref="H138:M143">
    <cfRule type="expression" dxfId="3938" priority="92" stopIfTrue="1">
      <formula>AND(H137=0,H138=1,H139=1)</formula>
    </cfRule>
    <cfRule type="expression" dxfId="3937" priority="93" stopIfTrue="1">
      <formula>AND(H137=1,H139=1)</formula>
    </cfRule>
    <cfRule type="expression" dxfId="3936" priority="94" stopIfTrue="1">
      <formula>AND(H138=1,H137=0)</formula>
    </cfRule>
  </conditionalFormatting>
  <conditionalFormatting sqref="H137:M137">
    <cfRule type="expression" dxfId="3935" priority="90" stopIfTrue="1">
      <formula>AND(H137=1,H138=1)</formula>
    </cfRule>
    <cfRule type="expression" dxfId="3934" priority="91" stopIfTrue="1">
      <formula>AND(H137=1,H136=0)</formula>
    </cfRule>
  </conditionalFormatting>
  <conditionalFormatting sqref="H160:M160">
    <cfRule type="expression" dxfId="3933" priority="87" stopIfTrue="1">
      <formula>$E160=0</formula>
    </cfRule>
    <cfRule type="expression" dxfId="3932" priority="88" stopIfTrue="1">
      <formula>ISERROR(H160)</formula>
    </cfRule>
    <cfRule type="expression" dxfId="3931" priority="89" stopIfTrue="1">
      <formula>$E160&lt;&gt;0</formula>
    </cfRule>
  </conditionalFormatting>
  <conditionalFormatting sqref="H158:M158">
    <cfRule type="expression" dxfId="3930" priority="84" stopIfTrue="1">
      <formula>AND(H157=0,H158=1,H159=1)</formula>
    </cfRule>
    <cfRule type="expression" dxfId="3929" priority="85" stopIfTrue="1">
      <formula>AND(H157=1,H159=1)</formula>
    </cfRule>
    <cfRule type="expression" dxfId="3928" priority="86" stopIfTrue="1">
      <formula>AND(H158=1,H157=0)</formula>
    </cfRule>
  </conditionalFormatting>
  <conditionalFormatting sqref="H159:M159">
    <cfRule type="expression" dxfId="3927" priority="82" stopIfTrue="1">
      <formula>AND(H159=1,H158=1)</formula>
    </cfRule>
    <cfRule type="expression" dxfId="3926" priority="83" stopIfTrue="1">
      <formula>AND(H159=1,H158=0)</formula>
    </cfRule>
  </conditionalFormatting>
  <conditionalFormatting sqref="H157:M157">
    <cfRule type="expression" dxfId="3925" priority="79" stopIfTrue="1">
      <formula>AND(H156=0,H157=1,H158=1)</formula>
    </cfRule>
    <cfRule type="expression" dxfId="3924" priority="80" stopIfTrue="1">
      <formula>AND(H156=1,H158=1)</formula>
    </cfRule>
    <cfRule type="expression" dxfId="3923" priority="81" stopIfTrue="1">
      <formula>AND(H157=1,H156=0)</formula>
    </cfRule>
  </conditionalFormatting>
  <conditionalFormatting sqref="H151:M156">
    <cfRule type="expression" dxfId="3922" priority="76" stopIfTrue="1">
      <formula>AND(H150=0,H151=1,H152=1)</formula>
    </cfRule>
    <cfRule type="expression" dxfId="3921" priority="77" stopIfTrue="1">
      <formula>AND(H150=1,H152=1)</formula>
    </cfRule>
    <cfRule type="expression" dxfId="3920" priority="78" stopIfTrue="1">
      <formula>AND(H151=1,H150=0)</formula>
    </cfRule>
  </conditionalFormatting>
  <conditionalFormatting sqref="H150:M150">
    <cfRule type="expression" dxfId="3919" priority="74" stopIfTrue="1">
      <formula>AND(H150=1,H151=1)</formula>
    </cfRule>
    <cfRule type="expression" dxfId="3918" priority="75" stopIfTrue="1">
      <formula>AND(H150=1,H149=0)</formula>
    </cfRule>
  </conditionalFormatting>
  <conditionalFormatting sqref="N133:O133 N135:O135">
    <cfRule type="containsBlanks" dxfId="3917" priority="73">
      <formula>LEN(TRIM(N133))=0</formula>
    </cfRule>
  </conditionalFormatting>
  <conditionalFormatting sqref="N132">
    <cfRule type="expression" dxfId="3916" priority="72">
      <formula>N133=""</formula>
    </cfRule>
  </conditionalFormatting>
  <conditionalFormatting sqref="N134">
    <cfRule type="expression" dxfId="3915" priority="71">
      <formula>N135=""</formula>
    </cfRule>
  </conditionalFormatting>
  <conditionalFormatting sqref="G173">
    <cfRule type="expression" dxfId="3914" priority="68" stopIfTrue="1">
      <formula>$E173=0</formula>
    </cfRule>
    <cfRule type="expression" dxfId="3913" priority="69" stopIfTrue="1">
      <formula>ISERROR(G173)</formula>
    </cfRule>
    <cfRule type="expression" dxfId="3912" priority="70" stopIfTrue="1">
      <formula>$E173&lt;&gt;0</formula>
    </cfRule>
  </conditionalFormatting>
  <conditionalFormatting sqref="G171">
    <cfRule type="expression" dxfId="3911" priority="62" stopIfTrue="1">
      <formula>AND(G170=0,G171=1,G172=1)</formula>
    </cfRule>
    <cfRule type="expression" dxfId="3910" priority="63" stopIfTrue="1">
      <formula>AND(G170=1,G172=1)</formula>
    </cfRule>
    <cfRule type="expression" dxfId="3909" priority="64" stopIfTrue="1">
      <formula>AND(G171=1,G170=0)</formula>
    </cfRule>
  </conditionalFormatting>
  <conditionalFormatting sqref="G170">
    <cfRule type="expression" dxfId="3908" priority="65" stopIfTrue="1">
      <formula>AND(G169=0,G170=1,G171=1)</formula>
    </cfRule>
    <cfRule type="expression" dxfId="3907" priority="66" stopIfTrue="1">
      <formula>AND(G169=1,G171=1)</formula>
    </cfRule>
    <cfRule type="expression" dxfId="3906" priority="67" stopIfTrue="1">
      <formula>AND(G170=1,G169=0)</formula>
    </cfRule>
  </conditionalFormatting>
  <conditionalFormatting sqref="G164:G169">
    <cfRule type="expression" dxfId="3905" priority="59" stopIfTrue="1">
      <formula>AND(G163=0,G164=1,G165=1)</formula>
    </cfRule>
    <cfRule type="expression" dxfId="3904" priority="60" stopIfTrue="1">
      <formula>AND(G163=1,G165=1)</formula>
    </cfRule>
    <cfRule type="expression" dxfId="3903" priority="61" stopIfTrue="1">
      <formula>AND(G164=1,G163=0)</formula>
    </cfRule>
  </conditionalFormatting>
  <conditionalFormatting sqref="G163">
    <cfRule type="expression" dxfId="3902" priority="57" stopIfTrue="1">
      <formula>AND(G163=1,G164=1)</formula>
    </cfRule>
    <cfRule type="expression" dxfId="3901" priority="58" stopIfTrue="1">
      <formula>AND(G163=1,G162=0)</formula>
    </cfRule>
  </conditionalFormatting>
  <conditionalFormatting sqref="G172">
    <cfRule type="expression" dxfId="3900" priority="55" stopIfTrue="1">
      <formula>AND(G172=1,G171=1)</formula>
    </cfRule>
    <cfRule type="expression" dxfId="3899" priority="56" stopIfTrue="1">
      <formula>AND(G172=1,G171=0)</formula>
    </cfRule>
  </conditionalFormatting>
  <conditionalFormatting sqref="H173:M173">
    <cfRule type="expression" dxfId="3898" priority="52" stopIfTrue="1">
      <formula>$E173=0</formula>
    </cfRule>
    <cfRule type="expression" dxfId="3897" priority="53" stopIfTrue="1">
      <formula>ISERROR(H173)</formula>
    </cfRule>
    <cfRule type="expression" dxfId="3896" priority="54" stopIfTrue="1">
      <formula>$E173&lt;&gt;0</formula>
    </cfRule>
  </conditionalFormatting>
  <conditionalFormatting sqref="H171:M171">
    <cfRule type="expression" dxfId="3895" priority="46" stopIfTrue="1">
      <formula>AND(H170=0,H171=1,H172=1)</formula>
    </cfRule>
    <cfRule type="expression" dxfId="3894" priority="47" stopIfTrue="1">
      <formula>AND(H170=1,H172=1)</formula>
    </cfRule>
    <cfRule type="expression" dxfId="3893" priority="48" stopIfTrue="1">
      <formula>AND(H171=1,H170=0)</formula>
    </cfRule>
  </conditionalFormatting>
  <conditionalFormatting sqref="H170:M170">
    <cfRule type="expression" dxfId="3892" priority="49" stopIfTrue="1">
      <formula>AND(H169=0,H170=1,H171=1)</formula>
    </cfRule>
    <cfRule type="expression" dxfId="3891" priority="50" stopIfTrue="1">
      <formula>AND(H169=1,H171=1)</formula>
    </cfRule>
    <cfRule type="expression" dxfId="3890" priority="51" stopIfTrue="1">
      <formula>AND(H170=1,H169=0)</formula>
    </cfRule>
  </conditionalFormatting>
  <conditionalFormatting sqref="H164:M169">
    <cfRule type="expression" dxfId="3889" priority="43" stopIfTrue="1">
      <formula>AND(H163=0,H164=1,H165=1)</formula>
    </cfRule>
    <cfRule type="expression" dxfId="3888" priority="44" stopIfTrue="1">
      <formula>AND(H163=1,H165=1)</formula>
    </cfRule>
    <cfRule type="expression" dxfId="3887" priority="45" stopIfTrue="1">
      <formula>AND(H164=1,H163=0)</formula>
    </cfRule>
  </conditionalFormatting>
  <conditionalFormatting sqref="H163:M163">
    <cfRule type="expression" dxfId="3886" priority="41" stopIfTrue="1">
      <formula>AND(H163=1,H164=1)</formula>
    </cfRule>
    <cfRule type="expression" dxfId="3885" priority="42" stopIfTrue="1">
      <formula>AND(H163=1,H162=0)</formula>
    </cfRule>
  </conditionalFormatting>
  <conditionalFormatting sqref="H172:M172">
    <cfRule type="expression" dxfId="3884" priority="39" stopIfTrue="1">
      <formula>AND(H172=1,H171=1)</formula>
    </cfRule>
    <cfRule type="expression" dxfId="3883" priority="40" stopIfTrue="1">
      <formula>AND(H172=1,H171=0)</formula>
    </cfRule>
  </conditionalFormatting>
  <conditionalFormatting sqref="E173:F173">
    <cfRule type="containsErrors" dxfId="3882" priority="38" stopIfTrue="1">
      <formula>ISERROR(E173)</formula>
    </cfRule>
  </conditionalFormatting>
  <conditionalFormatting sqref="AK8:AK37">
    <cfRule type="cellIs" dxfId="3881" priority="37" stopIfTrue="1" operator="equal">
      <formula>0</formula>
    </cfRule>
  </conditionalFormatting>
  <conditionalFormatting sqref="BA6:BG6">
    <cfRule type="cellIs" dxfId="3880" priority="35" stopIfTrue="1" operator="equal">
      <formula>$E$125</formula>
    </cfRule>
  </conditionalFormatting>
  <conditionalFormatting sqref="BB8:BG8 BA9:BG37">
    <cfRule type="cellIs" dxfId="3879" priority="34" stopIfTrue="1" operator="equal">
      <formula>0</formula>
    </cfRule>
  </conditionalFormatting>
  <conditionalFormatting sqref="BA8">
    <cfRule type="cellIs" dxfId="3878" priority="33" stopIfTrue="1" operator="equal">
      <formula>0</formula>
    </cfRule>
  </conditionalFormatting>
  <conditionalFormatting sqref="BA5:BG5">
    <cfRule type="cellIs" dxfId="3877" priority="32" stopIfTrue="1" operator="equal">
      <formula>$E$125</formula>
    </cfRule>
  </conditionalFormatting>
  <conditionalFormatting sqref="L3:N3">
    <cfRule type="cellIs" dxfId="3876" priority="31" stopIfTrue="1" operator="equal">
      <formula>0</formula>
    </cfRule>
  </conditionalFormatting>
  <conditionalFormatting sqref="BC3">
    <cfRule type="cellIs" dxfId="3875" priority="30" stopIfTrue="1" operator="equal">
      <formula>$E$125</formula>
    </cfRule>
  </conditionalFormatting>
  <conditionalFormatting sqref="BB66:BF66">
    <cfRule type="cellIs" dxfId="3874" priority="27" stopIfTrue="1" operator="equal">
      <formula>0</formula>
    </cfRule>
  </conditionalFormatting>
  <conditionalFormatting sqref="BB67:BF67">
    <cfRule type="cellIs" dxfId="3873" priority="26" stopIfTrue="1" operator="equal">
      <formula>0</formula>
    </cfRule>
  </conditionalFormatting>
  <conditionalFormatting sqref="BB64:BF64">
    <cfRule type="cellIs" dxfId="3872" priority="25" stopIfTrue="1" operator="equal">
      <formula>0</formula>
    </cfRule>
  </conditionalFormatting>
  <conditionalFormatting sqref="BB65:BF65">
    <cfRule type="cellIs" dxfId="3871" priority="24" stopIfTrue="1" operator="equal">
      <formula>0</formula>
    </cfRule>
  </conditionalFormatting>
  <conditionalFormatting sqref="BB63:BF63">
    <cfRule type="cellIs" dxfId="3870" priority="23" stopIfTrue="1" operator="equal">
      <formula>0</formula>
    </cfRule>
  </conditionalFormatting>
  <conditionalFormatting sqref="BA66">
    <cfRule type="cellIs" dxfId="3869" priority="22" stopIfTrue="1" operator="equal">
      <formula>0</formula>
    </cfRule>
  </conditionalFormatting>
  <conditionalFormatting sqref="BA67">
    <cfRule type="cellIs" dxfId="3868" priority="21" stopIfTrue="1" operator="equal">
      <formula>0</formula>
    </cfRule>
  </conditionalFormatting>
  <conditionalFormatting sqref="BA64">
    <cfRule type="cellIs" dxfId="3867" priority="20" stopIfTrue="1" operator="equal">
      <formula>0</formula>
    </cfRule>
  </conditionalFormatting>
  <conditionalFormatting sqref="BA65">
    <cfRule type="cellIs" dxfId="3866" priority="19" stopIfTrue="1" operator="equal">
      <formula>0</formula>
    </cfRule>
  </conditionalFormatting>
  <conditionalFormatting sqref="BA63">
    <cfRule type="cellIs" dxfId="3865" priority="18" stopIfTrue="1" operator="equal">
      <formula>0</formula>
    </cfRule>
  </conditionalFormatting>
  <conditionalFormatting sqref="BG66">
    <cfRule type="cellIs" dxfId="3864" priority="17" stopIfTrue="1" operator="equal">
      <formula>0</formula>
    </cfRule>
  </conditionalFormatting>
  <conditionalFormatting sqref="BG67">
    <cfRule type="cellIs" dxfId="3863" priority="16" stopIfTrue="1" operator="equal">
      <formula>0</formula>
    </cfRule>
  </conditionalFormatting>
  <conditionalFormatting sqref="BG64">
    <cfRule type="cellIs" dxfId="3862" priority="15" stopIfTrue="1" operator="equal">
      <formula>0</formula>
    </cfRule>
  </conditionalFormatting>
  <conditionalFormatting sqref="BG65">
    <cfRule type="cellIs" dxfId="3861" priority="14" stopIfTrue="1" operator="equal">
      <formula>0</formula>
    </cfRule>
  </conditionalFormatting>
  <conditionalFormatting sqref="BG63">
    <cfRule type="cellIs" dxfId="3860" priority="13" stopIfTrue="1" operator="equal">
      <formula>0</formula>
    </cfRule>
  </conditionalFormatting>
  <conditionalFormatting sqref="BB4:BG4">
    <cfRule type="cellIs" dxfId="3859" priority="12" stopIfTrue="1" operator="equal">
      <formula>0</formula>
    </cfRule>
  </conditionalFormatting>
  <conditionalFormatting sqref="BA4">
    <cfRule type="cellIs" dxfId="3858" priority="11" stopIfTrue="1" operator="equal">
      <formula>0</formula>
    </cfRule>
  </conditionalFormatting>
  <conditionalFormatting sqref="E8:F37">
    <cfRule type="expression" dxfId="3857" priority="3" stopIfTrue="1">
      <formula>$AE8=$AC$6</formula>
    </cfRule>
    <cfRule type="expression" dxfId="3856" priority="4" stopIfTrue="1">
      <formula>AND($AE8=0,$E8=0)</formula>
    </cfRule>
    <cfRule type="expression" dxfId="3855" priority="5" stopIfTrue="1">
      <formula>$AE8=0</formula>
    </cfRule>
  </conditionalFormatting>
  <conditionalFormatting sqref="G8:M37">
    <cfRule type="expression" dxfId="3854" priority="6" stopIfTrue="1">
      <formula>$AE8=$AC$6</formula>
    </cfRule>
    <cfRule type="expression" dxfId="3853" priority="7" stopIfTrue="1">
      <formula>OR($AE8=0,$E8=$E$129)</formula>
    </cfRule>
  </conditionalFormatting>
  <conditionalFormatting sqref="C8:D37">
    <cfRule type="expression" dxfId="3852" priority="2" stopIfTrue="1">
      <formula>$AE8=$AC$6</formula>
    </cfRule>
    <cfRule type="expression" dxfId="3851" priority="8" stopIfTrue="1">
      <formula>AND($L$199=0,OR($W8&lt;$B$129,$W8&gt;$B$130))</formula>
    </cfRule>
    <cfRule type="expression" dxfId="3850" priority="9" stopIfTrue="1">
      <formula>AND($AE8=0,$E8=0)</formula>
    </cfRule>
    <cfRule type="expression" dxfId="3849" priority="10" stopIfTrue="1">
      <formula>$AE8=0</formula>
    </cfRule>
  </conditionalFormatting>
  <conditionalFormatting sqref="N64">
    <cfRule type="expression" dxfId="3848"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CONCATENATE(IF(IMPOSTAZIONI!F202="","..",IMPOSTAZIONI!F202),"-",IF(IMPOSTAZIONI!F203="","..",IMPOSTAZIONI!F203),"-",IF(IMPOSTAZIONI!F204="","..",IMPOSTAZIONI!F204))</f>
        <v>..-..-..</v>
      </c>
      <c r="H1" s="167" t="str">
        <f>CONCATENATE(IF(IMPOSTAZIONI!K202="","..",IMPOSTAZIONI!K202),"-",IF(IMPOSTAZIONI!K203="","..",IMPOSTAZIONI!K203),"-",IF(IMPOSTAZIONI!K204="","..",IMPOSTAZIONI!K204))</f>
        <v>..-..-..</v>
      </c>
      <c r="I1" s="167" t="str">
        <f>CONCATENATE(IF(IMPOSTAZIONI!P202="","..",IMPOSTAZIONI!P202),"-",IF(IMPOSTAZIONI!P203="","..",IMPOSTAZIONI!P203),"-",IF(IMPOSTAZIONI!P204="","..",IMPOSTAZIONI!P204))</f>
        <v>..-..-..</v>
      </c>
      <c r="J1" s="167" t="str">
        <f>CONCATENATE(IF(IMPOSTAZIONI!U202="","..",IMPOSTAZIONI!U202),"-",IF(IMPOSTAZIONI!U203="","..",IMPOSTAZIONI!U203),"-",IF(IMPOSTAZIONI!U204="","..",IMPOSTAZIONI!U204))</f>
        <v>..-..-..</v>
      </c>
      <c r="K1" s="167" t="str">
        <f>CONCATENATE(IF(IMPOSTAZIONI!Z202="","..",IMPOSTAZIONI!Z202),"-",IF(IMPOSTAZIONI!Z203="","..",IMPOSTAZIONI!Z203),"-",IF(IMPOSTAZIONI!Z204="","..",IMPOSTAZIONI!Z204))</f>
        <v>..-..-..</v>
      </c>
      <c r="L1" s="167" t="str">
        <f>CONCATENATE(IF(IMPOSTAZIONI!AE202="","..",IMPOSTAZIONI!AE202),"-",IF(IMPOSTAZIONI!AE203="","..",IMPOSTAZIONI!AE203),"-",IF(IMPOSTAZIONI!AE204="","..",IMPOSTAZIONI!AE204))</f>
        <v>..-..-..</v>
      </c>
      <c r="M1" s="167" t="str">
        <f>CONCATENATE(IF(IMPOSTAZIONI!AJ202="","..",IMPOSTAZIONI!AJ202),"-",IF(IMPOSTAZIONI!AJ203="","..",IMPOSTAZIONI!AJ203),"-",IF(IMPOSTAZIONI!AJ204="","..",IMPOSTAZIONI!AJ204))</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328</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IF($I$199=0,"",IMPOSTAZIONI!G202)</f>
        <v/>
      </c>
      <c r="H4" s="183" t="str">
        <f>IF($I$199=0,"",IMPOSTAZIONI!L202)</f>
        <v/>
      </c>
      <c r="I4" s="183" t="str">
        <f>IF($I$199=0,"",IMPOSTAZIONI!Q202)</f>
        <v/>
      </c>
      <c r="J4" s="183" t="str">
        <f>IF($I$199=0,"",IMPOSTAZIONI!V202)</f>
        <v/>
      </c>
      <c r="K4" s="183" t="str">
        <f>IF($I$199=0,"",IMPOSTAZIONI!AA202)</f>
        <v/>
      </c>
      <c r="L4" s="183" t="str">
        <f>IF($I$199=0,"",IMPOSTAZIONI!AF202)</f>
        <v/>
      </c>
      <c r="M4" s="183" t="str">
        <f>IF($I$199=0,"",IMPOSTAZIONI!AK202)</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IF($I$199=0,"",IMPOSTAZIONI!G203)</f>
        <v/>
      </c>
      <c r="H5" s="823" t="str">
        <f>IF($I$199=0,"",IMPOSTAZIONI!L203)</f>
        <v/>
      </c>
      <c r="I5" s="823" t="str">
        <f>IF($I$199=0,"",IMPOSTAZIONI!Q203)</f>
        <v/>
      </c>
      <c r="J5" s="823" t="str">
        <f>IF($I$199=0,"",IMPOSTAZIONI!V203)</f>
        <v/>
      </c>
      <c r="K5" s="823" t="str">
        <f>IF($I$199=0,"",IMPOSTAZIONI!AA203)</f>
        <v/>
      </c>
      <c r="L5" s="823" t="str">
        <f>IF($I$199=0,"",IMPOSTAZIONI!AF203)</f>
        <v/>
      </c>
      <c r="M5" s="823" t="str">
        <f>IF($I$199=0,"",IMPOSTAZIONI!AK203)</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IF($I$199=0,"",IMPOSTAZIONI!G204)</f>
        <v/>
      </c>
      <c r="H6" s="40" t="str">
        <f>IF($I$199=0,"",IMPOSTAZIONI!L204)</f>
        <v/>
      </c>
      <c r="I6" s="40" t="str">
        <f>IF($I$199=0,"",IMPOSTAZIONI!Q204)</f>
        <v/>
      </c>
      <c r="J6" s="40" t="str">
        <f>IF($I$199=0,"",IMPOSTAZIONI!V204)</f>
        <v/>
      </c>
      <c r="K6" s="40" t="str">
        <f>IF($I$199=0,"",IMPOSTAZIONI!AA204)</f>
        <v/>
      </c>
      <c r="L6" s="40" t="str">
        <f>IF($I$199=0,"",IMPOSTAZIONI!AF204)</f>
        <v/>
      </c>
      <c r="M6" s="40" t="str">
        <f>IF($I$199=0,"",IMPOSTAZIONI!AK204)</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IMPOSTAZIONI!M273</f>
        <v>0</v>
      </c>
      <c r="F7" s="1999"/>
      <c r="G7" s="811">
        <f>IMPOSTAZIONI!$AL277</f>
        <v>0</v>
      </c>
      <c r="H7" s="811">
        <f>IMPOSTAZIONI!$AL278</f>
        <v>0</v>
      </c>
      <c r="I7" s="811">
        <f>IMPOSTAZIONI!$AL279</f>
        <v>0</v>
      </c>
      <c r="J7" s="811">
        <f>IMPOSTAZIONI!$AL280</f>
        <v>0</v>
      </c>
      <c r="K7" s="811">
        <f>IMPOSTAZIONI!$AL281</f>
        <v>0</v>
      </c>
      <c r="L7" s="811">
        <f>IMPOSTAZIONI!$AL282</f>
        <v>0</v>
      </c>
      <c r="M7" s="811">
        <f>IMPOSTAZIONI!$AL283</f>
        <v>0</v>
      </c>
      <c r="N7" s="1288"/>
      <c r="O7" s="57"/>
      <c r="P7" s="2044" t="s">
        <v>524</v>
      </c>
      <c r="Q7" s="2044"/>
      <c r="R7" s="2044"/>
      <c r="S7" s="2044"/>
      <c r="T7" s="2044"/>
      <c r="U7" s="2044"/>
      <c r="V7" s="2044"/>
      <c r="W7" s="285">
        <f>W8-1</f>
        <v>45412</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5</v>
      </c>
      <c r="E8" s="1994" t="str">
        <f t="shared" ref="E8:E38"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45413</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5</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45414</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5</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45415</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5</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45416</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5</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45417</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5</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45418</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5</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45419</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5</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45420</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5</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45421</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5</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45422</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5</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45423</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5</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45424</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5</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45425</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5</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45426</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5</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45427</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5</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45428</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5</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45429</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5</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45430</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5</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45431</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5</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45432</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5</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45433</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5</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45434</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5</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45435</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5</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45436</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5</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45437</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5</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45438</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5</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45439</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5</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45440</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5</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45441</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5</v>
      </c>
      <c r="E37" s="1959" t="str">
        <f t="shared" si="9"/>
        <v xml:space="preserve">disattivato  </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45442</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5</v>
      </c>
      <c r="E38" s="2039" t="str">
        <f t="shared" si="9"/>
        <v xml:space="preserve">disattivato  </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45443</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IMPOSTAZIONI!P273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331</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5</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01/05 - 31/05</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IMPOSTAZIONI!AL298</f>
        <v>0</v>
      </c>
      <c r="I90" s="784">
        <f>IMPOSTAZIONI!AL299</f>
        <v>0</v>
      </c>
      <c r="J90" s="785">
        <f>IMPOSTAZIONI!AL300</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IMPOSTAZIONI!AQ298</f>
        <v>0</v>
      </c>
      <c r="I91" s="788">
        <f>IMPOSTAZIONI!AQ299</f>
        <v>0</v>
      </c>
      <c r="J91" s="789">
        <f>IMPOSTAZIONI!AQ300</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IF(IMPOSTAZIONI!S181=0,1,0)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IF(IMPOSTAZIONI!S182=0,1,0)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IF(IMPOSTAZIONI!S183=0,1,0)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15</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IMPOSTAZIONI!F203</f>
        <v/>
      </c>
      <c r="H124" s="803" t="str">
        <f>IMPOSTAZIONI!K203</f>
        <v/>
      </c>
      <c r="I124" s="803" t="str">
        <f>IMPOSTAZIONI!P203</f>
        <v/>
      </c>
      <c r="J124" s="803" t="str">
        <f>IMPOSTAZIONI!U203</f>
        <v/>
      </c>
      <c r="K124" s="803" t="str">
        <f>IMPOSTAZIONI!Z203</f>
        <v/>
      </c>
      <c r="L124" s="803" t="str">
        <f>IMPOSTAZIONI!AE203</f>
        <v/>
      </c>
      <c r="M124" s="803" t="str">
        <f>IMPOSTAZIONI!AJ203</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IMPOSTAZIONI!J203</f>
        <v>0</v>
      </c>
      <c r="H130" s="803">
        <f>IMPOSTAZIONI!O203</f>
        <v>0</v>
      </c>
      <c r="I130" s="803">
        <f>IMPOSTAZIONI!T203</f>
        <v>0</v>
      </c>
      <c r="J130" s="803">
        <f>IMPOSTAZIONI!Y203</f>
        <v>0</v>
      </c>
      <c r="K130" s="803">
        <f>IMPOSTAZIONI!AD203</f>
        <v>0</v>
      </c>
      <c r="L130" s="803">
        <f>IMPOSTAZIONI!AI203</f>
        <v>0</v>
      </c>
      <c r="M130" s="803">
        <f>IMPOSTAZIONI!AN203</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01/05 - 31/05</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01/01 - 31/05</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15</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nM0Sqmwd6lXUPgbnYpabCukhPuEqfGgzmGo0+mmo2HCX01bdVRhK8H1UqbsTC02WcmvtDxIClYqjWnPxviPdRA==" saltValue="8Jtok0g98xI3BOgHm6mlDA==" spinCount="100000" sheet="1" objects="1" scenarios="1" selectLockedCells="1"/>
  <mergeCells count="133">
    <mergeCell ref="AM6:AS6"/>
    <mergeCell ref="C137:D137"/>
    <mergeCell ref="C138:D139"/>
    <mergeCell ref="E138:E139"/>
    <mergeCell ref="C6:D6"/>
    <mergeCell ref="C7:D7"/>
    <mergeCell ref="E17:F17"/>
    <mergeCell ref="E21:F21"/>
    <mergeCell ref="E29:F29"/>
    <mergeCell ref="E30:F30"/>
    <mergeCell ref="E32:F32"/>
    <mergeCell ref="E28:F28"/>
    <mergeCell ref="E23:F23"/>
    <mergeCell ref="E24:F24"/>
    <mergeCell ref="E25:F25"/>
    <mergeCell ref="E26:F26"/>
    <mergeCell ref="E27:F27"/>
    <mergeCell ref="E38:F38"/>
    <mergeCell ref="E36:F36"/>
    <mergeCell ref="E47:F47"/>
    <mergeCell ref="AF7:AJ7"/>
    <mergeCell ref="E34:F34"/>
    <mergeCell ref="C55:F55"/>
    <mergeCell ref="P7:V7"/>
    <mergeCell ref="N133:O133"/>
    <mergeCell ref="E164:E165"/>
    <mergeCell ref="C162:H162"/>
    <mergeCell ref="C151:D152"/>
    <mergeCell ref="E151:E152"/>
    <mergeCell ref="C160:D160"/>
    <mergeCell ref="E160:F160"/>
    <mergeCell ref="C149:F149"/>
    <mergeCell ref="C150:D150"/>
    <mergeCell ref="N135:O135"/>
    <mergeCell ref="C147:D147"/>
    <mergeCell ref="E147:F147"/>
    <mergeCell ref="C134:D134"/>
    <mergeCell ref="E134:F134"/>
    <mergeCell ref="C136:F136"/>
    <mergeCell ref="C135:F135"/>
    <mergeCell ref="J2:N2"/>
    <mergeCell ref="H53:I53"/>
    <mergeCell ref="AU7:AY7"/>
    <mergeCell ref="G119:M119"/>
    <mergeCell ref="C46:D46"/>
    <mergeCell ref="E46:F46"/>
    <mergeCell ref="E12:F12"/>
    <mergeCell ref="E13:F13"/>
    <mergeCell ref="E19:F19"/>
    <mergeCell ref="E20:F20"/>
    <mergeCell ref="C44:F44"/>
    <mergeCell ref="C39:D39"/>
    <mergeCell ref="E37:F37"/>
    <mergeCell ref="E22:F22"/>
    <mergeCell ref="N77:O77"/>
    <mergeCell ref="N78:O78"/>
    <mergeCell ref="C73:F73"/>
    <mergeCell ref="C50:F50"/>
    <mergeCell ref="C51:F51"/>
    <mergeCell ref="C48:D48"/>
    <mergeCell ref="C45:F45"/>
    <mergeCell ref="E35:F35"/>
    <mergeCell ref="C43:D43"/>
    <mergeCell ref="C2:I2"/>
    <mergeCell ref="C53:F53"/>
    <mergeCell ref="C52:F52"/>
    <mergeCell ref="C3:D3"/>
    <mergeCell ref="E3:H3"/>
    <mergeCell ref="E43:F43"/>
    <mergeCell ref="E39:F39"/>
    <mergeCell ref="E15:F15"/>
    <mergeCell ref="E16:F16"/>
    <mergeCell ref="E18:F18"/>
    <mergeCell ref="E10:F10"/>
    <mergeCell ref="E8:F8"/>
    <mergeCell ref="C4:D5"/>
    <mergeCell ref="E7:F7"/>
    <mergeCell ref="E4:F5"/>
    <mergeCell ref="E6:F6"/>
    <mergeCell ref="E33:F33"/>
    <mergeCell ref="E31:F31"/>
    <mergeCell ref="E11:F11"/>
    <mergeCell ref="E9:F9"/>
    <mergeCell ref="E14:F14"/>
    <mergeCell ref="C70:F70"/>
    <mergeCell ref="C57:F57"/>
    <mergeCell ref="C66:F66"/>
    <mergeCell ref="C71:F71"/>
    <mergeCell ref="E173:F173"/>
    <mergeCell ref="B130:D130"/>
    <mergeCell ref="C163:D163"/>
    <mergeCell ref="C184:D184"/>
    <mergeCell ref="E184:F184"/>
    <mergeCell ref="C182:D182"/>
    <mergeCell ref="E182:F182"/>
    <mergeCell ref="C183:D183"/>
    <mergeCell ref="E183:F183"/>
    <mergeCell ref="C174:J174"/>
    <mergeCell ref="C173:D173"/>
    <mergeCell ref="C164:D165"/>
    <mergeCell ref="E56:F56"/>
    <mergeCell ref="C58:F58"/>
    <mergeCell ref="C64:F64"/>
    <mergeCell ref="C65:D65"/>
    <mergeCell ref="C62:D62"/>
    <mergeCell ref="C63:F63"/>
    <mergeCell ref="C69:F69"/>
    <mergeCell ref="C60:N60"/>
    <mergeCell ref="C67:F67"/>
    <mergeCell ref="K174:M174"/>
    <mergeCell ref="L3:N3"/>
    <mergeCell ref="M52:N52"/>
    <mergeCell ref="M53:N53"/>
    <mergeCell ref="M56:N56"/>
    <mergeCell ref="H50:K50"/>
    <mergeCell ref="J51:K52"/>
    <mergeCell ref="C72:F72"/>
    <mergeCell ref="E65:F65"/>
    <mergeCell ref="E62:F62"/>
    <mergeCell ref="J54:K54"/>
    <mergeCell ref="J55:K55"/>
    <mergeCell ref="J56:K56"/>
    <mergeCell ref="C54:F54"/>
    <mergeCell ref="J53:K53"/>
    <mergeCell ref="M50:N50"/>
    <mergeCell ref="M51:N51"/>
    <mergeCell ref="N5:N6"/>
    <mergeCell ref="E48:F48"/>
    <mergeCell ref="I3:K3"/>
    <mergeCell ref="B129:D129"/>
    <mergeCell ref="C59:E59"/>
    <mergeCell ref="C47:D47"/>
    <mergeCell ref="C56:D56"/>
  </mergeCells>
  <phoneticPr fontId="24" type="noConversion"/>
  <conditionalFormatting sqref="C57 G57">
    <cfRule type="expression" dxfId="3847" priority="235" stopIfTrue="1">
      <formula>C58=0</formula>
    </cfRule>
  </conditionalFormatting>
  <conditionalFormatting sqref="O182:O184 O147 O160 O173">
    <cfRule type="expression" dxfId="3846" priority="354" stopIfTrue="1">
      <formula>$N$44=""</formula>
    </cfRule>
    <cfRule type="expression" dxfId="3845" priority="355" stopIfTrue="1">
      <formula>$N$44=0</formula>
    </cfRule>
  </conditionalFormatting>
  <conditionalFormatting sqref="G182:M184">
    <cfRule type="expression" dxfId="3844" priority="356" stopIfTrue="1">
      <formula>ISERROR(G182)</formula>
    </cfRule>
    <cfRule type="cellIs" dxfId="3843" priority="357" stopIfTrue="1" operator="equal">
      <formula>0</formula>
    </cfRule>
  </conditionalFormatting>
  <conditionalFormatting sqref="G58 C58 AE8:AE38 G42:M42 E6:F6">
    <cfRule type="cellIs" dxfId="3842" priority="360" stopIfTrue="1" operator="equal">
      <formula>0</formula>
    </cfRule>
  </conditionalFormatting>
  <conditionalFormatting sqref="N63">
    <cfRule type="expression" dxfId="3841" priority="365" stopIfTrue="1">
      <formula>$N$44=""</formula>
    </cfRule>
  </conditionalFormatting>
  <conditionalFormatting sqref="E47:F48">
    <cfRule type="expression" dxfId="3840" priority="369" stopIfTrue="1">
      <formula>ISERROR(E47)</formula>
    </cfRule>
  </conditionalFormatting>
  <conditionalFormatting sqref="G135:M136 E164:E165 E138:E139 E147:F147 E151:E152 E160:F160">
    <cfRule type="expression" dxfId="3839" priority="370" stopIfTrue="1">
      <formula>ISERROR(E135)</formula>
    </cfRule>
  </conditionalFormatting>
  <conditionalFormatting sqref="G43:M43 G134:M134">
    <cfRule type="cellIs" dxfId="3838" priority="371" stopIfTrue="1" operator="equal">
      <formula>0</formula>
    </cfRule>
  </conditionalFormatting>
  <conditionalFormatting sqref="G123:M123">
    <cfRule type="cellIs" dxfId="3837" priority="376" stopIfTrue="1" operator="equal">
      <formula>0</formula>
    </cfRule>
  </conditionalFormatting>
  <conditionalFormatting sqref="P8:V38 X8:AD38 AF8:AJ38 AU8:AY38 AL8:AS38">
    <cfRule type="cellIs" dxfId="3836" priority="377" stopIfTrue="1" operator="equal">
      <formula>0</formula>
    </cfRule>
  </conditionalFormatting>
  <conditionalFormatting sqref="G68:M68 G74:M74 H107:H116">
    <cfRule type="cellIs" dxfId="3835" priority="380" stopIfTrue="1" operator="equal">
      <formula>"OK"</formula>
    </cfRule>
  </conditionalFormatting>
  <conditionalFormatting sqref="I107:I116">
    <cfRule type="cellIs" dxfId="3834" priority="381" stopIfTrue="1" operator="greaterThan">
      <formula>0</formula>
    </cfRule>
  </conditionalFormatting>
  <conditionalFormatting sqref="G125:M126">
    <cfRule type="cellIs" dxfId="3833" priority="384" stopIfTrue="1" operator="equal">
      <formula>$E$125</formula>
    </cfRule>
  </conditionalFormatting>
  <conditionalFormatting sqref="C162:H162">
    <cfRule type="expression" dxfId="3832" priority="389" stopIfTrue="1">
      <formula>ISERROR($C$162)</formula>
    </cfRule>
  </conditionalFormatting>
  <conditionalFormatting sqref="E46:F46">
    <cfRule type="expression" dxfId="3831" priority="393" stopIfTrue="1">
      <formula>ISERROR($E$46)</formula>
    </cfRule>
  </conditionalFormatting>
  <conditionalFormatting sqref="C60">
    <cfRule type="expression" dxfId="3830" priority="427" stopIfTrue="1">
      <formula>SUM($G$118:$M$118)=0</formula>
    </cfRule>
  </conditionalFormatting>
  <conditionalFormatting sqref="G120:M120">
    <cfRule type="cellIs" dxfId="3829" priority="233" operator="equal">
      <formula>0</formula>
    </cfRule>
  </conditionalFormatting>
  <conditionalFormatting sqref="N65:N67 C66:F67">
    <cfRule type="expression" dxfId="3828" priority="231" stopIfTrue="1">
      <formula>SUM($G$120:$M$120)=0</formula>
    </cfRule>
  </conditionalFormatting>
  <conditionalFormatting sqref="G65:M65">
    <cfRule type="expression" dxfId="3827" priority="230">
      <formula>$D$120=0</formula>
    </cfRule>
    <cfRule type="cellIs" dxfId="3826" priority="232" operator="equal">
      <formula>0</formula>
    </cfRule>
  </conditionalFormatting>
  <conditionalFormatting sqref="G62:M62">
    <cfRule type="expression" dxfId="3825" priority="2769" stopIfTrue="1">
      <formula>AND(G$123="X",G$62&lt;&gt;"")</formula>
    </cfRule>
  </conditionalFormatting>
  <conditionalFormatting sqref="G66:M66">
    <cfRule type="expression" dxfId="3824" priority="2796">
      <formula>AND(G$66&lt;&gt;0,G$68=$O$120)</formula>
    </cfRule>
    <cfRule type="expression" dxfId="3823" priority="2797">
      <formula>$D$120=0</formula>
    </cfRule>
  </conditionalFormatting>
  <conditionalFormatting sqref="G67:M67">
    <cfRule type="expression" dxfId="3822" priority="2798">
      <formula>AND(G$67&lt;&gt;0,G$68=$O$120)</formula>
    </cfRule>
    <cfRule type="expression" dxfId="3821" priority="2799">
      <formula>$D$120=0</formula>
    </cfRule>
  </conditionalFormatting>
  <conditionalFormatting sqref="G73:M73">
    <cfRule type="expression" dxfId="3820" priority="2800">
      <formula>AND(G$73&lt;&gt;0,G$74=$O$120)</formula>
    </cfRule>
    <cfRule type="expression" dxfId="3819" priority="2801">
      <formula>$D$120=0</formula>
    </cfRule>
  </conditionalFormatting>
  <conditionalFormatting sqref="G70:M70">
    <cfRule type="expression" dxfId="3818" priority="2802">
      <formula>AND(G$70&lt;&gt;0,G$74=$O$120)</formula>
    </cfRule>
    <cfRule type="expression" dxfId="3817" priority="2803">
      <formula>$D$120=0</formula>
    </cfRule>
  </conditionalFormatting>
  <conditionalFormatting sqref="G71:M71">
    <cfRule type="expression" dxfId="3816" priority="2804">
      <formula>AND(G$71&lt;&gt;0,G$74=$O$120)</formula>
    </cfRule>
    <cfRule type="expression" dxfId="3815" priority="2805">
      <formula>$D$120=0</formula>
    </cfRule>
  </conditionalFormatting>
  <conditionalFormatting sqref="G72:M72">
    <cfRule type="expression" dxfId="3814" priority="2806">
      <formula>AND(G$72&lt;&gt;0,G$74=$O$120)</formula>
    </cfRule>
    <cfRule type="expression" dxfId="3813" priority="2807">
      <formula>$D$120=0</formula>
    </cfRule>
  </conditionalFormatting>
  <conditionalFormatting sqref="N70:N73">
    <cfRule type="expression" dxfId="3812" priority="2808" stopIfTrue="1">
      <formula>$D$120=0</formula>
    </cfRule>
    <cfRule type="expression" dxfId="3811" priority="2809" stopIfTrue="1">
      <formula>$B70=""</formula>
    </cfRule>
  </conditionalFormatting>
  <conditionalFormatting sqref="C95 P95">
    <cfRule type="expression" dxfId="3810" priority="3043" stopIfTrue="1">
      <formula>ISERROR($H$199)</formula>
    </cfRule>
  </conditionalFormatting>
  <conditionalFormatting sqref="C2:J2">
    <cfRule type="expression" dxfId="3809" priority="3044" stopIfTrue="1">
      <formula>$I$199=0</formula>
    </cfRule>
  </conditionalFormatting>
  <conditionalFormatting sqref="N136:O136">
    <cfRule type="expression" dxfId="3808" priority="3335" stopIfTrue="1">
      <formula>$N$5=#REF!</formula>
    </cfRule>
    <cfRule type="expression" dxfId="3807" priority="3336" stopIfTrue="1">
      <formula>$N$44=0</formula>
    </cfRule>
  </conditionalFormatting>
  <conditionalFormatting sqref="N5">
    <cfRule type="expression" dxfId="3806" priority="3349" stopIfTrue="1">
      <formula>#REF!=""</formula>
    </cfRule>
    <cfRule type="cellIs" dxfId="3805" priority="3350" stopIfTrue="1" operator="equal">
      <formula>0</formula>
    </cfRule>
    <cfRule type="expression" dxfId="3804" priority="3351" stopIfTrue="1">
      <formula>$N$5=#REF!</formula>
    </cfRule>
  </conditionalFormatting>
  <conditionalFormatting sqref="G44:M45">
    <cfRule type="cellIs" dxfId="3803" priority="192" operator="equal">
      <formula>0</formula>
    </cfRule>
  </conditionalFormatting>
  <conditionalFormatting sqref="E39:N39">
    <cfRule type="expression" dxfId="3802" priority="191">
      <formula>ISERROR($H$199)</formula>
    </cfRule>
  </conditionalFormatting>
  <conditionalFormatting sqref="E7:N7">
    <cfRule type="expression" dxfId="3801" priority="190">
      <formula>ISERROR($H$199)</formula>
    </cfRule>
  </conditionalFormatting>
  <conditionalFormatting sqref="G47:M47">
    <cfRule type="expression" dxfId="3800" priority="181" stopIfTrue="1">
      <formula>ISERROR(G47)</formula>
    </cfRule>
    <cfRule type="expression" dxfId="3799" priority="182" stopIfTrue="1">
      <formula>G$42=$K$102</formula>
    </cfRule>
    <cfRule type="expression" dxfId="3798" priority="183" stopIfTrue="1">
      <formula>AND(G$46&gt;0,OR(G$68=$E$120,G$68=$N$120))</formula>
    </cfRule>
    <cfRule type="cellIs" dxfId="3797" priority="184" operator="equal">
      <formula>0</formula>
    </cfRule>
  </conditionalFormatting>
  <conditionalFormatting sqref="G48:M48">
    <cfRule type="expression" dxfId="3796" priority="180" stopIfTrue="1">
      <formula>ISERROR(G48)</formula>
    </cfRule>
    <cfRule type="expression" dxfId="3795" priority="185" stopIfTrue="1">
      <formula>G$42=$K$102</formula>
    </cfRule>
    <cfRule type="expression" dxfId="3794" priority="186" stopIfTrue="1">
      <formula>AND(G$46&gt;0,OR(G$68=$E$120,G$68=$N$120,COUNTIF($C$70:$F$73,"ERROR")&gt;0,G$74=$E$120,G$74=$N$120))</formula>
    </cfRule>
    <cfRule type="cellIs" dxfId="3793" priority="187" operator="equal">
      <formula>0</formula>
    </cfRule>
  </conditionalFormatting>
  <conditionalFormatting sqref="G130:M130">
    <cfRule type="cellIs" dxfId="3792" priority="179" stopIfTrue="1" operator="equal">
      <formula>0</formula>
    </cfRule>
  </conditionalFormatting>
  <conditionalFormatting sqref="G4:M4">
    <cfRule type="cellIs" dxfId="3791" priority="178" operator="equal">
      <formula>0</formula>
    </cfRule>
  </conditionalFormatting>
  <conditionalFormatting sqref="N130">
    <cfRule type="cellIs" dxfId="3790" priority="177" stopIfTrue="1" operator="equal">
      <formula>0</formula>
    </cfRule>
  </conditionalFormatting>
  <conditionalFormatting sqref="G63">
    <cfRule type="expression" dxfId="3789" priority="174">
      <formula>ISERROR(G46)</formula>
    </cfRule>
    <cfRule type="cellIs" dxfId="3788" priority="176" operator="equal">
      <formula>0</formula>
    </cfRule>
  </conditionalFormatting>
  <conditionalFormatting sqref="G64">
    <cfRule type="expression" dxfId="3787" priority="173">
      <formula>ISERROR(G46)</formula>
    </cfRule>
    <cfRule type="cellIs" dxfId="3786" priority="175" operator="equal">
      <formula>0</formula>
    </cfRule>
  </conditionalFormatting>
  <conditionalFormatting sqref="H63:M63">
    <cfRule type="expression" dxfId="3785" priority="170">
      <formula>ISERROR(H46)</formula>
    </cfRule>
    <cfRule type="cellIs" dxfId="3784" priority="172" operator="equal">
      <formula>0</formula>
    </cfRule>
  </conditionalFormatting>
  <conditionalFormatting sqref="H64:M64">
    <cfRule type="expression" dxfId="3783" priority="169">
      <formula>ISERROR(H46)</formula>
    </cfRule>
    <cfRule type="cellIs" dxfId="3782" priority="171" operator="equal">
      <formula>0</formula>
    </cfRule>
  </conditionalFormatting>
  <conditionalFormatting sqref="C70:F73">
    <cfRule type="cellIs" dxfId="3781" priority="163" stopIfTrue="1" operator="equal">
      <formula>"ERROR"</formula>
    </cfRule>
    <cfRule type="cellIs" dxfId="3780" priority="164" stopIfTrue="1" operator="equal">
      <formula>0</formula>
    </cfRule>
    <cfRule type="expression" dxfId="3779" priority="165" stopIfTrue="1">
      <formula>SUM($G$120:$M$120)=0</formula>
    </cfRule>
  </conditionalFormatting>
  <conditionalFormatting sqref="G49">
    <cfRule type="cellIs" dxfId="3778" priority="162" operator="equal">
      <formula>$E$130</formula>
    </cfRule>
  </conditionalFormatting>
  <conditionalFormatting sqref="H49:M49">
    <cfRule type="cellIs" dxfId="3777" priority="161" operator="equal">
      <formula>$E$130</formula>
    </cfRule>
  </conditionalFormatting>
  <conditionalFormatting sqref="G90:G91">
    <cfRule type="expression" dxfId="3776" priority="159" stopIfTrue="1">
      <formula>SUM($H90:$J90)=0</formula>
    </cfRule>
  </conditionalFormatting>
  <conditionalFormatting sqref="N77:N78">
    <cfRule type="expression" dxfId="3775" priority="160" stopIfTrue="1">
      <formula>$M$77=0</formula>
    </cfRule>
  </conditionalFormatting>
  <conditionalFormatting sqref="H85:J87">
    <cfRule type="expression" dxfId="3774" priority="157">
      <formula>AND($E$103=3,$J$112=3)</formula>
    </cfRule>
    <cfRule type="cellIs" dxfId="3773" priority="158" operator="equal">
      <formula>0</formula>
    </cfRule>
  </conditionalFormatting>
  <conditionalFormatting sqref="H90:J91">
    <cfRule type="expression" dxfId="3772" priority="155">
      <formula>AND($E$103=3,$J$112=3)</formula>
    </cfRule>
    <cfRule type="cellIs" dxfId="3771" priority="156" operator="equal">
      <formula>0</formula>
    </cfRule>
  </conditionalFormatting>
  <conditionalFormatting sqref="K90:K91">
    <cfRule type="expression" dxfId="3770" priority="154">
      <formula>AND($E$103=3,$J$112=3)</formula>
    </cfRule>
  </conditionalFormatting>
  <conditionalFormatting sqref="M90:M91">
    <cfRule type="expression" dxfId="3769" priority="153">
      <formula>AND($E$103=3,$J$112=3)</formula>
    </cfRule>
  </conditionalFormatting>
  <conditionalFormatting sqref="M79:M89">
    <cfRule type="expression" dxfId="3768" priority="152">
      <formula>AND($E$103=3,$J$112=3)</formula>
    </cfRule>
  </conditionalFormatting>
  <conditionalFormatting sqref="M77:M78">
    <cfRule type="expression" dxfId="3767" priority="151">
      <formula>AND($E$103=3,$J$112=3)</formula>
    </cfRule>
  </conditionalFormatting>
  <conditionalFormatting sqref="L91">
    <cfRule type="expression" dxfId="3766" priority="150">
      <formula>AND($E$103=3,$J$112=3)</formula>
    </cfRule>
  </conditionalFormatting>
  <conditionalFormatting sqref="L77:L78">
    <cfRule type="expression" dxfId="3765" priority="149">
      <formula>AND($E$103=3,$J$112=3)</formula>
    </cfRule>
  </conditionalFormatting>
  <conditionalFormatting sqref="G76:G81">
    <cfRule type="expression" dxfId="3764" priority="148">
      <formula>AND($E$103=3,$J$112=3)</formula>
    </cfRule>
  </conditionalFormatting>
  <conditionalFormatting sqref="G46:M46">
    <cfRule type="expression" dxfId="3763" priority="5979" stopIfTrue="1">
      <formula>G$42=$K$102</formula>
    </cfRule>
    <cfRule type="expression" dxfId="3762" priority="5980" stopIfTrue="1">
      <formula>$I$199=0</formula>
    </cfRule>
  </conditionalFormatting>
  <conditionalFormatting sqref="H53:H54">
    <cfRule type="expression" dxfId="3761" priority="145" stopIfTrue="1">
      <formula>ISERROR($G$123)</formula>
    </cfRule>
    <cfRule type="expression" dxfId="3760" priority="146" stopIfTrue="1">
      <formula>ISERROR(H53)</formula>
    </cfRule>
  </conditionalFormatting>
  <conditionalFormatting sqref="H51:I52">
    <cfRule type="expression" dxfId="3759" priority="147" stopIfTrue="1">
      <formula>ISERROR(H51)</formula>
    </cfRule>
  </conditionalFormatting>
  <conditionalFormatting sqref="I54">
    <cfRule type="expression" dxfId="3758" priority="143" stopIfTrue="1">
      <formula>ISERROR($G$123)</formula>
    </cfRule>
    <cfRule type="expression" dxfId="3757" priority="144" stopIfTrue="1">
      <formula>ISERROR(I54)</formula>
    </cfRule>
  </conditionalFormatting>
  <conditionalFormatting sqref="H56:I56">
    <cfRule type="expression" dxfId="3756" priority="142" stopIfTrue="1">
      <formula>ISERROR(H56)</formula>
    </cfRule>
  </conditionalFormatting>
  <conditionalFormatting sqref="H55">
    <cfRule type="expression" dxfId="3755" priority="140" stopIfTrue="1">
      <formula>ISERROR($G$123)</formula>
    </cfRule>
    <cfRule type="expression" dxfId="3754" priority="141" stopIfTrue="1">
      <formula>ISERROR(H55)</formula>
    </cfRule>
  </conditionalFormatting>
  <conditionalFormatting sqref="I55">
    <cfRule type="expression" dxfId="3753" priority="138" stopIfTrue="1">
      <formula>ISERROR($G$123)</formula>
    </cfRule>
    <cfRule type="expression" dxfId="3752" priority="139" stopIfTrue="1">
      <formula>ISERROR(I55)</formula>
    </cfRule>
  </conditionalFormatting>
  <conditionalFormatting sqref="G147">
    <cfRule type="expression" dxfId="3751" priority="135" stopIfTrue="1">
      <formula>$E147=0</formula>
    </cfRule>
    <cfRule type="expression" dxfId="3750" priority="136" stopIfTrue="1">
      <formula>ISERROR(G147)</formula>
    </cfRule>
    <cfRule type="expression" dxfId="3749" priority="137" stopIfTrue="1">
      <formula>$E147&lt;&gt;0</formula>
    </cfRule>
  </conditionalFormatting>
  <conditionalFormatting sqref="G145">
    <cfRule type="expression" dxfId="3748" priority="132" stopIfTrue="1">
      <formula>AND(G144=0,G145=1,G146=1)</formula>
    </cfRule>
    <cfRule type="expression" dxfId="3747" priority="133" stopIfTrue="1">
      <formula>AND(G144=1,G146=1)</formula>
    </cfRule>
    <cfRule type="expression" dxfId="3746" priority="134" stopIfTrue="1">
      <formula>AND(G145=1,G144=0)</formula>
    </cfRule>
  </conditionalFormatting>
  <conditionalFormatting sqref="G146">
    <cfRule type="expression" dxfId="3745" priority="130" stopIfTrue="1">
      <formula>AND(G146=1,G145=1)</formula>
    </cfRule>
    <cfRule type="expression" dxfId="3744" priority="131" stopIfTrue="1">
      <formula>AND(G146=1,G145=0)</formula>
    </cfRule>
  </conditionalFormatting>
  <conditionalFormatting sqref="G144">
    <cfRule type="expression" dxfId="3743" priority="127" stopIfTrue="1">
      <formula>AND(G143=0,G144=1,G145=1)</formula>
    </cfRule>
    <cfRule type="expression" dxfId="3742" priority="128" stopIfTrue="1">
      <formula>AND(G143=1,G145=1)</formula>
    </cfRule>
    <cfRule type="expression" dxfId="3741" priority="129" stopIfTrue="1">
      <formula>AND(G144=1,G143=0)</formula>
    </cfRule>
  </conditionalFormatting>
  <conditionalFormatting sqref="G138:G143">
    <cfRule type="expression" dxfId="3740" priority="124" stopIfTrue="1">
      <formula>AND(G137=0,G138=1,G139=1)</formula>
    </cfRule>
    <cfRule type="expression" dxfId="3739" priority="125" stopIfTrue="1">
      <formula>AND(G137=1,G139=1)</formula>
    </cfRule>
    <cfRule type="expression" dxfId="3738" priority="126" stopIfTrue="1">
      <formula>AND(G138=1,G137=0)</formula>
    </cfRule>
  </conditionalFormatting>
  <conditionalFormatting sqref="G137">
    <cfRule type="expression" dxfId="3737" priority="122" stopIfTrue="1">
      <formula>AND(G137=1,G138=1)</formula>
    </cfRule>
    <cfRule type="expression" dxfId="3736" priority="123" stopIfTrue="1">
      <formula>AND(G137=1,G136=0)</formula>
    </cfRule>
  </conditionalFormatting>
  <conditionalFormatting sqref="G160">
    <cfRule type="expression" dxfId="3735" priority="119" stopIfTrue="1">
      <formula>$E160=0</formula>
    </cfRule>
    <cfRule type="expression" dxfId="3734" priority="120" stopIfTrue="1">
      <formula>ISERROR(G160)</formula>
    </cfRule>
    <cfRule type="expression" dxfId="3733" priority="121" stopIfTrue="1">
      <formula>$E160&lt;&gt;0</formula>
    </cfRule>
  </conditionalFormatting>
  <conditionalFormatting sqref="G158">
    <cfRule type="expression" dxfId="3732" priority="116" stopIfTrue="1">
      <formula>AND(G157=0,G158=1,G159=1)</formula>
    </cfRule>
    <cfRule type="expression" dxfId="3731" priority="117" stopIfTrue="1">
      <formula>AND(G157=1,G159=1)</formula>
    </cfRule>
    <cfRule type="expression" dxfId="3730" priority="118" stopIfTrue="1">
      <formula>AND(G158=1,G157=0)</formula>
    </cfRule>
  </conditionalFormatting>
  <conditionalFormatting sqref="G159">
    <cfRule type="expression" dxfId="3729" priority="114" stopIfTrue="1">
      <formula>AND(G159=1,G158=1)</formula>
    </cfRule>
    <cfRule type="expression" dxfId="3728" priority="115" stopIfTrue="1">
      <formula>AND(G159=1,G158=0)</formula>
    </cfRule>
  </conditionalFormatting>
  <conditionalFormatting sqref="G157">
    <cfRule type="expression" dxfId="3727" priority="111" stopIfTrue="1">
      <formula>AND(G156=0,G157=1,G158=1)</formula>
    </cfRule>
    <cfRule type="expression" dxfId="3726" priority="112" stopIfTrue="1">
      <formula>AND(G156=1,G158=1)</formula>
    </cfRule>
    <cfRule type="expression" dxfId="3725" priority="113" stopIfTrue="1">
      <formula>AND(G157=1,G156=0)</formula>
    </cfRule>
  </conditionalFormatting>
  <conditionalFormatting sqref="G151:G156">
    <cfRule type="expression" dxfId="3724" priority="108" stopIfTrue="1">
      <formula>AND(G150=0,G151=1,G152=1)</formula>
    </cfRule>
    <cfRule type="expression" dxfId="3723" priority="109" stopIfTrue="1">
      <formula>AND(G150=1,G152=1)</formula>
    </cfRule>
    <cfRule type="expression" dxfId="3722" priority="110" stopIfTrue="1">
      <formula>AND(G151=1,G150=0)</formula>
    </cfRule>
  </conditionalFormatting>
  <conditionalFormatting sqref="G150">
    <cfRule type="expression" dxfId="3721" priority="106" stopIfTrue="1">
      <formula>AND(G150=1,G151=1)</formula>
    </cfRule>
    <cfRule type="expression" dxfId="3720" priority="107" stopIfTrue="1">
      <formula>AND(G150=1,G149=0)</formula>
    </cfRule>
  </conditionalFormatting>
  <conditionalFormatting sqref="H147:M147">
    <cfRule type="expression" dxfId="3719" priority="103" stopIfTrue="1">
      <formula>$E147=0</formula>
    </cfRule>
    <cfRule type="expression" dxfId="3718" priority="104" stopIfTrue="1">
      <formula>ISERROR(H147)</formula>
    </cfRule>
    <cfRule type="expression" dxfId="3717" priority="105" stopIfTrue="1">
      <formula>$E147&lt;&gt;0</formula>
    </cfRule>
  </conditionalFormatting>
  <conditionalFormatting sqref="H145:M145">
    <cfRule type="expression" dxfId="3716" priority="100" stopIfTrue="1">
      <formula>AND(H144=0,H145=1,H146=1)</formula>
    </cfRule>
    <cfRule type="expression" dxfId="3715" priority="101" stopIfTrue="1">
      <formula>AND(H144=1,H146=1)</formula>
    </cfRule>
    <cfRule type="expression" dxfId="3714" priority="102" stopIfTrue="1">
      <formula>AND(H145=1,H144=0)</formula>
    </cfRule>
  </conditionalFormatting>
  <conditionalFormatting sqref="H146:M146">
    <cfRule type="expression" dxfId="3713" priority="98" stopIfTrue="1">
      <formula>AND(H146=1,H145=1)</formula>
    </cfRule>
    <cfRule type="expression" dxfId="3712" priority="99" stopIfTrue="1">
      <formula>AND(H146=1,H145=0)</formula>
    </cfRule>
  </conditionalFormatting>
  <conditionalFormatting sqref="H144:M144">
    <cfRule type="expression" dxfId="3711" priority="95" stopIfTrue="1">
      <formula>AND(H143=0,H144=1,H145=1)</formula>
    </cfRule>
    <cfRule type="expression" dxfId="3710" priority="96" stopIfTrue="1">
      <formula>AND(H143=1,H145=1)</formula>
    </cfRule>
    <cfRule type="expression" dxfId="3709" priority="97" stopIfTrue="1">
      <formula>AND(H144=1,H143=0)</formula>
    </cfRule>
  </conditionalFormatting>
  <conditionalFormatting sqref="H138:M143">
    <cfRule type="expression" dxfId="3708" priority="92" stopIfTrue="1">
      <formula>AND(H137=0,H138=1,H139=1)</formula>
    </cfRule>
    <cfRule type="expression" dxfId="3707" priority="93" stopIfTrue="1">
      <formula>AND(H137=1,H139=1)</formula>
    </cfRule>
    <cfRule type="expression" dxfId="3706" priority="94" stopIfTrue="1">
      <formula>AND(H138=1,H137=0)</formula>
    </cfRule>
  </conditionalFormatting>
  <conditionalFormatting sqref="H137:M137">
    <cfRule type="expression" dxfId="3705" priority="90" stopIfTrue="1">
      <formula>AND(H137=1,H138=1)</formula>
    </cfRule>
    <cfRule type="expression" dxfId="3704" priority="91" stopIfTrue="1">
      <formula>AND(H137=1,H136=0)</formula>
    </cfRule>
  </conditionalFormatting>
  <conditionalFormatting sqref="H160:M160">
    <cfRule type="expression" dxfId="3703" priority="87" stopIfTrue="1">
      <formula>$E160=0</formula>
    </cfRule>
    <cfRule type="expression" dxfId="3702" priority="88" stopIfTrue="1">
      <formula>ISERROR(H160)</formula>
    </cfRule>
    <cfRule type="expression" dxfId="3701" priority="89" stopIfTrue="1">
      <formula>$E160&lt;&gt;0</formula>
    </cfRule>
  </conditionalFormatting>
  <conditionalFormatting sqref="H158:M158">
    <cfRule type="expression" dxfId="3700" priority="84" stopIfTrue="1">
      <formula>AND(H157=0,H158=1,H159=1)</formula>
    </cfRule>
    <cfRule type="expression" dxfId="3699" priority="85" stopIfTrue="1">
      <formula>AND(H157=1,H159=1)</formula>
    </cfRule>
    <cfRule type="expression" dxfId="3698" priority="86" stopIfTrue="1">
      <formula>AND(H158=1,H157=0)</formula>
    </cfRule>
  </conditionalFormatting>
  <conditionalFormatting sqref="H159:M159">
    <cfRule type="expression" dxfId="3697" priority="82" stopIfTrue="1">
      <formula>AND(H159=1,H158=1)</formula>
    </cfRule>
    <cfRule type="expression" dxfId="3696" priority="83" stopIfTrue="1">
      <formula>AND(H159=1,H158=0)</formula>
    </cfRule>
  </conditionalFormatting>
  <conditionalFormatting sqref="H157:M157">
    <cfRule type="expression" dxfId="3695" priority="79" stopIfTrue="1">
      <formula>AND(H156=0,H157=1,H158=1)</formula>
    </cfRule>
    <cfRule type="expression" dxfId="3694" priority="80" stopIfTrue="1">
      <formula>AND(H156=1,H158=1)</formula>
    </cfRule>
    <cfRule type="expression" dxfId="3693" priority="81" stopIfTrue="1">
      <formula>AND(H157=1,H156=0)</formula>
    </cfRule>
  </conditionalFormatting>
  <conditionalFormatting sqref="H151:M156">
    <cfRule type="expression" dxfId="3692" priority="76" stopIfTrue="1">
      <formula>AND(H150=0,H151=1,H152=1)</formula>
    </cfRule>
    <cfRule type="expression" dxfId="3691" priority="77" stopIfTrue="1">
      <formula>AND(H150=1,H152=1)</formula>
    </cfRule>
    <cfRule type="expression" dxfId="3690" priority="78" stopIfTrue="1">
      <formula>AND(H151=1,H150=0)</formula>
    </cfRule>
  </conditionalFormatting>
  <conditionalFormatting sqref="H150:M150">
    <cfRule type="expression" dxfId="3689" priority="74" stopIfTrue="1">
      <formula>AND(H150=1,H151=1)</formula>
    </cfRule>
    <cfRule type="expression" dxfId="3688" priority="75" stopIfTrue="1">
      <formula>AND(H150=1,H149=0)</formula>
    </cfRule>
  </conditionalFormatting>
  <conditionalFormatting sqref="N133:O133 N135:O135">
    <cfRule type="containsBlanks" dxfId="3687" priority="73">
      <formula>LEN(TRIM(N133))=0</formula>
    </cfRule>
  </conditionalFormatting>
  <conditionalFormatting sqref="N132">
    <cfRule type="expression" dxfId="3686" priority="72">
      <formula>N133=""</formula>
    </cfRule>
  </conditionalFormatting>
  <conditionalFormatting sqref="N134">
    <cfRule type="expression" dxfId="3685" priority="71">
      <formula>N135=""</formula>
    </cfRule>
  </conditionalFormatting>
  <conditionalFormatting sqref="G173">
    <cfRule type="expression" dxfId="3684" priority="68" stopIfTrue="1">
      <formula>$E173=0</formula>
    </cfRule>
    <cfRule type="expression" dxfId="3683" priority="69" stopIfTrue="1">
      <formula>ISERROR(G173)</formula>
    </cfRule>
    <cfRule type="expression" dxfId="3682" priority="70" stopIfTrue="1">
      <formula>$E173&lt;&gt;0</formula>
    </cfRule>
  </conditionalFormatting>
  <conditionalFormatting sqref="G171">
    <cfRule type="expression" dxfId="3681" priority="62" stopIfTrue="1">
      <formula>AND(G170=0,G171=1,G172=1)</formula>
    </cfRule>
    <cfRule type="expression" dxfId="3680" priority="63" stopIfTrue="1">
      <formula>AND(G170=1,G172=1)</formula>
    </cfRule>
    <cfRule type="expression" dxfId="3679" priority="64" stopIfTrue="1">
      <formula>AND(G171=1,G170=0)</formula>
    </cfRule>
  </conditionalFormatting>
  <conditionalFormatting sqref="G170">
    <cfRule type="expression" dxfId="3678" priority="65" stopIfTrue="1">
      <formula>AND(G169=0,G170=1,G171=1)</formula>
    </cfRule>
    <cfRule type="expression" dxfId="3677" priority="66" stopIfTrue="1">
      <formula>AND(G169=1,G171=1)</formula>
    </cfRule>
    <cfRule type="expression" dxfId="3676" priority="67" stopIfTrue="1">
      <formula>AND(G170=1,G169=0)</formula>
    </cfRule>
  </conditionalFormatting>
  <conditionalFormatting sqref="G164:G169">
    <cfRule type="expression" dxfId="3675" priority="59" stopIfTrue="1">
      <formula>AND(G163=0,G164=1,G165=1)</formula>
    </cfRule>
    <cfRule type="expression" dxfId="3674" priority="60" stopIfTrue="1">
      <formula>AND(G163=1,G165=1)</formula>
    </cfRule>
    <cfRule type="expression" dxfId="3673" priority="61" stopIfTrue="1">
      <formula>AND(G164=1,G163=0)</formula>
    </cfRule>
  </conditionalFormatting>
  <conditionalFormatting sqref="G163">
    <cfRule type="expression" dxfId="3672" priority="57" stopIfTrue="1">
      <formula>AND(G163=1,G164=1)</formula>
    </cfRule>
    <cfRule type="expression" dxfId="3671" priority="58" stopIfTrue="1">
      <formula>AND(G163=1,G162=0)</formula>
    </cfRule>
  </conditionalFormatting>
  <conditionalFormatting sqref="G172">
    <cfRule type="expression" dxfId="3670" priority="55" stopIfTrue="1">
      <formula>AND(G172=1,G171=1)</formula>
    </cfRule>
    <cfRule type="expression" dxfId="3669" priority="56" stopIfTrue="1">
      <formula>AND(G172=1,G171=0)</formula>
    </cfRule>
  </conditionalFormatting>
  <conditionalFormatting sqref="H173:M173">
    <cfRule type="expression" dxfId="3668" priority="52" stopIfTrue="1">
      <formula>$E173=0</formula>
    </cfRule>
    <cfRule type="expression" dxfId="3667" priority="53" stopIfTrue="1">
      <formula>ISERROR(H173)</formula>
    </cfRule>
    <cfRule type="expression" dxfId="3666" priority="54" stopIfTrue="1">
      <formula>$E173&lt;&gt;0</formula>
    </cfRule>
  </conditionalFormatting>
  <conditionalFormatting sqref="H171:M171">
    <cfRule type="expression" dxfId="3665" priority="46" stopIfTrue="1">
      <formula>AND(H170=0,H171=1,H172=1)</formula>
    </cfRule>
    <cfRule type="expression" dxfId="3664" priority="47" stopIfTrue="1">
      <formula>AND(H170=1,H172=1)</formula>
    </cfRule>
    <cfRule type="expression" dxfId="3663" priority="48" stopIfTrue="1">
      <formula>AND(H171=1,H170=0)</formula>
    </cfRule>
  </conditionalFormatting>
  <conditionalFormatting sqref="H170:M170">
    <cfRule type="expression" dxfId="3662" priority="49" stopIfTrue="1">
      <formula>AND(H169=0,H170=1,H171=1)</formula>
    </cfRule>
    <cfRule type="expression" dxfId="3661" priority="50" stopIfTrue="1">
      <formula>AND(H169=1,H171=1)</formula>
    </cfRule>
    <cfRule type="expression" dxfId="3660" priority="51" stopIfTrue="1">
      <formula>AND(H170=1,H169=0)</formula>
    </cfRule>
  </conditionalFormatting>
  <conditionalFormatting sqref="H164:M169">
    <cfRule type="expression" dxfId="3659" priority="43" stopIfTrue="1">
      <formula>AND(H163=0,H164=1,H165=1)</formula>
    </cfRule>
    <cfRule type="expression" dxfId="3658" priority="44" stopIfTrue="1">
      <formula>AND(H163=1,H165=1)</formula>
    </cfRule>
    <cfRule type="expression" dxfId="3657" priority="45" stopIfTrue="1">
      <formula>AND(H164=1,H163=0)</formula>
    </cfRule>
  </conditionalFormatting>
  <conditionalFormatting sqref="H163:M163">
    <cfRule type="expression" dxfId="3656" priority="41" stopIfTrue="1">
      <formula>AND(H163=1,H164=1)</formula>
    </cfRule>
    <cfRule type="expression" dxfId="3655" priority="42" stopIfTrue="1">
      <formula>AND(H163=1,H162=0)</formula>
    </cfRule>
  </conditionalFormatting>
  <conditionalFormatting sqref="H172:M172">
    <cfRule type="expression" dxfId="3654" priority="39" stopIfTrue="1">
      <formula>AND(H172=1,H171=1)</formula>
    </cfRule>
    <cfRule type="expression" dxfId="3653" priority="40" stopIfTrue="1">
      <formula>AND(H172=1,H171=0)</formula>
    </cfRule>
  </conditionalFormatting>
  <conditionalFormatting sqref="E173:F173">
    <cfRule type="containsErrors" dxfId="3652" priority="38" stopIfTrue="1">
      <formula>ISERROR(E173)</formula>
    </cfRule>
  </conditionalFormatting>
  <conditionalFormatting sqref="AK8:AK38">
    <cfRule type="cellIs" dxfId="3651" priority="37" stopIfTrue="1" operator="equal">
      <formula>0</formula>
    </cfRule>
  </conditionalFormatting>
  <conditionalFormatting sqref="BA6:BG6">
    <cfRule type="cellIs" dxfId="3650" priority="35" stopIfTrue="1" operator="equal">
      <formula>$E$125</formula>
    </cfRule>
  </conditionalFormatting>
  <conditionalFormatting sqref="BA9:BG38 BB8:BG8">
    <cfRule type="cellIs" dxfId="3649" priority="34" stopIfTrue="1" operator="equal">
      <formula>0</formula>
    </cfRule>
  </conditionalFormatting>
  <conditionalFormatting sqref="BA8">
    <cfRule type="cellIs" dxfId="3648" priority="33" stopIfTrue="1" operator="equal">
      <formula>0</formula>
    </cfRule>
  </conditionalFormatting>
  <conditionalFormatting sqref="BA5:BG5">
    <cfRule type="cellIs" dxfId="3647" priority="32" stopIfTrue="1" operator="equal">
      <formula>$E$125</formula>
    </cfRule>
  </conditionalFormatting>
  <conditionalFormatting sqref="L3:N3">
    <cfRule type="cellIs" dxfId="3646" priority="31" stopIfTrue="1" operator="equal">
      <formula>0</formula>
    </cfRule>
  </conditionalFormatting>
  <conditionalFormatting sqref="BC3">
    <cfRule type="cellIs" dxfId="3645" priority="30" stopIfTrue="1" operator="equal">
      <formula>$E$125</formula>
    </cfRule>
  </conditionalFormatting>
  <conditionalFormatting sqref="BB66:BF66">
    <cfRule type="cellIs" dxfId="3644" priority="27" stopIfTrue="1" operator="equal">
      <formula>0</formula>
    </cfRule>
  </conditionalFormatting>
  <conditionalFormatting sqref="BB67:BF67">
    <cfRule type="cellIs" dxfId="3643" priority="26" stopIfTrue="1" operator="equal">
      <formula>0</formula>
    </cfRule>
  </conditionalFormatting>
  <conditionalFormatting sqref="BB64:BF64">
    <cfRule type="cellIs" dxfId="3642" priority="25" stopIfTrue="1" operator="equal">
      <formula>0</formula>
    </cfRule>
  </conditionalFormatting>
  <conditionalFormatting sqref="BB65:BF65">
    <cfRule type="cellIs" dxfId="3641" priority="24" stopIfTrue="1" operator="equal">
      <formula>0</formula>
    </cfRule>
  </conditionalFormatting>
  <conditionalFormatting sqref="BB63:BF63">
    <cfRule type="cellIs" dxfId="3640" priority="23" stopIfTrue="1" operator="equal">
      <formula>0</formula>
    </cfRule>
  </conditionalFormatting>
  <conditionalFormatting sqref="BA66">
    <cfRule type="cellIs" dxfId="3639" priority="22" stopIfTrue="1" operator="equal">
      <formula>0</formula>
    </cfRule>
  </conditionalFormatting>
  <conditionalFormatting sqref="BA67">
    <cfRule type="cellIs" dxfId="3638" priority="21" stopIfTrue="1" operator="equal">
      <formula>0</formula>
    </cfRule>
  </conditionalFormatting>
  <conditionalFormatting sqref="BA64">
    <cfRule type="cellIs" dxfId="3637" priority="20" stopIfTrue="1" operator="equal">
      <formula>0</formula>
    </cfRule>
  </conditionalFormatting>
  <conditionalFormatting sqref="BA65">
    <cfRule type="cellIs" dxfId="3636" priority="19" stopIfTrue="1" operator="equal">
      <formula>0</formula>
    </cfRule>
  </conditionalFormatting>
  <conditionalFormatting sqref="BA63">
    <cfRule type="cellIs" dxfId="3635" priority="18" stopIfTrue="1" operator="equal">
      <formula>0</formula>
    </cfRule>
  </conditionalFormatting>
  <conditionalFormatting sqref="BG66">
    <cfRule type="cellIs" dxfId="3634" priority="17" stopIfTrue="1" operator="equal">
      <formula>0</formula>
    </cfRule>
  </conditionalFormatting>
  <conditionalFormatting sqref="BG67">
    <cfRule type="cellIs" dxfId="3633" priority="16" stopIfTrue="1" operator="equal">
      <formula>0</formula>
    </cfRule>
  </conditionalFormatting>
  <conditionalFormatting sqref="BG64">
    <cfRule type="cellIs" dxfId="3632" priority="15" stopIfTrue="1" operator="equal">
      <formula>0</formula>
    </cfRule>
  </conditionalFormatting>
  <conditionalFormatting sqref="BG65">
    <cfRule type="cellIs" dxfId="3631" priority="14" stopIfTrue="1" operator="equal">
      <formula>0</formula>
    </cfRule>
  </conditionalFormatting>
  <conditionalFormatting sqref="BG63">
    <cfRule type="cellIs" dxfId="3630" priority="13" stopIfTrue="1" operator="equal">
      <formula>0</formula>
    </cfRule>
  </conditionalFormatting>
  <conditionalFormatting sqref="BB4:BG4">
    <cfRule type="cellIs" dxfId="3629" priority="12" stopIfTrue="1" operator="equal">
      <formula>0</formula>
    </cfRule>
  </conditionalFormatting>
  <conditionalFormatting sqref="BA4">
    <cfRule type="cellIs" dxfId="3628" priority="11" stopIfTrue="1" operator="equal">
      <formula>0</formula>
    </cfRule>
  </conditionalFormatting>
  <conditionalFormatting sqref="E8:F38">
    <cfRule type="expression" dxfId="3627" priority="3" stopIfTrue="1">
      <formula>$AE8=$AC$6</formula>
    </cfRule>
    <cfRule type="expression" dxfId="3626" priority="4" stopIfTrue="1">
      <formula>AND($AE8=0,$E8=0)</formula>
    </cfRule>
    <cfRule type="expression" dxfId="3625" priority="5" stopIfTrue="1">
      <formula>$AE8=0</formula>
    </cfRule>
  </conditionalFormatting>
  <conditionalFormatting sqref="G8:M38">
    <cfRule type="expression" dxfId="3624" priority="6" stopIfTrue="1">
      <formula>$AE8=$AC$6</formula>
    </cfRule>
    <cfRule type="expression" dxfId="3623" priority="7" stopIfTrue="1">
      <formula>OR($AE8=0,$E8=$E$129)</formula>
    </cfRule>
  </conditionalFormatting>
  <conditionalFormatting sqref="C8:D38">
    <cfRule type="expression" dxfId="3622" priority="2" stopIfTrue="1">
      <formula>$AE8=$AC$6</formula>
    </cfRule>
    <cfRule type="expression" dxfId="3621" priority="8" stopIfTrue="1">
      <formula>AND($L$199=0,OR($W8&lt;$B$129,$W8&gt;$B$130))</formula>
    </cfRule>
    <cfRule type="expression" dxfId="3620" priority="9" stopIfTrue="1">
      <formula>AND($AE8=0,$E8=0)</formula>
    </cfRule>
    <cfRule type="expression" dxfId="3619" priority="10" stopIfTrue="1">
      <formula>$AE8=0</formula>
    </cfRule>
  </conditionalFormatting>
  <conditionalFormatting sqref="N64">
    <cfRule type="expression" dxfId="3618"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CONCATENATE(IF(IMPOSTAZIONI!F205="","..",IMPOSTAZIONI!F205),"-",IF(IMPOSTAZIONI!F206="","..",IMPOSTAZIONI!F206),"-",IF(IMPOSTAZIONI!F207="","..",IMPOSTAZIONI!F207))</f>
        <v>..-..-..</v>
      </c>
      <c r="H1" s="167" t="str">
        <f>CONCATENATE(IF(IMPOSTAZIONI!K205="","..",IMPOSTAZIONI!K205),"-",IF(IMPOSTAZIONI!K206="","..",IMPOSTAZIONI!K206),"-",IF(IMPOSTAZIONI!K207="","..",IMPOSTAZIONI!K207))</f>
        <v>..-..-..</v>
      </c>
      <c r="I1" s="167" t="str">
        <f>CONCATENATE(IF(IMPOSTAZIONI!P205="","..",IMPOSTAZIONI!P205),"-",IF(IMPOSTAZIONI!P206="","..",IMPOSTAZIONI!P206),"-",IF(IMPOSTAZIONI!P207="","..",IMPOSTAZIONI!P207))</f>
        <v>..-..-..</v>
      </c>
      <c r="J1" s="167" t="str">
        <f>CONCATENATE(IF(IMPOSTAZIONI!U205="","..",IMPOSTAZIONI!U205),"-",IF(IMPOSTAZIONI!U206="","..",IMPOSTAZIONI!U206),"-",IF(IMPOSTAZIONI!U207="","..",IMPOSTAZIONI!U207))</f>
        <v>..-..-..</v>
      </c>
      <c r="K1" s="167" t="str">
        <f>CONCATENATE(IF(IMPOSTAZIONI!Z205="","..",IMPOSTAZIONI!Z205),"-",IF(IMPOSTAZIONI!Z206="","..",IMPOSTAZIONI!Z206),"-",IF(IMPOSTAZIONI!Z207="","..",IMPOSTAZIONI!Z207))</f>
        <v>..-..-..</v>
      </c>
      <c r="L1" s="167" t="str">
        <f>CONCATENATE(IF(IMPOSTAZIONI!AE205="","..",IMPOSTAZIONI!AE205),"-",IF(IMPOSTAZIONI!AE206="","..",IMPOSTAZIONI!AE206),"-",IF(IMPOSTAZIONI!AE207="","..",IMPOSTAZIONI!AE207))</f>
        <v>..-..-..</v>
      </c>
      <c r="M1" s="167" t="str">
        <f>CONCATENATE(IF(IMPOSTAZIONI!AJ205="","..",IMPOSTAZIONI!AJ205),"-",IF(IMPOSTAZIONI!AJ206="","..",IMPOSTAZIONI!AJ206),"-",IF(IMPOSTAZIONI!AJ207="","..",IMPOSTAZIONI!AJ207))</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329</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IF($I$199=0,"",IMPOSTAZIONI!G205)</f>
        <v/>
      </c>
      <c r="H4" s="183" t="str">
        <f>IF($I$199=0,"",IMPOSTAZIONI!L205)</f>
        <v/>
      </c>
      <c r="I4" s="183" t="str">
        <f>IF($I$199=0,"",IMPOSTAZIONI!Q205)</f>
        <v/>
      </c>
      <c r="J4" s="183" t="str">
        <f>IF($I$199=0,"",IMPOSTAZIONI!V205)</f>
        <v/>
      </c>
      <c r="K4" s="183" t="str">
        <f>IF($I$199=0,"",IMPOSTAZIONI!AA205)</f>
        <v/>
      </c>
      <c r="L4" s="183" t="str">
        <f>IF($I$199=0,"",IMPOSTAZIONI!AF205)</f>
        <v/>
      </c>
      <c r="M4" s="183" t="str">
        <f>IF($I$199=0,"",IMPOSTAZIONI!AK205)</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IF($I$199=0,"",IMPOSTAZIONI!G206)</f>
        <v/>
      </c>
      <c r="H5" s="823" t="str">
        <f>IF($I$199=0,"",IMPOSTAZIONI!L206)</f>
        <v/>
      </c>
      <c r="I5" s="823" t="str">
        <f>IF($I$199=0,"",IMPOSTAZIONI!Q206)</f>
        <v/>
      </c>
      <c r="J5" s="823" t="str">
        <f>IF($I$199=0,"",IMPOSTAZIONI!V206)</f>
        <v/>
      </c>
      <c r="K5" s="823" t="str">
        <f>IF($I$199=0,"",IMPOSTAZIONI!AA206)</f>
        <v/>
      </c>
      <c r="L5" s="823" t="str">
        <f>IF($I$199=0,"",IMPOSTAZIONI!AF206)</f>
        <v/>
      </c>
      <c r="M5" s="823" t="str">
        <f>IF($I$199=0,"",IMPOSTAZIONI!AK206)</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IF($I$199=0,"",IMPOSTAZIONI!G207)</f>
        <v/>
      </c>
      <c r="H6" s="40" t="str">
        <f>IF($I$199=0,"",IMPOSTAZIONI!L207)</f>
        <v/>
      </c>
      <c r="I6" s="40" t="str">
        <f>IF($I$199=0,"",IMPOSTAZIONI!Q207)</f>
        <v/>
      </c>
      <c r="J6" s="40" t="str">
        <f>IF($I$199=0,"",IMPOSTAZIONI!V207)</f>
        <v/>
      </c>
      <c r="K6" s="40" t="str">
        <f>IF($I$199=0,"",IMPOSTAZIONI!AA207)</f>
        <v/>
      </c>
      <c r="L6" s="40" t="str">
        <f>IF($I$199=0,"",IMPOSTAZIONI!AF207)</f>
        <v/>
      </c>
      <c r="M6" s="40" t="str">
        <f>IF($I$199=0,"",IMPOSTAZIONI!AK207)</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IMPOSTAZIONI!P273</f>
        <v>0</v>
      </c>
      <c r="F7" s="1999"/>
      <c r="G7" s="811">
        <f>IMPOSTAZIONI!$AU277</f>
        <v>0</v>
      </c>
      <c r="H7" s="811">
        <f>IMPOSTAZIONI!$AU278</f>
        <v>0</v>
      </c>
      <c r="I7" s="811">
        <f>IMPOSTAZIONI!$AU279</f>
        <v>0</v>
      </c>
      <c r="J7" s="811">
        <f>IMPOSTAZIONI!$AU280</f>
        <v>0</v>
      </c>
      <c r="K7" s="811">
        <f>IMPOSTAZIONI!$AU281</f>
        <v>0</v>
      </c>
      <c r="L7" s="811">
        <f>IMPOSTAZIONI!$AU282</f>
        <v>0</v>
      </c>
      <c r="M7" s="811">
        <f>IMPOSTAZIONI!$AU283</f>
        <v>0</v>
      </c>
      <c r="N7" s="1288"/>
      <c r="O7" s="57"/>
      <c r="P7" s="2044" t="s">
        <v>524</v>
      </c>
      <c r="Q7" s="2044"/>
      <c r="R7" s="2044"/>
      <c r="S7" s="2044"/>
      <c r="T7" s="2044"/>
      <c r="U7" s="2044"/>
      <c r="V7" s="2044"/>
      <c r="W7" s="285">
        <f>W8-1</f>
        <v>45443</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6</v>
      </c>
      <c r="E8" s="1994" t="str">
        <f t="shared" ref="E8:E37"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7" si="10">IF(AND($L$199=0,$W8&gt;$B$130),0,IF(G$123="X",0,ROUND(G8*P$6,2)))</f>
        <v>0</v>
      </c>
      <c r="Q8" s="487">
        <f t="shared" ref="Q8:Q37" si="11">IF(AND($L$199=0,$W8&gt;$B$130),0,IF(H$123="X",0,ROUND(H8*Q$6,2)))</f>
        <v>0</v>
      </c>
      <c r="R8" s="487">
        <f t="shared" ref="R8:R37" si="12">IF(AND($L$199=0,$W8&gt;$B$130),0,IF(I$123="X",0,ROUND(I8*R$6,2)))</f>
        <v>0</v>
      </c>
      <c r="S8" s="487">
        <f t="shared" ref="S8:S37" si="13">IF(AND($L$199=0,$W8&gt;$B$130),0,IF(J$123="X",0,ROUND(J8*S$6,2)))</f>
        <v>0</v>
      </c>
      <c r="T8" s="487">
        <f t="shared" ref="T8:T37" si="14">IF(AND($L$199=0,$W8&gt;$B$130),0,IF(K$123="X",0,ROUND(K8*T$6,2)))</f>
        <v>0</v>
      </c>
      <c r="U8" s="487">
        <f t="shared" ref="U8:U37" si="15">IF(AND($L$199=0,$W8&gt;$B$130),0,IF(L$123="X",0,ROUND(L8*U$6,2)))</f>
        <v>0</v>
      </c>
      <c r="V8" s="488">
        <f t="shared" ref="V8:V37" si="16">IF(AND($L$199=0,$W8&gt;$B$130),0,IF(M$123="X",0,ROUND(M8*V$6,2)))</f>
        <v>0</v>
      </c>
      <c r="W8" s="154">
        <f>DATE(C$6,D8,C8)</f>
        <v>45444</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7" si="18">SUMIF($G$120:$M$120,1,$X8:$AD8)-SUM(AG8:AJ8)</f>
        <v>0</v>
      </c>
      <c r="AG8" s="510">
        <f t="shared" ref="AG8:AG37" si="19">IF(AND($AF$6=1,$P$70&lt;&gt;0),$P$70/$P$65*SUMIF($G$120:$M$120,1,$X8:$AD8),0)</f>
        <v>0</v>
      </c>
      <c r="AH8" s="487">
        <f t="shared" ref="AH8:AH37" si="20">IF(AND($AF$6=1,$P$71&lt;&gt;0),$P$71/$P$65*SUMIF($G$120:$M$120,1,$X8:$AD8),0)</f>
        <v>0</v>
      </c>
      <c r="AI8" s="487">
        <f t="shared" ref="AI8:AI37" si="21">IF(AND($AF$6=1,$P$72&lt;&gt;0),$P$72/$P$65*SUMIF($G$120:$M$120,1,$X8:$AD8),0)</f>
        <v>0</v>
      </c>
      <c r="AJ8" s="511">
        <f t="shared" ref="AJ8:AJ37" si="22">IF(AND($AF$6=1,$P$73&lt;&gt;0),$P$73/$P$65*SUMIF($G$120:$M$120,1,$X8:$AD8),0)</f>
        <v>0</v>
      </c>
      <c r="AK8" s="1003">
        <f>IF(AND($L$199=0,OR($W8&lt;$B$129,$W8&gt;$B$130)),0,SUMIF($G$42:$M$42,$K$102,$G8:$M8))</f>
        <v>0</v>
      </c>
      <c r="AL8" s="509">
        <f>SUMIF($G$42:$M$42,$K$102,$X8:$AD8)</f>
        <v>0</v>
      </c>
      <c r="AM8" s="525">
        <f t="shared" ref="AM8:AM37" si="23">IF(G$42=$K$102,P8,0)</f>
        <v>0</v>
      </c>
      <c r="AN8" s="487">
        <f t="shared" ref="AN8:AN37" si="24">IF(H$42=$K$102,Q8,0)</f>
        <v>0</v>
      </c>
      <c r="AO8" s="487">
        <f t="shared" ref="AO8:AO37" si="25">IF(I$42=$K$102,R8,0)</f>
        <v>0</v>
      </c>
      <c r="AP8" s="487">
        <f t="shared" ref="AP8:AP37" si="26">IF(J$42=$K$102,S8,0)</f>
        <v>0</v>
      </c>
      <c r="AQ8" s="487">
        <f t="shared" ref="AQ8:AQ37" si="27">IF(K$42=$K$102,T8,0)</f>
        <v>0</v>
      </c>
      <c r="AR8" s="487">
        <f t="shared" ref="AR8:AR37" si="28">IF(L$42=$K$102,U8,0)</f>
        <v>0</v>
      </c>
      <c r="AS8" s="511">
        <f t="shared" ref="AS8:AS37" si="29">IF(M$42=$K$102,V8,0)</f>
        <v>0</v>
      </c>
      <c r="AT8" s="2"/>
      <c r="AU8" s="509">
        <f t="shared" ref="AU8:AU37" si="30">IF(AF8&lt;&gt;0,AF8*$R$66/100,0)</f>
        <v>0</v>
      </c>
      <c r="AV8" s="510">
        <f t="shared" ref="AV8:AV37" si="31">IF(AG8&lt;&gt;0,AG8*$R$70/100,0)</f>
        <v>0</v>
      </c>
      <c r="AW8" s="487">
        <f t="shared" ref="AW8:AW37" si="32">IF(AH8&lt;&gt;0,AH8*$R$71/100,0)</f>
        <v>0</v>
      </c>
      <c r="AX8" s="487">
        <f t="shared" ref="AX8:AX37" si="33">IF(AI8&lt;&gt;0,AI8*$R$72/100,0)</f>
        <v>0</v>
      </c>
      <c r="AY8" s="511">
        <f t="shared" ref="AY8:AY37" si="34">IF(AJ8&lt;&gt;0,AJ8*$R$73/100,0)</f>
        <v>0</v>
      </c>
      <c r="AZ8" s="1123" t="str">
        <f>IF(AND(W8&gt;=BA$3,W8&lt;=BB$3),"X","")</f>
        <v/>
      </c>
      <c r="BA8" s="1045">
        <f>IF(G$123=$E$124,$P$66/$P$65*X8,X8)</f>
        <v>0</v>
      </c>
      <c r="BB8" s="1046">
        <f t="shared" ref="BB8:BG37"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6</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45445</v>
      </c>
      <c r="X9" s="489">
        <f t="shared" ref="X9:X37" si="37">IF(AND($L$199=0,OR($W9&lt;$B$129,$W9&gt;$B$130)),0,IF(G$130=$N$130,G9+P9,G9-P9))</f>
        <v>0</v>
      </c>
      <c r="Y9" s="490">
        <f t="shared" ref="Y9:Y37" si="38">IF(AND($L$199=0,OR($W9&lt;$B$129,$W9&gt;$B$130)),0,IF(H$130=$N$130,H9+Q9,H9-Q9))</f>
        <v>0</v>
      </c>
      <c r="Z9" s="490">
        <f t="shared" ref="Z9:Z37" si="39">IF(AND($L$199=0,OR($W9&lt;$B$129,$W9&gt;$B$130)),0,IF(I$130=$N$130,I9+R9,I9-R9))</f>
        <v>0</v>
      </c>
      <c r="AA9" s="490">
        <f t="shared" ref="AA9:AA37" si="40">IF(AND($L$199=0,OR($W9&lt;$B$129,$W9&gt;$B$130)),0,IF(J$130=$N$130,J9+S9,J9-S9))</f>
        <v>0</v>
      </c>
      <c r="AB9" s="490">
        <f t="shared" ref="AB9:AB37" si="41">IF(AND($L$199=0,OR($W9&lt;$B$129,$W9&gt;$B$130)),0,IF(K$130=$N$130,K9+T9,K9-T9))</f>
        <v>0</v>
      </c>
      <c r="AC9" s="490">
        <f t="shared" ref="AC9:AC37" si="42">IF(AND($L$199=0,OR($W9&lt;$B$129,$W9&gt;$B$130)),0,IF(L$130=$N$130,L9+U9,L9-U9))</f>
        <v>0</v>
      </c>
      <c r="AD9" s="491">
        <f t="shared" ref="AD9:AD37"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7" si="44">IF(AND($L$199=0,OR($W9&lt;$B$129,$W9&gt;$B$130)),0,SUMIF($G$42:$M$42,$K$102,$G9:$M9))</f>
        <v>0</v>
      </c>
      <c r="AL9" s="512">
        <f t="shared" ref="AL9:AL37"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7" si="46">IF(AND(W9&gt;=BA$3,W9&lt;=BB$3),"X","")</f>
        <v/>
      </c>
      <c r="BA9" s="1048">
        <f t="shared" ref="BA9:BA37"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6</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7" si="49">W9+1</f>
        <v>45446</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6</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45447</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6</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45448</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6</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45449</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6</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45450</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6</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45451</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6</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45452</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6</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45453</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6</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45454</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6</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45455</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6</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45456</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6</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45457</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6</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45458</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6</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45459</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6</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45460</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6</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45461</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6</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45462</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6</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45463</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6</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45464</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6</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45465</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6</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45466</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6</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45467</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6</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45468</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6</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45469</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6</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45470</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6</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45471</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6</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45472</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6</v>
      </c>
      <c r="E37" s="1959" t="str">
        <f t="shared" si="9"/>
        <v xml:space="preserve">disattivato  </v>
      </c>
      <c r="F37" s="1960"/>
      <c r="G37" s="1309"/>
      <c r="H37" s="1309"/>
      <c r="I37" s="1309"/>
      <c r="J37" s="1309"/>
      <c r="K37" s="1309"/>
      <c r="L37" s="1309"/>
      <c r="M37" s="1309"/>
      <c r="N37" s="1310"/>
      <c r="O37" s="6"/>
      <c r="P37" s="492">
        <f t="shared" si="10"/>
        <v>0</v>
      </c>
      <c r="Q37" s="493">
        <f t="shared" si="11"/>
        <v>0</v>
      </c>
      <c r="R37" s="493">
        <f t="shared" si="12"/>
        <v>0</v>
      </c>
      <c r="S37" s="493">
        <f t="shared" si="13"/>
        <v>0</v>
      </c>
      <c r="T37" s="493">
        <f t="shared" si="14"/>
        <v>0</v>
      </c>
      <c r="U37" s="493">
        <f t="shared" si="15"/>
        <v>0</v>
      </c>
      <c r="V37" s="494">
        <f t="shared" si="16"/>
        <v>0</v>
      </c>
      <c r="W37" s="154">
        <f t="shared" si="49"/>
        <v>45473</v>
      </c>
      <c r="X37" s="492">
        <f t="shared" si="37"/>
        <v>0</v>
      </c>
      <c r="Y37" s="493">
        <f t="shared" si="38"/>
        <v>0</v>
      </c>
      <c r="Z37" s="493">
        <f t="shared" si="39"/>
        <v>0</v>
      </c>
      <c r="AA37" s="493">
        <f t="shared" si="40"/>
        <v>0</v>
      </c>
      <c r="AB37" s="493">
        <f t="shared" si="41"/>
        <v>0</v>
      </c>
      <c r="AC37" s="493">
        <f t="shared" si="42"/>
        <v>0</v>
      </c>
      <c r="AD37" s="494">
        <f t="shared" si="43"/>
        <v>0</v>
      </c>
      <c r="AE37" s="414">
        <f>VLOOKUP(W37,CASSA!$B$180:$C$545,2,FALSE)</f>
        <v>0</v>
      </c>
      <c r="AF37" s="515">
        <f t="shared" si="18"/>
        <v>0</v>
      </c>
      <c r="AG37" s="516">
        <f t="shared" si="19"/>
        <v>0</v>
      </c>
      <c r="AH37" s="493">
        <f t="shared" si="20"/>
        <v>0</v>
      </c>
      <c r="AI37" s="493">
        <f t="shared" si="21"/>
        <v>0</v>
      </c>
      <c r="AJ37" s="517">
        <f t="shared" si="22"/>
        <v>0</v>
      </c>
      <c r="AK37" s="1003">
        <f t="shared" si="44"/>
        <v>0</v>
      </c>
      <c r="AL37" s="515">
        <f t="shared" si="45"/>
        <v>0</v>
      </c>
      <c r="AM37" s="527">
        <f t="shared" si="23"/>
        <v>0</v>
      </c>
      <c r="AN37" s="493">
        <f t="shared" si="24"/>
        <v>0</v>
      </c>
      <c r="AO37" s="493">
        <f t="shared" si="25"/>
        <v>0</v>
      </c>
      <c r="AP37" s="493">
        <f t="shared" si="26"/>
        <v>0</v>
      </c>
      <c r="AQ37" s="493">
        <f t="shared" si="27"/>
        <v>0</v>
      </c>
      <c r="AR37" s="493">
        <f t="shared" si="28"/>
        <v>0</v>
      </c>
      <c r="AS37" s="517">
        <f t="shared" si="29"/>
        <v>0</v>
      </c>
      <c r="AT37" s="2"/>
      <c r="AU37" s="515">
        <f t="shared" si="30"/>
        <v>0</v>
      </c>
      <c r="AV37" s="516">
        <f t="shared" si="31"/>
        <v>0</v>
      </c>
      <c r="AW37" s="493">
        <f t="shared" si="32"/>
        <v>0</v>
      </c>
      <c r="AX37" s="493">
        <f t="shared" si="33"/>
        <v>0</v>
      </c>
      <c r="AY37" s="517">
        <f t="shared" si="34"/>
        <v>0</v>
      </c>
      <c r="AZ37" s="1123" t="str">
        <f t="shared" si="46"/>
        <v/>
      </c>
      <c r="BA37" s="1050">
        <f t="shared" si="47"/>
        <v>0</v>
      </c>
      <c r="BB37" s="1051">
        <f t="shared" si="35"/>
        <v>0</v>
      </c>
      <c r="BC37" s="1051">
        <f t="shared" si="35"/>
        <v>0</v>
      </c>
      <c r="BD37" s="1051">
        <f t="shared" si="35"/>
        <v>0</v>
      </c>
      <c r="BE37" s="1051">
        <f t="shared" si="35"/>
        <v>0</v>
      </c>
      <c r="BF37" s="1051">
        <f t="shared" si="35"/>
        <v>0</v>
      </c>
      <c r="BG37" s="1052">
        <f t="shared" si="35"/>
        <v>0</v>
      </c>
      <c r="BH37" s="2"/>
      <c r="BI37" s="1314"/>
      <c r="BJ37" s="2"/>
    </row>
    <row r="38" spans="1:62" ht="20.25" customHeight="1" x14ac:dyDescent="0.2">
      <c r="A38" s="2"/>
      <c r="B38" s="18">
        <v>31</v>
      </c>
      <c r="C38" s="801" t="str">
        <f t="shared" si="48"/>
        <v>--</v>
      </c>
      <c r="D38" s="802" t="str">
        <f t="shared" si="36"/>
        <v>--</v>
      </c>
      <c r="E38" s="2097"/>
      <c r="F38" s="2098"/>
      <c r="G38" s="1289"/>
      <c r="H38" s="1289"/>
      <c r="I38" s="1289"/>
      <c r="J38" s="1289"/>
      <c r="K38" s="1289"/>
      <c r="L38" s="1289"/>
      <c r="M38" s="1289"/>
      <c r="N38" s="1290"/>
      <c r="O38" s="6"/>
      <c r="P38" s="495"/>
      <c r="Q38" s="495"/>
      <c r="R38" s="495"/>
      <c r="S38" s="495"/>
      <c r="T38" s="495"/>
      <c r="U38" s="495"/>
      <c r="V38" s="495"/>
      <c r="W38" s="496"/>
      <c r="X38" s="495"/>
      <c r="Y38" s="495"/>
      <c r="Z38" s="495"/>
      <c r="AA38" s="495"/>
      <c r="AB38" s="495"/>
      <c r="AC38" s="495"/>
      <c r="AD38" s="495"/>
      <c r="AE38" s="414"/>
      <c r="AF38" s="2"/>
      <c r="AG38" s="2"/>
      <c r="AH38" s="2"/>
      <c r="AI38" s="2"/>
      <c r="AJ38" s="2"/>
      <c r="AK38" s="2"/>
      <c r="AL38" s="2"/>
      <c r="AM38" s="2"/>
      <c r="AN38" s="2"/>
      <c r="AO38" s="2"/>
      <c r="AP38" s="2"/>
      <c r="AQ38" s="2"/>
      <c r="AR38" s="2"/>
      <c r="AS38" s="2"/>
      <c r="AT38" s="2"/>
      <c r="AU38" s="2"/>
      <c r="AV38" s="2"/>
      <c r="AW38" s="2"/>
      <c r="AX38" s="2"/>
      <c r="AY38" s="2"/>
      <c r="AZ38" s="1123"/>
      <c r="BA38" s="2"/>
      <c r="BB38" s="2"/>
      <c r="BC38" s="2"/>
      <c r="BD38" s="2"/>
      <c r="BE38" s="2"/>
      <c r="BF38" s="2"/>
      <c r="BG38" s="2"/>
      <c r="BH38" s="2"/>
      <c r="BI38" s="1287"/>
      <c r="BJ38" s="2"/>
    </row>
    <row r="39" spans="1:62" ht="20.25" customHeight="1" x14ac:dyDescent="0.2">
      <c r="A39" s="2"/>
      <c r="B39" s="7"/>
      <c r="C39" s="1992" t="s">
        <v>244</v>
      </c>
      <c r="D39" s="1993"/>
      <c r="E39" s="1996">
        <f>IMPOSTAZIONI!S273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330</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6</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01/06 - 30/06</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IMPOSTAZIONI!AU298</f>
        <v>0</v>
      </c>
      <c r="I90" s="784">
        <f>IMPOSTAZIONI!AU299</f>
        <v>0</v>
      </c>
      <c r="J90" s="785">
        <f>IMPOSTAZIONI!AU300</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IMPOSTAZIONI!AZ298</f>
        <v>0</v>
      </c>
      <c r="I91" s="788">
        <f>IMPOSTAZIONI!AZ299</f>
        <v>0</v>
      </c>
      <c r="J91" s="789">
        <f>IMPOSTAZIONI!AZ300</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IF(IMPOSTAZIONI!T181=0,1,0)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IF(IMPOSTAZIONI!T182=0,1,0)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IF(IMPOSTAZIONI!T183=0,1,0)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18</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IMPOSTAZIONI!F206</f>
        <v/>
      </c>
      <c r="H124" s="803" t="str">
        <f>IMPOSTAZIONI!K206</f>
        <v/>
      </c>
      <c r="I124" s="803" t="str">
        <f>IMPOSTAZIONI!P206</f>
        <v/>
      </c>
      <c r="J124" s="803" t="str">
        <f>IMPOSTAZIONI!U206</f>
        <v/>
      </c>
      <c r="K124" s="803" t="str">
        <f>IMPOSTAZIONI!Z206</f>
        <v/>
      </c>
      <c r="L124" s="803" t="str">
        <f>IMPOSTAZIONI!AE206</f>
        <v/>
      </c>
      <c r="M124" s="803" t="str">
        <f>IMPOSTAZIONI!AJ206</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IMPOSTAZIONI!J206</f>
        <v>0</v>
      </c>
      <c r="H130" s="803">
        <f>IMPOSTAZIONI!O206</f>
        <v>0</v>
      </c>
      <c r="I130" s="803">
        <f>IMPOSTAZIONI!T206</f>
        <v>0</v>
      </c>
      <c r="J130" s="803">
        <f>IMPOSTAZIONI!Y206</f>
        <v>0</v>
      </c>
      <c r="K130" s="803">
        <f>IMPOSTAZIONI!AD206</f>
        <v>0</v>
      </c>
      <c r="L130" s="803">
        <f>IMPOSTAZIONI!AI206</f>
        <v>0</v>
      </c>
      <c r="M130" s="803">
        <f>IMPOSTAZIONI!AN206</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01/06 - 30/06</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01/01 - 30/06</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18</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T8QQO1V6hqGGXn23c4ut1FgTRwt1oQmElXhnDDYjImvtojUiR0ZwLmJeIXf6raIdxcBdbZwE2/FVa+rzRUmvew==" saltValue="S2ust5GQtzisLmT/8EfHYg==" spinCount="100000" sheet="1" objects="1" scenarios="1" selectLockedCells="1"/>
  <mergeCells count="133">
    <mergeCell ref="E15:F15"/>
    <mergeCell ref="E16:F16"/>
    <mergeCell ref="E17:F17"/>
    <mergeCell ref="E22:F22"/>
    <mergeCell ref="C43:D43"/>
    <mergeCell ref="H53:I53"/>
    <mergeCell ref="M50:N50"/>
    <mergeCell ref="M51:N51"/>
    <mergeCell ref="M52:N52"/>
    <mergeCell ref="M53:N53"/>
    <mergeCell ref="H50:K50"/>
    <mergeCell ref="J51:K52"/>
    <mergeCell ref="C46:D46"/>
    <mergeCell ref="C47:D47"/>
    <mergeCell ref="C48:D48"/>
    <mergeCell ref="C45:F45"/>
    <mergeCell ref="C44:F44"/>
    <mergeCell ref="E48:F48"/>
    <mergeCell ref="E46:F46"/>
    <mergeCell ref="E47:F47"/>
    <mergeCell ref="E43:F43"/>
    <mergeCell ref="AU7:AY7"/>
    <mergeCell ref="AM6:AS6"/>
    <mergeCell ref="C7:D7"/>
    <mergeCell ref="E7:F7"/>
    <mergeCell ref="C6:D6"/>
    <mergeCell ref="C4:D5"/>
    <mergeCell ref="AF7:AJ7"/>
    <mergeCell ref="E10:F10"/>
    <mergeCell ref="P7:V7"/>
    <mergeCell ref="E8:F8"/>
    <mergeCell ref="E4:F5"/>
    <mergeCell ref="J2:N2"/>
    <mergeCell ref="C62:D62"/>
    <mergeCell ref="C59:E59"/>
    <mergeCell ref="C56:D56"/>
    <mergeCell ref="C53:F53"/>
    <mergeCell ref="E29:F29"/>
    <mergeCell ref="E26:F26"/>
    <mergeCell ref="E24:F24"/>
    <mergeCell ref="E30:F30"/>
    <mergeCell ref="E31:F31"/>
    <mergeCell ref="E36:F36"/>
    <mergeCell ref="E27:F27"/>
    <mergeCell ref="E25:F25"/>
    <mergeCell ref="N5:N6"/>
    <mergeCell ref="C2:I2"/>
    <mergeCell ref="E19:F19"/>
    <mergeCell ref="E28:F28"/>
    <mergeCell ref="E20:F20"/>
    <mergeCell ref="E6:F6"/>
    <mergeCell ref="E18:F18"/>
    <mergeCell ref="E9:F9"/>
    <mergeCell ref="E11:F11"/>
    <mergeCell ref="C3:D3"/>
    <mergeCell ref="E3:H3"/>
    <mergeCell ref="C184:D184"/>
    <mergeCell ref="E184:F184"/>
    <mergeCell ref="C182:D182"/>
    <mergeCell ref="E182:F182"/>
    <mergeCell ref="C183:D183"/>
    <mergeCell ref="E183:F183"/>
    <mergeCell ref="N133:O133"/>
    <mergeCell ref="C174:J174"/>
    <mergeCell ref="C164:D165"/>
    <mergeCell ref="E164:E165"/>
    <mergeCell ref="C173:D173"/>
    <mergeCell ref="C163:D163"/>
    <mergeCell ref="C137:D137"/>
    <mergeCell ref="C151:D152"/>
    <mergeCell ref="E151:E152"/>
    <mergeCell ref="C138:D139"/>
    <mergeCell ref="E138:E139"/>
    <mergeCell ref="C149:F149"/>
    <mergeCell ref="C150:D150"/>
    <mergeCell ref="C162:H162"/>
    <mergeCell ref="N135:O135"/>
    <mergeCell ref="B129:D129"/>
    <mergeCell ref="K174:M174"/>
    <mergeCell ref="C160:D160"/>
    <mergeCell ref="E160:F160"/>
    <mergeCell ref="B130:D130"/>
    <mergeCell ref="E147:F147"/>
    <mergeCell ref="C134:D134"/>
    <mergeCell ref="E134:F134"/>
    <mergeCell ref="C136:F136"/>
    <mergeCell ref="C135:F135"/>
    <mergeCell ref="C147:D147"/>
    <mergeCell ref="E173:F173"/>
    <mergeCell ref="G119:M119"/>
    <mergeCell ref="C71:F71"/>
    <mergeCell ref="C70:F70"/>
    <mergeCell ref="N77:O77"/>
    <mergeCell ref="N78:O78"/>
    <mergeCell ref="C73:F73"/>
    <mergeCell ref="C72:F72"/>
    <mergeCell ref="C69:F69"/>
    <mergeCell ref="J53:K53"/>
    <mergeCell ref="J54:K54"/>
    <mergeCell ref="J55:K55"/>
    <mergeCell ref="J56:K56"/>
    <mergeCell ref="C65:D65"/>
    <mergeCell ref="C64:F64"/>
    <mergeCell ref="E62:F62"/>
    <mergeCell ref="C63:F63"/>
    <mergeCell ref="C54:F54"/>
    <mergeCell ref="C60:N60"/>
    <mergeCell ref="M56:N56"/>
    <mergeCell ref="E65:F65"/>
    <mergeCell ref="L3:N3"/>
    <mergeCell ref="C67:F67"/>
    <mergeCell ref="E38:F38"/>
    <mergeCell ref="E32:F32"/>
    <mergeCell ref="E35:F35"/>
    <mergeCell ref="E34:F34"/>
    <mergeCell ref="E33:F33"/>
    <mergeCell ref="C50:F50"/>
    <mergeCell ref="C51:F51"/>
    <mergeCell ref="C52:F52"/>
    <mergeCell ref="E56:F56"/>
    <mergeCell ref="C55:F55"/>
    <mergeCell ref="C57:F57"/>
    <mergeCell ref="C58:F58"/>
    <mergeCell ref="C39:D39"/>
    <mergeCell ref="C66:F66"/>
    <mergeCell ref="E37:F37"/>
    <mergeCell ref="I3:K3"/>
    <mergeCell ref="E21:F21"/>
    <mergeCell ref="E14:F14"/>
    <mergeCell ref="E12:F12"/>
    <mergeCell ref="E13:F13"/>
    <mergeCell ref="E23:F23"/>
    <mergeCell ref="E39:F39"/>
  </mergeCells>
  <phoneticPr fontId="24" type="noConversion"/>
  <conditionalFormatting sqref="C57 G57">
    <cfRule type="expression" dxfId="3617" priority="222" stopIfTrue="1">
      <formula>C58=0</formula>
    </cfRule>
  </conditionalFormatting>
  <conditionalFormatting sqref="G90:G91">
    <cfRule type="expression" dxfId="3616" priority="223" stopIfTrue="1">
      <formula>SUM($H90:$J90)=0</formula>
    </cfRule>
  </conditionalFormatting>
  <conditionalFormatting sqref="O182:O184 O147 O160 O173">
    <cfRule type="expression" dxfId="3615" priority="341" stopIfTrue="1">
      <formula>$N$44=""</formula>
    </cfRule>
    <cfRule type="expression" dxfId="3614" priority="342" stopIfTrue="1">
      <formula>$N$44=0</formula>
    </cfRule>
  </conditionalFormatting>
  <conditionalFormatting sqref="G182:M184">
    <cfRule type="expression" dxfId="3613" priority="343" stopIfTrue="1">
      <formula>ISERROR(G182)</formula>
    </cfRule>
    <cfRule type="cellIs" dxfId="3612" priority="344" stopIfTrue="1" operator="equal">
      <formula>0</formula>
    </cfRule>
  </conditionalFormatting>
  <conditionalFormatting sqref="G58 C58 AE8:AE38 G42:M42 E6:F6">
    <cfRule type="cellIs" dxfId="3611" priority="347" stopIfTrue="1" operator="equal">
      <formula>0</formula>
    </cfRule>
  </conditionalFormatting>
  <conditionalFormatting sqref="N77:N78">
    <cfRule type="expression" dxfId="3610" priority="348" stopIfTrue="1">
      <formula>$M$77=0</formula>
    </cfRule>
  </conditionalFormatting>
  <conditionalFormatting sqref="N63">
    <cfRule type="expression" dxfId="3609" priority="352" stopIfTrue="1">
      <formula>$N$44=""</formula>
    </cfRule>
  </conditionalFormatting>
  <conditionalFormatting sqref="E47:F48">
    <cfRule type="expression" dxfId="3608" priority="356" stopIfTrue="1">
      <formula>ISERROR(E47)</formula>
    </cfRule>
  </conditionalFormatting>
  <conditionalFormatting sqref="G135:M136 E164:E165 E138:E139 E147:F147 E151:E152 E160:F160">
    <cfRule type="expression" dxfId="3607" priority="357" stopIfTrue="1">
      <formula>ISERROR(E135)</formula>
    </cfRule>
  </conditionalFormatting>
  <conditionalFormatting sqref="G43:M43 G134:M134">
    <cfRule type="cellIs" dxfId="3606" priority="358" stopIfTrue="1" operator="equal">
      <formula>0</formula>
    </cfRule>
  </conditionalFormatting>
  <conditionalFormatting sqref="G123:M123">
    <cfRule type="cellIs" dxfId="3605" priority="363" stopIfTrue="1" operator="equal">
      <formula>0</formula>
    </cfRule>
  </conditionalFormatting>
  <conditionalFormatting sqref="X8:AD38 P8:V37 AF8:AJ37 AU8:AY37 AL8:AS37">
    <cfRule type="cellIs" dxfId="3604" priority="364" stopIfTrue="1" operator="equal">
      <formula>0</formula>
    </cfRule>
  </conditionalFormatting>
  <conditionalFormatting sqref="G68:M68 G74:M74 H107:H116">
    <cfRule type="cellIs" dxfId="3603" priority="367" stopIfTrue="1" operator="equal">
      <formula>"OK"</formula>
    </cfRule>
  </conditionalFormatting>
  <conditionalFormatting sqref="I107:I116">
    <cfRule type="cellIs" dxfId="3602" priority="368" stopIfTrue="1" operator="greaterThan">
      <formula>0</formula>
    </cfRule>
  </conditionalFormatting>
  <conditionalFormatting sqref="G125:M126">
    <cfRule type="cellIs" dxfId="3601" priority="371" stopIfTrue="1" operator="equal">
      <formula>$E$125</formula>
    </cfRule>
  </conditionalFormatting>
  <conditionalFormatting sqref="C162:H162">
    <cfRule type="expression" dxfId="3600" priority="376" stopIfTrue="1">
      <formula>ISERROR($C$162)</formula>
    </cfRule>
  </conditionalFormatting>
  <conditionalFormatting sqref="E46:F46">
    <cfRule type="expression" dxfId="3599" priority="380" stopIfTrue="1">
      <formula>ISERROR($E$46)</formula>
    </cfRule>
  </conditionalFormatting>
  <conditionalFormatting sqref="C60">
    <cfRule type="expression" dxfId="3598" priority="414" stopIfTrue="1">
      <formula>SUM($G$118:$M$118)=0</formula>
    </cfRule>
  </conditionalFormatting>
  <conditionalFormatting sqref="G120:M120">
    <cfRule type="cellIs" dxfId="3597" priority="220" operator="equal">
      <formula>0</formula>
    </cfRule>
  </conditionalFormatting>
  <conditionalFormatting sqref="N65:N67 C66:F67">
    <cfRule type="expression" dxfId="3596" priority="218" stopIfTrue="1">
      <formula>SUM($G$120:$M$120)=0</formula>
    </cfRule>
  </conditionalFormatting>
  <conditionalFormatting sqref="G65:M65">
    <cfRule type="expression" dxfId="3595" priority="217">
      <formula>$D$120=0</formula>
    </cfRule>
    <cfRule type="cellIs" dxfId="3594" priority="219" operator="equal">
      <formula>0</formula>
    </cfRule>
  </conditionalFormatting>
  <conditionalFormatting sqref="G62:M62">
    <cfRule type="expression" dxfId="3593" priority="2712" stopIfTrue="1">
      <formula>AND(G$123="X",G$62&lt;&gt;"")</formula>
    </cfRule>
  </conditionalFormatting>
  <conditionalFormatting sqref="G66:M66">
    <cfRule type="expression" dxfId="3592" priority="2739">
      <formula>AND(G$66&lt;&gt;0,G$68=$O$120)</formula>
    </cfRule>
    <cfRule type="expression" dxfId="3591" priority="2740">
      <formula>$D$120=0</formula>
    </cfRule>
  </conditionalFormatting>
  <conditionalFormatting sqref="G67:M67">
    <cfRule type="expression" dxfId="3590" priority="2741">
      <formula>AND(G$67&lt;&gt;0,G$68=$O$120)</formula>
    </cfRule>
    <cfRule type="expression" dxfId="3589" priority="2742">
      <formula>$D$120=0</formula>
    </cfRule>
  </conditionalFormatting>
  <conditionalFormatting sqref="G73:M73">
    <cfRule type="expression" dxfId="3588" priority="2743">
      <formula>AND(G$73&lt;&gt;0,G$74=$O$120)</formula>
    </cfRule>
    <cfRule type="expression" dxfId="3587" priority="2744">
      <formula>$D$120=0</formula>
    </cfRule>
  </conditionalFormatting>
  <conditionalFormatting sqref="G70:M70">
    <cfRule type="expression" dxfId="3586" priority="2745">
      <formula>AND(G$70&lt;&gt;0,G$74=$O$120)</formula>
    </cfRule>
    <cfRule type="expression" dxfId="3585" priority="2746">
      <formula>$D$120=0</formula>
    </cfRule>
  </conditionalFormatting>
  <conditionalFormatting sqref="G71:M71">
    <cfRule type="expression" dxfId="3584" priority="2747">
      <formula>AND(G$71&lt;&gt;0,G$74=$O$120)</formula>
    </cfRule>
    <cfRule type="expression" dxfId="3583" priority="2748">
      <formula>$D$120=0</formula>
    </cfRule>
  </conditionalFormatting>
  <conditionalFormatting sqref="G72:M72">
    <cfRule type="expression" dxfId="3582" priority="2749">
      <formula>AND(G$72&lt;&gt;0,G$74=$O$120)</formula>
    </cfRule>
    <cfRule type="expression" dxfId="3581" priority="2750">
      <formula>$D$120=0</formula>
    </cfRule>
  </conditionalFormatting>
  <conditionalFormatting sqref="N70:N73">
    <cfRule type="expression" dxfId="3580" priority="2751" stopIfTrue="1">
      <formula>$D$120=0</formula>
    </cfRule>
    <cfRule type="expression" dxfId="3579" priority="2752" stopIfTrue="1">
      <formula>$B70=""</formula>
    </cfRule>
  </conditionalFormatting>
  <conditionalFormatting sqref="C95 P95">
    <cfRule type="expression" dxfId="3578" priority="3018" stopIfTrue="1">
      <formula>ISERROR($H$199)</formula>
    </cfRule>
  </conditionalFormatting>
  <conditionalFormatting sqref="C2:J2">
    <cfRule type="expression" dxfId="3577" priority="3019" stopIfTrue="1">
      <formula>$I$199=0</formula>
    </cfRule>
  </conditionalFormatting>
  <conditionalFormatting sqref="N136:O136">
    <cfRule type="expression" dxfId="3576" priority="3305" stopIfTrue="1">
      <formula>$N$5=#REF!</formula>
    </cfRule>
    <cfRule type="expression" dxfId="3575" priority="3306" stopIfTrue="1">
      <formula>$N$44=0</formula>
    </cfRule>
  </conditionalFormatting>
  <conditionalFormatting sqref="N5">
    <cfRule type="expression" dxfId="3574" priority="3319" stopIfTrue="1">
      <formula>#REF!=""</formula>
    </cfRule>
    <cfRule type="cellIs" dxfId="3573" priority="3320" stopIfTrue="1" operator="equal">
      <formula>0</formula>
    </cfRule>
    <cfRule type="expression" dxfId="3572" priority="3321" stopIfTrue="1">
      <formula>$N$5=#REF!</formula>
    </cfRule>
  </conditionalFormatting>
  <conditionalFormatting sqref="H85:J87">
    <cfRule type="expression" dxfId="3571" priority="189">
      <formula>AND($E$103=3,$J$112=3)</formula>
    </cfRule>
    <cfRule type="cellIs" dxfId="3570" priority="190" operator="equal">
      <formula>0</formula>
    </cfRule>
  </conditionalFormatting>
  <conditionalFormatting sqref="H90:J91">
    <cfRule type="expression" dxfId="3569" priority="187">
      <formula>AND($E$103=3,$J$112=3)</formula>
    </cfRule>
    <cfRule type="cellIs" dxfId="3568" priority="188" operator="equal">
      <formula>0</formula>
    </cfRule>
  </conditionalFormatting>
  <conditionalFormatting sqref="K90:K91">
    <cfRule type="expression" dxfId="3567" priority="186">
      <formula>AND($E$103=3,$J$112=3)</formula>
    </cfRule>
  </conditionalFormatting>
  <conditionalFormatting sqref="M90:M91">
    <cfRule type="expression" dxfId="3566" priority="185">
      <formula>AND($E$103=3,$J$112=3)</formula>
    </cfRule>
  </conditionalFormatting>
  <conditionalFormatting sqref="M79:M89">
    <cfRule type="expression" dxfId="3565" priority="184">
      <formula>AND($E$103=3,$J$112=3)</formula>
    </cfRule>
  </conditionalFormatting>
  <conditionalFormatting sqref="M77:M78">
    <cfRule type="expression" dxfId="3564" priority="183">
      <formula>AND($E$103=3,$J$112=3)</formula>
    </cfRule>
  </conditionalFormatting>
  <conditionalFormatting sqref="L91">
    <cfRule type="expression" dxfId="3563" priority="182">
      <formula>AND($E$103=3,$J$112=3)</formula>
    </cfRule>
  </conditionalFormatting>
  <conditionalFormatting sqref="L77:L78">
    <cfRule type="expression" dxfId="3562" priority="181">
      <formula>AND($E$103=3,$J$112=3)</formula>
    </cfRule>
  </conditionalFormatting>
  <conditionalFormatting sqref="G76:G81">
    <cfRule type="expression" dxfId="3561" priority="180">
      <formula>AND($E$103=3,$J$112=3)</formula>
    </cfRule>
  </conditionalFormatting>
  <conditionalFormatting sqref="G44:M45">
    <cfRule type="cellIs" dxfId="3560" priority="179" operator="equal">
      <formula>0</formula>
    </cfRule>
  </conditionalFormatting>
  <conditionalFormatting sqref="E39:N39">
    <cfRule type="expression" dxfId="3559" priority="178">
      <formula>ISERROR($H$199)</formula>
    </cfRule>
  </conditionalFormatting>
  <conditionalFormatting sqref="E7:N7">
    <cfRule type="expression" dxfId="3558" priority="177">
      <formula>ISERROR($H$199)</formula>
    </cfRule>
  </conditionalFormatting>
  <conditionalFormatting sqref="G47:M47">
    <cfRule type="expression" dxfId="3557" priority="168" stopIfTrue="1">
      <formula>ISERROR(G47)</formula>
    </cfRule>
    <cfRule type="expression" dxfId="3556" priority="169" stopIfTrue="1">
      <formula>G$42=$K$102</formula>
    </cfRule>
    <cfRule type="expression" dxfId="3555" priority="170" stopIfTrue="1">
      <formula>AND(G$46&gt;0,OR(G$68=$E$120,G$68=$N$120))</formula>
    </cfRule>
    <cfRule type="cellIs" dxfId="3554" priority="171" operator="equal">
      <formula>0</formula>
    </cfRule>
  </conditionalFormatting>
  <conditionalFormatting sqref="G48:M48">
    <cfRule type="expression" dxfId="3553" priority="167" stopIfTrue="1">
      <formula>ISERROR(G48)</formula>
    </cfRule>
    <cfRule type="expression" dxfId="3552" priority="172" stopIfTrue="1">
      <formula>G$42=$K$102</formula>
    </cfRule>
    <cfRule type="expression" dxfId="3551" priority="173" stopIfTrue="1">
      <formula>AND(G$46&gt;0,OR(G$68=$E$120,G$68=$N$120,COUNTIF($C$70:$F$73,"ERROR")&gt;0,G$74=$E$120,G$74=$N$120))</formula>
    </cfRule>
    <cfRule type="cellIs" dxfId="3550" priority="174" operator="equal">
      <formula>0</formula>
    </cfRule>
  </conditionalFormatting>
  <conditionalFormatting sqref="G130:M130">
    <cfRule type="cellIs" dxfId="3549" priority="166" stopIfTrue="1" operator="equal">
      <formula>0</formula>
    </cfRule>
  </conditionalFormatting>
  <conditionalFormatting sqref="G4:M4">
    <cfRule type="cellIs" dxfId="3548" priority="165" operator="equal">
      <formula>0</formula>
    </cfRule>
  </conditionalFormatting>
  <conditionalFormatting sqref="N130">
    <cfRule type="cellIs" dxfId="3547" priority="164" stopIfTrue="1" operator="equal">
      <formula>0</formula>
    </cfRule>
  </conditionalFormatting>
  <conditionalFormatting sqref="G63">
    <cfRule type="expression" dxfId="3546" priority="161">
      <formula>ISERROR(G46)</formula>
    </cfRule>
    <cfRule type="cellIs" dxfId="3545" priority="163" operator="equal">
      <formula>0</formula>
    </cfRule>
  </conditionalFormatting>
  <conditionalFormatting sqref="G64">
    <cfRule type="expression" dxfId="3544" priority="160">
      <formula>ISERROR(G46)</formula>
    </cfRule>
    <cfRule type="cellIs" dxfId="3543" priority="162" operator="equal">
      <formula>0</formula>
    </cfRule>
  </conditionalFormatting>
  <conditionalFormatting sqref="H63:M63">
    <cfRule type="expression" dxfId="3542" priority="157">
      <formula>ISERROR(H46)</formula>
    </cfRule>
    <cfRule type="cellIs" dxfId="3541" priority="159" operator="equal">
      <formula>0</formula>
    </cfRule>
  </conditionalFormatting>
  <conditionalFormatting sqref="H64:M64">
    <cfRule type="expression" dxfId="3540" priority="156">
      <formula>ISERROR(H46)</formula>
    </cfRule>
    <cfRule type="cellIs" dxfId="3539" priority="158" operator="equal">
      <formula>0</formula>
    </cfRule>
  </conditionalFormatting>
  <conditionalFormatting sqref="C70:F73">
    <cfRule type="cellIs" dxfId="3538" priority="150" stopIfTrue="1" operator="equal">
      <formula>"ERROR"</formula>
    </cfRule>
    <cfRule type="cellIs" dxfId="3537" priority="151" stopIfTrue="1" operator="equal">
      <formula>0</formula>
    </cfRule>
    <cfRule type="expression" dxfId="3536" priority="152" stopIfTrue="1">
      <formula>SUM($G$120:$M$120)=0</formula>
    </cfRule>
  </conditionalFormatting>
  <conditionalFormatting sqref="G49">
    <cfRule type="cellIs" dxfId="3535" priority="149" operator="equal">
      <formula>$E$130</formula>
    </cfRule>
  </conditionalFormatting>
  <conditionalFormatting sqref="H49:M49">
    <cfRule type="cellIs" dxfId="3534" priority="148" operator="equal">
      <formula>$E$130</formula>
    </cfRule>
  </conditionalFormatting>
  <conditionalFormatting sqref="C38:D38">
    <cfRule type="expression" dxfId="3533" priority="5967" stopIfTrue="1">
      <formula>$AE38=$AC$6</formula>
    </cfRule>
    <cfRule type="expression" dxfId="3532" priority="5968" stopIfTrue="1">
      <formula>AND($L$199=0,OR($W38&lt;$B$129,$W38&gt;$B$130))</formula>
    </cfRule>
    <cfRule type="expression" dxfId="3531" priority="5969" stopIfTrue="1">
      <formula>AND($AE38=0,$E38=0)</formula>
    </cfRule>
  </conditionalFormatting>
  <conditionalFormatting sqref="G46:M46">
    <cfRule type="expression" dxfId="3530" priority="5970" stopIfTrue="1">
      <formula>G$42=$K$102</formula>
    </cfRule>
    <cfRule type="expression" dxfId="3529" priority="5971" stopIfTrue="1">
      <formula>$I$199=0</formula>
    </cfRule>
  </conditionalFormatting>
  <conditionalFormatting sqref="H53:H54">
    <cfRule type="expression" dxfId="3528" priority="145" stopIfTrue="1">
      <formula>ISERROR($G$123)</formula>
    </cfRule>
    <cfRule type="expression" dxfId="3527" priority="146" stopIfTrue="1">
      <formula>ISERROR(H53)</formula>
    </cfRule>
  </conditionalFormatting>
  <conditionalFormatting sqref="H51:I52">
    <cfRule type="expression" dxfId="3526" priority="147" stopIfTrue="1">
      <formula>ISERROR(H51)</formula>
    </cfRule>
  </conditionalFormatting>
  <conditionalFormatting sqref="I54">
    <cfRule type="expression" dxfId="3525" priority="143" stopIfTrue="1">
      <formula>ISERROR($G$123)</formula>
    </cfRule>
    <cfRule type="expression" dxfId="3524" priority="144" stopIfTrue="1">
      <formula>ISERROR(I54)</formula>
    </cfRule>
  </conditionalFormatting>
  <conditionalFormatting sqref="H56:I56">
    <cfRule type="expression" dxfId="3523" priority="142" stopIfTrue="1">
      <formula>ISERROR(H56)</formula>
    </cfRule>
  </conditionalFormatting>
  <conditionalFormatting sqref="H55">
    <cfRule type="expression" dxfId="3522" priority="140" stopIfTrue="1">
      <formula>ISERROR($G$123)</formula>
    </cfRule>
    <cfRule type="expression" dxfId="3521" priority="141" stopIfTrue="1">
      <formula>ISERROR(H55)</formula>
    </cfRule>
  </conditionalFormatting>
  <conditionalFormatting sqref="I55">
    <cfRule type="expression" dxfId="3520" priority="138" stopIfTrue="1">
      <formula>ISERROR($G$123)</formula>
    </cfRule>
    <cfRule type="expression" dxfId="3519" priority="139" stopIfTrue="1">
      <formula>ISERROR(I55)</formula>
    </cfRule>
  </conditionalFormatting>
  <conditionalFormatting sqref="G147">
    <cfRule type="expression" dxfId="3518" priority="135" stopIfTrue="1">
      <formula>$E147=0</formula>
    </cfRule>
    <cfRule type="expression" dxfId="3517" priority="136" stopIfTrue="1">
      <formula>ISERROR(G147)</formula>
    </cfRule>
    <cfRule type="expression" dxfId="3516" priority="137" stopIfTrue="1">
      <formula>$E147&lt;&gt;0</formula>
    </cfRule>
  </conditionalFormatting>
  <conditionalFormatting sqref="G145">
    <cfRule type="expression" dxfId="3515" priority="132" stopIfTrue="1">
      <formula>AND(G144=0,G145=1,G146=1)</formula>
    </cfRule>
    <cfRule type="expression" dxfId="3514" priority="133" stopIfTrue="1">
      <formula>AND(G144=1,G146=1)</formula>
    </cfRule>
    <cfRule type="expression" dxfId="3513" priority="134" stopIfTrue="1">
      <formula>AND(G145=1,G144=0)</formula>
    </cfRule>
  </conditionalFormatting>
  <conditionalFormatting sqref="G146">
    <cfRule type="expression" dxfId="3512" priority="130" stopIfTrue="1">
      <formula>AND(G146=1,G145=1)</formula>
    </cfRule>
    <cfRule type="expression" dxfId="3511" priority="131" stopIfTrue="1">
      <formula>AND(G146=1,G145=0)</formula>
    </cfRule>
  </conditionalFormatting>
  <conditionalFormatting sqref="G144">
    <cfRule type="expression" dxfId="3510" priority="127" stopIfTrue="1">
      <formula>AND(G143=0,G144=1,G145=1)</formula>
    </cfRule>
    <cfRule type="expression" dxfId="3509" priority="128" stopIfTrue="1">
      <formula>AND(G143=1,G145=1)</formula>
    </cfRule>
    <cfRule type="expression" dxfId="3508" priority="129" stopIfTrue="1">
      <formula>AND(G144=1,G143=0)</formula>
    </cfRule>
  </conditionalFormatting>
  <conditionalFormatting sqref="G138:G143">
    <cfRule type="expression" dxfId="3507" priority="124" stopIfTrue="1">
      <formula>AND(G137=0,G138=1,G139=1)</formula>
    </cfRule>
    <cfRule type="expression" dxfId="3506" priority="125" stopIfTrue="1">
      <formula>AND(G137=1,G139=1)</formula>
    </cfRule>
    <cfRule type="expression" dxfId="3505" priority="126" stopIfTrue="1">
      <formula>AND(G138=1,G137=0)</formula>
    </cfRule>
  </conditionalFormatting>
  <conditionalFormatting sqref="G137">
    <cfRule type="expression" dxfId="3504" priority="122" stopIfTrue="1">
      <formula>AND(G137=1,G138=1)</formula>
    </cfRule>
    <cfRule type="expression" dxfId="3503" priority="123" stopIfTrue="1">
      <formula>AND(G137=1,G136=0)</formula>
    </cfRule>
  </conditionalFormatting>
  <conditionalFormatting sqref="G160">
    <cfRule type="expression" dxfId="3502" priority="119" stopIfTrue="1">
      <formula>$E160=0</formula>
    </cfRule>
    <cfRule type="expression" dxfId="3501" priority="120" stopIfTrue="1">
      <formula>ISERROR(G160)</formula>
    </cfRule>
    <cfRule type="expression" dxfId="3500" priority="121" stopIfTrue="1">
      <formula>$E160&lt;&gt;0</formula>
    </cfRule>
  </conditionalFormatting>
  <conditionalFormatting sqref="G158">
    <cfRule type="expression" dxfId="3499" priority="116" stopIfTrue="1">
      <formula>AND(G157=0,G158=1,G159=1)</formula>
    </cfRule>
    <cfRule type="expression" dxfId="3498" priority="117" stopIfTrue="1">
      <formula>AND(G157=1,G159=1)</formula>
    </cfRule>
    <cfRule type="expression" dxfId="3497" priority="118" stopIfTrue="1">
      <formula>AND(G158=1,G157=0)</formula>
    </cfRule>
  </conditionalFormatting>
  <conditionalFormatting sqref="G159">
    <cfRule type="expression" dxfId="3496" priority="114" stopIfTrue="1">
      <formula>AND(G159=1,G158=1)</formula>
    </cfRule>
    <cfRule type="expression" dxfId="3495" priority="115" stopIfTrue="1">
      <formula>AND(G159=1,G158=0)</formula>
    </cfRule>
  </conditionalFormatting>
  <conditionalFormatting sqref="G157">
    <cfRule type="expression" dxfId="3494" priority="111" stopIfTrue="1">
      <formula>AND(G156=0,G157=1,G158=1)</formula>
    </cfRule>
    <cfRule type="expression" dxfId="3493" priority="112" stopIfTrue="1">
      <formula>AND(G156=1,G158=1)</formula>
    </cfRule>
    <cfRule type="expression" dxfId="3492" priority="113" stopIfTrue="1">
      <formula>AND(G157=1,G156=0)</formula>
    </cfRule>
  </conditionalFormatting>
  <conditionalFormatting sqref="G151:G156">
    <cfRule type="expression" dxfId="3491" priority="108" stopIfTrue="1">
      <formula>AND(G150=0,G151=1,G152=1)</formula>
    </cfRule>
    <cfRule type="expression" dxfId="3490" priority="109" stopIfTrue="1">
      <formula>AND(G150=1,G152=1)</formula>
    </cfRule>
    <cfRule type="expression" dxfId="3489" priority="110" stopIfTrue="1">
      <formula>AND(G151=1,G150=0)</formula>
    </cfRule>
  </conditionalFormatting>
  <conditionalFormatting sqref="G150">
    <cfRule type="expression" dxfId="3488" priority="106" stopIfTrue="1">
      <formula>AND(G150=1,G151=1)</formula>
    </cfRule>
    <cfRule type="expression" dxfId="3487" priority="107" stopIfTrue="1">
      <formula>AND(G150=1,G149=0)</formula>
    </cfRule>
  </conditionalFormatting>
  <conditionalFormatting sqref="H147:M147">
    <cfRule type="expression" dxfId="3486" priority="103" stopIfTrue="1">
      <formula>$E147=0</formula>
    </cfRule>
    <cfRule type="expression" dxfId="3485" priority="104" stopIfTrue="1">
      <formula>ISERROR(H147)</formula>
    </cfRule>
    <cfRule type="expression" dxfId="3484" priority="105" stopIfTrue="1">
      <formula>$E147&lt;&gt;0</formula>
    </cfRule>
  </conditionalFormatting>
  <conditionalFormatting sqref="H145:M145">
    <cfRule type="expression" dxfId="3483" priority="100" stopIfTrue="1">
      <formula>AND(H144=0,H145=1,H146=1)</formula>
    </cfRule>
    <cfRule type="expression" dxfId="3482" priority="101" stopIfTrue="1">
      <formula>AND(H144=1,H146=1)</formula>
    </cfRule>
    <cfRule type="expression" dxfId="3481" priority="102" stopIfTrue="1">
      <formula>AND(H145=1,H144=0)</formula>
    </cfRule>
  </conditionalFormatting>
  <conditionalFormatting sqref="H146:M146">
    <cfRule type="expression" dxfId="3480" priority="98" stopIfTrue="1">
      <formula>AND(H146=1,H145=1)</formula>
    </cfRule>
    <cfRule type="expression" dxfId="3479" priority="99" stopIfTrue="1">
      <formula>AND(H146=1,H145=0)</formula>
    </cfRule>
  </conditionalFormatting>
  <conditionalFormatting sqref="H144:M144">
    <cfRule type="expression" dxfId="3478" priority="95" stopIfTrue="1">
      <formula>AND(H143=0,H144=1,H145=1)</formula>
    </cfRule>
    <cfRule type="expression" dxfId="3477" priority="96" stopIfTrue="1">
      <formula>AND(H143=1,H145=1)</formula>
    </cfRule>
    <cfRule type="expression" dxfId="3476" priority="97" stopIfTrue="1">
      <formula>AND(H144=1,H143=0)</formula>
    </cfRule>
  </conditionalFormatting>
  <conditionalFormatting sqref="H138:M143">
    <cfRule type="expression" dxfId="3475" priority="92" stopIfTrue="1">
      <formula>AND(H137=0,H138=1,H139=1)</formula>
    </cfRule>
    <cfRule type="expression" dxfId="3474" priority="93" stopIfTrue="1">
      <formula>AND(H137=1,H139=1)</formula>
    </cfRule>
    <cfRule type="expression" dxfId="3473" priority="94" stopIfTrue="1">
      <formula>AND(H138=1,H137=0)</formula>
    </cfRule>
  </conditionalFormatting>
  <conditionalFormatting sqref="H137:M137">
    <cfRule type="expression" dxfId="3472" priority="90" stopIfTrue="1">
      <formula>AND(H137=1,H138=1)</formula>
    </cfRule>
    <cfRule type="expression" dxfId="3471" priority="91" stopIfTrue="1">
      <formula>AND(H137=1,H136=0)</formula>
    </cfRule>
  </conditionalFormatting>
  <conditionalFormatting sqref="H160:M160">
    <cfRule type="expression" dxfId="3470" priority="87" stopIfTrue="1">
      <formula>$E160=0</formula>
    </cfRule>
    <cfRule type="expression" dxfId="3469" priority="88" stopIfTrue="1">
      <formula>ISERROR(H160)</formula>
    </cfRule>
    <cfRule type="expression" dxfId="3468" priority="89" stopIfTrue="1">
      <formula>$E160&lt;&gt;0</formula>
    </cfRule>
  </conditionalFormatting>
  <conditionalFormatting sqref="H158:M158">
    <cfRule type="expression" dxfId="3467" priority="84" stopIfTrue="1">
      <formula>AND(H157=0,H158=1,H159=1)</formula>
    </cfRule>
    <cfRule type="expression" dxfId="3466" priority="85" stopIfTrue="1">
      <formula>AND(H157=1,H159=1)</formula>
    </cfRule>
    <cfRule type="expression" dxfId="3465" priority="86" stopIfTrue="1">
      <formula>AND(H158=1,H157=0)</formula>
    </cfRule>
  </conditionalFormatting>
  <conditionalFormatting sqref="H159:M159">
    <cfRule type="expression" dxfId="3464" priority="82" stopIfTrue="1">
      <formula>AND(H159=1,H158=1)</formula>
    </cfRule>
    <cfRule type="expression" dxfId="3463" priority="83" stopIfTrue="1">
      <formula>AND(H159=1,H158=0)</formula>
    </cfRule>
  </conditionalFormatting>
  <conditionalFormatting sqref="H157:M157">
    <cfRule type="expression" dxfId="3462" priority="79" stopIfTrue="1">
      <formula>AND(H156=0,H157=1,H158=1)</formula>
    </cfRule>
    <cfRule type="expression" dxfId="3461" priority="80" stopIfTrue="1">
      <formula>AND(H156=1,H158=1)</formula>
    </cfRule>
    <cfRule type="expression" dxfId="3460" priority="81" stopIfTrue="1">
      <formula>AND(H157=1,H156=0)</formula>
    </cfRule>
  </conditionalFormatting>
  <conditionalFormatting sqref="H151:M156">
    <cfRule type="expression" dxfId="3459" priority="76" stopIfTrue="1">
      <formula>AND(H150=0,H151=1,H152=1)</formula>
    </cfRule>
    <cfRule type="expression" dxfId="3458" priority="77" stopIfTrue="1">
      <formula>AND(H150=1,H152=1)</formula>
    </cfRule>
    <cfRule type="expression" dxfId="3457" priority="78" stopIfTrue="1">
      <formula>AND(H151=1,H150=0)</formula>
    </cfRule>
  </conditionalFormatting>
  <conditionalFormatting sqref="H150:M150">
    <cfRule type="expression" dxfId="3456" priority="74" stopIfTrue="1">
      <formula>AND(H150=1,H151=1)</formula>
    </cfRule>
    <cfRule type="expression" dxfId="3455" priority="75" stopIfTrue="1">
      <formula>AND(H150=1,H149=0)</formula>
    </cfRule>
  </conditionalFormatting>
  <conditionalFormatting sqref="N133:O133 N135:O135">
    <cfRule type="containsBlanks" dxfId="3454" priority="73">
      <formula>LEN(TRIM(N133))=0</formula>
    </cfRule>
  </conditionalFormatting>
  <conditionalFormatting sqref="N132">
    <cfRule type="expression" dxfId="3453" priority="72">
      <formula>N133=""</formula>
    </cfRule>
  </conditionalFormatting>
  <conditionalFormatting sqref="N134">
    <cfRule type="expression" dxfId="3452" priority="71">
      <formula>N135=""</formula>
    </cfRule>
  </conditionalFormatting>
  <conditionalFormatting sqref="G173">
    <cfRule type="expression" dxfId="3451" priority="68" stopIfTrue="1">
      <formula>$E173=0</formula>
    </cfRule>
    <cfRule type="expression" dxfId="3450" priority="69" stopIfTrue="1">
      <formula>ISERROR(G173)</formula>
    </cfRule>
    <cfRule type="expression" dxfId="3449" priority="70" stopIfTrue="1">
      <formula>$E173&lt;&gt;0</formula>
    </cfRule>
  </conditionalFormatting>
  <conditionalFormatting sqref="G171">
    <cfRule type="expression" dxfId="3448" priority="62" stopIfTrue="1">
      <formula>AND(G170=0,G171=1,G172=1)</formula>
    </cfRule>
    <cfRule type="expression" dxfId="3447" priority="63" stopIfTrue="1">
      <formula>AND(G170=1,G172=1)</formula>
    </cfRule>
    <cfRule type="expression" dxfId="3446" priority="64" stopIfTrue="1">
      <formula>AND(G171=1,G170=0)</formula>
    </cfRule>
  </conditionalFormatting>
  <conditionalFormatting sqref="G170">
    <cfRule type="expression" dxfId="3445" priority="65" stopIfTrue="1">
      <formula>AND(G169=0,G170=1,G171=1)</formula>
    </cfRule>
    <cfRule type="expression" dxfId="3444" priority="66" stopIfTrue="1">
      <formula>AND(G169=1,G171=1)</formula>
    </cfRule>
    <cfRule type="expression" dxfId="3443" priority="67" stopIfTrue="1">
      <formula>AND(G170=1,G169=0)</formula>
    </cfRule>
  </conditionalFormatting>
  <conditionalFormatting sqref="G164:G169">
    <cfRule type="expression" dxfId="3442" priority="59" stopIfTrue="1">
      <formula>AND(G163=0,G164=1,G165=1)</formula>
    </cfRule>
    <cfRule type="expression" dxfId="3441" priority="60" stopIfTrue="1">
      <formula>AND(G163=1,G165=1)</formula>
    </cfRule>
    <cfRule type="expression" dxfId="3440" priority="61" stopIfTrue="1">
      <formula>AND(G164=1,G163=0)</formula>
    </cfRule>
  </conditionalFormatting>
  <conditionalFormatting sqref="G163">
    <cfRule type="expression" dxfId="3439" priority="57" stopIfTrue="1">
      <formula>AND(G163=1,G164=1)</formula>
    </cfRule>
    <cfRule type="expression" dxfId="3438" priority="58" stopIfTrue="1">
      <formula>AND(G163=1,G162=0)</formula>
    </cfRule>
  </conditionalFormatting>
  <conditionalFormatting sqref="G172">
    <cfRule type="expression" dxfId="3437" priority="55" stopIfTrue="1">
      <formula>AND(G172=1,G171=1)</formula>
    </cfRule>
    <cfRule type="expression" dxfId="3436" priority="56" stopIfTrue="1">
      <formula>AND(G172=1,G171=0)</formula>
    </cfRule>
  </conditionalFormatting>
  <conditionalFormatting sqref="H173:M173">
    <cfRule type="expression" dxfId="3435" priority="52" stopIfTrue="1">
      <formula>$E173=0</formula>
    </cfRule>
    <cfRule type="expression" dxfId="3434" priority="53" stopIfTrue="1">
      <formula>ISERROR(H173)</formula>
    </cfRule>
    <cfRule type="expression" dxfId="3433" priority="54" stopIfTrue="1">
      <formula>$E173&lt;&gt;0</formula>
    </cfRule>
  </conditionalFormatting>
  <conditionalFormatting sqref="H171:M171">
    <cfRule type="expression" dxfId="3432" priority="46" stopIfTrue="1">
      <formula>AND(H170=0,H171=1,H172=1)</formula>
    </cfRule>
    <cfRule type="expression" dxfId="3431" priority="47" stopIfTrue="1">
      <formula>AND(H170=1,H172=1)</formula>
    </cfRule>
    <cfRule type="expression" dxfId="3430" priority="48" stopIfTrue="1">
      <formula>AND(H171=1,H170=0)</formula>
    </cfRule>
  </conditionalFormatting>
  <conditionalFormatting sqref="H170:M170">
    <cfRule type="expression" dxfId="3429" priority="49" stopIfTrue="1">
      <formula>AND(H169=0,H170=1,H171=1)</formula>
    </cfRule>
    <cfRule type="expression" dxfId="3428" priority="50" stopIfTrue="1">
      <formula>AND(H169=1,H171=1)</formula>
    </cfRule>
    <cfRule type="expression" dxfId="3427" priority="51" stopIfTrue="1">
      <formula>AND(H170=1,H169=0)</formula>
    </cfRule>
  </conditionalFormatting>
  <conditionalFormatting sqref="H164:M169">
    <cfRule type="expression" dxfId="3426" priority="43" stopIfTrue="1">
      <formula>AND(H163=0,H164=1,H165=1)</formula>
    </cfRule>
    <cfRule type="expression" dxfId="3425" priority="44" stopIfTrue="1">
      <formula>AND(H163=1,H165=1)</formula>
    </cfRule>
    <cfRule type="expression" dxfId="3424" priority="45" stopIfTrue="1">
      <formula>AND(H164=1,H163=0)</formula>
    </cfRule>
  </conditionalFormatting>
  <conditionalFormatting sqref="H163:M163">
    <cfRule type="expression" dxfId="3423" priority="41" stopIfTrue="1">
      <formula>AND(H163=1,H164=1)</formula>
    </cfRule>
    <cfRule type="expression" dxfId="3422" priority="42" stopIfTrue="1">
      <formula>AND(H163=1,H162=0)</formula>
    </cfRule>
  </conditionalFormatting>
  <conditionalFormatting sqref="H172:M172">
    <cfRule type="expression" dxfId="3421" priority="39" stopIfTrue="1">
      <formula>AND(H172=1,H171=1)</formula>
    </cfRule>
    <cfRule type="expression" dxfId="3420" priority="40" stopIfTrue="1">
      <formula>AND(H172=1,H171=0)</formula>
    </cfRule>
  </conditionalFormatting>
  <conditionalFormatting sqref="E173:F173">
    <cfRule type="containsErrors" dxfId="3419" priority="38" stopIfTrue="1">
      <formula>ISERROR(E173)</formula>
    </cfRule>
  </conditionalFormatting>
  <conditionalFormatting sqref="AK8:AK37">
    <cfRule type="cellIs" dxfId="3418" priority="37" stopIfTrue="1" operator="equal">
      <formula>0</formula>
    </cfRule>
  </conditionalFormatting>
  <conditionalFormatting sqref="BA6:BG6">
    <cfRule type="cellIs" dxfId="3417" priority="35" stopIfTrue="1" operator="equal">
      <formula>$E$125</formula>
    </cfRule>
  </conditionalFormatting>
  <conditionalFormatting sqref="BB8:BG8 BA9:BG37">
    <cfRule type="cellIs" dxfId="3416" priority="34" stopIfTrue="1" operator="equal">
      <formula>0</formula>
    </cfRule>
  </conditionalFormatting>
  <conditionalFormatting sqref="BA8">
    <cfRule type="cellIs" dxfId="3415" priority="33" stopIfTrue="1" operator="equal">
      <formula>0</formula>
    </cfRule>
  </conditionalFormatting>
  <conditionalFormatting sqref="BA5:BG5">
    <cfRule type="cellIs" dxfId="3414" priority="32" stopIfTrue="1" operator="equal">
      <formula>$E$125</formula>
    </cfRule>
  </conditionalFormatting>
  <conditionalFormatting sqref="L3:N3">
    <cfRule type="cellIs" dxfId="3413" priority="31" stopIfTrue="1" operator="equal">
      <formula>0</formula>
    </cfRule>
  </conditionalFormatting>
  <conditionalFormatting sqref="BC3">
    <cfRule type="cellIs" dxfId="3412" priority="30" stopIfTrue="1" operator="equal">
      <formula>$E$125</formula>
    </cfRule>
  </conditionalFormatting>
  <conditionalFormatting sqref="BB66:BF66">
    <cfRule type="cellIs" dxfId="3411" priority="27" stopIfTrue="1" operator="equal">
      <formula>0</formula>
    </cfRule>
  </conditionalFormatting>
  <conditionalFormatting sqref="BB67:BF67">
    <cfRule type="cellIs" dxfId="3410" priority="26" stopIfTrue="1" operator="equal">
      <formula>0</formula>
    </cfRule>
  </conditionalFormatting>
  <conditionalFormatting sqref="BB64:BF64">
    <cfRule type="cellIs" dxfId="3409" priority="25" stopIfTrue="1" operator="equal">
      <formula>0</formula>
    </cfRule>
  </conditionalFormatting>
  <conditionalFormatting sqref="BB65:BF65">
    <cfRule type="cellIs" dxfId="3408" priority="24" stopIfTrue="1" operator="equal">
      <formula>0</formula>
    </cfRule>
  </conditionalFormatting>
  <conditionalFormatting sqref="BB63:BF63">
    <cfRule type="cellIs" dxfId="3407" priority="23" stopIfTrue="1" operator="equal">
      <formula>0</formula>
    </cfRule>
  </conditionalFormatting>
  <conditionalFormatting sqref="BA66">
    <cfRule type="cellIs" dxfId="3406" priority="22" stopIfTrue="1" operator="equal">
      <formula>0</formula>
    </cfRule>
  </conditionalFormatting>
  <conditionalFormatting sqref="BA67">
    <cfRule type="cellIs" dxfId="3405" priority="21" stopIfTrue="1" operator="equal">
      <formula>0</formula>
    </cfRule>
  </conditionalFormatting>
  <conditionalFormatting sqref="BA64">
    <cfRule type="cellIs" dxfId="3404" priority="20" stopIfTrue="1" operator="equal">
      <formula>0</formula>
    </cfRule>
  </conditionalFormatting>
  <conditionalFormatting sqref="BA65">
    <cfRule type="cellIs" dxfId="3403" priority="19" stopIfTrue="1" operator="equal">
      <formula>0</formula>
    </cfRule>
  </conditionalFormatting>
  <conditionalFormatting sqref="BA63">
    <cfRule type="cellIs" dxfId="3402" priority="18" stopIfTrue="1" operator="equal">
      <formula>0</formula>
    </cfRule>
  </conditionalFormatting>
  <conditionalFormatting sqref="BG66">
    <cfRule type="cellIs" dxfId="3401" priority="17" stopIfTrue="1" operator="equal">
      <formula>0</formula>
    </cfRule>
  </conditionalFormatting>
  <conditionalFormatting sqref="BG67">
    <cfRule type="cellIs" dxfId="3400" priority="16" stopIfTrue="1" operator="equal">
      <formula>0</formula>
    </cfRule>
  </conditionalFormatting>
  <conditionalFormatting sqref="BG64">
    <cfRule type="cellIs" dxfId="3399" priority="15" stopIfTrue="1" operator="equal">
      <formula>0</formula>
    </cfRule>
  </conditionalFormatting>
  <conditionalFormatting sqref="BG65">
    <cfRule type="cellIs" dxfId="3398" priority="14" stopIfTrue="1" operator="equal">
      <formula>0</formula>
    </cfRule>
  </conditionalFormatting>
  <conditionalFormatting sqref="BG63">
    <cfRule type="cellIs" dxfId="3397" priority="13" stopIfTrue="1" operator="equal">
      <formula>0</formula>
    </cfRule>
  </conditionalFormatting>
  <conditionalFormatting sqref="BB4:BG4">
    <cfRule type="cellIs" dxfId="3396" priority="12" stopIfTrue="1" operator="equal">
      <formula>0</formula>
    </cfRule>
  </conditionalFormatting>
  <conditionalFormatting sqref="BA4">
    <cfRule type="cellIs" dxfId="3395" priority="11" stopIfTrue="1" operator="equal">
      <formula>0</formula>
    </cfRule>
  </conditionalFormatting>
  <conditionalFormatting sqref="E8:F37">
    <cfRule type="expression" dxfId="3394" priority="3" stopIfTrue="1">
      <formula>$AE8=$AC$6</formula>
    </cfRule>
    <cfRule type="expression" dxfId="3393" priority="4" stopIfTrue="1">
      <formula>AND($AE8=0,$E8=0)</formula>
    </cfRule>
    <cfRule type="expression" dxfId="3392" priority="5" stopIfTrue="1">
      <formula>$AE8=0</formula>
    </cfRule>
  </conditionalFormatting>
  <conditionalFormatting sqref="G8:M37">
    <cfRule type="expression" dxfId="3391" priority="6" stopIfTrue="1">
      <formula>$AE8=$AC$6</formula>
    </cfRule>
    <cfRule type="expression" dxfId="3390" priority="7" stopIfTrue="1">
      <formula>OR($AE8=0,$E8=$E$129)</formula>
    </cfRule>
  </conditionalFormatting>
  <conditionalFormatting sqref="C8:D37">
    <cfRule type="expression" dxfId="3389" priority="2" stopIfTrue="1">
      <formula>$AE8=$AC$6</formula>
    </cfRule>
    <cfRule type="expression" dxfId="3388" priority="8" stopIfTrue="1">
      <formula>AND($L$199=0,OR($W8&lt;$B$129,$W8&gt;$B$130))</formula>
    </cfRule>
    <cfRule type="expression" dxfId="3387" priority="9" stopIfTrue="1">
      <formula>AND($AE8=0,$E8=0)</formula>
    </cfRule>
    <cfRule type="expression" dxfId="3386" priority="10" stopIfTrue="1">
      <formula>$AE8=0</formula>
    </cfRule>
  </conditionalFormatting>
  <conditionalFormatting sqref="N64">
    <cfRule type="expression" dxfId="3385"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BJ199"/>
  <sheetViews>
    <sheetView showGridLines="0" showRowColHeaders="0" topLeftCell="A2" zoomScaleNormal="100" workbookViewId="0">
      <selection activeCell="G8" sqref="G8"/>
    </sheetView>
  </sheetViews>
  <sheetFormatPr defaultRowHeight="12.75" x14ac:dyDescent="0.2"/>
  <cols>
    <col min="1" max="1" width="2.85546875" style="4" customWidth="1"/>
    <col min="2" max="2" width="2.85546875" style="4" hidden="1" customWidth="1"/>
    <col min="3" max="4" width="4.28515625" style="4" customWidth="1"/>
    <col min="5" max="5" width="11.85546875" style="4" customWidth="1"/>
    <col min="6" max="6" width="1.42578125" style="4" customWidth="1"/>
    <col min="7" max="13" width="14.28515625" style="4" customWidth="1"/>
    <col min="14" max="14" width="16.5703125" style="4" customWidth="1"/>
    <col min="15" max="15" width="1.42578125" style="4" customWidth="1"/>
    <col min="16" max="36" width="11" style="4" hidden="1" customWidth="1"/>
    <col min="37" max="37" width="11.140625" style="4" hidden="1" customWidth="1"/>
    <col min="38" max="45" width="11" style="4" hidden="1" customWidth="1"/>
    <col min="46" max="46" width="2.85546875" style="4" hidden="1" customWidth="1"/>
    <col min="47" max="51" width="11" style="4" hidden="1" customWidth="1"/>
    <col min="52" max="52" width="4.7109375" style="4" hidden="1" customWidth="1"/>
    <col min="53" max="59" width="11" style="4" hidden="1" customWidth="1"/>
    <col min="60" max="60" width="4.7109375" style="4" hidden="1" customWidth="1"/>
    <col min="61" max="61" width="36.28515625" style="4" customWidth="1"/>
    <col min="62" max="62" width="4.28515625" style="4" customWidth="1"/>
    <col min="63" max="16384" width="9.140625" style="4"/>
  </cols>
  <sheetData>
    <row r="1" spans="1:62" ht="15" hidden="1" customHeight="1" x14ac:dyDescent="0.2">
      <c r="A1" s="2"/>
      <c r="B1" s="2"/>
      <c r="C1" s="2"/>
      <c r="D1" s="2"/>
      <c r="E1" s="2"/>
      <c r="F1" s="2"/>
      <c r="G1" s="167" t="str">
        <f>CONCATENATE(IF(IMPOSTAZIONI!F208="","..",IMPOSTAZIONI!F208),"-",IF(IMPOSTAZIONI!F209="","..",IMPOSTAZIONI!F209),"-",IF(IMPOSTAZIONI!F210="","..",IMPOSTAZIONI!F210))</f>
        <v>..-..-..</v>
      </c>
      <c r="H1" s="167" t="str">
        <f>CONCATENATE(IF(IMPOSTAZIONI!K208="","..",IMPOSTAZIONI!K208),"-",IF(IMPOSTAZIONI!K209="","..",IMPOSTAZIONI!K209),"-",IF(IMPOSTAZIONI!K210="","..",IMPOSTAZIONI!K210))</f>
        <v>..-..-..</v>
      </c>
      <c r="I1" s="167" t="str">
        <f>CONCATENATE(IF(IMPOSTAZIONI!P208="","..",IMPOSTAZIONI!P208),"-",IF(IMPOSTAZIONI!P209="","..",IMPOSTAZIONI!P209),"-",IF(IMPOSTAZIONI!P210="","..",IMPOSTAZIONI!P210))</f>
        <v>..-..-..</v>
      </c>
      <c r="J1" s="167" t="str">
        <f>CONCATENATE(IF(IMPOSTAZIONI!U208="","..",IMPOSTAZIONI!U208),"-",IF(IMPOSTAZIONI!U209="","..",IMPOSTAZIONI!U209),"-",IF(IMPOSTAZIONI!U210="","..",IMPOSTAZIONI!U210))</f>
        <v>..-..-..</v>
      </c>
      <c r="K1" s="167" t="str">
        <f>CONCATENATE(IF(IMPOSTAZIONI!Z208="","..",IMPOSTAZIONI!Z208),"-",IF(IMPOSTAZIONI!Z209="","..",IMPOSTAZIONI!Z209),"-",IF(IMPOSTAZIONI!Z210="","..",IMPOSTAZIONI!Z210))</f>
        <v>..-..-..</v>
      </c>
      <c r="L1" s="167" t="str">
        <f>CONCATENATE(IF(IMPOSTAZIONI!AE208="","..",IMPOSTAZIONI!AE208),"-",IF(IMPOSTAZIONI!AE209="","..",IMPOSTAZIONI!AE209),"-",IF(IMPOSTAZIONI!AE210="","..",IMPOSTAZIONI!AE210))</f>
        <v>..-..-..</v>
      </c>
      <c r="M1" s="167" t="str">
        <f>CONCATENATE(IF(IMPOSTAZIONI!AJ208="","..",IMPOSTAZIONI!AJ208),"-",IF(IMPOSTAZIONI!AJ209="","..",IMPOSTAZIONI!AJ209),"-",IF(IMPOSTAZIONI!AJ210="","..",IMPOSTAZIONI!AJ210))</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696"/>
      <c r="BJ1" s="696"/>
    </row>
    <row r="2" spans="1:62" ht="18" customHeight="1" x14ac:dyDescent="0.2">
      <c r="A2" s="300"/>
      <c r="B2" s="2"/>
      <c r="C2" s="2057" t="str">
        <f>CONCATENATE(IMPOSTAZIONI!C74," - P.I. ",IMPOSTAZIONI!O74)</f>
        <v>Inserisci la tua Ragione Sociale - P.I. 01234567891</v>
      </c>
      <c r="D2" s="2057"/>
      <c r="E2" s="2057"/>
      <c r="F2" s="2057"/>
      <c r="G2" s="2057"/>
      <c r="H2" s="2057"/>
      <c r="I2" s="2057"/>
      <c r="J2" s="2081" t="str">
        <f>CONCATENATE(IMPOSTAZIONI!C76," - ",IMPOSTAZIONI!M76," - ",IMPOSTAZIONI!O76," - ",IMPOSTAZIONI!V76)</f>
        <v xml:space="preserve">Indirizzo per esteso -  -  - </v>
      </c>
      <c r="K2" s="2081"/>
      <c r="L2" s="2081"/>
      <c r="M2" s="2081"/>
      <c r="N2" s="208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4.75" customHeight="1" x14ac:dyDescent="0.2">
      <c r="A3" s="2"/>
      <c r="B3" s="5"/>
      <c r="C3" s="2082" t="s">
        <v>220</v>
      </c>
      <c r="D3" s="2082"/>
      <c r="E3" s="2083" t="s">
        <v>334</v>
      </c>
      <c r="F3" s="2083"/>
      <c r="G3" s="2083"/>
      <c r="H3" s="2083"/>
      <c r="I3" s="2079" t="str">
        <f>IF(I199=0,IMPOSTAZIONI!Y414,"")</f>
        <v>Devi convalidare il foglio IMPOSTAZIONI</v>
      </c>
      <c r="J3" s="2079"/>
      <c r="K3" s="2079"/>
      <c r="L3" s="2080" t="str">
        <f>IMPOSTAZIONI!$M$79</f>
        <v>REGISTRO GIORNALIERO</v>
      </c>
      <c r="M3" s="2080"/>
      <c r="N3" s="2080"/>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132">
        <f>CASSA!P5</f>
        <v>45292</v>
      </c>
      <c r="BB3" s="1132">
        <f>IF(L199=0,BA3,CASSA!U5)</f>
        <v>45292</v>
      </c>
      <c r="BC3" s="1133" t="str">
        <f>CASSA!Z5</f>
        <v>INSERITO</v>
      </c>
      <c r="BD3" s="2"/>
      <c r="BE3" s="2"/>
      <c r="BF3" s="2"/>
      <c r="BG3" s="2"/>
      <c r="BH3" s="2"/>
      <c r="BI3" s="2"/>
      <c r="BJ3" s="2"/>
    </row>
    <row r="4" spans="1:62" ht="18" customHeight="1" x14ac:dyDescent="0.2">
      <c r="A4" s="2"/>
      <c r="B4" s="2"/>
      <c r="C4" s="1946" t="s">
        <v>243</v>
      </c>
      <c r="D4" s="1947"/>
      <c r="E4" s="1954" t="str">
        <f>IMPOSTAZIONI!D27</f>
        <v>TOTALE</v>
      </c>
      <c r="F4" s="1955"/>
      <c r="G4" s="183" t="str">
        <f>IF($I$199=0,"",IMPOSTAZIONI!G208)</f>
        <v/>
      </c>
      <c r="H4" s="183" t="str">
        <f>IF($I$199=0,"",IMPOSTAZIONI!L208)</f>
        <v/>
      </c>
      <c r="I4" s="183" t="str">
        <f>IF($I$199=0,"",IMPOSTAZIONI!Q208)</f>
        <v/>
      </c>
      <c r="J4" s="183" t="str">
        <f>IF($I$199=0,"",IMPOSTAZIONI!V208)</f>
        <v/>
      </c>
      <c r="K4" s="183" t="str">
        <f>IF($I$199=0,"",IMPOSTAZIONI!AA208)</f>
        <v/>
      </c>
      <c r="L4" s="183" t="str">
        <f>IF($I$199=0,"",IMPOSTAZIONI!AF208)</f>
        <v/>
      </c>
      <c r="M4" s="183" t="str">
        <f>IF($I$199=0,"",IMPOSTAZIONI!AK208)</f>
        <v/>
      </c>
      <c r="N4" s="695"/>
      <c r="O4" s="694"/>
      <c r="P4" s="2"/>
      <c r="Q4" s="2"/>
      <c r="R4" s="2"/>
      <c r="S4" s="2"/>
      <c r="T4" s="2"/>
      <c r="U4" s="2"/>
      <c r="V4" s="2"/>
      <c r="W4" s="167" t="str">
        <f>CONCATENATE(L99,"  ")</f>
        <v xml:space="preserve">disattivato  </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135">
        <f>IF($BC$3=$BA$44,SUMIF($AZ$8:$AZ$38,"X",X$8:X$38)-BA64+BA63,IF($BC$3=$BA$45,SUMIF($AZ$8:$AZ$38,"X",P$8:P$38)+BA63,IF($BC$3=$BA$43,SUMIF($AZ$8:$AZ$38,"X",G$8:G$38),0)))</f>
        <v>0</v>
      </c>
      <c r="BB4" s="1136">
        <f t="shared" ref="BB4:BG4" si="0">IF($BC$3=$BA$44,SUMIF($AZ$8:$AZ$38,"X",Y$8:Y$38)-BB64+BB63,IF($BC$3=$BA$45,SUMIF($AZ$8:$AZ$38,"X",Q$8:Q$38)+BB63,IF($BC$3=$BA$43,SUMIF($AZ$8:$AZ$38,"X",H$8:H$38),0)))</f>
        <v>0</v>
      </c>
      <c r="BC4" s="1136">
        <f t="shared" si="0"/>
        <v>0</v>
      </c>
      <c r="BD4" s="1136">
        <f t="shared" si="0"/>
        <v>0</v>
      </c>
      <c r="BE4" s="1136">
        <f t="shared" si="0"/>
        <v>0</v>
      </c>
      <c r="BF4" s="1136">
        <f t="shared" si="0"/>
        <v>0</v>
      </c>
      <c r="BG4" s="1137">
        <f t="shared" si="0"/>
        <v>0</v>
      </c>
      <c r="BH4" s="2"/>
      <c r="BI4" s="2"/>
      <c r="BJ4" s="2"/>
    </row>
    <row r="5" spans="1:62" ht="18" customHeight="1" x14ac:dyDescent="0.2">
      <c r="A5" s="2"/>
      <c r="B5" s="2"/>
      <c r="C5" s="1948"/>
      <c r="D5" s="1949"/>
      <c r="E5" s="1956"/>
      <c r="F5" s="1957"/>
      <c r="G5" s="823" t="str">
        <f>IF($I$199=0,"",IMPOSTAZIONI!G209)</f>
        <v/>
      </c>
      <c r="H5" s="823" t="str">
        <f>IF($I$199=0,"",IMPOSTAZIONI!L209)</f>
        <v/>
      </c>
      <c r="I5" s="823" t="str">
        <f>IF($I$199=0,"",IMPOSTAZIONI!Q209)</f>
        <v/>
      </c>
      <c r="J5" s="823" t="str">
        <f>IF($I$199=0,"",IMPOSTAZIONI!V209)</f>
        <v/>
      </c>
      <c r="K5" s="823" t="str">
        <f>IF($I$199=0,"",IMPOSTAZIONI!AA209)</f>
        <v/>
      </c>
      <c r="L5" s="823" t="str">
        <f>IF($I$199=0,"",IMPOSTAZIONI!AF209)</f>
        <v/>
      </c>
      <c r="M5" s="823" t="str">
        <f>IF($I$199=0,"",IMPOSTAZIONI!AK209)</f>
        <v/>
      </c>
      <c r="N5" s="1944" t="str">
        <f>IMPOSTAZIONI!AJ28</f>
        <v>Descrizione #1</v>
      </c>
      <c r="O5" s="57"/>
      <c r="P5" s="2"/>
      <c r="Q5" s="2"/>
      <c r="R5" s="2"/>
      <c r="S5" s="2"/>
      <c r="T5" s="2"/>
      <c r="U5" s="2"/>
      <c r="V5" s="2"/>
      <c r="W5" s="171"/>
      <c r="X5" s="2"/>
      <c r="Y5" s="2"/>
      <c r="Z5" s="2"/>
      <c r="AA5" s="2"/>
      <c r="AB5" s="2"/>
      <c r="AC5" s="2"/>
      <c r="AD5" s="2"/>
      <c r="AE5" s="2"/>
      <c r="AF5" s="2"/>
      <c r="AG5" s="696"/>
      <c r="AH5" s="696"/>
      <c r="AI5" s="696"/>
      <c r="AJ5" s="696"/>
      <c r="AK5" s="2"/>
      <c r="AL5" s="2"/>
      <c r="AM5" s="2"/>
      <c r="AN5" s="2"/>
      <c r="AO5" s="2"/>
      <c r="AP5" s="2"/>
      <c r="AQ5" s="2"/>
      <c r="AR5" s="2"/>
      <c r="AS5" s="2"/>
      <c r="AT5" s="2"/>
      <c r="AU5" s="2"/>
      <c r="AV5" s="2"/>
      <c r="AW5" s="2"/>
      <c r="AX5" s="2"/>
      <c r="AY5" s="2"/>
      <c r="AZ5" s="2"/>
      <c r="BA5" s="1134" t="str">
        <f>G125</f>
        <v>..</v>
      </c>
      <c r="BB5" s="1134" t="str">
        <f t="shared" ref="BB5" si="1">H125</f>
        <v>..</v>
      </c>
      <c r="BC5" s="1134" t="str">
        <f t="shared" ref="BC5" si="2">I125</f>
        <v>..</v>
      </c>
      <c r="BD5" s="1134" t="str">
        <f t="shared" ref="BD5" si="3">J125</f>
        <v>..</v>
      </c>
      <c r="BE5" s="1134" t="str">
        <f t="shared" ref="BE5" si="4">K125</f>
        <v>..</v>
      </c>
      <c r="BF5" s="1134" t="str">
        <f t="shared" ref="BF5" si="5">L125</f>
        <v>..</v>
      </c>
      <c r="BG5" s="1134" t="str">
        <f t="shared" ref="BG5" si="6">M125</f>
        <v>..</v>
      </c>
      <c r="BH5" s="2"/>
      <c r="BI5" s="2"/>
      <c r="BJ5" s="2"/>
    </row>
    <row r="6" spans="1:62" ht="18" customHeight="1" x14ac:dyDescent="0.2">
      <c r="A6" s="2"/>
      <c r="B6" s="2"/>
      <c r="C6" s="1950">
        <f>IMPOSTAZIONI!$AH$53</f>
        <v>2024</v>
      </c>
      <c r="D6" s="1951"/>
      <c r="E6" s="1952" t="str">
        <f>IMPOSTAZIONI!D28</f>
        <v>TESTO LIBERO</v>
      </c>
      <c r="F6" s="1953"/>
      <c r="G6" s="40" t="str">
        <f>IF($I$199=0,"",IMPOSTAZIONI!G210)</f>
        <v/>
      </c>
      <c r="H6" s="40" t="str">
        <f>IF($I$199=0,"",IMPOSTAZIONI!L210)</f>
        <v/>
      </c>
      <c r="I6" s="40" t="str">
        <f>IF($I$199=0,"",IMPOSTAZIONI!Q210)</f>
        <v/>
      </c>
      <c r="J6" s="40" t="str">
        <f>IF($I$199=0,"",IMPOSTAZIONI!V210)</f>
        <v/>
      </c>
      <c r="K6" s="40" t="str">
        <f>IF($I$199=0,"",IMPOSTAZIONI!AA210)</f>
        <v/>
      </c>
      <c r="L6" s="40" t="str">
        <f>IF($I$199=0,"",IMPOSTAZIONI!AF210)</f>
        <v/>
      </c>
      <c r="M6" s="40" t="str">
        <f>IF($I$199=0,"",IMPOSTAZIONI!AK210)</f>
        <v/>
      </c>
      <c r="N6" s="1945"/>
      <c r="O6" s="57"/>
      <c r="P6" s="894">
        <f>IF($E$8=$W$4,0,IF(OR(G130=0,ISERROR(G123),G123=$E124),0,IF(G130=$D124,G123/(100+G123),G123/100)))</f>
        <v>0</v>
      </c>
      <c r="Q6" s="894">
        <f t="shared" ref="Q6:V6" si="7">IF($E$8=$W$4,0,IF(OR(H130=0,ISERROR(H123),H123=$E124),0,IF(H130=$D124,H123/(100+H123),H123/100)))</f>
        <v>0</v>
      </c>
      <c r="R6" s="894">
        <f t="shared" si="7"/>
        <v>0</v>
      </c>
      <c r="S6" s="894">
        <f t="shared" si="7"/>
        <v>0</v>
      </c>
      <c r="T6" s="894">
        <f t="shared" si="7"/>
        <v>0</v>
      </c>
      <c r="U6" s="894">
        <f t="shared" si="7"/>
        <v>0</v>
      </c>
      <c r="V6" s="894">
        <f t="shared" si="7"/>
        <v>0</v>
      </c>
      <c r="W6" s="2"/>
      <c r="X6" s="2"/>
      <c r="Y6" s="2"/>
      <c r="Z6" s="2"/>
      <c r="AA6" s="2"/>
      <c r="AB6" s="2"/>
      <c r="AC6" s="279" t="str">
        <f>CASSA!W550</f>
        <v>F</v>
      </c>
      <c r="AD6" s="280" t="str">
        <f>CASSA!W551</f>
        <v>C</v>
      </c>
      <c r="AE6" s="2"/>
      <c r="AF6" s="102">
        <f>IF(SUM(G120:M120)&gt;0,1,0)</f>
        <v>0</v>
      </c>
      <c r="AG6" s="991">
        <f>IMPOSTAZIONI!B39</f>
        <v>0</v>
      </c>
      <c r="AH6" s="991">
        <f>IMPOSTAZIONI!B40</f>
        <v>0</v>
      </c>
      <c r="AI6" s="991">
        <f>IMPOSTAZIONI!B41</f>
        <v>0</v>
      </c>
      <c r="AJ6" s="991">
        <f>IMPOSTAZIONI!B42</f>
        <v>0</v>
      </c>
      <c r="AK6" s="1001" t="s">
        <v>43</v>
      </c>
      <c r="AL6" s="1296" t="s">
        <v>43</v>
      </c>
      <c r="AM6" s="2033" t="s">
        <v>159</v>
      </c>
      <c r="AN6" s="2033"/>
      <c r="AO6" s="2033"/>
      <c r="AP6" s="2033"/>
      <c r="AQ6" s="2033"/>
      <c r="AR6" s="2033"/>
      <c r="AS6" s="2033"/>
      <c r="AT6" s="2"/>
      <c r="AU6" s="102"/>
      <c r="AV6" s="518" t="str">
        <f>$C70</f>
        <v xml:space="preserve">  %</v>
      </c>
      <c r="AW6" s="518" t="str">
        <f>$C71</f>
        <v xml:space="preserve">  %</v>
      </c>
      <c r="AX6" s="518" t="str">
        <f>$C72</f>
        <v xml:space="preserve">  %</v>
      </c>
      <c r="AY6" s="518" t="str">
        <f>$C73</f>
        <v xml:space="preserve">  %</v>
      </c>
      <c r="AZ6" s="2"/>
      <c r="BA6" s="706" t="str">
        <f>G126</f>
        <v>..</v>
      </c>
      <c r="BB6" s="706" t="str">
        <f t="shared" ref="BB6:BG6" si="8">H126</f>
        <v>..</v>
      </c>
      <c r="BC6" s="706" t="str">
        <f t="shared" si="8"/>
        <v>..</v>
      </c>
      <c r="BD6" s="706" t="str">
        <f t="shared" si="8"/>
        <v>..</v>
      </c>
      <c r="BE6" s="706" t="str">
        <f t="shared" si="8"/>
        <v>..</v>
      </c>
      <c r="BF6" s="706" t="str">
        <f t="shared" si="8"/>
        <v>..</v>
      </c>
      <c r="BG6" s="706" t="str">
        <f t="shared" si="8"/>
        <v>..</v>
      </c>
      <c r="BH6" s="2"/>
      <c r="BI6" s="590" t="s">
        <v>147</v>
      </c>
      <c r="BJ6" s="2"/>
    </row>
    <row r="7" spans="1:62" ht="20.25" customHeight="1" x14ac:dyDescent="0.2">
      <c r="A7" s="2"/>
      <c r="B7" s="2"/>
      <c r="C7" s="2088" t="s">
        <v>244</v>
      </c>
      <c r="D7" s="2089"/>
      <c r="E7" s="1998">
        <f>IMPOSTAZIONI!S273</f>
        <v>0</v>
      </c>
      <c r="F7" s="1999"/>
      <c r="G7" s="811">
        <f>IMPOSTAZIONI!$B287</f>
        <v>0</v>
      </c>
      <c r="H7" s="811">
        <f>IMPOSTAZIONI!$B288</f>
        <v>0</v>
      </c>
      <c r="I7" s="811">
        <f>IMPOSTAZIONI!$B289</f>
        <v>0</v>
      </c>
      <c r="J7" s="811">
        <f>IMPOSTAZIONI!$B290</f>
        <v>0</v>
      </c>
      <c r="K7" s="811">
        <f>IMPOSTAZIONI!$B291</f>
        <v>0</v>
      </c>
      <c r="L7" s="811">
        <f>IMPOSTAZIONI!$B292</f>
        <v>0</v>
      </c>
      <c r="M7" s="811">
        <f>IMPOSTAZIONI!$B293</f>
        <v>0</v>
      </c>
      <c r="N7" s="1288"/>
      <c r="O7" s="57"/>
      <c r="P7" s="2044" t="s">
        <v>524</v>
      </c>
      <c r="Q7" s="2044"/>
      <c r="R7" s="2044"/>
      <c r="S7" s="2044"/>
      <c r="T7" s="2044"/>
      <c r="U7" s="2044"/>
      <c r="V7" s="2044"/>
      <c r="W7" s="285">
        <f>W8-1</f>
        <v>45473</v>
      </c>
      <c r="X7" s="2"/>
      <c r="Y7" s="2"/>
      <c r="Z7" s="2"/>
      <c r="AA7" s="2"/>
      <c r="AB7" s="2"/>
      <c r="AC7" s="2"/>
      <c r="AD7" s="2"/>
      <c r="AE7" s="2"/>
      <c r="AF7" s="2032" t="s">
        <v>158</v>
      </c>
      <c r="AG7" s="2032"/>
      <c r="AH7" s="2032"/>
      <c r="AI7" s="2032"/>
      <c r="AJ7" s="2032"/>
      <c r="AK7" s="1002" t="s">
        <v>513</v>
      </c>
      <c r="AM7" s="2"/>
      <c r="AN7" s="2"/>
      <c r="AO7" s="2"/>
      <c r="AP7" s="2"/>
      <c r="AQ7" s="2"/>
      <c r="AR7" s="2"/>
      <c r="AS7" s="2"/>
      <c r="AT7" s="2"/>
      <c r="AU7" s="2032" t="s">
        <v>161</v>
      </c>
      <c r="AV7" s="2032"/>
      <c r="AW7" s="2032"/>
      <c r="AX7" s="2032"/>
      <c r="AY7" s="2032"/>
      <c r="AZ7" s="2"/>
      <c r="BA7" s="2"/>
      <c r="BB7" s="2"/>
      <c r="BC7" s="2"/>
      <c r="BD7" s="2"/>
      <c r="BE7" s="2"/>
      <c r="BF7" s="2"/>
      <c r="BG7" s="2"/>
      <c r="BH7" s="2"/>
      <c r="BI7" s="1285"/>
      <c r="BJ7" s="2"/>
    </row>
    <row r="8" spans="1:62" ht="20.25" customHeight="1" x14ac:dyDescent="0.2">
      <c r="A8" s="2"/>
      <c r="B8" s="18">
        <v>1</v>
      </c>
      <c r="C8" s="155">
        <f>B8</f>
        <v>1</v>
      </c>
      <c r="D8" s="156">
        <v>7</v>
      </c>
      <c r="E8" s="1994" t="str">
        <f t="shared" ref="E8:E38" si="9">IF(AND(L$199=0,OR(W8&lt;B$129,W8&gt;B$130)),CONCATENATE(L$99,"  "),IF(AND(SUM(G8:M8)&lt;&gt;0,AE8=AD$6),E$130,IF(AND(SUM(G8:M8)=0,AE8=AD$6),E$129,IF(ISERROR($H$199),0,SUM(G8:M8)-SUMIF(G$42:M$42,K$102,G8:M8)))))</f>
        <v xml:space="preserve">disattivato  </v>
      </c>
      <c r="F8" s="1995"/>
      <c r="G8" s="1307"/>
      <c r="H8" s="1307"/>
      <c r="I8" s="1307"/>
      <c r="J8" s="1307"/>
      <c r="K8" s="1307"/>
      <c r="L8" s="1307"/>
      <c r="M8" s="1307"/>
      <c r="N8" s="1308"/>
      <c r="O8" s="57"/>
      <c r="P8" s="486">
        <f t="shared" ref="P8:P38" si="10">IF(AND($L$199=0,$W8&gt;$B$130),0,IF(G$123="X",0,ROUND(G8*P$6,2)))</f>
        <v>0</v>
      </c>
      <c r="Q8" s="487">
        <f t="shared" ref="Q8:Q38" si="11">IF(AND($L$199=0,$W8&gt;$B$130),0,IF(H$123="X",0,ROUND(H8*Q$6,2)))</f>
        <v>0</v>
      </c>
      <c r="R8" s="487">
        <f t="shared" ref="R8:R38" si="12">IF(AND($L$199=0,$W8&gt;$B$130),0,IF(I$123="X",0,ROUND(I8*R$6,2)))</f>
        <v>0</v>
      </c>
      <c r="S8" s="487">
        <f t="shared" ref="S8:S38" si="13">IF(AND($L$199=0,$W8&gt;$B$130),0,IF(J$123="X",0,ROUND(J8*S$6,2)))</f>
        <v>0</v>
      </c>
      <c r="T8" s="487">
        <f t="shared" ref="T8:T38" si="14">IF(AND($L$199=0,$W8&gt;$B$130),0,IF(K$123="X",0,ROUND(K8*T$6,2)))</f>
        <v>0</v>
      </c>
      <c r="U8" s="487">
        <f t="shared" ref="U8:U38" si="15">IF(AND($L$199=0,$W8&gt;$B$130),0,IF(L$123="X",0,ROUND(L8*U$6,2)))</f>
        <v>0</v>
      </c>
      <c r="V8" s="488">
        <f t="shared" ref="V8:V38" si="16">IF(AND($L$199=0,$W8&gt;$B$130),0,IF(M$123="X",0,ROUND(M8*V$6,2)))</f>
        <v>0</v>
      </c>
      <c r="W8" s="154">
        <f>DATE(C$6,D8,C8)</f>
        <v>45474</v>
      </c>
      <c r="X8" s="486">
        <f t="shared" ref="X8:AD8" si="17">IF(AND($L$199=0,OR($W8&lt;$B$129,$W8&gt;$B$130)),0,IF(G$130=$N$130,G8+P8,G8-P8))</f>
        <v>0</v>
      </c>
      <c r="Y8" s="487">
        <f t="shared" si="17"/>
        <v>0</v>
      </c>
      <c r="Z8" s="487">
        <f t="shared" si="17"/>
        <v>0</v>
      </c>
      <c r="AA8" s="487">
        <f t="shared" si="17"/>
        <v>0</v>
      </c>
      <c r="AB8" s="487">
        <f t="shared" si="17"/>
        <v>0</v>
      </c>
      <c r="AC8" s="487">
        <f t="shared" si="17"/>
        <v>0</v>
      </c>
      <c r="AD8" s="488">
        <f t="shared" si="17"/>
        <v>0</v>
      </c>
      <c r="AE8" s="414">
        <f>VLOOKUP(W8,CASSA!$B$180:$C$545,2,FALSE)</f>
        <v>0</v>
      </c>
      <c r="AF8" s="509">
        <f t="shared" ref="AF8:AF38" si="18">SUMIF($G$120:$M$120,1,$X8:$AD8)-SUM(AG8:AJ8)</f>
        <v>0</v>
      </c>
      <c r="AG8" s="510">
        <f t="shared" ref="AG8:AG38" si="19">IF(AND($AF$6=1,$P$70&lt;&gt;0),$P$70/$P$65*SUMIF($G$120:$M$120,1,$X8:$AD8),0)</f>
        <v>0</v>
      </c>
      <c r="AH8" s="487">
        <f t="shared" ref="AH8:AH38" si="20">IF(AND($AF$6=1,$P$71&lt;&gt;0),$P$71/$P$65*SUMIF($G$120:$M$120,1,$X8:$AD8),0)</f>
        <v>0</v>
      </c>
      <c r="AI8" s="487">
        <f t="shared" ref="AI8:AI38" si="21">IF(AND($AF$6=1,$P$72&lt;&gt;0),$P$72/$P$65*SUMIF($G$120:$M$120,1,$X8:$AD8),0)</f>
        <v>0</v>
      </c>
      <c r="AJ8" s="511">
        <f t="shared" ref="AJ8:AJ38" si="22">IF(AND($AF$6=1,$P$73&lt;&gt;0),$P$73/$P$65*SUMIF($G$120:$M$120,1,$X8:$AD8),0)</f>
        <v>0</v>
      </c>
      <c r="AK8" s="1003">
        <f>IF(AND($L$199=0,OR($W8&lt;$B$129,$W8&gt;$B$130)),0,SUMIF($G$42:$M$42,$K$102,$G8:$M8))</f>
        <v>0</v>
      </c>
      <c r="AL8" s="509">
        <f>SUMIF($G$42:$M$42,$K$102,$X8:$AD8)</f>
        <v>0</v>
      </c>
      <c r="AM8" s="525">
        <f t="shared" ref="AM8:AM38" si="23">IF(G$42=$K$102,P8,0)</f>
        <v>0</v>
      </c>
      <c r="AN8" s="487">
        <f t="shared" ref="AN8:AN38" si="24">IF(H$42=$K$102,Q8,0)</f>
        <v>0</v>
      </c>
      <c r="AO8" s="487">
        <f t="shared" ref="AO8:AO38" si="25">IF(I$42=$K$102,R8,0)</f>
        <v>0</v>
      </c>
      <c r="AP8" s="487">
        <f t="shared" ref="AP8:AP38" si="26">IF(J$42=$K$102,S8,0)</f>
        <v>0</v>
      </c>
      <c r="AQ8" s="487">
        <f t="shared" ref="AQ8:AQ38" si="27">IF(K$42=$K$102,T8,0)</f>
        <v>0</v>
      </c>
      <c r="AR8" s="487">
        <f t="shared" ref="AR8:AR38" si="28">IF(L$42=$K$102,U8,0)</f>
        <v>0</v>
      </c>
      <c r="AS8" s="511">
        <f t="shared" ref="AS8:AS38" si="29">IF(M$42=$K$102,V8,0)</f>
        <v>0</v>
      </c>
      <c r="AT8" s="2"/>
      <c r="AU8" s="509">
        <f t="shared" ref="AU8:AU38" si="30">IF(AF8&lt;&gt;0,AF8*$R$66/100,0)</f>
        <v>0</v>
      </c>
      <c r="AV8" s="510">
        <f t="shared" ref="AV8:AV38" si="31">IF(AG8&lt;&gt;0,AG8*$R$70/100,0)</f>
        <v>0</v>
      </c>
      <c r="AW8" s="487">
        <f t="shared" ref="AW8:AW38" si="32">IF(AH8&lt;&gt;0,AH8*$R$71/100,0)</f>
        <v>0</v>
      </c>
      <c r="AX8" s="487">
        <f t="shared" ref="AX8:AX38" si="33">IF(AI8&lt;&gt;0,AI8*$R$72/100,0)</f>
        <v>0</v>
      </c>
      <c r="AY8" s="511">
        <f t="shared" ref="AY8:AY38" si="34">IF(AJ8&lt;&gt;0,AJ8*$R$73/100,0)</f>
        <v>0</v>
      </c>
      <c r="AZ8" s="1123" t="str">
        <f>IF(AND(W8&gt;=BA$3,W8&lt;=BB$3),"X","")</f>
        <v/>
      </c>
      <c r="BA8" s="1045">
        <f>IF(G$123=$E$124,$P$66/$P$65*X8,X8)</f>
        <v>0</v>
      </c>
      <c r="BB8" s="1046">
        <f t="shared" ref="BB8:BG38" si="35">IF(H$123=$E$124,$P$66/$P$65*Y8,Y8)</f>
        <v>0</v>
      </c>
      <c r="BC8" s="1046">
        <f t="shared" si="35"/>
        <v>0</v>
      </c>
      <c r="BD8" s="1046">
        <f t="shared" si="35"/>
        <v>0</v>
      </c>
      <c r="BE8" s="1046">
        <f t="shared" si="35"/>
        <v>0</v>
      </c>
      <c r="BF8" s="1046">
        <f t="shared" si="35"/>
        <v>0</v>
      </c>
      <c r="BG8" s="1047">
        <f t="shared" si="35"/>
        <v>0</v>
      </c>
      <c r="BH8" s="2"/>
      <c r="BI8" s="1315" t="s">
        <v>705</v>
      </c>
      <c r="BJ8" s="2"/>
    </row>
    <row r="9" spans="1:62" ht="20.25" customHeight="1" x14ac:dyDescent="0.2">
      <c r="A9" s="2"/>
      <c r="B9" s="18">
        <v>2</v>
      </c>
      <c r="C9" s="155">
        <f>IF(D9="--","--",C8+1)</f>
        <v>2</v>
      </c>
      <c r="D9" s="156">
        <f t="shared" ref="D9:D38" si="36">IF(MONTH(W9)=D$8,D8,"--")</f>
        <v>7</v>
      </c>
      <c r="E9" s="1959" t="str">
        <f t="shared" si="9"/>
        <v xml:space="preserve">disattivato  </v>
      </c>
      <c r="F9" s="1960"/>
      <c r="G9" s="1309"/>
      <c r="H9" s="1309"/>
      <c r="I9" s="1309"/>
      <c r="J9" s="1309"/>
      <c r="K9" s="1309"/>
      <c r="L9" s="1309"/>
      <c r="M9" s="1309"/>
      <c r="N9" s="1310"/>
      <c r="O9" s="57"/>
      <c r="P9" s="489">
        <f t="shared" si="10"/>
        <v>0</v>
      </c>
      <c r="Q9" s="490">
        <f t="shared" si="11"/>
        <v>0</v>
      </c>
      <c r="R9" s="490">
        <f t="shared" si="12"/>
        <v>0</v>
      </c>
      <c r="S9" s="490">
        <f t="shared" si="13"/>
        <v>0</v>
      </c>
      <c r="T9" s="490">
        <f t="shared" si="14"/>
        <v>0</v>
      </c>
      <c r="U9" s="490">
        <f t="shared" si="15"/>
        <v>0</v>
      </c>
      <c r="V9" s="491">
        <f t="shared" si="16"/>
        <v>0</v>
      </c>
      <c r="W9" s="154">
        <f>W8+1</f>
        <v>45475</v>
      </c>
      <c r="X9" s="489">
        <f t="shared" ref="X9:X38" si="37">IF(AND($L$199=0,OR($W9&lt;$B$129,$W9&gt;$B$130)),0,IF(G$130=$N$130,G9+P9,G9-P9))</f>
        <v>0</v>
      </c>
      <c r="Y9" s="490">
        <f t="shared" ref="Y9:Y38" si="38">IF(AND($L$199=0,OR($W9&lt;$B$129,$W9&gt;$B$130)),0,IF(H$130=$N$130,H9+Q9,H9-Q9))</f>
        <v>0</v>
      </c>
      <c r="Z9" s="490">
        <f t="shared" ref="Z9:Z38" si="39">IF(AND($L$199=0,OR($W9&lt;$B$129,$W9&gt;$B$130)),0,IF(I$130=$N$130,I9+R9,I9-R9))</f>
        <v>0</v>
      </c>
      <c r="AA9" s="490">
        <f t="shared" ref="AA9:AA38" si="40">IF(AND($L$199=0,OR($W9&lt;$B$129,$W9&gt;$B$130)),0,IF(J$130=$N$130,J9+S9,J9-S9))</f>
        <v>0</v>
      </c>
      <c r="AB9" s="490">
        <f t="shared" ref="AB9:AB38" si="41">IF(AND($L$199=0,OR($W9&lt;$B$129,$W9&gt;$B$130)),0,IF(K$130=$N$130,K9+T9,K9-T9))</f>
        <v>0</v>
      </c>
      <c r="AC9" s="490">
        <f t="shared" ref="AC9:AC38" si="42">IF(AND($L$199=0,OR($W9&lt;$B$129,$W9&gt;$B$130)),0,IF(L$130=$N$130,L9+U9,L9-U9))</f>
        <v>0</v>
      </c>
      <c r="AD9" s="491">
        <f t="shared" ref="AD9:AD38" si="43">IF(AND($L$199=0,OR($W9&lt;$B$129,$W9&gt;$B$130)),0,IF(M$130=$N$130,M9+V9,M9-V9))</f>
        <v>0</v>
      </c>
      <c r="AE9" s="414">
        <f>VLOOKUP(W9,CASSA!$B$180:$C$545,2,FALSE)</f>
        <v>0</v>
      </c>
      <c r="AF9" s="512">
        <f t="shared" si="18"/>
        <v>0</v>
      </c>
      <c r="AG9" s="513">
        <f t="shared" si="19"/>
        <v>0</v>
      </c>
      <c r="AH9" s="490">
        <f t="shared" si="20"/>
        <v>0</v>
      </c>
      <c r="AI9" s="490">
        <f t="shared" si="21"/>
        <v>0</v>
      </c>
      <c r="AJ9" s="514">
        <f t="shared" si="22"/>
        <v>0</v>
      </c>
      <c r="AK9" s="1003">
        <f t="shared" ref="AK9:AK38" si="44">IF(AND($L$199=0,OR($W9&lt;$B$129,$W9&gt;$B$130)),0,SUMIF($G$42:$M$42,$K$102,$G9:$M9))</f>
        <v>0</v>
      </c>
      <c r="AL9" s="512">
        <f t="shared" ref="AL9:AL38" si="45">SUMIF($G$42:$M$42,$K$102,$X9:$AD9)</f>
        <v>0</v>
      </c>
      <c r="AM9" s="526">
        <f t="shared" si="23"/>
        <v>0</v>
      </c>
      <c r="AN9" s="490">
        <f t="shared" si="24"/>
        <v>0</v>
      </c>
      <c r="AO9" s="490">
        <f t="shared" si="25"/>
        <v>0</v>
      </c>
      <c r="AP9" s="490">
        <f t="shared" si="26"/>
        <v>0</v>
      </c>
      <c r="AQ9" s="490">
        <f t="shared" si="27"/>
        <v>0</v>
      </c>
      <c r="AR9" s="490">
        <f t="shared" si="28"/>
        <v>0</v>
      </c>
      <c r="AS9" s="514">
        <f t="shared" si="29"/>
        <v>0</v>
      </c>
      <c r="AT9" s="2"/>
      <c r="AU9" s="512">
        <f t="shared" si="30"/>
        <v>0</v>
      </c>
      <c r="AV9" s="513">
        <f t="shared" si="31"/>
        <v>0</v>
      </c>
      <c r="AW9" s="490">
        <f t="shared" si="32"/>
        <v>0</v>
      </c>
      <c r="AX9" s="490">
        <f t="shared" si="33"/>
        <v>0</v>
      </c>
      <c r="AY9" s="514">
        <f t="shared" si="34"/>
        <v>0</v>
      </c>
      <c r="AZ9" s="1123" t="str">
        <f t="shared" ref="AZ9:AZ38" si="46">IF(AND(W9&gt;=BA$3,W9&lt;=BB$3),"X","")</f>
        <v/>
      </c>
      <c r="BA9" s="1048">
        <f t="shared" ref="BA9:BA38" si="47">IF(G$123=$E$124,$P$66/$P$65*X9,X9)</f>
        <v>0</v>
      </c>
      <c r="BB9" s="1003">
        <f t="shared" si="35"/>
        <v>0</v>
      </c>
      <c r="BC9" s="1003">
        <f t="shared" si="35"/>
        <v>0</v>
      </c>
      <c r="BD9" s="1003">
        <f t="shared" si="35"/>
        <v>0</v>
      </c>
      <c r="BE9" s="1003">
        <f t="shared" si="35"/>
        <v>0</v>
      </c>
      <c r="BF9" s="1003">
        <f t="shared" si="35"/>
        <v>0</v>
      </c>
      <c r="BG9" s="1049">
        <f t="shared" si="35"/>
        <v>0</v>
      </c>
      <c r="BH9" s="2"/>
      <c r="BI9" s="1314" t="s">
        <v>462</v>
      </c>
      <c r="BJ9" s="2"/>
    </row>
    <row r="10" spans="1:62" ht="20.25" customHeight="1" x14ac:dyDescent="0.2">
      <c r="A10" s="2"/>
      <c r="B10" s="18">
        <v>3</v>
      </c>
      <c r="C10" s="155">
        <f t="shared" ref="C10:C38" si="48">IF(D10="--","--",C9+1)</f>
        <v>3</v>
      </c>
      <c r="D10" s="156">
        <f t="shared" si="36"/>
        <v>7</v>
      </c>
      <c r="E10" s="1959" t="str">
        <f t="shared" si="9"/>
        <v xml:space="preserve">disattivato  </v>
      </c>
      <c r="F10" s="1960"/>
      <c r="G10" s="1309"/>
      <c r="H10" s="1309"/>
      <c r="I10" s="1309"/>
      <c r="J10" s="1309"/>
      <c r="K10" s="1309"/>
      <c r="L10" s="1309"/>
      <c r="M10" s="1309"/>
      <c r="N10" s="1310"/>
      <c r="O10" s="57"/>
      <c r="P10" s="489">
        <f t="shared" si="10"/>
        <v>0</v>
      </c>
      <c r="Q10" s="490">
        <f t="shared" si="11"/>
        <v>0</v>
      </c>
      <c r="R10" s="490">
        <f t="shared" si="12"/>
        <v>0</v>
      </c>
      <c r="S10" s="490">
        <f t="shared" si="13"/>
        <v>0</v>
      </c>
      <c r="T10" s="490">
        <f t="shared" si="14"/>
        <v>0</v>
      </c>
      <c r="U10" s="490">
        <f t="shared" si="15"/>
        <v>0</v>
      </c>
      <c r="V10" s="491">
        <f t="shared" si="16"/>
        <v>0</v>
      </c>
      <c r="W10" s="154">
        <f t="shared" ref="W10:W38" si="49">W9+1</f>
        <v>45476</v>
      </c>
      <c r="X10" s="489">
        <f t="shared" si="37"/>
        <v>0</v>
      </c>
      <c r="Y10" s="490">
        <f t="shared" si="38"/>
        <v>0</v>
      </c>
      <c r="Z10" s="490">
        <f t="shared" si="39"/>
        <v>0</v>
      </c>
      <c r="AA10" s="490">
        <f t="shared" si="40"/>
        <v>0</v>
      </c>
      <c r="AB10" s="490">
        <f t="shared" si="41"/>
        <v>0</v>
      </c>
      <c r="AC10" s="490">
        <f t="shared" si="42"/>
        <v>0</v>
      </c>
      <c r="AD10" s="491">
        <f t="shared" si="43"/>
        <v>0</v>
      </c>
      <c r="AE10" s="414">
        <f>VLOOKUP(W10,CASSA!$B$180:$C$545,2,FALSE)</f>
        <v>0</v>
      </c>
      <c r="AF10" s="512">
        <f t="shared" si="18"/>
        <v>0</v>
      </c>
      <c r="AG10" s="513">
        <f t="shared" si="19"/>
        <v>0</v>
      </c>
      <c r="AH10" s="490">
        <f t="shared" si="20"/>
        <v>0</v>
      </c>
      <c r="AI10" s="490">
        <f t="shared" si="21"/>
        <v>0</v>
      </c>
      <c r="AJ10" s="514">
        <f t="shared" si="22"/>
        <v>0</v>
      </c>
      <c r="AK10" s="1003">
        <f t="shared" si="44"/>
        <v>0</v>
      </c>
      <c r="AL10" s="512">
        <f t="shared" si="45"/>
        <v>0</v>
      </c>
      <c r="AM10" s="526">
        <f t="shared" si="23"/>
        <v>0</v>
      </c>
      <c r="AN10" s="490">
        <f t="shared" si="24"/>
        <v>0</v>
      </c>
      <c r="AO10" s="490">
        <f t="shared" si="25"/>
        <v>0</v>
      </c>
      <c r="AP10" s="490">
        <f t="shared" si="26"/>
        <v>0</v>
      </c>
      <c r="AQ10" s="490">
        <f t="shared" si="27"/>
        <v>0</v>
      </c>
      <c r="AR10" s="490">
        <f t="shared" si="28"/>
        <v>0</v>
      </c>
      <c r="AS10" s="514">
        <f t="shared" si="29"/>
        <v>0</v>
      </c>
      <c r="AT10" s="2"/>
      <c r="AU10" s="512">
        <f t="shared" si="30"/>
        <v>0</v>
      </c>
      <c r="AV10" s="513">
        <f t="shared" si="31"/>
        <v>0</v>
      </c>
      <c r="AW10" s="490">
        <f t="shared" si="32"/>
        <v>0</v>
      </c>
      <c r="AX10" s="490">
        <f t="shared" si="33"/>
        <v>0</v>
      </c>
      <c r="AY10" s="514">
        <f t="shared" si="34"/>
        <v>0</v>
      </c>
      <c r="AZ10" s="1123" t="str">
        <f t="shared" si="46"/>
        <v/>
      </c>
      <c r="BA10" s="1048">
        <f t="shared" si="47"/>
        <v>0</v>
      </c>
      <c r="BB10" s="1003">
        <f t="shared" si="35"/>
        <v>0</v>
      </c>
      <c r="BC10" s="1003">
        <f t="shared" si="35"/>
        <v>0</v>
      </c>
      <c r="BD10" s="1003">
        <f t="shared" si="35"/>
        <v>0</v>
      </c>
      <c r="BE10" s="1003">
        <f t="shared" si="35"/>
        <v>0</v>
      </c>
      <c r="BF10" s="1003">
        <f t="shared" si="35"/>
        <v>0</v>
      </c>
      <c r="BG10" s="1049">
        <f t="shared" si="35"/>
        <v>0</v>
      </c>
      <c r="BH10" s="2"/>
      <c r="BI10" s="1314" t="s">
        <v>463</v>
      </c>
      <c r="BJ10" s="2"/>
    </row>
    <row r="11" spans="1:62" ht="20.25" customHeight="1" x14ac:dyDescent="0.2">
      <c r="A11" s="2"/>
      <c r="B11" s="18">
        <v>4</v>
      </c>
      <c r="C11" s="155">
        <f t="shared" si="48"/>
        <v>4</v>
      </c>
      <c r="D11" s="156">
        <f t="shared" si="36"/>
        <v>7</v>
      </c>
      <c r="E11" s="1959" t="str">
        <f t="shared" si="9"/>
        <v xml:space="preserve">disattivato  </v>
      </c>
      <c r="F11" s="1960"/>
      <c r="G11" s="1309"/>
      <c r="H11" s="1309"/>
      <c r="I11" s="1309"/>
      <c r="J11" s="1309"/>
      <c r="K11" s="1309"/>
      <c r="L11" s="1309"/>
      <c r="M11" s="1309"/>
      <c r="N11" s="1310"/>
      <c r="O11" s="6"/>
      <c r="P11" s="489">
        <f t="shared" si="10"/>
        <v>0</v>
      </c>
      <c r="Q11" s="490">
        <f t="shared" si="11"/>
        <v>0</v>
      </c>
      <c r="R11" s="490">
        <f t="shared" si="12"/>
        <v>0</v>
      </c>
      <c r="S11" s="490">
        <f t="shared" si="13"/>
        <v>0</v>
      </c>
      <c r="T11" s="490">
        <f t="shared" si="14"/>
        <v>0</v>
      </c>
      <c r="U11" s="490">
        <f t="shared" si="15"/>
        <v>0</v>
      </c>
      <c r="V11" s="491">
        <f t="shared" si="16"/>
        <v>0</v>
      </c>
      <c r="W11" s="154">
        <f t="shared" si="49"/>
        <v>45477</v>
      </c>
      <c r="X11" s="489">
        <f t="shared" si="37"/>
        <v>0</v>
      </c>
      <c r="Y11" s="490">
        <f t="shared" si="38"/>
        <v>0</v>
      </c>
      <c r="Z11" s="490">
        <f t="shared" si="39"/>
        <v>0</v>
      </c>
      <c r="AA11" s="490">
        <f t="shared" si="40"/>
        <v>0</v>
      </c>
      <c r="AB11" s="490">
        <f t="shared" si="41"/>
        <v>0</v>
      </c>
      <c r="AC11" s="490">
        <f t="shared" si="42"/>
        <v>0</v>
      </c>
      <c r="AD11" s="491">
        <f t="shared" si="43"/>
        <v>0</v>
      </c>
      <c r="AE11" s="414">
        <f>VLOOKUP(W11,CASSA!$B$180:$C$545,2,FALSE)</f>
        <v>0</v>
      </c>
      <c r="AF11" s="512">
        <f t="shared" si="18"/>
        <v>0</v>
      </c>
      <c r="AG11" s="513">
        <f t="shared" si="19"/>
        <v>0</v>
      </c>
      <c r="AH11" s="490">
        <f t="shared" si="20"/>
        <v>0</v>
      </c>
      <c r="AI11" s="490">
        <f t="shared" si="21"/>
        <v>0</v>
      </c>
      <c r="AJ11" s="514">
        <f t="shared" si="22"/>
        <v>0</v>
      </c>
      <c r="AK11" s="1003">
        <f t="shared" si="44"/>
        <v>0</v>
      </c>
      <c r="AL11" s="512">
        <f t="shared" si="45"/>
        <v>0</v>
      </c>
      <c r="AM11" s="526">
        <f t="shared" si="23"/>
        <v>0</v>
      </c>
      <c r="AN11" s="490">
        <f t="shared" si="24"/>
        <v>0</v>
      </c>
      <c r="AO11" s="490">
        <f t="shared" si="25"/>
        <v>0</v>
      </c>
      <c r="AP11" s="490">
        <f t="shared" si="26"/>
        <v>0</v>
      </c>
      <c r="AQ11" s="490">
        <f t="shared" si="27"/>
        <v>0</v>
      </c>
      <c r="AR11" s="490">
        <f t="shared" si="28"/>
        <v>0</v>
      </c>
      <c r="AS11" s="514">
        <f t="shared" si="29"/>
        <v>0</v>
      </c>
      <c r="AT11" s="2"/>
      <c r="AU11" s="512">
        <f t="shared" si="30"/>
        <v>0</v>
      </c>
      <c r="AV11" s="513">
        <f t="shared" si="31"/>
        <v>0</v>
      </c>
      <c r="AW11" s="490">
        <f t="shared" si="32"/>
        <v>0</v>
      </c>
      <c r="AX11" s="490">
        <f t="shared" si="33"/>
        <v>0</v>
      </c>
      <c r="AY11" s="514">
        <f t="shared" si="34"/>
        <v>0</v>
      </c>
      <c r="AZ11" s="1123" t="str">
        <f t="shared" si="46"/>
        <v/>
      </c>
      <c r="BA11" s="1048">
        <f t="shared" si="47"/>
        <v>0</v>
      </c>
      <c r="BB11" s="1003">
        <f t="shared" si="35"/>
        <v>0</v>
      </c>
      <c r="BC11" s="1003">
        <f t="shared" si="35"/>
        <v>0</v>
      </c>
      <c r="BD11" s="1003">
        <f t="shared" si="35"/>
        <v>0</v>
      </c>
      <c r="BE11" s="1003">
        <f t="shared" si="35"/>
        <v>0</v>
      </c>
      <c r="BF11" s="1003">
        <f t="shared" si="35"/>
        <v>0</v>
      </c>
      <c r="BG11" s="1049">
        <f t="shared" si="35"/>
        <v>0</v>
      </c>
      <c r="BH11" s="2"/>
      <c r="BI11" s="1314" t="s">
        <v>464</v>
      </c>
      <c r="BJ11" s="2"/>
    </row>
    <row r="12" spans="1:62" ht="20.25" customHeight="1" x14ac:dyDescent="0.2">
      <c r="A12" s="2"/>
      <c r="B12" s="18">
        <v>5</v>
      </c>
      <c r="C12" s="155">
        <f t="shared" si="48"/>
        <v>5</v>
      </c>
      <c r="D12" s="156">
        <f t="shared" si="36"/>
        <v>7</v>
      </c>
      <c r="E12" s="1959" t="str">
        <f t="shared" si="9"/>
        <v xml:space="preserve">disattivato  </v>
      </c>
      <c r="F12" s="1960"/>
      <c r="G12" s="1309"/>
      <c r="H12" s="1309"/>
      <c r="I12" s="1309"/>
      <c r="J12" s="1309"/>
      <c r="K12" s="1309"/>
      <c r="L12" s="1309"/>
      <c r="M12" s="1309"/>
      <c r="N12" s="1310"/>
      <c r="O12" s="6"/>
      <c r="P12" s="489">
        <f t="shared" si="10"/>
        <v>0</v>
      </c>
      <c r="Q12" s="490">
        <f t="shared" si="11"/>
        <v>0</v>
      </c>
      <c r="R12" s="490">
        <f t="shared" si="12"/>
        <v>0</v>
      </c>
      <c r="S12" s="490">
        <f t="shared" si="13"/>
        <v>0</v>
      </c>
      <c r="T12" s="490">
        <f t="shared" si="14"/>
        <v>0</v>
      </c>
      <c r="U12" s="490">
        <f t="shared" si="15"/>
        <v>0</v>
      </c>
      <c r="V12" s="491">
        <f t="shared" si="16"/>
        <v>0</v>
      </c>
      <c r="W12" s="154">
        <f t="shared" si="49"/>
        <v>45478</v>
      </c>
      <c r="X12" s="489">
        <f t="shared" si="37"/>
        <v>0</v>
      </c>
      <c r="Y12" s="490">
        <f t="shared" si="38"/>
        <v>0</v>
      </c>
      <c r="Z12" s="490">
        <f t="shared" si="39"/>
        <v>0</v>
      </c>
      <c r="AA12" s="490">
        <f t="shared" si="40"/>
        <v>0</v>
      </c>
      <c r="AB12" s="490">
        <f t="shared" si="41"/>
        <v>0</v>
      </c>
      <c r="AC12" s="490">
        <f t="shared" si="42"/>
        <v>0</v>
      </c>
      <c r="AD12" s="491">
        <f t="shared" si="43"/>
        <v>0</v>
      </c>
      <c r="AE12" s="414">
        <f>VLOOKUP(W12,CASSA!$B$180:$C$545,2,FALSE)</f>
        <v>0</v>
      </c>
      <c r="AF12" s="512">
        <f t="shared" si="18"/>
        <v>0</v>
      </c>
      <c r="AG12" s="513">
        <f t="shared" si="19"/>
        <v>0</v>
      </c>
      <c r="AH12" s="490">
        <f t="shared" si="20"/>
        <v>0</v>
      </c>
      <c r="AI12" s="490">
        <f t="shared" si="21"/>
        <v>0</v>
      </c>
      <c r="AJ12" s="514">
        <f t="shared" si="22"/>
        <v>0</v>
      </c>
      <c r="AK12" s="1003">
        <f t="shared" si="44"/>
        <v>0</v>
      </c>
      <c r="AL12" s="512">
        <f t="shared" si="45"/>
        <v>0</v>
      </c>
      <c r="AM12" s="526">
        <f t="shared" si="23"/>
        <v>0</v>
      </c>
      <c r="AN12" s="490">
        <f t="shared" si="24"/>
        <v>0</v>
      </c>
      <c r="AO12" s="490">
        <f t="shared" si="25"/>
        <v>0</v>
      </c>
      <c r="AP12" s="490">
        <f t="shared" si="26"/>
        <v>0</v>
      </c>
      <c r="AQ12" s="490">
        <f t="shared" si="27"/>
        <v>0</v>
      </c>
      <c r="AR12" s="490">
        <f t="shared" si="28"/>
        <v>0</v>
      </c>
      <c r="AS12" s="514">
        <f t="shared" si="29"/>
        <v>0</v>
      </c>
      <c r="AT12" s="2"/>
      <c r="AU12" s="512">
        <f t="shared" si="30"/>
        <v>0</v>
      </c>
      <c r="AV12" s="513">
        <f t="shared" si="31"/>
        <v>0</v>
      </c>
      <c r="AW12" s="490">
        <f t="shared" si="32"/>
        <v>0</v>
      </c>
      <c r="AX12" s="490">
        <f t="shared" si="33"/>
        <v>0</v>
      </c>
      <c r="AY12" s="514">
        <f t="shared" si="34"/>
        <v>0</v>
      </c>
      <c r="AZ12" s="1123" t="str">
        <f t="shared" si="46"/>
        <v/>
      </c>
      <c r="BA12" s="1048">
        <f t="shared" si="47"/>
        <v>0</v>
      </c>
      <c r="BB12" s="1003">
        <f t="shared" si="35"/>
        <v>0</v>
      </c>
      <c r="BC12" s="1003">
        <f t="shared" si="35"/>
        <v>0</v>
      </c>
      <c r="BD12" s="1003">
        <f t="shared" si="35"/>
        <v>0</v>
      </c>
      <c r="BE12" s="1003">
        <f t="shared" si="35"/>
        <v>0</v>
      </c>
      <c r="BF12" s="1003">
        <f t="shared" si="35"/>
        <v>0</v>
      </c>
      <c r="BG12" s="1049">
        <f t="shared" si="35"/>
        <v>0</v>
      </c>
      <c r="BH12" s="2"/>
      <c r="BI12" s="1314"/>
      <c r="BJ12" s="2"/>
    </row>
    <row r="13" spans="1:62" ht="20.25" customHeight="1" x14ac:dyDescent="0.2">
      <c r="A13" s="2"/>
      <c r="B13" s="18">
        <v>6</v>
      </c>
      <c r="C13" s="155">
        <f t="shared" si="48"/>
        <v>6</v>
      </c>
      <c r="D13" s="156">
        <f t="shared" si="36"/>
        <v>7</v>
      </c>
      <c r="E13" s="1959" t="str">
        <f t="shared" si="9"/>
        <v xml:space="preserve">disattivato  </v>
      </c>
      <c r="F13" s="1960"/>
      <c r="G13" s="1309"/>
      <c r="H13" s="1309"/>
      <c r="I13" s="1309"/>
      <c r="J13" s="1309"/>
      <c r="K13" s="1309"/>
      <c r="L13" s="1309"/>
      <c r="M13" s="1309"/>
      <c r="N13" s="1310"/>
      <c r="O13" s="6"/>
      <c r="P13" s="489">
        <f t="shared" si="10"/>
        <v>0</v>
      </c>
      <c r="Q13" s="490">
        <f t="shared" si="11"/>
        <v>0</v>
      </c>
      <c r="R13" s="490">
        <f t="shared" si="12"/>
        <v>0</v>
      </c>
      <c r="S13" s="490">
        <f t="shared" si="13"/>
        <v>0</v>
      </c>
      <c r="T13" s="490">
        <f t="shared" si="14"/>
        <v>0</v>
      </c>
      <c r="U13" s="490">
        <f t="shared" si="15"/>
        <v>0</v>
      </c>
      <c r="V13" s="491">
        <f t="shared" si="16"/>
        <v>0</v>
      </c>
      <c r="W13" s="154">
        <f t="shared" si="49"/>
        <v>45479</v>
      </c>
      <c r="X13" s="489">
        <f t="shared" si="37"/>
        <v>0</v>
      </c>
      <c r="Y13" s="490">
        <f t="shared" si="38"/>
        <v>0</v>
      </c>
      <c r="Z13" s="490">
        <f t="shared" si="39"/>
        <v>0</v>
      </c>
      <c r="AA13" s="490">
        <f t="shared" si="40"/>
        <v>0</v>
      </c>
      <c r="AB13" s="490">
        <f t="shared" si="41"/>
        <v>0</v>
      </c>
      <c r="AC13" s="490">
        <f t="shared" si="42"/>
        <v>0</v>
      </c>
      <c r="AD13" s="491">
        <f t="shared" si="43"/>
        <v>0</v>
      </c>
      <c r="AE13" s="414">
        <f>VLOOKUP(W13,CASSA!$B$180:$C$545,2,FALSE)</f>
        <v>0</v>
      </c>
      <c r="AF13" s="512">
        <f t="shared" si="18"/>
        <v>0</v>
      </c>
      <c r="AG13" s="513">
        <f t="shared" si="19"/>
        <v>0</v>
      </c>
      <c r="AH13" s="490">
        <f t="shared" si="20"/>
        <v>0</v>
      </c>
      <c r="AI13" s="490">
        <f t="shared" si="21"/>
        <v>0</v>
      </c>
      <c r="AJ13" s="514">
        <f t="shared" si="22"/>
        <v>0</v>
      </c>
      <c r="AK13" s="1003">
        <f t="shared" si="44"/>
        <v>0</v>
      </c>
      <c r="AL13" s="512">
        <f t="shared" si="45"/>
        <v>0</v>
      </c>
      <c r="AM13" s="526">
        <f t="shared" si="23"/>
        <v>0</v>
      </c>
      <c r="AN13" s="490">
        <f t="shared" si="24"/>
        <v>0</v>
      </c>
      <c r="AO13" s="490">
        <f t="shared" si="25"/>
        <v>0</v>
      </c>
      <c r="AP13" s="490">
        <f t="shared" si="26"/>
        <v>0</v>
      </c>
      <c r="AQ13" s="490">
        <f t="shared" si="27"/>
        <v>0</v>
      </c>
      <c r="AR13" s="490">
        <f t="shared" si="28"/>
        <v>0</v>
      </c>
      <c r="AS13" s="514">
        <f t="shared" si="29"/>
        <v>0</v>
      </c>
      <c r="AT13" s="2"/>
      <c r="AU13" s="512">
        <f t="shared" si="30"/>
        <v>0</v>
      </c>
      <c r="AV13" s="513">
        <f t="shared" si="31"/>
        <v>0</v>
      </c>
      <c r="AW13" s="490">
        <f t="shared" si="32"/>
        <v>0</v>
      </c>
      <c r="AX13" s="490">
        <f t="shared" si="33"/>
        <v>0</v>
      </c>
      <c r="AY13" s="514">
        <f t="shared" si="34"/>
        <v>0</v>
      </c>
      <c r="AZ13" s="1123" t="str">
        <f t="shared" si="46"/>
        <v/>
      </c>
      <c r="BA13" s="1048">
        <f t="shared" si="47"/>
        <v>0</v>
      </c>
      <c r="BB13" s="1003">
        <f t="shared" si="35"/>
        <v>0</v>
      </c>
      <c r="BC13" s="1003">
        <f t="shared" si="35"/>
        <v>0</v>
      </c>
      <c r="BD13" s="1003">
        <f t="shared" si="35"/>
        <v>0</v>
      </c>
      <c r="BE13" s="1003">
        <f t="shared" si="35"/>
        <v>0</v>
      </c>
      <c r="BF13" s="1003">
        <f t="shared" si="35"/>
        <v>0</v>
      </c>
      <c r="BG13" s="1049">
        <f t="shared" si="35"/>
        <v>0</v>
      </c>
      <c r="BH13" s="2"/>
      <c r="BI13" s="1314"/>
      <c r="BJ13" s="2"/>
    </row>
    <row r="14" spans="1:62" ht="20.25" customHeight="1" x14ac:dyDescent="0.2">
      <c r="A14" s="2"/>
      <c r="B14" s="18">
        <v>7</v>
      </c>
      <c r="C14" s="155">
        <f t="shared" si="48"/>
        <v>7</v>
      </c>
      <c r="D14" s="156">
        <f t="shared" si="36"/>
        <v>7</v>
      </c>
      <c r="E14" s="1959" t="str">
        <f t="shared" si="9"/>
        <v xml:space="preserve">disattivato  </v>
      </c>
      <c r="F14" s="1960"/>
      <c r="G14" s="1309"/>
      <c r="H14" s="1309"/>
      <c r="I14" s="1309"/>
      <c r="J14" s="1309"/>
      <c r="K14" s="1309"/>
      <c r="L14" s="1309"/>
      <c r="M14" s="1309"/>
      <c r="N14" s="1310"/>
      <c r="O14" s="6"/>
      <c r="P14" s="489">
        <f t="shared" si="10"/>
        <v>0</v>
      </c>
      <c r="Q14" s="490">
        <f t="shared" si="11"/>
        <v>0</v>
      </c>
      <c r="R14" s="490">
        <f t="shared" si="12"/>
        <v>0</v>
      </c>
      <c r="S14" s="490">
        <f t="shared" si="13"/>
        <v>0</v>
      </c>
      <c r="T14" s="490">
        <f t="shared" si="14"/>
        <v>0</v>
      </c>
      <c r="U14" s="490">
        <f t="shared" si="15"/>
        <v>0</v>
      </c>
      <c r="V14" s="491">
        <f t="shared" si="16"/>
        <v>0</v>
      </c>
      <c r="W14" s="154">
        <f t="shared" si="49"/>
        <v>45480</v>
      </c>
      <c r="X14" s="489">
        <f t="shared" si="37"/>
        <v>0</v>
      </c>
      <c r="Y14" s="490">
        <f t="shared" si="38"/>
        <v>0</v>
      </c>
      <c r="Z14" s="490">
        <f t="shared" si="39"/>
        <v>0</v>
      </c>
      <c r="AA14" s="490">
        <f t="shared" si="40"/>
        <v>0</v>
      </c>
      <c r="AB14" s="490">
        <f t="shared" si="41"/>
        <v>0</v>
      </c>
      <c r="AC14" s="490">
        <f t="shared" si="42"/>
        <v>0</v>
      </c>
      <c r="AD14" s="491">
        <f t="shared" si="43"/>
        <v>0</v>
      </c>
      <c r="AE14" s="414">
        <f>VLOOKUP(W14,CASSA!$B$180:$C$545,2,FALSE)</f>
        <v>0</v>
      </c>
      <c r="AF14" s="512">
        <f t="shared" si="18"/>
        <v>0</v>
      </c>
      <c r="AG14" s="513">
        <f t="shared" si="19"/>
        <v>0</v>
      </c>
      <c r="AH14" s="490">
        <f t="shared" si="20"/>
        <v>0</v>
      </c>
      <c r="AI14" s="490">
        <f t="shared" si="21"/>
        <v>0</v>
      </c>
      <c r="AJ14" s="514">
        <f t="shared" si="22"/>
        <v>0</v>
      </c>
      <c r="AK14" s="1003">
        <f t="shared" si="44"/>
        <v>0</v>
      </c>
      <c r="AL14" s="512">
        <f t="shared" si="45"/>
        <v>0</v>
      </c>
      <c r="AM14" s="526">
        <f t="shared" si="23"/>
        <v>0</v>
      </c>
      <c r="AN14" s="490">
        <f t="shared" si="24"/>
        <v>0</v>
      </c>
      <c r="AO14" s="490">
        <f t="shared" si="25"/>
        <v>0</v>
      </c>
      <c r="AP14" s="490">
        <f t="shared" si="26"/>
        <v>0</v>
      </c>
      <c r="AQ14" s="490">
        <f t="shared" si="27"/>
        <v>0</v>
      </c>
      <c r="AR14" s="490">
        <f t="shared" si="28"/>
        <v>0</v>
      </c>
      <c r="AS14" s="514">
        <f t="shared" si="29"/>
        <v>0</v>
      </c>
      <c r="AT14" s="2"/>
      <c r="AU14" s="512">
        <f t="shared" si="30"/>
        <v>0</v>
      </c>
      <c r="AV14" s="513">
        <f t="shared" si="31"/>
        <v>0</v>
      </c>
      <c r="AW14" s="490">
        <f t="shared" si="32"/>
        <v>0</v>
      </c>
      <c r="AX14" s="490">
        <f t="shared" si="33"/>
        <v>0</v>
      </c>
      <c r="AY14" s="514">
        <f t="shared" si="34"/>
        <v>0</v>
      </c>
      <c r="AZ14" s="1123" t="str">
        <f t="shared" si="46"/>
        <v/>
      </c>
      <c r="BA14" s="1048">
        <f t="shared" si="47"/>
        <v>0</v>
      </c>
      <c r="BB14" s="1003">
        <f t="shared" si="35"/>
        <v>0</v>
      </c>
      <c r="BC14" s="1003">
        <f t="shared" si="35"/>
        <v>0</v>
      </c>
      <c r="BD14" s="1003">
        <f t="shared" si="35"/>
        <v>0</v>
      </c>
      <c r="BE14" s="1003">
        <f t="shared" si="35"/>
        <v>0</v>
      </c>
      <c r="BF14" s="1003">
        <f t="shared" si="35"/>
        <v>0</v>
      </c>
      <c r="BG14" s="1049">
        <f t="shared" si="35"/>
        <v>0</v>
      </c>
      <c r="BH14" s="2"/>
      <c r="BI14" s="1314"/>
      <c r="BJ14" s="2"/>
    </row>
    <row r="15" spans="1:62" ht="20.25" customHeight="1" x14ac:dyDescent="0.2">
      <c r="A15" s="2"/>
      <c r="B15" s="18">
        <v>8</v>
      </c>
      <c r="C15" s="155">
        <f t="shared" si="48"/>
        <v>8</v>
      </c>
      <c r="D15" s="156">
        <f t="shared" si="36"/>
        <v>7</v>
      </c>
      <c r="E15" s="1959" t="str">
        <f t="shared" si="9"/>
        <v xml:space="preserve">disattivato  </v>
      </c>
      <c r="F15" s="1960"/>
      <c r="G15" s="1309"/>
      <c r="H15" s="1309"/>
      <c r="I15" s="1309"/>
      <c r="J15" s="1309"/>
      <c r="K15" s="1309"/>
      <c r="L15" s="1309"/>
      <c r="M15" s="1309"/>
      <c r="N15" s="1310"/>
      <c r="O15" s="6"/>
      <c r="P15" s="489">
        <f t="shared" si="10"/>
        <v>0</v>
      </c>
      <c r="Q15" s="490">
        <f t="shared" si="11"/>
        <v>0</v>
      </c>
      <c r="R15" s="490">
        <f t="shared" si="12"/>
        <v>0</v>
      </c>
      <c r="S15" s="490">
        <f t="shared" si="13"/>
        <v>0</v>
      </c>
      <c r="T15" s="490">
        <f t="shared" si="14"/>
        <v>0</v>
      </c>
      <c r="U15" s="490">
        <f t="shared" si="15"/>
        <v>0</v>
      </c>
      <c r="V15" s="491">
        <f t="shared" si="16"/>
        <v>0</v>
      </c>
      <c r="W15" s="154">
        <f t="shared" si="49"/>
        <v>45481</v>
      </c>
      <c r="X15" s="489">
        <f t="shared" si="37"/>
        <v>0</v>
      </c>
      <c r="Y15" s="490">
        <f t="shared" si="38"/>
        <v>0</v>
      </c>
      <c r="Z15" s="490">
        <f t="shared" si="39"/>
        <v>0</v>
      </c>
      <c r="AA15" s="490">
        <f t="shared" si="40"/>
        <v>0</v>
      </c>
      <c r="AB15" s="490">
        <f t="shared" si="41"/>
        <v>0</v>
      </c>
      <c r="AC15" s="490">
        <f t="shared" si="42"/>
        <v>0</v>
      </c>
      <c r="AD15" s="491">
        <f t="shared" si="43"/>
        <v>0</v>
      </c>
      <c r="AE15" s="414">
        <f>VLOOKUP(W15,CASSA!$B$180:$C$545,2,FALSE)</f>
        <v>0</v>
      </c>
      <c r="AF15" s="512">
        <f t="shared" si="18"/>
        <v>0</v>
      </c>
      <c r="AG15" s="513">
        <f t="shared" si="19"/>
        <v>0</v>
      </c>
      <c r="AH15" s="490">
        <f t="shared" si="20"/>
        <v>0</v>
      </c>
      <c r="AI15" s="490">
        <f t="shared" si="21"/>
        <v>0</v>
      </c>
      <c r="AJ15" s="514">
        <f t="shared" si="22"/>
        <v>0</v>
      </c>
      <c r="AK15" s="1003">
        <f t="shared" si="44"/>
        <v>0</v>
      </c>
      <c r="AL15" s="512">
        <f t="shared" si="45"/>
        <v>0</v>
      </c>
      <c r="AM15" s="526">
        <f t="shared" si="23"/>
        <v>0</v>
      </c>
      <c r="AN15" s="490">
        <f t="shared" si="24"/>
        <v>0</v>
      </c>
      <c r="AO15" s="490">
        <f t="shared" si="25"/>
        <v>0</v>
      </c>
      <c r="AP15" s="490">
        <f t="shared" si="26"/>
        <v>0</v>
      </c>
      <c r="AQ15" s="490">
        <f t="shared" si="27"/>
        <v>0</v>
      </c>
      <c r="AR15" s="490">
        <f t="shared" si="28"/>
        <v>0</v>
      </c>
      <c r="AS15" s="514">
        <f t="shared" si="29"/>
        <v>0</v>
      </c>
      <c r="AT15" s="2"/>
      <c r="AU15" s="512">
        <f t="shared" si="30"/>
        <v>0</v>
      </c>
      <c r="AV15" s="513">
        <f t="shared" si="31"/>
        <v>0</v>
      </c>
      <c r="AW15" s="490">
        <f t="shared" si="32"/>
        <v>0</v>
      </c>
      <c r="AX15" s="490">
        <f t="shared" si="33"/>
        <v>0</v>
      </c>
      <c r="AY15" s="514">
        <f t="shared" si="34"/>
        <v>0</v>
      </c>
      <c r="AZ15" s="1123" t="str">
        <f t="shared" si="46"/>
        <v/>
      </c>
      <c r="BA15" s="1048">
        <f t="shared" si="47"/>
        <v>0</v>
      </c>
      <c r="BB15" s="1003">
        <f t="shared" si="35"/>
        <v>0</v>
      </c>
      <c r="BC15" s="1003">
        <f t="shared" si="35"/>
        <v>0</v>
      </c>
      <c r="BD15" s="1003">
        <f t="shared" si="35"/>
        <v>0</v>
      </c>
      <c r="BE15" s="1003">
        <f t="shared" si="35"/>
        <v>0</v>
      </c>
      <c r="BF15" s="1003">
        <f t="shared" si="35"/>
        <v>0</v>
      </c>
      <c r="BG15" s="1049">
        <f t="shared" si="35"/>
        <v>0</v>
      </c>
      <c r="BH15" s="2"/>
      <c r="BI15" s="1314"/>
      <c r="BJ15" s="2"/>
    </row>
    <row r="16" spans="1:62" ht="20.25" customHeight="1" x14ac:dyDescent="0.2">
      <c r="A16" s="2"/>
      <c r="B16" s="18">
        <v>9</v>
      </c>
      <c r="C16" s="155">
        <f t="shared" si="48"/>
        <v>9</v>
      </c>
      <c r="D16" s="156">
        <f t="shared" si="36"/>
        <v>7</v>
      </c>
      <c r="E16" s="1959" t="str">
        <f t="shared" si="9"/>
        <v xml:space="preserve">disattivato  </v>
      </c>
      <c r="F16" s="1960"/>
      <c r="G16" s="1309"/>
      <c r="H16" s="1309"/>
      <c r="I16" s="1309"/>
      <c r="J16" s="1309"/>
      <c r="K16" s="1309"/>
      <c r="L16" s="1309"/>
      <c r="M16" s="1309"/>
      <c r="N16" s="1310"/>
      <c r="O16" s="6"/>
      <c r="P16" s="489">
        <f t="shared" si="10"/>
        <v>0</v>
      </c>
      <c r="Q16" s="490">
        <f t="shared" si="11"/>
        <v>0</v>
      </c>
      <c r="R16" s="490">
        <f t="shared" si="12"/>
        <v>0</v>
      </c>
      <c r="S16" s="490">
        <f t="shared" si="13"/>
        <v>0</v>
      </c>
      <c r="T16" s="490">
        <f t="shared" si="14"/>
        <v>0</v>
      </c>
      <c r="U16" s="490">
        <f t="shared" si="15"/>
        <v>0</v>
      </c>
      <c r="V16" s="491">
        <f t="shared" si="16"/>
        <v>0</v>
      </c>
      <c r="W16" s="154">
        <f t="shared" si="49"/>
        <v>45482</v>
      </c>
      <c r="X16" s="489">
        <f t="shared" si="37"/>
        <v>0</v>
      </c>
      <c r="Y16" s="490">
        <f t="shared" si="38"/>
        <v>0</v>
      </c>
      <c r="Z16" s="490">
        <f t="shared" si="39"/>
        <v>0</v>
      </c>
      <c r="AA16" s="490">
        <f t="shared" si="40"/>
        <v>0</v>
      </c>
      <c r="AB16" s="490">
        <f t="shared" si="41"/>
        <v>0</v>
      </c>
      <c r="AC16" s="490">
        <f t="shared" si="42"/>
        <v>0</v>
      </c>
      <c r="AD16" s="491">
        <f t="shared" si="43"/>
        <v>0</v>
      </c>
      <c r="AE16" s="414">
        <f>VLOOKUP(W16,CASSA!$B$180:$C$545,2,FALSE)</f>
        <v>0</v>
      </c>
      <c r="AF16" s="512">
        <f t="shared" si="18"/>
        <v>0</v>
      </c>
      <c r="AG16" s="513">
        <f t="shared" si="19"/>
        <v>0</v>
      </c>
      <c r="AH16" s="490">
        <f t="shared" si="20"/>
        <v>0</v>
      </c>
      <c r="AI16" s="490">
        <f t="shared" si="21"/>
        <v>0</v>
      </c>
      <c r="AJ16" s="514">
        <f t="shared" si="22"/>
        <v>0</v>
      </c>
      <c r="AK16" s="1003">
        <f t="shared" si="44"/>
        <v>0</v>
      </c>
      <c r="AL16" s="512">
        <f t="shared" si="45"/>
        <v>0</v>
      </c>
      <c r="AM16" s="526">
        <f t="shared" si="23"/>
        <v>0</v>
      </c>
      <c r="AN16" s="490">
        <f t="shared" si="24"/>
        <v>0</v>
      </c>
      <c r="AO16" s="490">
        <f t="shared" si="25"/>
        <v>0</v>
      </c>
      <c r="AP16" s="490">
        <f t="shared" si="26"/>
        <v>0</v>
      </c>
      <c r="AQ16" s="490">
        <f t="shared" si="27"/>
        <v>0</v>
      </c>
      <c r="AR16" s="490">
        <f t="shared" si="28"/>
        <v>0</v>
      </c>
      <c r="AS16" s="514">
        <f t="shared" si="29"/>
        <v>0</v>
      </c>
      <c r="AT16" s="2"/>
      <c r="AU16" s="512">
        <f t="shared" si="30"/>
        <v>0</v>
      </c>
      <c r="AV16" s="513">
        <f t="shared" si="31"/>
        <v>0</v>
      </c>
      <c r="AW16" s="490">
        <f t="shared" si="32"/>
        <v>0</v>
      </c>
      <c r="AX16" s="490">
        <f t="shared" si="33"/>
        <v>0</v>
      </c>
      <c r="AY16" s="514">
        <f t="shared" si="34"/>
        <v>0</v>
      </c>
      <c r="AZ16" s="1123" t="str">
        <f t="shared" si="46"/>
        <v/>
      </c>
      <c r="BA16" s="1048">
        <f t="shared" si="47"/>
        <v>0</v>
      </c>
      <c r="BB16" s="1003">
        <f t="shared" si="35"/>
        <v>0</v>
      </c>
      <c r="BC16" s="1003">
        <f t="shared" si="35"/>
        <v>0</v>
      </c>
      <c r="BD16" s="1003">
        <f t="shared" si="35"/>
        <v>0</v>
      </c>
      <c r="BE16" s="1003">
        <f t="shared" si="35"/>
        <v>0</v>
      </c>
      <c r="BF16" s="1003">
        <f t="shared" si="35"/>
        <v>0</v>
      </c>
      <c r="BG16" s="1049">
        <f t="shared" si="35"/>
        <v>0</v>
      </c>
      <c r="BH16" s="2"/>
      <c r="BI16" s="1314"/>
      <c r="BJ16" s="2"/>
    </row>
    <row r="17" spans="1:62" ht="20.25" customHeight="1" x14ac:dyDescent="0.2">
      <c r="A17" s="2"/>
      <c r="B17" s="18">
        <v>10</v>
      </c>
      <c r="C17" s="155">
        <f t="shared" si="48"/>
        <v>10</v>
      </c>
      <c r="D17" s="156">
        <f t="shared" si="36"/>
        <v>7</v>
      </c>
      <c r="E17" s="1959" t="str">
        <f t="shared" si="9"/>
        <v xml:space="preserve">disattivato  </v>
      </c>
      <c r="F17" s="1960"/>
      <c r="G17" s="1309"/>
      <c r="H17" s="1309"/>
      <c r="I17" s="1309"/>
      <c r="J17" s="1309"/>
      <c r="K17" s="1309"/>
      <c r="L17" s="1309"/>
      <c r="M17" s="1309"/>
      <c r="N17" s="1310"/>
      <c r="O17" s="6"/>
      <c r="P17" s="489">
        <f t="shared" si="10"/>
        <v>0</v>
      </c>
      <c r="Q17" s="490">
        <f t="shared" si="11"/>
        <v>0</v>
      </c>
      <c r="R17" s="490">
        <f t="shared" si="12"/>
        <v>0</v>
      </c>
      <c r="S17" s="490">
        <f t="shared" si="13"/>
        <v>0</v>
      </c>
      <c r="T17" s="490">
        <f t="shared" si="14"/>
        <v>0</v>
      </c>
      <c r="U17" s="490">
        <f t="shared" si="15"/>
        <v>0</v>
      </c>
      <c r="V17" s="491">
        <f t="shared" si="16"/>
        <v>0</v>
      </c>
      <c r="W17" s="154">
        <f t="shared" si="49"/>
        <v>45483</v>
      </c>
      <c r="X17" s="489">
        <f t="shared" si="37"/>
        <v>0</v>
      </c>
      <c r="Y17" s="490">
        <f t="shared" si="38"/>
        <v>0</v>
      </c>
      <c r="Z17" s="490">
        <f t="shared" si="39"/>
        <v>0</v>
      </c>
      <c r="AA17" s="490">
        <f t="shared" si="40"/>
        <v>0</v>
      </c>
      <c r="AB17" s="490">
        <f t="shared" si="41"/>
        <v>0</v>
      </c>
      <c r="AC17" s="490">
        <f t="shared" si="42"/>
        <v>0</v>
      </c>
      <c r="AD17" s="491">
        <f t="shared" si="43"/>
        <v>0</v>
      </c>
      <c r="AE17" s="414">
        <f>VLOOKUP(W17,CASSA!$B$180:$C$545,2,FALSE)</f>
        <v>0</v>
      </c>
      <c r="AF17" s="512">
        <f t="shared" si="18"/>
        <v>0</v>
      </c>
      <c r="AG17" s="513">
        <f t="shared" si="19"/>
        <v>0</v>
      </c>
      <c r="AH17" s="490">
        <f t="shared" si="20"/>
        <v>0</v>
      </c>
      <c r="AI17" s="490">
        <f t="shared" si="21"/>
        <v>0</v>
      </c>
      <c r="AJ17" s="514">
        <f t="shared" si="22"/>
        <v>0</v>
      </c>
      <c r="AK17" s="1003">
        <f t="shared" si="44"/>
        <v>0</v>
      </c>
      <c r="AL17" s="512">
        <f t="shared" si="45"/>
        <v>0</v>
      </c>
      <c r="AM17" s="526">
        <f t="shared" si="23"/>
        <v>0</v>
      </c>
      <c r="AN17" s="490">
        <f t="shared" si="24"/>
        <v>0</v>
      </c>
      <c r="AO17" s="490">
        <f t="shared" si="25"/>
        <v>0</v>
      </c>
      <c r="AP17" s="490">
        <f t="shared" si="26"/>
        <v>0</v>
      </c>
      <c r="AQ17" s="490">
        <f t="shared" si="27"/>
        <v>0</v>
      </c>
      <c r="AR17" s="490">
        <f t="shared" si="28"/>
        <v>0</v>
      </c>
      <c r="AS17" s="514">
        <f t="shared" si="29"/>
        <v>0</v>
      </c>
      <c r="AT17" s="2"/>
      <c r="AU17" s="512">
        <f t="shared" si="30"/>
        <v>0</v>
      </c>
      <c r="AV17" s="513">
        <f t="shared" si="31"/>
        <v>0</v>
      </c>
      <c r="AW17" s="490">
        <f t="shared" si="32"/>
        <v>0</v>
      </c>
      <c r="AX17" s="490">
        <f t="shared" si="33"/>
        <v>0</v>
      </c>
      <c r="AY17" s="514">
        <f t="shared" si="34"/>
        <v>0</v>
      </c>
      <c r="AZ17" s="1123" t="str">
        <f t="shared" si="46"/>
        <v/>
      </c>
      <c r="BA17" s="1048">
        <f t="shared" si="47"/>
        <v>0</v>
      </c>
      <c r="BB17" s="1003">
        <f t="shared" si="35"/>
        <v>0</v>
      </c>
      <c r="BC17" s="1003">
        <f t="shared" si="35"/>
        <v>0</v>
      </c>
      <c r="BD17" s="1003">
        <f t="shared" si="35"/>
        <v>0</v>
      </c>
      <c r="BE17" s="1003">
        <f t="shared" si="35"/>
        <v>0</v>
      </c>
      <c r="BF17" s="1003">
        <f t="shared" si="35"/>
        <v>0</v>
      </c>
      <c r="BG17" s="1049">
        <f t="shared" si="35"/>
        <v>0</v>
      </c>
      <c r="BH17" s="2"/>
      <c r="BI17" s="1314"/>
      <c r="BJ17" s="2"/>
    </row>
    <row r="18" spans="1:62" ht="20.25" customHeight="1" x14ac:dyDescent="0.2">
      <c r="A18" s="2"/>
      <c r="B18" s="18">
        <v>11</v>
      </c>
      <c r="C18" s="155">
        <f t="shared" si="48"/>
        <v>11</v>
      </c>
      <c r="D18" s="156">
        <f t="shared" si="36"/>
        <v>7</v>
      </c>
      <c r="E18" s="1959" t="str">
        <f t="shared" si="9"/>
        <v xml:space="preserve">disattivato  </v>
      </c>
      <c r="F18" s="1960"/>
      <c r="G18" s="1309"/>
      <c r="H18" s="1309"/>
      <c r="I18" s="1309"/>
      <c r="J18" s="1309"/>
      <c r="K18" s="1309"/>
      <c r="L18" s="1309"/>
      <c r="M18" s="1309"/>
      <c r="N18" s="1310"/>
      <c r="O18" s="6"/>
      <c r="P18" s="489">
        <f t="shared" si="10"/>
        <v>0</v>
      </c>
      <c r="Q18" s="490">
        <f t="shared" si="11"/>
        <v>0</v>
      </c>
      <c r="R18" s="490">
        <f t="shared" si="12"/>
        <v>0</v>
      </c>
      <c r="S18" s="490">
        <f t="shared" si="13"/>
        <v>0</v>
      </c>
      <c r="T18" s="490">
        <f t="shared" si="14"/>
        <v>0</v>
      </c>
      <c r="U18" s="490">
        <f t="shared" si="15"/>
        <v>0</v>
      </c>
      <c r="V18" s="491">
        <f t="shared" si="16"/>
        <v>0</v>
      </c>
      <c r="W18" s="154">
        <f t="shared" si="49"/>
        <v>45484</v>
      </c>
      <c r="X18" s="489">
        <f t="shared" si="37"/>
        <v>0</v>
      </c>
      <c r="Y18" s="490">
        <f t="shared" si="38"/>
        <v>0</v>
      </c>
      <c r="Z18" s="490">
        <f t="shared" si="39"/>
        <v>0</v>
      </c>
      <c r="AA18" s="490">
        <f t="shared" si="40"/>
        <v>0</v>
      </c>
      <c r="AB18" s="490">
        <f t="shared" si="41"/>
        <v>0</v>
      </c>
      <c r="AC18" s="490">
        <f t="shared" si="42"/>
        <v>0</v>
      </c>
      <c r="AD18" s="491">
        <f t="shared" si="43"/>
        <v>0</v>
      </c>
      <c r="AE18" s="414">
        <f>VLOOKUP(W18,CASSA!$B$180:$C$545,2,FALSE)</f>
        <v>0</v>
      </c>
      <c r="AF18" s="512">
        <f t="shared" si="18"/>
        <v>0</v>
      </c>
      <c r="AG18" s="513">
        <f t="shared" si="19"/>
        <v>0</v>
      </c>
      <c r="AH18" s="490">
        <f t="shared" si="20"/>
        <v>0</v>
      </c>
      <c r="AI18" s="490">
        <f t="shared" si="21"/>
        <v>0</v>
      </c>
      <c r="AJ18" s="514">
        <f t="shared" si="22"/>
        <v>0</v>
      </c>
      <c r="AK18" s="1003">
        <f t="shared" si="44"/>
        <v>0</v>
      </c>
      <c r="AL18" s="512">
        <f t="shared" si="45"/>
        <v>0</v>
      </c>
      <c r="AM18" s="526">
        <f t="shared" si="23"/>
        <v>0</v>
      </c>
      <c r="AN18" s="490">
        <f t="shared" si="24"/>
        <v>0</v>
      </c>
      <c r="AO18" s="490">
        <f t="shared" si="25"/>
        <v>0</v>
      </c>
      <c r="AP18" s="490">
        <f t="shared" si="26"/>
        <v>0</v>
      </c>
      <c r="AQ18" s="490">
        <f t="shared" si="27"/>
        <v>0</v>
      </c>
      <c r="AR18" s="490">
        <f t="shared" si="28"/>
        <v>0</v>
      </c>
      <c r="AS18" s="514">
        <f t="shared" si="29"/>
        <v>0</v>
      </c>
      <c r="AT18" s="2"/>
      <c r="AU18" s="512">
        <f t="shared" si="30"/>
        <v>0</v>
      </c>
      <c r="AV18" s="513">
        <f t="shared" si="31"/>
        <v>0</v>
      </c>
      <c r="AW18" s="490">
        <f t="shared" si="32"/>
        <v>0</v>
      </c>
      <c r="AX18" s="490">
        <f t="shared" si="33"/>
        <v>0</v>
      </c>
      <c r="AY18" s="514">
        <f t="shared" si="34"/>
        <v>0</v>
      </c>
      <c r="AZ18" s="1123" t="str">
        <f t="shared" si="46"/>
        <v/>
      </c>
      <c r="BA18" s="1048">
        <f t="shared" si="47"/>
        <v>0</v>
      </c>
      <c r="BB18" s="1003">
        <f t="shared" si="35"/>
        <v>0</v>
      </c>
      <c r="BC18" s="1003">
        <f t="shared" si="35"/>
        <v>0</v>
      </c>
      <c r="BD18" s="1003">
        <f t="shared" si="35"/>
        <v>0</v>
      </c>
      <c r="BE18" s="1003">
        <f t="shared" si="35"/>
        <v>0</v>
      </c>
      <c r="BF18" s="1003">
        <f t="shared" si="35"/>
        <v>0</v>
      </c>
      <c r="BG18" s="1049">
        <f t="shared" si="35"/>
        <v>0</v>
      </c>
      <c r="BH18" s="2"/>
      <c r="BI18" s="1314"/>
      <c r="BJ18" s="2"/>
    </row>
    <row r="19" spans="1:62" ht="20.25" customHeight="1" x14ac:dyDescent="0.2">
      <c r="A19" s="2"/>
      <c r="B19" s="18">
        <v>12</v>
      </c>
      <c r="C19" s="155">
        <f t="shared" si="48"/>
        <v>12</v>
      </c>
      <c r="D19" s="156">
        <f t="shared" si="36"/>
        <v>7</v>
      </c>
      <c r="E19" s="1959" t="str">
        <f t="shared" si="9"/>
        <v xml:space="preserve">disattivato  </v>
      </c>
      <c r="F19" s="1960"/>
      <c r="G19" s="1309"/>
      <c r="H19" s="1309"/>
      <c r="I19" s="1309"/>
      <c r="J19" s="1309"/>
      <c r="K19" s="1309"/>
      <c r="L19" s="1309"/>
      <c r="M19" s="1309"/>
      <c r="N19" s="1310"/>
      <c r="O19" s="6"/>
      <c r="P19" s="489">
        <f t="shared" si="10"/>
        <v>0</v>
      </c>
      <c r="Q19" s="490">
        <f t="shared" si="11"/>
        <v>0</v>
      </c>
      <c r="R19" s="490">
        <f t="shared" si="12"/>
        <v>0</v>
      </c>
      <c r="S19" s="490">
        <f t="shared" si="13"/>
        <v>0</v>
      </c>
      <c r="T19" s="490">
        <f t="shared" si="14"/>
        <v>0</v>
      </c>
      <c r="U19" s="490">
        <f t="shared" si="15"/>
        <v>0</v>
      </c>
      <c r="V19" s="491">
        <f t="shared" si="16"/>
        <v>0</v>
      </c>
      <c r="W19" s="154">
        <f t="shared" si="49"/>
        <v>45485</v>
      </c>
      <c r="X19" s="489">
        <f t="shared" si="37"/>
        <v>0</v>
      </c>
      <c r="Y19" s="490">
        <f t="shared" si="38"/>
        <v>0</v>
      </c>
      <c r="Z19" s="490">
        <f t="shared" si="39"/>
        <v>0</v>
      </c>
      <c r="AA19" s="490">
        <f t="shared" si="40"/>
        <v>0</v>
      </c>
      <c r="AB19" s="490">
        <f t="shared" si="41"/>
        <v>0</v>
      </c>
      <c r="AC19" s="490">
        <f t="shared" si="42"/>
        <v>0</v>
      </c>
      <c r="AD19" s="491">
        <f t="shared" si="43"/>
        <v>0</v>
      </c>
      <c r="AE19" s="414">
        <f>VLOOKUP(W19,CASSA!$B$180:$C$545,2,FALSE)</f>
        <v>0</v>
      </c>
      <c r="AF19" s="512">
        <f t="shared" si="18"/>
        <v>0</v>
      </c>
      <c r="AG19" s="513">
        <f t="shared" si="19"/>
        <v>0</v>
      </c>
      <c r="AH19" s="490">
        <f t="shared" si="20"/>
        <v>0</v>
      </c>
      <c r="AI19" s="490">
        <f t="shared" si="21"/>
        <v>0</v>
      </c>
      <c r="AJ19" s="514">
        <f t="shared" si="22"/>
        <v>0</v>
      </c>
      <c r="AK19" s="1003">
        <f t="shared" si="44"/>
        <v>0</v>
      </c>
      <c r="AL19" s="512">
        <f t="shared" si="45"/>
        <v>0</v>
      </c>
      <c r="AM19" s="526">
        <f t="shared" si="23"/>
        <v>0</v>
      </c>
      <c r="AN19" s="490">
        <f t="shared" si="24"/>
        <v>0</v>
      </c>
      <c r="AO19" s="490">
        <f t="shared" si="25"/>
        <v>0</v>
      </c>
      <c r="AP19" s="490">
        <f t="shared" si="26"/>
        <v>0</v>
      </c>
      <c r="AQ19" s="490">
        <f t="shared" si="27"/>
        <v>0</v>
      </c>
      <c r="AR19" s="490">
        <f t="shared" si="28"/>
        <v>0</v>
      </c>
      <c r="AS19" s="514">
        <f t="shared" si="29"/>
        <v>0</v>
      </c>
      <c r="AT19" s="2"/>
      <c r="AU19" s="512">
        <f t="shared" si="30"/>
        <v>0</v>
      </c>
      <c r="AV19" s="513">
        <f t="shared" si="31"/>
        <v>0</v>
      </c>
      <c r="AW19" s="490">
        <f t="shared" si="32"/>
        <v>0</v>
      </c>
      <c r="AX19" s="490">
        <f t="shared" si="33"/>
        <v>0</v>
      </c>
      <c r="AY19" s="514">
        <f t="shared" si="34"/>
        <v>0</v>
      </c>
      <c r="AZ19" s="1123" t="str">
        <f t="shared" si="46"/>
        <v/>
      </c>
      <c r="BA19" s="1048">
        <f t="shared" si="47"/>
        <v>0</v>
      </c>
      <c r="BB19" s="1003">
        <f t="shared" si="35"/>
        <v>0</v>
      </c>
      <c r="BC19" s="1003">
        <f t="shared" si="35"/>
        <v>0</v>
      </c>
      <c r="BD19" s="1003">
        <f t="shared" si="35"/>
        <v>0</v>
      </c>
      <c r="BE19" s="1003">
        <f t="shared" si="35"/>
        <v>0</v>
      </c>
      <c r="BF19" s="1003">
        <f t="shared" si="35"/>
        <v>0</v>
      </c>
      <c r="BG19" s="1049">
        <f t="shared" si="35"/>
        <v>0</v>
      </c>
      <c r="BH19" s="2"/>
      <c r="BI19" s="1314"/>
      <c r="BJ19" s="2"/>
    </row>
    <row r="20" spans="1:62" ht="20.25" customHeight="1" x14ac:dyDescent="0.2">
      <c r="A20" s="2"/>
      <c r="B20" s="18">
        <v>13</v>
      </c>
      <c r="C20" s="155">
        <f t="shared" si="48"/>
        <v>13</v>
      </c>
      <c r="D20" s="156">
        <f t="shared" si="36"/>
        <v>7</v>
      </c>
      <c r="E20" s="1959" t="str">
        <f t="shared" si="9"/>
        <v xml:space="preserve">disattivato  </v>
      </c>
      <c r="F20" s="1960"/>
      <c r="G20" s="1309"/>
      <c r="H20" s="1309"/>
      <c r="I20" s="1309"/>
      <c r="J20" s="1309"/>
      <c r="K20" s="1309"/>
      <c r="L20" s="1309"/>
      <c r="M20" s="1309"/>
      <c r="N20" s="1310"/>
      <c r="O20" s="6"/>
      <c r="P20" s="489">
        <f t="shared" si="10"/>
        <v>0</v>
      </c>
      <c r="Q20" s="490">
        <f t="shared" si="11"/>
        <v>0</v>
      </c>
      <c r="R20" s="490">
        <f t="shared" si="12"/>
        <v>0</v>
      </c>
      <c r="S20" s="490">
        <f t="shared" si="13"/>
        <v>0</v>
      </c>
      <c r="T20" s="490">
        <f t="shared" si="14"/>
        <v>0</v>
      </c>
      <c r="U20" s="490">
        <f t="shared" si="15"/>
        <v>0</v>
      </c>
      <c r="V20" s="491">
        <f t="shared" si="16"/>
        <v>0</v>
      </c>
      <c r="W20" s="154">
        <f t="shared" si="49"/>
        <v>45486</v>
      </c>
      <c r="X20" s="489">
        <f t="shared" si="37"/>
        <v>0</v>
      </c>
      <c r="Y20" s="490">
        <f t="shared" si="38"/>
        <v>0</v>
      </c>
      <c r="Z20" s="490">
        <f t="shared" si="39"/>
        <v>0</v>
      </c>
      <c r="AA20" s="490">
        <f t="shared" si="40"/>
        <v>0</v>
      </c>
      <c r="AB20" s="490">
        <f t="shared" si="41"/>
        <v>0</v>
      </c>
      <c r="AC20" s="490">
        <f t="shared" si="42"/>
        <v>0</v>
      </c>
      <c r="AD20" s="491">
        <f t="shared" si="43"/>
        <v>0</v>
      </c>
      <c r="AE20" s="414">
        <f>VLOOKUP(W20,CASSA!$B$180:$C$545,2,FALSE)</f>
        <v>0</v>
      </c>
      <c r="AF20" s="512">
        <f t="shared" si="18"/>
        <v>0</v>
      </c>
      <c r="AG20" s="513">
        <f t="shared" si="19"/>
        <v>0</v>
      </c>
      <c r="AH20" s="490">
        <f t="shared" si="20"/>
        <v>0</v>
      </c>
      <c r="AI20" s="490">
        <f t="shared" si="21"/>
        <v>0</v>
      </c>
      <c r="AJ20" s="514">
        <f t="shared" si="22"/>
        <v>0</v>
      </c>
      <c r="AK20" s="1003">
        <f t="shared" si="44"/>
        <v>0</v>
      </c>
      <c r="AL20" s="512">
        <f t="shared" si="45"/>
        <v>0</v>
      </c>
      <c r="AM20" s="526">
        <f t="shared" si="23"/>
        <v>0</v>
      </c>
      <c r="AN20" s="490">
        <f t="shared" si="24"/>
        <v>0</v>
      </c>
      <c r="AO20" s="490">
        <f t="shared" si="25"/>
        <v>0</v>
      </c>
      <c r="AP20" s="490">
        <f t="shared" si="26"/>
        <v>0</v>
      </c>
      <c r="AQ20" s="490">
        <f t="shared" si="27"/>
        <v>0</v>
      </c>
      <c r="AR20" s="490">
        <f t="shared" si="28"/>
        <v>0</v>
      </c>
      <c r="AS20" s="514">
        <f t="shared" si="29"/>
        <v>0</v>
      </c>
      <c r="AT20" s="2"/>
      <c r="AU20" s="512">
        <f t="shared" si="30"/>
        <v>0</v>
      </c>
      <c r="AV20" s="513">
        <f t="shared" si="31"/>
        <v>0</v>
      </c>
      <c r="AW20" s="490">
        <f t="shared" si="32"/>
        <v>0</v>
      </c>
      <c r="AX20" s="490">
        <f t="shared" si="33"/>
        <v>0</v>
      </c>
      <c r="AY20" s="514">
        <f t="shared" si="34"/>
        <v>0</v>
      </c>
      <c r="AZ20" s="1123" t="str">
        <f t="shared" si="46"/>
        <v/>
      </c>
      <c r="BA20" s="1048">
        <f t="shared" si="47"/>
        <v>0</v>
      </c>
      <c r="BB20" s="1003">
        <f t="shared" si="35"/>
        <v>0</v>
      </c>
      <c r="BC20" s="1003">
        <f t="shared" si="35"/>
        <v>0</v>
      </c>
      <c r="BD20" s="1003">
        <f t="shared" si="35"/>
        <v>0</v>
      </c>
      <c r="BE20" s="1003">
        <f t="shared" si="35"/>
        <v>0</v>
      </c>
      <c r="BF20" s="1003">
        <f t="shared" si="35"/>
        <v>0</v>
      </c>
      <c r="BG20" s="1049">
        <f t="shared" si="35"/>
        <v>0</v>
      </c>
      <c r="BH20" s="2"/>
      <c r="BI20" s="1314"/>
      <c r="BJ20" s="2"/>
    </row>
    <row r="21" spans="1:62" ht="20.25" customHeight="1" x14ac:dyDescent="0.2">
      <c r="A21" s="2"/>
      <c r="B21" s="18">
        <v>14</v>
      </c>
      <c r="C21" s="155">
        <f t="shared" si="48"/>
        <v>14</v>
      </c>
      <c r="D21" s="156">
        <f t="shared" si="36"/>
        <v>7</v>
      </c>
      <c r="E21" s="1959" t="str">
        <f t="shared" si="9"/>
        <v xml:space="preserve">disattivato  </v>
      </c>
      <c r="F21" s="1960"/>
      <c r="G21" s="1309"/>
      <c r="H21" s="1309"/>
      <c r="I21" s="1309"/>
      <c r="J21" s="1309"/>
      <c r="K21" s="1309"/>
      <c r="L21" s="1309"/>
      <c r="M21" s="1309"/>
      <c r="N21" s="1310"/>
      <c r="O21" s="6"/>
      <c r="P21" s="489">
        <f t="shared" si="10"/>
        <v>0</v>
      </c>
      <c r="Q21" s="490">
        <f t="shared" si="11"/>
        <v>0</v>
      </c>
      <c r="R21" s="490">
        <f t="shared" si="12"/>
        <v>0</v>
      </c>
      <c r="S21" s="490">
        <f t="shared" si="13"/>
        <v>0</v>
      </c>
      <c r="T21" s="490">
        <f t="shared" si="14"/>
        <v>0</v>
      </c>
      <c r="U21" s="490">
        <f t="shared" si="15"/>
        <v>0</v>
      </c>
      <c r="V21" s="491">
        <f t="shared" si="16"/>
        <v>0</v>
      </c>
      <c r="W21" s="154">
        <f t="shared" si="49"/>
        <v>45487</v>
      </c>
      <c r="X21" s="489">
        <f t="shared" si="37"/>
        <v>0</v>
      </c>
      <c r="Y21" s="490">
        <f t="shared" si="38"/>
        <v>0</v>
      </c>
      <c r="Z21" s="490">
        <f t="shared" si="39"/>
        <v>0</v>
      </c>
      <c r="AA21" s="490">
        <f t="shared" si="40"/>
        <v>0</v>
      </c>
      <c r="AB21" s="490">
        <f t="shared" si="41"/>
        <v>0</v>
      </c>
      <c r="AC21" s="490">
        <f t="shared" si="42"/>
        <v>0</v>
      </c>
      <c r="AD21" s="491">
        <f t="shared" si="43"/>
        <v>0</v>
      </c>
      <c r="AE21" s="414">
        <f>VLOOKUP(W21,CASSA!$B$180:$C$545,2,FALSE)</f>
        <v>0</v>
      </c>
      <c r="AF21" s="512">
        <f t="shared" si="18"/>
        <v>0</v>
      </c>
      <c r="AG21" s="513">
        <f t="shared" si="19"/>
        <v>0</v>
      </c>
      <c r="AH21" s="490">
        <f t="shared" si="20"/>
        <v>0</v>
      </c>
      <c r="AI21" s="490">
        <f t="shared" si="21"/>
        <v>0</v>
      </c>
      <c r="AJ21" s="514">
        <f t="shared" si="22"/>
        <v>0</v>
      </c>
      <c r="AK21" s="1003">
        <f t="shared" si="44"/>
        <v>0</v>
      </c>
      <c r="AL21" s="512">
        <f t="shared" si="45"/>
        <v>0</v>
      </c>
      <c r="AM21" s="526">
        <f t="shared" si="23"/>
        <v>0</v>
      </c>
      <c r="AN21" s="490">
        <f t="shared" si="24"/>
        <v>0</v>
      </c>
      <c r="AO21" s="490">
        <f t="shared" si="25"/>
        <v>0</v>
      </c>
      <c r="AP21" s="490">
        <f t="shared" si="26"/>
        <v>0</v>
      </c>
      <c r="AQ21" s="490">
        <f t="shared" si="27"/>
        <v>0</v>
      </c>
      <c r="AR21" s="490">
        <f t="shared" si="28"/>
        <v>0</v>
      </c>
      <c r="AS21" s="514">
        <f t="shared" si="29"/>
        <v>0</v>
      </c>
      <c r="AT21" s="2"/>
      <c r="AU21" s="512">
        <f t="shared" si="30"/>
        <v>0</v>
      </c>
      <c r="AV21" s="513">
        <f t="shared" si="31"/>
        <v>0</v>
      </c>
      <c r="AW21" s="490">
        <f t="shared" si="32"/>
        <v>0</v>
      </c>
      <c r="AX21" s="490">
        <f t="shared" si="33"/>
        <v>0</v>
      </c>
      <c r="AY21" s="514">
        <f t="shared" si="34"/>
        <v>0</v>
      </c>
      <c r="AZ21" s="1123" t="str">
        <f t="shared" si="46"/>
        <v/>
      </c>
      <c r="BA21" s="1048">
        <f t="shared" si="47"/>
        <v>0</v>
      </c>
      <c r="BB21" s="1003">
        <f t="shared" si="35"/>
        <v>0</v>
      </c>
      <c r="BC21" s="1003">
        <f t="shared" si="35"/>
        <v>0</v>
      </c>
      <c r="BD21" s="1003">
        <f t="shared" si="35"/>
        <v>0</v>
      </c>
      <c r="BE21" s="1003">
        <f t="shared" si="35"/>
        <v>0</v>
      </c>
      <c r="BF21" s="1003">
        <f t="shared" si="35"/>
        <v>0</v>
      </c>
      <c r="BG21" s="1049">
        <f t="shared" si="35"/>
        <v>0</v>
      </c>
      <c r="BH21" s="2"/>
      <c r="BI21" s="1314"/>
      <c r="BJ21" s="2"/>
    </row>
    <row r="22" spans="1:62" ht="20.25" customHeight="1" x14ac:dyDescent="0.2">
      <c r="A22" s="2"/>
      <c r="B22" s="18">
        <v>15</v>
      </c>
      <c r="C22" s="155">
        <f t="shared" si="48"/>
        <v>15</v>
      </c>
      <c r="D22" s="156">
        <f t="shared" si="36"/>
        <v>7</v>
      </c>
      <c r="E22" s="1959" t="str">
        <f t="shared" si="9"/>
        <v xml:space="preserve">disattivato  </v>
      </c>
      <c r="F22" s="1960"/>
      <c r="G22" s="1309"/>
      <c r="H22" s="1309"/>
      <c r="I22" s="1309"/>
      <c r="J22" s="1309"/>
      <c r="K22" s="1309"/>
      <c r="L22" s="1309"/>
      <c r="M22" s="1309"/>
      <c r="N22" s="1310"/>
      <c r="O22" s="6"/>
      <c r="P22" s="489">
        <f t="shared" si="10"/>
        <v>0</v>
      </c>
      <c r="Q22" s="490">
        <f t="shared" si="11"/>
        <v>0</v>
      </c>
      <c r="R22" s="490">
        <f t="shared" si="12"/>
        <v>0</v>
      </c>
      <c r="S22" s="490">
        <f t="shared" si="13"/>
        <v>0</v>
      </c>
      <c r="T22" s="490">
        <f t="shared" si="14"/>
        <v>0</v>
      </c>
      <c r="U22" s="490">
        <f t="shared" si="15"/>
        <v>0</v>
      </c>
      <c r="V22" s="491">
        <f t="shared" si="16"/>
        <v>0</v>
      </c>
      <c r="W22" s="154">
        <f t="shared" si="49"/>
        <v>45488</v>
      </c>
      <c r="X22" s="489">
        <f t="shared" si="37"/>
        <v>0</v>
      </c>
      <c r="Y22" s="490">
        <f t="shared" si="38"/>
        <v>0</v>
      </c>
      <c r="Z22" s="490">
        <f t="shared" si="39"/>
        <v>0</v>
      </c>
      <c r="AA22" s="490">
        <f t="shared" si="40"/>
        <v>0</v>
      </c>
      <c r="AB22" s="490">
        <f t="shared" si="41"/>
        <v>0</v>
      </c>
      <c r="AC22" s="490">
        <f t="shared" si="42"/>
        <v>0</v>
      </c>
      <c r="AD22" s="491">
        <f t="shared" si="43"/>
        <v>0</v>
      </c>
      <c r="AE22" s="414">
        <f>VLOOKUP(W22,CASSA!$B$180:$C$545,2,FALSE)</f>
        <v>0</v>
      </c>
      <c r="AF22" s="512">
        <f t="shared" si="18"/>
        <v>0</v>
      </c>
      <c r="AG22" s="513">
        <f t="shared" si="19"/>
        <v>0</v>
      </c>
      <c r="AH22" s="490">
        <f t="shared" si="20"/>
        <v>0</v>
      </c>
      <c r="AI22" s="490">
        <f t="shared" si="21"/>
        <v>0</v>
      </c>
      <c r="AJ22" s="514">
        <f t="shared" si="22"/>
        <v>0</v>
      </c>
      <c r="AK22" s="1003">
        <f t="shared" si="44"/>
        <v>0</v>
      </c>
      <c r="AL22" s="512">
        <f t="shared" si="45"/>
        <v>0</v>
      </c>
      <c r="AM22" s="526">
        <f t="shared" si="23"/>
        <v>0</v>
      </c>
      <c r="AN22" s="490">
        <f t="shared" si="24"/>
        <v>0</v>
      </c>
      <c r="AO22" s="490">
        <f t="shared" si="25"/>
        <v>0</v>
      </c>
      <c r="AP22" s="490">
        <f t="shared" si="26"/>
        <v>0</v>
      </c>
      <c r="AQ22" s="490">
        <f t="shared" si="27"/>
        <v>0</v>
      </c>
      <c r="AR22" s="490">
        <f t="shared" si="28"/>
        <v>0</v>
      </c>
      <c r="AS22" s="514">
        <f t="shared" si="29"/>
        <v>0</v>
      </c>
      <c r="AT22" s="2"/>
      <c r="AU22" s="512">
        <f t="shared" si="30"/>
        <v>0</v>
      </c>
      <c r="AV22" s="513">
        <f t="shared" si="31"/>
        <v>0</v>
      </c>
      <c r="AW22" s="490">
        <f t="shared" si="32"/>
        <v>0</v>
      </c>
      <c r="AX22" s="490">
        <f t="shared" si="33"/>
        <v>0</v>
      </c>
      <c r="AY22" s="514">
        <f t="shared" si="34"/>
        <v>0</v>
      </c>
      <c r="AZ22" s="1123" t="str">
        <f t="shared" si="46"/>
        <v/>
      </c>
      <c r="BA22" s="1048">
        <f t="shared" si="47"/>
        <v>0</v>
      </c>
      <c r="BB22" s="1003">
        <f t="shared" si="35"/>
        <v>0</v>
      </c>
      <c r="BC22" s="1003">
        <f t="shared" si="35"/>
        <v>0</v>
      </c>
      <c r="BD22" s="1003">
        <f t="shared" si="35"/>
        <v>0</v>
      </c>
      <c r="BE22" s="1003">
        <f t="shared" si="35"/>
        <v>0</v>
      </c>
      <c r="BF22" s="1003">
        <f t="shared" si="35"/>
        <v>0</v>
      </c>
      <c r="BG22" s="1049">
        <f t="shared" si="35"/>
        <v>0</v>
      </c>
      <c r="BH22" s="2"/>
      <c r="BI22" s="1314"/>
      <c r="BJ22" s="2"/>
    </row>
    <row r="23" spans="1:62" ht="20.25" customHeight="1" x14ac:dyDescent="0.2">
      <c r="A23" s="2"/>
      <c r="B23" s="18">
        <v>16</v>
      </c>
      <c r="C23" s="155">
        <f t="shared" si="48"/>
        <v>16</v>
      </c>
      <c r="D23" s="156">
        <f t="shared" si="36"/>
        <v>7</v>
      </c>
      <c r="E23" s="1959" t="str">
        <f t="shared" si="9"/>
        <v xml:space="preserve">disattivato  </v>
      </c>
      <c r="F23" s="1960"/>
      <c r="G23" s="1309"/>
      <c r="H23" s="1309"/>
      <c r="I23" s="1309"/>
      <c r="J23" s="1309"/>
      <c r="K23" s="1309"/>
      <c r="L23" s="1309"/>
      <c r="M23" s="1309"/>
      <c r="N23" s="1310"/>
      <c r="O23" s="6"/>
      <c r="P23" s="489">
        <f t="shared" si="10"/>
        <v>0</v>
      </c>
      <c r="Q23" s="490">
        <f t="shared" si="11"/>
        <v>0</v>
      </c>
      <c r="R23" s="490">
        <f t="shared" si="12"/>
        <v>0</v>
      </c>
      <c r="S23" s="490">
        <f t="shared" si="13"/>
        <v>0</v>
      </c>
      <c r="T23" s="490">
        <f t="shared" si="14"/>
        <v>0</v>
      </c>
      <c r="U23" s="490">
        <f t="shared" si="15"/>
        <v>0</v>
      </c>
      <c r="V23" s="491">
        <f t="shared" si="16"/>
        <v>0</v>
      </c>
      <c r="W23" s="154">
        <f t="shared" si="49"/>
        <v>45489</v>
      </c>
      <c r="X23" s="489">
        <f t="shared" si="37"/>
        <v>0</v>
      </c>
      <c r="Y23" s="490">
        <f t="shared" si="38"/>
        <v>0</v>
      </c>
      <c r="Z23" s="490">
        <f t="shared" si="39"/>
        <v>0</v>
      </c>
      <c r="AA23" s="490">
        <f t="shared" si="40"/>
        <v>0</v>
      </c>
      <c r="AB23" s="490">
        <f t="shared" si="41"/>
        <v>0</v>
      </c>
      <c r="AC23" s="490">
        <f t="shared" si="42"/>
        <v>0</v>
      </c>
      <c r="AD23" s="491">
        <f t="shared" si="43"/>
        <v>0</v>
      </c>
      <c r="AE23" s="414">
        <f>VLOOKUP(W23,CASSA!$B$180:$C$545,2,FALSE)</f>
        <v>0</v>
      </c>
      <c r="AF23" s="512">
        <f t="shared" si="18"/>
        <v>0</v>
      </c>
      <c r="AG23" s="513">
        <f t="shared" si="19"/>
        <v>0</v>
      </c>
      <c r="AH23" s="490">
        <f t="shared" si="20"/>
        <v>0</v>
      </c>
      <c r="AI23" s="490">
        <f t="shared" si="21"/>
        <v>0</v>
      </c>
      <c r="AJ23" s="514">
        <f t="shared" si="22"/>
        <v>0</v>
      </c>
      <c r="AK23" s="1003">
        <f t="shared" si="44"/>
        <v>0</v>
      </c>
      <c r="AL23" s="512">
        <f t="shared" si="45"/>
        <v>0</v>
      </c>
      <c r="AM23" s="526">
        <f t="shared" si="23"/>
        <v>0</v>
      </c>
      <c r="AN23" s="490">
        <f t="shared" si="24"/>
        <v>0</v>
      </c>
      <c r="AO23" s="490">
        <f t="shared" si="25"/>
        <v>0</v>
      </c>
      <c r="AP23" s="490">
        <f t="shared" si="26"/>
        <v>0</v>
      </c>
      <c r="AQ23" s="490">
        <f t="shared" si="27"/>
        <v>0</v>
      </c>
      <c r="AR23" s="490">
        <f t="shared" si="28"/>
        <v>0</v>
      </c>
      <c r="AS23" s="514">
        <f t="shared" si="29"/>
        <v>0</v>
      </c>
      <c r="AT23" s="2"/>
      <c r="AU23" s="512">
        <f t="shared" si="30"/>
        <v>0</v>
      </c>
      <c r="AV23" s="513">
        <f t="shared" si="31"/>
        <v>0</v>
      </c>
      <c r="AW23" s="490">
        <f t="shared" si="32"/>
        <v>0</v>
      </c>
      <c r="AX23" s="490">
        <f t="shared" si="33"/>
        <v>0</v>
      </c>
      <c r="AY23" s="514">
        <f t="shared" si="34"/>
        <v>0</v>
      </c>
      <c r="AZ23" s="1123" t="str">
        <f t="shared" si="46"/>
        <v/>
      </c>
      <c r="BA23" s="1048">
        <f t="shared" si="47"/>
        <v>0</v>
      </c>
      <c r="BB23" s="1003">
        <f t="shared" si="35"/>
        <v>0</v>
      </c>
      <c r="BC23" s="1003">
        <f t="shared" si="35"/>
        <v>0</v>
      </c>
      <c r="BD23" s="1003">
        <f t="shared" si="35"/>
        <v>0</v>
      </c>
      <c r="BE23" s="1003">
        <f t="shared" si="35"/>
        <v>0</v>
      </c>
      <c r="BF23" s="1003">
        <f t="shared" si="35"/>
        <v>0</v>
      </c>
      <c r="BG23" s="1049">
        <f t="shared" si="35"/>
        <v>0</v>
      </c>
      <c r="BH23" s="2"/>
      <c r="BI23" s="1314"/>
      <c r="BJ23" s="2"/>
    </row>
    <row r="24" spans="1:62" ht="20.25" customHeight="1" x14ac:dyDescent="0.2">
      <c r="A24" s="2"/>
      <c r="B24" s="18">
        <v>17</v>
      </c>
      <c r="C24" s="155">
        <f t="shared" si="48"/>
        <v>17</v>
      </c>
      <c r="D24" s="156">
        <f t="shared" si="36"/>
        <v>7</v>
      </c>
      <c r="E24" s="1959" t="str">
        <f t="shared" si="9"/>
        <v xml:space="preserve">disattivato  </v>
      </c>
      <c r="F24" s="1960"/>
      <c r="G24" s="1309"/>
      <c r="H24" s="1309"/>
      <c r="I24" s="1309"/>
      <c r="J24" s="1309"/>
      <c r="K24" s="1309"/>
      <c r="L24" s="1309"/>
      <c r="M24" s="1309"/>
      <c r="N24" s="1310"/>
      <c r="O24" s="6"/>
      <c r="P24" s="489">
        <f t="shared" si="10"/>
        <v>0</v>
      </c>
      <c r="Q24" s="490">
        <f t="shared" si="11"/>
        <v>0</v>
      </c>
      <c r="R24" s="490">
        <f t="shared" si="12"/>
        <v>0</v>
      </c>
      <c r="S24" s="490">
        <f t="shared" si="13"/>
        <v>0</v>
      </c>
      <c r="T24" s="490">
        <f t="shared" si="14"/>
        <v>0</v>
      </c>
      <c r="U24" s="490">
        <f t="shared" si="15"/>
        <v>0</v>
      </c>
      <c r="V24" s="491">
        <f t="shared" si="16"/>
        <v>0</v>
      </c>
      <c r="W24" s="154">
        <f t="shared" si="49"/>
        <v>45490</v>
      </c>
      <c r="X24" s="489">
        <f t="shared" si="37"/>
        <v>0</v>
      </c>
      <c r="Y24" s="490">
        <f t="shared" si="38"/>
        <v>0</v>
      </c>
      <c r="Z24" s="490">
        <f t="shared" si="39"/>
        <v>0</v>
      </c>
      <c r="AA24" s="490">
        <f t="shared" si="40"/>
        <v>0</v>
      </c>
      <c r="AB24" s="490">
        <f t="shared" si="41"/>
        <v>0</v>
      </c>
      <c r="AC24" s="490">
        <f t="shared" si="42"/>
        <v>0</v>
      </c>
      <c r="AD24" s="491">
        <f t="shared" si="43"/>
        <v>0</v>
      </c>
      <c r="AE24" s="414">
        <f>VLOOKUP(W24,CASSA!$B$180:$C$545,2,FALSE)</f>
        <v>0</v>
      </c>
      <c r="AF24" s="512">
        <f t="shared" si="18"/>
        <v>0</v>
      </c>
      <c r="AG24" s="513">
        <f t="shared" si="19"/>
        <v>0</v>
      </c>
      <c r="AH24" s="490">
        <f t="shared" si="20"/>
        <v>0</v>
      </c>
      <c r="AI24" s="490">
        <f t="shared" si="21"/>
        <v>0</v>
      </c>
      <c r="AJ24" s="514">
        <f t="shared" si="22"/>
        <v>0</v>
      </c>
      <c r="AK24" s="1003">
        <f t="shared" si="44"/>
        <v>0</v>
      </c>
      <c r="AL24" s="512">
        <f t="shared" si="45"/>
        <v>0</v>
      </c>
      <c r="AM24" s="526">
        <f t="shared" si="23"/>
        <v>0</v>
      </c>
      <c r="AN24" s="490">
        <f t="shared" si="24"/>
        <v>0</v>
      </c>
      <c r="AO24" s="490">
        <f t="shared" si="25"/>
        <v>0</v>
      </c>
      <c r="AP24" s="490">
        <f t="shared" si="26"/>
        <v>0</v>
      </c>
      <c r="AQ24" s="490">
        <f t="shared" si="27"/>
        <v>0</v>
      </c>
      <c r="AR24" s="490">
        <f t="shared" si="28"/>
        <v>0</v>
      </c>
      <c r="AS24" s="514">
        <f t="shared" si="29"/>
        <v>0</v>
      </c>
      <c r="AT24" s="2"/>
      <c r="AU24" s="512">
        <f t="shared" si="30"/>
        <v>0</v>
      </c>
      <c r="AV24" s="513">
        <f t="shared" si="31"/>
        <v>0</v>
      </c>
      <c r="AW24" s="490">
        <f t="shared" si="32"/>
        <v>0</v>
      </c>
      <c r="AX24" s="490">
        <f t="shared" si="33"/>
        <v>0</v>
      </c>
      <c r="AY24" s="514">
        <f t="shared" si="34"/>
        <v>0</v>
      </c>
      <c r="AZ24" s="1123" t="str">
        <f t="shared" si="46"/>
        <v/>
      </c>
      <c r="BA24" s="1048">
        <f t="shared" si="47"/>
        <v>0</v>
      </c>
      <c r="BB24" s="1003">
        <f t="shared" si="35"/>
        <v>0</v>
      </c>
      <c r="BC24" s="1003">
        <f t="shared" si="35"/>
        <v>0</v>
      </c>
      <c r="BD24" s="1003">
        <f t="shared" si="35"/>
        <v>0</v>
      </c>
      <c r="BE24" s="1003">
        <f t="shared" si="35"/>
        <v>0</v>
      </c>
      <c r="BF24" s="1003">
        <f t="shared" si="35"/>
        <v>0</v>
      </c>
      <c r="BG24" s="1049">
        <f t="shared" si="35"/>
        <v>0</v>
      </c>
      <c r="BH24" s="2"/>
      <c r="BI24" s="1314"/>
      <c r="BJ24" s="2"/>
    </row>
    <row r="25" spans="1:62" ht="20.25" customHeight="1" x14ac:dyDescent="0.2">
      <c r="A25" s="2"/>
      <c r="B25" s="18">
        <v>18</v>
      </c>
      <c r="C25" s="155">
        <f t="shared" si="48"/>
        <v>18</v>
      </c>
      <c r="D25" s="156">
        <f t="shared" si="36"/>
        <v>7</v>
      </c>
      <c r="E25" s="1959" t="str">
        <f t="shared" si="9"/>
        <v xml:space="preserve">disattivato  </v>
      </c>
      <c r="F25" s="1960"/>
      <c r="G25" s="1309"/>
      <c r="H25" s="1309"/>
      <c r="I25" s="1309"/>
      <c r="J25" s="1309"/>
      <c r="K25" s="1309"/>
      <c r="L25" s="1309"/>
      <c r="M25" s="1309"/>
      <c r="N25" s="1310"/>
      <c r="O25" s="6"/>
      <c r="P25" s="489">
        <f t="shared" si="10"/>
        <v>0</v>
      </c>
      <c r="Q25" s="490">
        <f t="shared" si="11"/>
        <v>0</v>
      </c>
      <c r="R25" s="490">
        <f t="shared" si="12"/>
        <v>0</v>
      </c>
      <c r="S25" s="490">
        <f t="shared" si="13"/>
        <v>0</v>
      </c>
      <c r="T25" s="490">
        <f t="shared" si="14"/>
        <v>0</v>
      </c>
      <c r="U25" s="490">
        <f t="shared" si="15"/>
        <v>0</v>
      </c>
      <c r="V25" s="491">
        <f t="shared" si="16"/>
        <v>0</v>
      </c>
      <c r="W25" s="154">
        <f t="shared" si="49"/>
        <v>45491</v>
      </c>
      <c r="X25" s="489">
        <f t="shared" si="37"/>
        <v>0</v>
      </c>
      <c r="Y25" s="490">
        <f t="shared" si="38"/>
        <v>0</v>
      </c>
      <c r="Z25" s="490">
        <f t="shared" si="39"/>
        <v>0</v>
      </c>
      <c r="AA25" s="490">
        <f t="shared" si="40"/>
        <v>0</v>
      </c>
      <c r="AB25" s="490">
        <f t="shared" si="41"/>
        <v>0</v>
      </c>
      <c r="AC25" s="490">
        <f t="shared" si="42"/>
        <v>0</v>
      </c>
      <c r="AD25" s="491">
        <f t="shared" si="43"/>
        <v>0</v>
      </c>
      <c r="AE25" s="414">
        <f>VLOOKUP(W25,CASSA!$B$180:$C$545,2,FALSE)</f>
        <v>0</v>
      </c>
      <c r="AF25" s="512">
        <f t="shared" si="18"/>
        <v>0</v>
      </c>
      <c r="AG25" s="513">
        <f t="shared" si="19"/>
        <v>0</v>
      </c>
      <c r="AH25" s="490">
        <f t="shared" si="20"/>
        <v>0</v>
      </c>
      <c r="AI25" s="490">
        <f t="shared" si="21"/>
        <v>0</v>
      </c>
      <c r="AJ25" s="514">
        <f t="shared" si="22"/>
        <v>0</v>
      </c>
      <c r="AK25" s="1003">
        <f t="shared" si="44"/>
        <v>0</v>
      </c>
      <c r="AL25" s="512">
        <f t="shared" si="45"/>
        <v>0</v>
      </c>
      <c r="AM25" s="526">
        <f t="shared" si="23"/>
        <v>0</v>
      </c>
      <c r="AN25" s="490">
        <f t="shared" si="24"/>
        <v>0</v>
      </c>
      <c r="AO25" s="490">
        <f t="shared" si="25"/>
        <v>0</v>
      </c>
      <c r="AP25" s="490">
        <f t="shared" si="26"/>
        <v>0</v>
      </c>
      <c r="AQ25" s="490">
        <f t="shared" si="27"/>
        <v>0</v>
      </c>
      <c r="AR25" s="490">
        <f t="shared" si="28"/>
        <v>0</v>
      </c>
      <c r="AS25" s="514">
        <f t="shared" si="29"/>
        <v>0</v>
      </c>
      <c r="AT25" s="2"/>
      <c r="AU25" s="512">
        <f t="shared" si="30"/>
        <v>0</v>
      </c>
      <c r="AV25" s="513">
        <f t="shared" si="31"/>
        <v>0</v>
      </c>
      <c r="AW25" s="490">
        <f t="shared" si="32"/>
        <v>0</v>
      </c>
      <c r="AX25" s="490">
        <f t="shared" si="33"/>
        <v>0</v>
      </c>
      <c r="AY25" s="514">
        <f t="shared" si="34"/>
        <v>0</v>
      </c>
      <c r="AZ25" s="1123" t="str">
        <f t="shared" si="46"/>
        <v/>
      </c>
      <c r="BA25" s="1048">
        <f t="shared" si="47"/>
        <v>0</v>
      </c>
      <c r="BB25" s="1003">
        <f t="shared" si="35"/>
        <v>0</v>
      </c>
      <c r="BC25" s="1003">
        <f t="shared" si="35"/>
        <v>0</v>
      </c>
      <c r="BD25" s="1003">
        <f t="shared" si="35"/>
        <v>0</v>
      </c>
      <c r="BE25" s="1003">
        <f t="shared" si="35"/>
        <v>0</v>
      </c>
      <c r="BF25" s="1003">
        <f t="shared" si="35"/>
        <v>0</v>
      </c>
      <c r="BG25" s="1049">
        <f t="shared" si="35"/>
        <v>0</v>
      </c>
      <c r="BH25" s="2"/>
      <c r="BI25" s="1314"/>
      <c r="BJ25" s="2"/>
    </row>
    <row r="26" spans="1:62" ht="20.25" customHeight="1" x14ac:dyDescent="0.2">
      <c r="A26" s="2"/>
      <c r="B26" s="18">
        <v>19</v>
      </c>
      <c r="C26" s="155">
        <f t="shared" si="48"/>
        <v>19</v>
      </c>
      <c r="D26" s="156">
        <f t="shared" si="36"/>
        <v>7</v>
      </c>
      <c r="E26" s="1959" t="str">
        <f t="shared" si="9"/>
        <v xml:space="preserve">disattivato  </v>
      </c>
      <c r="F26" s="1960"/>
      <c r="G26" s="1309"/>
      <c r="H26" s="1309"/>
      <c r="I26" s="1309"/>
      <c r="J26" s="1309"/>
      <c r="K26" s="1309"/>
      <c r="L26" s="1309"/>
      <c r="M26" s="1309"/>
      <c r="N26" s="1310"/>
      <c r="O26" s="6"/>
      <c r="P26" s="489">
        <f t="shared" si="10"/>
        <v>0</v>
      </c>
      <c r="Q26" s="490">
        <f t="shared" si="11"/>
        <v>0</v>
      </c>
      <c r="R26" s="490">
        <f t="shared" si="12"/>
        <v>0</v>
      </c>
      <c r="S26" s="490">
        <f t="shared" si="13"/>
        <v>0</v>
      </c>
      <c r="T26" s="490">
        <f t="shared" si="14"/>
        <v>0</v>
      </c>
      <c r="U26" s="490">
        <f t="shared" si="15"/>
        <v>0</v>
      </c>
      <c r="V26" s="491">
        <f t="shared" si="16"/>
        <v>0</v>
      </c>
      <c r="W26" s="154">
        <f t="shared" si="49"/>
        <v>45492</v>
      </c>
      <c r="X26" s="489">
        <f t="shared" si="37"/>
        <v>0</v>
      </c>
      <c r="Y26" s="490">
        <f t="shared" si="38"/>
        <v>0</v>
      </c>
      <c r="Z26" s="490">
        <f t="shared" si="39"/>
        <v>0</v>
      </c>
      <c r="AA26" s="490">
        <f t="shared" si="40"/>
        <v>0</v>
      </c>
      <c r="AB26" s="490">
        <f t="shared" si="41"/>
        <v>0</v>
      </c>
      <c r="AC26" s="490">
        <f t="shared" si="42"/>
        <v>0</v>
      </c>
      <c r="AD26" s="491">
        <f t="shared" si="43"/>
        <v>0</v>
      </c>
      <c r="AE26" s="414">
        <f>VLOOKUP(W26,CASSA!$B$180:$C$545,2,FALSE)</f>
        <v>0</v>
      </c>
      <c r="AF26" s="512">
        <f t="shared" si="18"/>
        <v>0</v>
      </c>
      <c r="AG26" s="513">
        <f t="shared" si="19"/>
        <v>0</v>
      </c>
      <c r="AH26" s="490">
        <f t="shared" si="20"/>
        <v>0</v>
      </c>
      <c r="AI26" s="490">
        <f t="shared" si="21"/>
        <v>0</v>
      </c>
      <c r="AJ26" s="514">
        <f t="shared" si="22"/>
        <v>0</v>
      </c>
      <c r="AK26" s="1003">
        <f t="shared" si="44"/>
        <v>0</v>
      </c>
      <c r="AL26" s="512">
        <f t="shared" si="45"/>
        <v>0</v>
      </c>
      <c r="AM26" s="526">
        <f t="shared" si="23"/>
        <v>0</v>
      </c>
      <c r="AN26" s="490">
        <f t="shared" si="24"/>
        <v>0</v>
      </c>
      <c r="AO26" s="490">
        <f t="shared" si="25"/>
        <v>0</v>
      </c>
      <c r="AP26" s="490">
        <f t="shared" si="26"/>
        <v>0</v>
      </c>
      <c r="AQ26" s="490">
        <f t="shared" si="27"/>
        <v>0</v>
      </c>
      <c r="AR26" s="490">
        <f t="shared" si="28"/>
        <v>0</v>
      </c>
      <c r="AS26" s="514">
        <f t="shared" si="29"/>
        <v>0</v>
      </c>
      <c r="AT26" s="2"/>
      <c r="AU26" s="512">
        <f t="shared" si="30"/>
        <v>0</v>
      </c>
      <c r="AV26" s="513">
        <f t="shared" si="31"/>
        <v>0</v>
      </c>
      <c r="AW26" s="490">
        <f t="shared" si="32"/>
        <v>0</v>
      </c>
      <c r="AX26" s="490">
        <f t="shared" si="33"/>
        <v>0</v>
      </c>
      <c r="AY26" s="514">
        <f t="shared" si="34"/>
        <v>0</v>
      </c>
      <c r="AZ26" s="1123" t="str">
        <f t="shared" si="46"/>
        <v/>
      </c>
      <c r="BA26" s="1048">
        <f t="shared" si="47"/>
        <v>0</v>
      </c>
      <c r="BB26" s="1003">
        <f t="shared" si="35"/>
        <v>0</v>
      </c>
      <c r="BC26" s="1003">
        <f t="shared" si="35"/>
        <v>0</v>
      </c>
      <c r="BD26" s="1003">
        <f t="shared" si="35"/>
        <v>0</v>
      </c>
      <c r="BE26" s="1003">
        <f t="shared" si="35"/>
        <v>0</v>
      </c>
      <c r="BF26" s="1003">
        <f t="shared" si="35"/>
        <v>0</v>
      </c>
      <c r="BG26" s="1049">
        <f t="shared" si="35"/>
        <v>0</v>
      </c>
      <c r="BH26" s="2"/>
      <c r="BI26" s="1314"/>
      <c r="BJ26" s="2"/>
    </row>
    <row r="27" spans="1:62" ht="20.25" customHeight="1" x14ac:dyDescent="0.2">
      <c r="A27" s="2"/>
      <c r="B27" s="18">
        <v>20</v>
      </c>
      <c r="C27" s="155">
        <f t="shared" si="48"/>
        <v>20</v>
      </c>
      <c r="D27" s="156">
        <f t="shared" si="36"/>
        <v>7</v>
      </c>
      <c r="E27" s="1959" t="str">
        <f t="shared" si="9"/>
        <v xml:space="preserve">disattivato  </v>
      </c>
      <c r="F27" s="1960"/>
      <c r="G27" s="1309"/>
      <c r="H27" s="1309"/>
      <c r="I27" s="1309"/>
      <c r="J27" s="1309"/>
      <c r="K27" s="1309"/>
      <c r="L27" s="1309"/>
      <c r="M27" s="1309"/>
      <c r="N27" s="1310"/>
      <c r="O27" s="6"/>
      <c r="P27" s="489">
        <f t="shared" si="10"/>
        <v>0</v>
      </c>
      <c r="Q27" s="490">
        <f t="shared" si="11"/>
        <v>0</v>
      </c>
      <c r="R27" s="490">
        <f t="shared" si="12"/>
        <v>0</v>
      </c>
      <c r="S27" s="490">
        <f t="shared" si="13"/>
        <v>0</v>
      </c>
      <c r="T27" s="490">
        <f t="shared" si="14"/>
        <v>0</v>
      </c>
      <c r="U27" s="490">
        <f t="shared" si="15"/>
        <v>0</v>
      </c>
      <c r="V27" s="491">
        <f t="shared" si="16"/>
        <v>0</v>
      </c>
      <c r="W27" s="154">
        <f t="shared" si="49"/>
        <v>45493</v>
      </c>
      <c r="X27" s="489">
        <f t="shared" si="37"/>
        <v>0</v>
      </c>
      <c r="Y27" s="490">
        <f t="shared" si="38"/>
        <v>0</v>
      </c>
      <c r="Z27" s="490">
        <f t="shared" si="39"/>
        <v>0</v>
      </c>
      <c r="AA27" s="490">
        <f t="shared" si="40"/>
        <v>0</v>
      </c>
      <c r="AB27" s="490">
        <f t="shared" si="41"/>
        <v>0</v>
      </c>
      <c r="AC27" s="490">
        <f t="shared" si="42"/>
        <v>0</v>
      </c>
      <c r="AD27" s="491">
        <f t="shared" si="43"/>
        <v>0</v>
      </c>
      <c r="AE27" s="414">
        <f>VLOOKUP(W27,CASSA!$B$180:$C$545,2,FALSE)</f>
        <v>0</v>
      </c>
      <c r="AF27" s="512">
        <f t="shared" si="18"/>
        <v>0</v>
      </c>
      <c r="AG27" s="513">
        <f t="shared" si="19"/>
        <v>0</v>
      </c>
      <c r="AH27" s="490">
        <f t="shared" si="20"/>
        <v>0</v>
      </c>
      <c r="AI27" s="490">
        <f t="shared" si="21"/>
        <v>0</v>
      </c>
      <c r="AJ27" s="514">
        <f t="shared" si="22"/>
        <v>0</v>
      </c>
      <c r="AK27" s="1003">
        <f t="shared" si="44"/>
        <v>0</v>
      </c>
      <c r="AL27" s="512">
        <f t="shared" si="45"/>
        <v>0</v>
      </c>
      <c r="AM27" s="526">
        <f t="shared" si="23"/>
        <v>0</v>
      </c>
      <c r="AN27" s="490">
        <f t="shared" si="24"/>
        <v>0</v>
      </c>
      <c r="AO27" s="490">
        <f t="shared" si="25"/>
        <v>0</v>
      </c>
      <c r="AP27" s="490">
        <f t="shared" si="26"/>
        <v>0</v>
      </c>
      <c r="AQ27" s="490">
        <f t="shared" si="27"/>
        <v>0</v>
      </c>
      <c r="AR27" s="490">
        <f t="shared" si="28"/>
        <v>0</v>
      </c>
      <c r="AS27" s="514">
        <f t="shared" si="29"/>
        <v>0</v>
      </c>
      <c r="AT27" s="2"/>
      <c r="AU27" s="512">
        <f t="shared" si="30"/>
        <v>0</v>
      </c>
      <c r="AV27" s="513">
        <f t="shared" si="31"/>
        <v>0</v>
      </c>
      <c r="AW27" s="490">
        <f t="shared" si="32"/>
        <v>0</v>
      </c>
      <c r="AX27" s="490">
        <f t="shared" si="33"/>
        <v>0</v>
      </c>
      <c r="AY27" s="514">
        <f t="shared" si="34"/>
        <v>0</v>
      </c>
      <c r="AZ27" s="1123" t="str">
        <f t="shared" si="46"/>
        <v/>
      </c>
      <c r="BA27" s="1048">
        <f t="shared" si="47"/>
        <v>0</v>
      </c>
      <c r="BB27" s="1003">
        <f t="shared" si="35"/>
        <v>0</v>
      </c>
      <c r="BC27" s="1003">
        <f t="shared" si="35"/>
        <v>0</v>
      </c>
      <c r="BD27" s="1003">
        <f t="shared" si="35"/>
        <v>0</v>
      </c>
      <c r="BE27" s="1003">
        <f t="shared" si="35"/>
        <v>0</v>
      </c>
      <c r="BF27" s="1003">
        <f t="shared" si="35"/>
        <v>0</v>
      </c>
      <c r="BG27" s="1049">
        <f t="shared" si="35"/>
        <v>0</v>
      </c>
      <c r="BH27" s="2"/>
      <c r="BI27" s="1314"/>
      <c r="BJ27" s="2"/>
    </row>
    <row r="28" spans="1:62" ht="20.25" customHeight="1" x14ac:dyDescent="0.2">
      <c r="A28" s="2"/>
      <c r="B28" s="18">
        <v>21</v>
      </c>
      <c r="C28" s="155">
        <f t="shared" si="48"/>
        <v>21</v>
      </c>
      <c r="D28" s="156">
        <f t="shared" si="36"/>
        <v>7</v>
      </c>
      <c r="E28" s="1959" t="str">
        <f t="shared" si="9"/>
        <v xml:space="preserve">disattivato  </v>
      </c>
      <c r="F28" s="1960"/>
      <c r="G28" s="1309"/>
      <c r="H28" s="1309"/>
      <c r="I28" s="1309"/>
      <c r="J28" s="1309"/>
      <c r="K28" s="1309"/>
      <c r="L28" s="1309"/>
      <c r="M28" s="1309"/>
      <c r="N28" s="1310"/>
      <c r="O28" s="6"/>
      <c r="P28" s="489">
        <f t="shared" si="10"/>
        <v>0</v>
      </c>
      <c r="Q28" s="490">
        <f t="shared" si="11"/>
        <v>0</v>
      </c>
      <c r="R28" s="490">
        <f t="shared" si="12"/>
        <v>0</v>
      </c>
      <c r="S28" s="490">
        <f t="shared" si="13"/>
        <v>0</v>
      </c>
      <c r="T28" s="490">
        <f t="shared" si="14"/>
        <v>0</v>
      </c>
      <c r="U28" s="490">
        <f t="shared" si="15"/>
        <v>0</v>
      </c>
      <c r="V28" s="491">
        <f t="shared" si="16"/>
        <v>0</v>
      </c>
      <c r="W28" s="154">
        <f t="shared" si="49"/>
        <v>45494</v>
      </c>
      <c r="X28" s="489">
        <f t="shared" si="37"/>
        <v>0</v>
      </c>
      <c r="Y28" s="490">
        <f t="shared" si="38"/>
        <v>0</v>
      </c>
      <c r="Z28" s="490">
        <f t="shared" si="39"/>
        <v>0</v>
      </c>
      <c r="AA28" s="490">
        <f t="shared" si="40"/>
        <v>0</v>
      </c>
      <c r="AB28" s="490">
        <f t="shared" si="41"/>
        <v>0</v>
      </c>
      <c r="AC28" s="490">
        <f t="shared" si="42"/>
        <v>0</v>
      </c>
      <c r="AD28" s="491">
        <f t="shared" si="43"/>
        <v>0</v>
      </c>
      <c r="AE28" s="414">
        <f>VLOOKUP(W28,CASSA!$B$180:$C$545,2,FALSE)</f>
        <v>0</v>
      </c>
      <c r="AF28" s="512">
        <f t="shared" si="18"/>
        <v>0</v>
      </c>
      <c r="AG28" s="513">
        <f t="shared" si="19"/>
        <v>0</v>
      </c>
      <c r="AH28" s="490">
        <f t="shared" si="20"/>
        <v>0</v>
      </c>
      <c r="AI28" s="490">
        <f t="shared" si="21"/>
        <v>0</v>
      </c>
      <c r="AJ28" s="514">
        <f t="shared" si="22"/>
        <v>0</v>
      </c>
      <c r="AK28" s="1003">
        <f t="shared" si="44"/>
        <v>0</v>
      </c>
      <c r="AL28" s="512">
        <f t="shared" si="45"/>
        <v>0</v>
      </c>
      <c r="AM28" s="526">
        <f t="shared" si="23"/>
        <v>0</v>
      </c>
      <c r="AN28" s="490">
        <f t="shared" si="24"/>
        <v>0</v>
      </c>
      <c r="AO28" s="490">
        <f t="shared" si="25"/>
        <v>0</v>
      </c>
      <c r="AP28" s="490">
        <f t="shared" si="26"/>
        <v>0</v>
      </c>
      <c r="AQ28" s="490">
        <f t="shared" si="27"/>
        <v>0</v>
      </c>
      <c r="AR28" s="490">
        <f t="shared" si="28"/>
        <v>0</v>
      </c>
      <c r="AS28" s="514">
        <f t="shared" si="29"/>
        <v>0</v>
      </c>
      <c r="AT28" s="2"/>
      <c r="AU28" s="512">
        <f t="shared" si="30"/>
        <v>0</v>
      </c>
      <c r="AV28" s="513">
        <f t="shared" si="31"/>
        <v>0</v>
      </c>
      <c r="AW28" s="490">
        <f t="shared" si="32"/>
        <v>0</v>
      </c>
      <c r="AX28" s="490">
        <f t="shared" si="33"/>
        <v>0</v>
      </c>
      <c r="AY28" s="514">
        <f t="shared" si="34"/>
        <v>0</v>
      </c>
      <c r="AZ28" s="1123" t="str">
        <f t="shared" si="46"/>
        <v/>
      </c>
      <c r="BA28" s="1048">
        <f t="shared" si="47"/>
        <v>0</v>
      </c>
      <c r="BB28" s="1003">
        <f t="shared" si="35"/>
        <v>0</v>
      </c>
      <c r="BC28" s="1003">
        <f t="shared" si="35"/>
        <v>0</v>
      </c>
      <c r="BD28" s="1003">
        <f t="shared" si="35"/>
        <v>0</v>
      </c>
      <c r="BE28" s="1003">
        <f t="shared" si="35"/>
        <v>0</v>
      </c>
      <c r="BF28" s="1003">
        <f t="shared" si="35"/>
        <v>0</v>
      </c>
      <c r="BG28" s="1049">
        <f t="shared" si="35"/>
        <v>0</v>
      </c>
      <c r="BH28" s="2"/>
      <c r="BI28" s="1314"/>
      <c r="BJ28" s="2"/>
    </row>
    <row r="29" spans="1:62" ht="20.25" customHeight="1" x14ac:dyDescent="0.2">
      <c r="A29" s="2"/>
      <c r="B29" s="18">
        <v>22</v>
      </c>
      <c r="C29" s="155">
        <f t="shared" si="48"/>
        <v>22</v>
      </c>
      <c r="D29" s="156">
        <f t="shared" si="36"/>
        <v>7</v>
      </c>
      <c r="E29" s="1959" t="str">
        <f t="shared" si="9"/>
        <v xml:space="preserve">disattivato  </v>
      </c>
      <c r="F29" s="1960"/>
      <c r="G29" s="1309"/>
      <c r="H29" s="1309"/>
      <c r="I29" s="1309"/>
      <c r="J29" s="1309"/>
      <c r="K29" s="1309"/>
      <c r="L29" s="1309"/>
      <c r="M29" s="1309"/>
      <c r="N29" s="1310"/>
      <c r="O29" s="6"/>
      <c r="P29" s="489">
        <f t="shared" si="10"/>
        <v>0</v>
      </c>
      <c r="Q29" s="490">
        <f t="shared" si="11"/>
        <v>0</v>
      </c>
      <c r="R29" s="490">
        <f t="shared" si="12"/>
        <v>0</v>
      </c>
      <c r="S29" s="490">
        <f t="shared" si="13"/>
        <v>0</v>
      </c>
      <c r="T29" s="490">
        <f t="shared" si="14"/>
        <v>0</v>
      </c>
      <c r="U29" s="490">
        <f t="shared" si="15"/>
        <v>0</v>
      </c>
      <c r="V29" s="491">
        <f t="shared" si="16"/>
        <v>0</v>
      </c>
      <c r="W29" s="154">
        <f t="shared" si="49"/>
        <v>45495</v>
      </c>
      <c r="X29" s="489">
        <f t="shared" si="37"/>
        <v>0</v>
      </c>
      <c r="Y29" s="490">
        <f t="shared" si="38"/>
        <v>0</v>
      </c>
      <c r="Z29" s="490">
        <f t="shared" si="39"/>
        <v>0</v>
      </c>
      <c r="AA29" s="490">
        <f t="shared" si="40"/>
        <v>0</v>
      </c>
      <c r="AB29" s="490">
        <f t="shared" si="41"/>
        <v>0</v>
      </c>
      <c r="AC29" s="490">
        <f t="shared" si="42"/>
        <v>0</v>
      </c>
      <c r="AD29" s="491">
        <f t="shared" si="43"/>
        <v>0</v>
      </c>
      <c r="AE29" s="414">
        <f>VLOOKUP(W29,CASSA!$B$180:$C$545,2,FALSE)</f>
        <v>0</v>
      </c>
      <c r="AF29" s="512">
        <f t="shared" si="18"/>
        <v>0</v>
      </c>
      <c r="AG29" s="513">
        <f t="shared" si="19"/>
        <v>0</v>
      </c>
      <c r="AH29" s="490">
        <f t="shared" si="20"/>
        <v>0</v>
      </c>
      <c r="AI29" s="490">
        <f t="shared" si="21"/>
        <v>0</v>
      </c>
      <c r="AJ29" s="514">
        <f t="shared" si="22"/>
        <v>0</v>
      </c>
      <c r="AK29" s="1003">
        <f t="shared" si="44"/>
        <v>0</v>
      </c>
      <c r="AL29" s="512">
        <f t="shared" si="45"/>
        <v>0</v>
      </c>
      <c r="AM29" s="526">
        <f t="shared" si="23"/>
        <v>0</v>
      </c>
      <c r="AN29" s="490">
        <f t="shared" si="24"/>
        <v>0</v>
      </c>
      <c r="AO29" s="490">
        <f t="shared" si="25"/>
        <v>0</v>
      </c>
      <c r="AP29" s="490">
        <f t="shared" si="26"/>
        <v>0</v>
      </c>
      <c r="AQ29" s="490">
        <f t="shared" si="27"/>
        <v>0</v>
      </c>
      <c r="AR29" s="490">
        <f t="shared" si="28"/>
        <v>0</v>
      </c>
      <c r="AS29" s="514">
        <f t="shared" si="29"/>
        <v>0</v>
      </c>
      <c r="AT29" s="2"/>
      <c r="AU29" s="512">
        <f t="shared" si="30"/>
        <v>0</v>
      </c>
      <c r="AV29" s="513">
        <f t="shared" si="31"/>
        <v>0</v>
      </c>
      <c r="AW29" s="490">
        <f t="shared" si="32"/>
        <v>0</v>
      </c>
      <c r="AX29" s="490">
        <f t="shared" si="33"/>
        <v>0</v>
      </c>
      <c r="AY29" s="514">
        <f t="shared" si="34"/>
        <v>0</v>
      </c>
      <c r="AZ29" s="1123" t="str">
        <f t="shared" si="46"/>
        <v/>
      </c>
      <c r="BA29" s="1048">
        <f t="shared" si="47"/>
        <v>0</v>
      </c>
      <c r="BB29" s="1003">
        <f t="shared" si="35"/>
        <v>0</v>
      </c>
      <c r="BC29" s="1003">
        <f t="shared" si="35"/>
        <v>0</v>
      </c>
      <c r="BD29" s="1003">
        <f t="shared" si="35"/>
        <v>0</v>
      </c>
      <c r="BE29" s="1003">
        <f t="shared" si="35"/>
        <v>0</v>
      </c>
      <c r="BF29" s="1003">
        <f t="shared" si="35"/>
        <v>0</v>
      </c>
      <c r="BG29" s="1049">
        <f t="shared" si="35"/>
        <v>0</v>
      </c>
      <c r="BH29" s="2"/>
      <c r="BI29" s="1314"/>
      <c r="BJ29" s="2"/>
    </row>
    <row r="30" spans="1:62" ht="20.25" customHeight="1" x14ac:dyDescent="0.2">
      <c r="A30" s="2"/>
      <c r="B30" s="18">
        <v>23</v>
      </c>
      <c r="C30" s="155">
        <f t="shared" si="48"/>
        <v>23</v>
      </c>
      <c r="D30" s="156">
        <f t="shared" si="36"/>
        <v>7</v>
      </c>
      <c r="E30" s="1959" t="str">
        <f t="shared" si="9"/>
        <v xml:space="preserve">disattivato  </v>
      </c>
      <c r="F30" s="1960"/>
      <c r="G30" s="1309"/>
      <c r="H30" s="1309"/>
      <c r="I30" s="1309"/>
      <c r="J30" s="1309"/>
      <c r="K30" s="1309"/>
      <c r="L30" s="1309"/>
      <c r="M30" s="1309"/>
      <c r="N30" s="1310"/>
      <c r="O30" s="6"/>
      <c r="P30" s="489">
        <f t="shared" si="10"/>
        <v>0</v>
      </c>
      <c r="Q30" s="490">
        <f t="shared" si="11"/>
        <v>0</v>
      </c>
      <c r="R30" s="490">
        <f t="shared" si="12"/>
        <v>0</v>
      </c>
      <c r="S30" s="490">
        <f t="shared" si="13"/>
        <v>0</v>
      </c>
      <c r="T30" s="490">
        <f t="shared" si="14"/>
        <v>0</v>
      </c>
      <c r="U30" s="490">
        <f t="shared" si="15"/>
        <v>0</v>
      </c>
      <c r="V30" s="491">
        <f t="shared" si="16"/>
        <v>0</v>
      </c>
      <c r="W30" s="154">
        <f t="shared" si="49"/>
        <v>45496</v>
      </c>
      <c r="X30" s="489">
        <f t="shared" si="37"/>
        <v>0</v>
      </c>
      <c r="Y30" s="490">
        <f t="shared" si="38"/>
        <v>0</v>
      </c>
      <c r="Z30" s="490">
        <f t="shared" si="39"/>
        <v>0</v>
      </c>
      <c r="AA30" s="490">
        <f t="shared" si="40"/>
        <v>0</v>
      </c>
      <c r="AB30" s="490">
        <f t="shared" si="41"/>
        <v>0</v>
      </c>
      <c r="AC30" s="490">
        <f t="shared" si="42"/>
        <v>0</v>
      </c>
      <c r="AD30" s="491">
        <f t="shared" si="43"/>
        <v>0</v>
      </c>
      <c r="AE30" s="414">
        <f>VLOOKUP(W30,CASSA!$B$180:$C$545,2,FALSE)</f>
        <v>0</v>
      </c>
      <c r="AF30" s="512">
        <f t="shared" si="18"/>
        <v>0</v>
      </c>
      <c r="AG30" s="513">
        <f t="shared" si="19"/>
        <v>0</v>
      </c>
      <c r="AH30" s="490">
        <f t="shared" si="20"/>
        <v>0</v>
      </c>
      <c r="AI30" s="490">
        <f t="shared" si="21"/>
        <v>0</v>
      </c>
      <c r="AJ30" s="514">
        <f t="shared" si="22"/>
        <v>0</v>
      </c>
      <c r="AK30" s="1003">
        <f t="shared" si="44"/>
        <v>0</v>
      </c>
      <c r="AL30" s="512">
        <f t="shared" si="45"/>
        <v>0</v>
      </c>
      <c r="AM30" s="526">
        <f t="shared" si="23"/>
        <v>0</v>
      </c>
      <c r="AN30" s="490">
        <f t="shared" si="24"/>
        <v>0</v>
      </c>
      <c r="AO30" s="490">
        <f t="shared" si="25"/>
        <v>0</v>
      </c>
      <c r="AP30" s="490">
        <f t="shared" si="26"/>
        <v>0</v>
      </c>
      <c r="AQ30" s="490">
        <f t="shared" si="27"/>
        <v>0</v>
      </c>
      <c r="AR30" s="490">
        <f t="shared" si="28"/>
        <v>0</v>
      </c>
      <c r="AS30" s="514">
        <f t="shared" si="29"/>
        <v>0</v>
      </c>
      <c r="AT30" s="2"/>
      <c r="AU30" s="512">
        <f t="shared" si="30"/>
        <v>0</v>
      </c>
      <c r="AV30" s="513">
        <f t="shared" si="31"/>
        <v>0</v>
      </c>
      <c r="AW30" s="490">
        <f t="shared" si="32"/>
        <v>0</v>
      </c>
      <c r="AX30" s="490">
        <f t="shared" si="33"/>
        <v>0</v>
      </c>
      <c r="AY30" s="514">
        <f t="shared" si="34"/>
        <v>0</v>
      </c>
      <c r="AZ30" s="1123" t="str">
        <f t="shared" si="46"/>
        <v/>
      </c>
      <c r="BA30" s="1048">
        <f t="shared" si="47"/>
        <v>0</v>
      </c>
      <c r="BB30" s="1003">
        <f t="shared" si="35"/>
        <v>0</v>
      </c>
      <c r="BC30" s="1003">
        <f t="shared" si="35"/>
        <v>0</v>
      </c>
      <c r="BD30" s="1003">
        <f t="shared" si="35"/>
        <v>0</v>
      </c>
      <c r="BE30" s="1003">
        <f t="shared" si="35"/>
        <v>0</v>
      </c>
      <c r="BF30" s="1003">
        <f t="shared" si="35"/>
        <v>0</v>
      </c>
      <c r="BG30" s="1049">
        <f t="shared" si="35"/>
        <v>0</v>
      </c>
      <c r="BH30" s="2"/>
      <c r="BI30" s="1314"/>
      <c r="BJ30" s="2"/>
    </row>
    <row r="31" spans="1:62" ht="20.25" customHeight="1" x14ac:dyDescent="0.2">
      <c r="A31" s="2"/>
      <c r="B31" s="18">
        <v>24</v>
      </c>
      <c r="C31" s="155">
        <f t="shared" si="48"/>
        <v>24</v>
      </c>
      <c r="D31" s="156">
        <f t="shared" si="36"/>
        <v>7</v>
      </c>
      <c r="E31" s="1959" t="str">
        <f t="shared" si="9"/>
        <v xml:space="preserve">disattivato  </v>
      </c>
      <c r="F31" s="1960"/>
      <c r="G31" s="1309"/>
      <c r="H31" s="1309"/>
      <c r="I31" s="1309"/>
      <c r="J31" s="1309"/>
      <c r="K31" s="1309"/>
      <c r="L31" s="1309"/>
      <c r="M31" s="1309"/>
      <c r="N31" s="1310"/>
      <c r="O31" s="6"/>
      <c r="P31" s="489">
        <f t="shared" si="10"/>
        <v>0</v>
      </c>
      <c r="Q31" s="490">
        <f t="shared" si="11"/>
        <v>0</v>
      </c>
      <c r="R31" s="490">
        <f t="shared" si="12"/>
        <v>0</v>
      </c>
      <c r="S31" s="490">
        <f t="shared" si="13"/>
        <v>0</v>
      </c>
      <c r="T31" s="490">
        <f t="shared" si="14"/>
        <v>0</v>
      </c>
      <c r="U31" s="490">
        <f t="shared" si="15"/>
        <v>0</v>
      </c>
      <c r="V31" s="491">
        <f t="shared" si="16"/>
        <v>0</v>
      </c>
      <c r="W31" s="154">
        <f t="shared" si="49"/>
        <v>45497</v>
      </c>
      <c r="X31" s="489">
        <f t="shared" si="37"/>
        <v>0</v>
      </c>
      <c r="Y31" s="490">
        <f t="shared" si="38"/>
        <v>0</v>
      </c>
      <c r="Z31" s="490">
        <f t="shared" si="39"/>
        <v>0</v>
      </c>
      <c r="AA31" s="490">
        <f t="shared" si="40"/>
        <v>0</v>
      </c>
      <c r="AB31" s="490">
        <f t="shared" si="41"/>
        <v>0</v>
      </c>
      <c r="AC31" s="490">
        <f t="shared" si="42"/>
        <v>0</v>
      </c>
      <c r="AD31" s="491">
        <f t="shared" si="43"/>
        <v>0</v>
      </c>
      <c r="AE31" s="414">
        <f>VLOOKUP(W31,CASSA!$B$180:$C$545,2,FALSE)</f>
        <v>0</v>
      </c>
      <c r="AF31" s="512">
        <f t="shared" si="18"/>
        <v>0</v>
      </c>
      <c r="AG31" s="513">
        <f t="shared" si="19"/>
        <v>0</v>
      </c>
      <c r="AH31" s="490">
        <f t="shared" si="20"/>
        <v>0</v>
      </c>
      <c r="AI31" s="490">
        <f t="shared" si="21"/>
        <v>0</v>
      </c>
      <c r="AJ31" s="514">
        <f t="shared" si="22"/>
        <v>0</v>
      </c>
      <c r="AK31" s="1003">
        <f t="shared" si="44"/>
        <v>0</v>
      </c>
      <c r="AL31" s="512">
        <f t="shared" si="45"/>
        <v>0</v>
      </c>
      <c r="AM31" s="526">
        <f t="shared" si="23"/>
        <v>0</v>
      </c>
      <c r="AN31" s="490">
        <f t="shared" si="24"/>
        <v>0</v>
      </c>
      <c r="AO31" s="490">
        <f t="shared" si="25"/>
        <v>0</v>
      </c>
      <c r="AP31" s="490">
        <f t="shared" si="26"/>
        <v>0</v>
      </c>
      <c r="AQ31" s="490">
        <f t="shared" si="27"/>
        <v>0</v>
      </c>
      <c r="AR31" s="490">
        <f t="shared" si="28"/>
        <v>0</v>
      </c>
      <c r="AS31" s="514">
        <f t="shared" si="29"/>
        <v>0</v>
      </c>
      <c r="AT31" s="2"/>
      <c r="AU31" s="512">
        <f t="shared" si="30"/>
        <v>0</v>
      </c>
      <c r="AV31" s="513">
        <f t="shared" si="31"/>
        <v>0</v>
      </c>
      <c r="AW31" s="490">
        <f t="shared" si="32"/>
        <v>0</v>
      </c>
      <c r="AX31" s="490">
        <f t="shared" si="33"/>
        <v>0</v>
      </c>
      <c r="AY31" s="514">
        <f t="shared" si="34"/>
        <v>0</v>
      </c>
      <c r="AZ31" s="1123" t="str">
        <f t="shared" si="46"/>
        <v/>
      </c>
      <c r="BA31" s="1048">
        <f t="shared" si="47"/>
        <v>0</v>
      </c>
      <c r="BB31" s="1003">
        <f t="shared" si="35"/>
        <v>0</v>
      </c>
      <c r="BC31" s="1003">
        <f t="shared" si="35"/>
        <v>0</v>
      </c>
      <c r="BD31" s="1003">
        <f t="shared" si="35"/>
        <v>0</v>
      </c>
      <c r="BE31" s="1003">
        <f t="shared" si="35"/>
        <v>0</v>
      </c>
      <c r="BF31" s="1003">
        <f t="shared" si="35"/>
        <v>0</v>
      </c>
      <c r="BG31" s="1049">
        <f t="shared" si="35"/>
        <v>0</v>
      </c>
      <c r="BH31" s="2"/>
      <c r="BI31" s="1314"/>
      <c r="BJ31" s="2"/>
    </row>
    <row r="32" spans="1:62" ht="20.25" customHeight="1" x14ac:dyDescent="0.2">
      <c r="A32" s="2"/>
      <c r="B32" s="18">
        <v>25</v>
      </c>
      <c r="C32" s="155">
        <f t="shared" si="48"/>
        <v>25</v>
      </c>
      <c r="D32" s="156">
        <f t="shared" si="36"/>
        <v>7</v>
      </c>
      <c r="E32" s="1959" t="str">
        <f t="shared" si="9"/>
        <v xml:space="preserve">disattivato  </v>
      </c>
      <c r="F32" s="1960"/>
      <c r="G32" s="1309"/>
      <c r="H32" s="1309"/>
      <c r="I32" s="1309"/>
      <c r="J32" s="1309"/>
      <c r="K32" s="1309"/>
      <c r="L32" s="1309"/>
      <c r="M32" s="1309"/>
      <c r="N32" s="1310"/>
      <c r="O32" s="6"/>
      <c r="P32" s="489">
        <f t="shared" si="10"/>
        <v>0</v>
      </c>
      <c r="Q32" s="490">
        <f t="shared" si="11"/>
        <v>0</v>
      </c>
      <c r="R32" s="490">
        <f t="shared" si="12"/>
        <v>0</v>
      </c>
      <c r="S32" s="490">
        <f t="shared" si="13"/>
        <v>0</v>
      </c>
      <c r="T32" s="490">
        <f t="shared" si="14"/>
        <v>0</v>
      </c>
      <c r="U32" s="490">
        <f t="shared" si="15"/>
        <v>0</v>
      </c>
      <c r="V32" s="491">
        <f t="shared" si="16"/>
        <v>0</v>
      </c>
      <c r="W32" s="154">
        <f t="shared" si="49"/>
        <v>45498</v>
      </c>
      <c r="X32" s="489">
        <f t="shared" si="37"/>
        <v>0</v>
      </c>
      <c r="Y32" s="490">
        <f t="shared" si="38"/>
        <v>0</v>
      </c>
      <c r="Z32" s="490">
        <f t="shared" si="39"/>
        <v>0</v>
      </c>
      <c r="AA32" s="490">
        <f t="shared" si="40"/>
        <v>0</v>
      </c>
      <c r="AB32" s="490">
        <f t="shared" si="41"/>
        <v>0</v>
      </c>
      <c r="AC32" s="490">
        <f t="shared" si="42"/>
        <v>0</v>
      </c>
      <c r="AD32" s="491">
        <f t="shared" si="43"/>
        <v>0</v>
      </c>
      <c r="AE32" s="414">
        <f>VLOOKUP(W32,CASSA!$B$180:$C$545,2,FALSE)</f>
        <v>0</v>
      </c>
      <c r="AF32" s="512">
        <f t="shared" si="18"/>
        <v>0</v>
      </c>
      <c r="AG32" s="513">
        <f t="shared" si="19"/>
        <v>0</v>
      </c>
      <c r="AH32" s="490">
        <f t="shared" si="20"/>
        <v>0</v>
      </c>
      <c r="AI32" s="490">
        <f t="shared" si="21"/>
        <v>0</v>
      </c>
      <c r="AJ32" s="514">
        <f t="shared" si="22"/>
        <v>0</v>
      </c>
      <c r="AK32" s="1003">
        <f t="shared" si="44"/>
        <v>0</v>
      </c>
      <c r="AL32" s="512">
        <f t="shared" si="45"/>
        <v>0</v>
      </c>
      <c r="AM32" s="526">
        <f t="shared" si="23"/>
        <v>0</v>
      </c>
      <c r="AN32" s="490">
        <f t="shared" si="24"/>
        <v>0</v>
      </c>
      <c r="AO32" s="490">
        <f t="shared" si="25"/>
        <v>0</v>
      </c>
      <c r="AP32" s="490">
        <f t="shared" si="26"/>
        <v>0</v>
      </c>
      <c r="AQ32" s="490">
        <f t="shared" si="27"/>
        <v>0</v>
      </c>
      <c r="AR32" s="490">
        <f t="shared" si="28"/>
        <v>0</v>
      </c>
      <c r="AS32" s="514">
        <f t="shared" si="29"/>
        <v>0</v>
      </c>
      <c r="AT32" s="2"/>
      <c r="AU32" s="512">
        <f t="shared" si="30"/>
        <v>0</v>
      </c>
      <c r="AV32" s="513">
        <f t="shared" si="31"/>
        <v>0</v>
      </c>
      <c r="AW32" s="490">
        <f t="shared" si="32"/>
        <v>0</v>
      </c>
      <c r="AX32" s="490">
        <f t="shared" si="33"/>
        <v>0</v>
      </c>
      <c r="AY32" s="514">
        <f t="shared" si="34"/>
        <v>0</v>
      </c>
      <c r="AZ32" s="1123" t="str">
        <f t="shared" si="46"/>
        <v/>
      </c>
      <c r="BA32" s="1048">
        <f t="shared" si="47"/>
        <v>0</v>
      </c>
      <c r="BB32" s="1003">
        <f t="shared" si="35"/>
        <v>0</v>
      </c>
      <c r="BC32" s="1003">
        <f t="shared" si="35"/>
        <v>0</v>
      </c>
      <c r="BD32" s="1003">
        <f t="shared" si="35"/>
        <v>0</v>
      </c>
      <c r="BE32" s="1003">
        <f t="shared" si="35"/>
        <v>0</v>
      </c>
      <c r="BF32" s="1003">
        <f t="shared" si="35"/>
        <v>0</v>
      </c>
      <c r="BG32" s="1049">
        <f t="shared" si="35"/>
        <v>0</v>
      </c>
      <c r="BH32" s="2"/>
      <c r="BI32" s="1314"/>
      <c r="BJ32" s="2"/>
    </row>
    <row r="33" spans="1:62" ht="20.25" customHeight="1" x14ac:dyDescent="0.2">
      <c r="A33" s="2"/>
      <c r="B33" s="18">
        <v>26</v>
      </c>
      <c r="C33" s="155">
        <f t="shared" si="48"/>
        <v>26</v>
      </c>
      <c r="D33" s="156">
        <f t="shared" si="36"/>
        <v>7</v>
      </c>
      <c r="E33" s="1959" t="str">
        <f t="shared" si="9"/>
        <v xml:space="preserve">disattivato  </v>
      </c>
      <c r="F33" s="1960"/>
      <c r="G33" s="1309"/>
      <c r="H33" s="1309"/>
      <c r="I33" s="1309"/>
      <c r="J33" s="1309"/>
      <c r="K33" s="1309"/>
      <c r="L33" s="1309"/>
      <c r="M33" s="1309"/>
      <c r="N33" s="1310"/>
      <c r="O33" s="6"/>
      <c r="P33" s="489">
        <f t="shared" si="10"/>
        <v>0</v>
      </c>
      <c r="Q33" s="490">
        <f t="shared" si="11"/>
        <v>0</v>
      </c>
      <c r="R33" s="490">
        <f t="shared" si="12"/>
        <v>0</v>
      </c>
      <c r="S33" s="490">
        <f t="shared" si="13"/>
        <v>0</v>
      </c>
      <c r="T33" s="490">
        <f t="shared" si="14"/>
        <v>0</v>
      </c>
      <c r="U33" s="490">
        <f t="shared" si="15"/>
        <v>0</v>
      </c>
      <c r="V33" s="491">
        <f t="shared" si="16"/>
        <v>0</v>
      </c>
      <c r="W33" s="154">
        <f t="shared" si="49"/>
        <v>45499</v>
      </c>
      <c r="X33" s="489">
        <f t="shared" si="37"/>
        <v>0</v>
      </c>
      <c r="Y33" s="490">
        <f t="shared" si="38"/>
        <v>0</v>
      </c>
      <c r="Z33" s="490">
        <f t="shared" si="39"/>
        <v>0</v>
      </c>
      <c r="AA33" s="490">
        <f t="shared" si="40"/>
        <v>0</v>
      </c>
      <c r="AB33" s="490">
        <f t="shared" si="41"/>
        <v>0</v>
      </c>
      <c r="AC33" s="490">
        <f t="shared" si="42"/>
        <v>0</v>
      </c>
      <c r="AD33" s="491">
        <f t="shared" si="43"/>
        <v>0</v>
      </c>
      <c r="AE33" s="414">
        <f>VLOOKUP(W33,CASSA!$B$180:$C$545,2,FALSE)</f>
        <v>0</v>
      </c>
      <c r="AF33" s="512">
        <f t="shared" si="18"/>
        <v>0</v>
      </c>
      <c r="AG33" s="513">
        <f t="shared" si="19"/>
        <v>0</v>
      </c>
      <c r="AH33" s="490">
        <f t="shared" si="20"/>
        <v>0</v>
      </c>
      <c r="AI33" s="490">
        <f t="shared" si="21"/>
        <v>0</v>
      </c>
      <c r="AJ33" s="514">
        <f t="shared" si="22"/>
        <v>0</v>
      </c>
      <c r="AK33" s="1003">
        <f t="shared" si="44"/>
        <v>0</v>
      </c>
      <c r="AL33" s="512">
        <f t="shared" si="45"/>
        <v>0</v>
      </c>
      <c r="AM33" s="526">
        <f t="shared" si="23"/>
        <v>0</v>
      </c>
      <c r="AN33" s="490">
        <f t="shared" si="24"/>
        <v>0</v>
      </c>
      <c r="AO33" s="490">
        <f t="shared" si="25"/>
        <v>0</v>
      </c>
      <c r="AP33" s="490">
        <f t="shared" si="26"/>
        <v>0</v>
      </c>
      <c r="AQ33" s="490">
        <f t="shared" si="27"/>
        <v>0</v>
      </c>
      <c r="AR33" s="490">
        <f t="shared" si="28"/>
        <v>0</v>
      </c>
      <c r="AS33" s="514">
        <f t="shared" si="29"/>
        <v>0</v>
      </c>
      <c r="AT33" s="2"/>
      <c r="AU33" s="512">
        <f t="shared" si="30"/>
        <v>0</v>
      </c>
      <c r="AV33" s="513">
        <f t="shared" si="31"/>
        <v>0</v>
      </c>
      <c r="AW33" s="490">
        <f t="shared" si="32"/>
        <v>0</v>
      </c>
      <c r="AX33" s="490">
        <f t="shared" si="33"/>
        <v>0</v>
      </c>
      <c r="AY33" s="514">
        <f t="shared" si="34"/>
        <v>0</v>
      </c>
      <c r="AZ33" s="1123" t="str">
        <f t="shared" si="46"/>
        <v/>
      </c>
      <c r="BA33" s="1048">
        <f t="shared" si="47"/>
        <v>0</v>
      </c>
      <c r="BB33" s="1003">
        <f t="shared" si="35"/>
        <v>0</v>
      </c>
      <c r="BC33" s="1003">
        <f t="shared" si="35"/>
        <v>0</v>
      </c>
      <c r="BD33" s="1003">
        <f t="shared" si="35"/>
        <v>0</v>
      </c>
      <c r="BE33" s="1003">
        <f t="shared" si="35"/>
        <v>0</v>
      </c>
      <c r="BF33" s="1003">
        <f t="shared" si="35"/>
        <v>0</v>
      </c>
      <c r="BG33" s="1049">
        <f t="shared" si="35"/>
        <v>0</v>
      </c>
      <c r="BH33" s="2"/>
      <c r="BI33" s="1314"/>
      <c r="BJ33" s="2"/>
    </row>
    <row r="34" spans="1:62" ht="20.25" customHeight="1" x14ac:dyDescent="0.2">
      <c r="A34" s="2"/>
      <c r="B34" s="18">
        <v>27</v>
      </c>
      <c r="C34" s="155">
        <f t="shared" si="48"/>
        <v>27</v>
      </c>
      <c r="D34" s="156">
        <f t="shared" si="36"/>
        <v>7</v>
      </c>
      <c r="E34" s="1959" t="str">
        <f t="shared" si="9"/>
        <v xml:space="preserve">disattivato  </v>
      </c>
      <c r="F34" s="1960"/>
      <c r="G34" s="1309"/>
      <c r="H34" s="1309"/>
      <c r="I34" s="1309"/>
      <c r="J34" s="1309"/>
      <c r="K34" s="1309"/>
      <c r="L34" s="1309"/>
      <c r="M34" s="1309"/>
      <c r="N34" s="1310"/>
      <c r="O34" s="6"/>
      <c r="P34" s="489">
        <f t="shared" si="10"/>
        <v>0</v>
      </c>
      <c r="Q34" s="490">
        <f t="shared" si="11"/>
        <v>0</v>
      </c>
      <c r="R34" s="490">
        <f t="shared" si="12"/>
        <v>0</v>
      </c>
      <c r="S34" s="490">
        <f t="shared" si="13"/>
        <v>0</v>
      </c>
      <c r="T34" s="490">
        <f t="shared" si="14"/>
        <v>0</v>
      </c>
      <c r="U34" s="490">
        <f t="shared" si="15"/>
        <v>0</v>
      </c>
      <c r="V34" s="491">
        <f t="shared" si="16"/>
        <v>0</v>
      </c>
      <c r="W34" s="154">
        <f t="shared" si="49"/>
        <v>45500</v>
      </c>
      <c r="X34" s="489">
        <f t="shared" si="37"/>
        <v>0</v>
      </c>
      <c r="Y34" s="490">
        <f t="shared" si="38"/>
        <v>0</v>
      </c>
      <c r="Z34" s="490">
        <f t="shared" si="39"/>
        <v>0</v>
      </c>
      <c r="AA34" s="490">
        <f t="shared" si="40"/>
        <v>0</v>
      </c>
      <c r="AB34" s="490">
        <f t="shared" si="41"/>
        <v>0</v>
      </c>
      <c r="AC34" s="490">
        <f t="shared" si="42"/>
        <v>0</v>
      </c>
      <c r="AD34" s="491">
        <f t="shared" si="43"/>
        <v>0</v>
      </c>
      <c r="AE34" s="414">
        <f>VLOOKUP(W34,CASSA!$B$180:$C$545,2,FALSE)</f>
        <v>0</v>
      </c>
      <c r="AF34" s="512">
        <f t="shared" si="18"/>
        <v>0</v>
      </c>
      <c r="AG34" s="513">
        <f t="shared" si="19"/>
        <v>0</v>
      </c>
      <c r="AH34" s="490">
        <f t="shared" si="20"/>
        <v>0</v>
      </c>
      <c r="AI34" s="490">
        <f t="shared" si="21"/>
        <v>0</v>
      </c>
      <c r="AJ34" s="514">
        <f t="shared" si="22"/>
        <v>0</v>
      </c>
      <c r="AK34" s="1003">
        <f t="shared" si="44"/>
        <v>0</v>
      </c>
      <c r="AL34" s="512">
        <f t="shared" si="45"/>
        <v>0</v>
      </c>
      <c r="AM34" s="526">
        <f t="shared" si="23"/>
        <v>0</v>
      </c>
      <c r="AN34" s="490">
        <f t="shared" si="24"/>
        <v>0</v>
      </c>
      <c r="AO34" s="490">
        <f t="shared" si="25"/>
        <v>0</v>
      </c>
      <c r="AP34" s="490">
        <f t="shared" si="26"/>
        <v>0</v>
      </c>
      <c r="AQ34" s="490">
        <f t="shared" si="27"/>
        <v>0</v>
      </c>
      <c r="AR34" s="490">
        <f t="shared" si="28"/>
        <v>0</v>
      </c>
      <c r="AS34" s="514">
        <f t="shared" si="29"/>
        <v>0</v>
      </c>
      <c r="AT34" s="2"/>
      <c r="AU34" s="512">
        <f t="shared" si="30"/>
        <v>0</v>
      </c>
      <c r="AV34" s="513">
        <f t="shared" si="31"/>
        <v>0</v>
      </c>
      <c r="AW34" s="490">
        <f t="shared" si="32"/>
        <v>0</v>
      </c>
      <c r="AX34" s="490">
        <f t="shared" si="33"/>
        <v>0</v>
      </c>
      <c r="AY34" s="514">
        <f t="shared" si="34"/>
        <v>0</v>
      </c>
      <c r="AZ34" s="1123" t="str">
        <f t="shared" si="46"/>
        <v/>
      </c>
      <c r="BA34" s="1048">
        <f t="shared" si="47"/>
        <v>0</v>
      </c>
      <c r="BB34" s="1003">
        <f t="shared" si="35"/>
        <v>0</v>
      </c>
      <c r="BC34" s="1003">
        <f t="shared" si="35"/>
        <v>0</v>
      </c>
      <c r="BD34" s="1003">
        <f t="shared" si="35"/>
        <v>0</v>
      </c>
      <c r="BE34" s="1003">
        <f t="shared" si="35"/>
        <v>0</v>
      </c>
      <c r="BF34" s="1003">
        <f t="shared" si="35"/>
        <v>0</v>
      </c>
      <c r="BG34" s="1049">
        <f t="shared" si="35"/>
        <v>0</v>
      </c>
      <c r="BH34" s="2"/>
      <c r="BI34" s="1314"/>
      <c r="BJ34" s="2"/>
    </row>
    <row r="35" spans="1:62" ht="20.25" customHeight="1" x14ac:dyDescent="0.2">
      <c r="A35" s="2"/>
      <c r="B35" s="18">
        <v>28</v>
      </c>
      <c r="C35" s="155">
        <f t="shared" si="48"/>
        <v>28</v>
      </c>
      <c r="D35" s="156">
        <f t="shared" si="36"/>
        <v>7</v>
      </c>
      <c r="E35" s="1959" t="str">
        <f t="shared" si="9"/>
        <v xml:space="preserve">disattivato  </v>
      </c>
      <c r="F35" s="1960"/>
      <c r="G35" s="1309"/>
      <c r="H35" s="1309"/>
      <c r="I35" s="1309"/>
      <c r="J35" s="1309"/>
      <c r="K35" s="1309"/>
      <c r="L35" s="1309"/>
      <c r="M35" s="1309"/>
      <c r="N35" s="1310"/>
      <c r="O35" s="6"/>
      <c r="P35" s="489">
        <f t="shared" si="10"/>
        <v>0</v>
      </c>
      <c r="Q35" s="490">
        <f t="shared" si="11"/>
        <v>0</v>
      </c>
      <c r="R35" s="490">
        <f t="shared" si="12"/>
        <v>0</v>
      </c>
      <c r="S35" s="490">
        <f t="shared" si="13"/>
        <v>0</v>
      </c>
      <c r="T35" s="490">
        <f t="shared" si="14"/>
        <v>0</v>
      </c>
      <c r="U35" s="490">
        <f t="shared" si="15"/>
        <v>0</v>
      </c>
      <c r="V35" s="491">
        <f t="shared" si="16"/>
        <v>0</v>
      </c>
      <c r="W35" s="154">
        <f t="shared" si="49"/>
        <v>45501</v>
      </c>
      <c r="X35" s="489">
        <f t="shared" si="37"/>
        <v>0</v>
      </c>
      <c r="Y35" s="490">
        <f t="shared" si="38"/>
        <v>0</v>
      </c>
      <c r="Z35" s="490">
        <f t="shared" si="39"/>
        <v>0</v>
      </c>
      <c r="AA35" s="490">
        <f t="shared" si="40"/>
        <v>0</v>
      </c>
      <c r="AB35" s="490">
        <f t="shared" si="41"/>
        <v>0</v>
      </c>
      <c r="AC35" s="490">
        <f t="shared" si="42"/>
        <v>0</v>
      </c>
      <c r="AD35" s="491">
        <f t="shared" si="43"/>
        <v>0</v>
      </c>
      <c r="AE35" s="414">
        <f>VLOOKUP(W35,CASSA!$B$180:$C$545,2,FALSE)</f>
        <v>0</v>
      </c>
      <c r="AF35" s="512">
        <f t="shared" si="18"/>
        <v>0</v>
      </c>
      <c r="AG35" s="513">
        <f t="shared" si="19"/>
        <v>0</v>
      </c>
      <c r="AH35" s="490">
        <f t="shared" si="20"/>
        <v>0</v>
      </c>
      <c r="AI35" s="490">
        <f t="shared" si="21"/>
        <v>0</v>
      </c>
      <c r="AJ35" s="514">
        <f t="shared" si="22"/>
        <v>0</v>
      </c>
      <c r="AK35" s="1003">
        <f t="shared" si="44"/>
        <v>0</v>
      </c>
      <c r="AL35" s="512">
        <f t="shared" si="45"/>
        <v>0</v>
      </c>
      <c r="AM35" s="526">
        <f t="shared" si="23"/>
        <v>0</v>
      </c>
      <c r="AN35" s="490">
        <f t="shared" si="24"/>
        <v>0</v>
      </c>
      <c r="AO35" s="490">
        <f t="shared" si="25"/>
        <v>0</v>
      </c>
      <c r="AP35" s="490">
        <f t="shared" si="26"/>
        <v>0</v>
      </c>
      <c r="AQ35" s="490">
        <f t="shared" si="27"/>
        <v>0</v>
      </c>
      <c r="AR35" s="490">
        <f t="shared" si="28"/>
        <v>0</v>
      </c>
      <c r="AS35" s="514">
        <f t="shared" si="29"/>
        <v>0</v>
      </c>
      <c r="AT35" s="2"/>
      <c r="AU35" s="512">
        <f t="shared" si="30"/>
        <v>0</v>
      </c>
      <c r="AV35" s="513">
        <f t="shared" si="31"/>
        <v>0</v>
      </c>
      <c r="AW35" s="490">
        <f t="shared" si="32"/>
        <v>0</v>
      </c>
      <c r="AX35" s="490">
        <f t="shared" si="33"/>
        <v>0</v>
      </c>
      <c r="AY35" s="514">
        <f t="shared" si="34"/>
        <v>0</v>
      </c>
      <c r="AZ35" s="1123" t="str">
        <f t="shared" si="46"/>
        <v/>
      </c>
      <c r="BA35" s="1048">
        <f t="shared" si="47"/>
        <v>0</v>
      </c>
      <c r="BB35" s="1003">
        <f t="shared" si="35"/>
        <v>0</v>
      </c>
      <c r="BC35" s="1003">
        <f t="shared" si="35"/>
        <v>0</v>
      </c>
      <c r="BD35" s="1003">
        <f t="shared" si="35"/>
        <v>0</v>
      </c>
      <c r="BE35" s="1003">
        <f t="shared" si="35"/>
        <v>0</v>
      </c>
      <c r="BF35" s="1003">
        <f t="shared" si="35"/>
        <v>0</v>
      </c>
      <c r="BG35" s="1049">
        <f t="shared" si="35"/>
        <v>0</v>
      </c>
      <c r="BH35" s="2"/>
      <c r="BI35" s="1314"/>
      <c r="BJ35" s="2"/>
    </row>
    <row r="36" spans="1:62" ht="20.25" customHeight="1" x14ac:dyDescent="0.2">
      <c r="A36" s="2"/>
      <c r="B36" s="18">
        <v>29</v>
      </c>
      <c r="C36" s="155">
        <f t="shared" si="48"/>
        <v>29</v>
      </c>
      <c r="D36" s="156">
        <f t="shared" si="36"/>
        <v>7</v>
      </c>
      <c r="E36" s="1959" t="str">
        <f t="shared" si="9"/>
        <v xml:space="preserve">disattivato  </v>
      </c>
      <c r="F36" s="1960"/>
      <c r="G36" s="1309"/>
      <c r="H36" s="1309"/>
      <c r="I36" s="1309"/>
      <c r="J36" s="1309"/>
      <c r="K36" s="1309"/>
      <c r="L36" s="1309"/>
      <c r="M36" s="1309"/>
      <c r="N36" s="1310"/>
      <c r="O36" s="6"/>
      <c r="P36" s="489">
        <f t="shared" si="10"/>
        <v>0</v>
      </c>
      <c r="Q36" s="490">
        <f t="shared" si="11"/>
        <v>0</v>
      </c>
      <c r="R36" s="490">
        <f t="shared" si="12"/>
        <v>0</v>
      </c>
      <c r="S36" s="490">
        <f t="shared" si="13"/>
        <v>0</v>
      </c>
      <c r="T36" s="490">
        <f t="shared" si="14"/>
        <v>0</v>
      </c>
      <c r="U36" s="490">
        <f t="shared" si="15"/>
        <v>0</v>
      </c>
      <c r="V36" s="491">
        <f t="shared" si="16"/>
        <v>0</v>
      </c>
      <c r="W36" s="154">
        <f t="shared" si="49"/>
        <v>45502</v>
      </c>
      <c r="X36" s="489">
        <f t="shared" si="37"/>
        <v>0</v>
      </c>
      <c r="Y36" s="490">
        <f t="shared" si="38"/>
        <v>0</v>
      </c>
      <c r="Z36" s="490">
        <f t="shared" si="39"/>
        <v>0</v>
      </c>
      <c r="AA36" s="490">
        <f t="shared" si="40"/>
        <v>0</v>
      </c>
      <c r="AB36" s="490">
        <f t="shared" si="41"/>
        <v>0</v>
      </c>
      <c r="AC36" s="490">
        <f t="shared" si="42"/>
        <v>0</v>
      </c>
      <c r="AD36" s="491">
        <f t="shared" si="43"/>
        <v>0</v>
      </c>
      <c r="AE36" s="414">
        <f>VLOOKUP(W36,CASSA!$B$180:$C$545,2,FALSE)</f>
        <v>0</v>
      </c>
      <c r="AF36" s="512">
        <f t="shared" si="18"/>
        <v>0</v>
      </c>
      <c r="AG36" s="513">
        <f t="shared" si="19"/>
        <v>0</v>
      </c>
      <c r="AH36" s="490">
        <f t="shared" si="20"/>
        <v>0</v>
      </c>
      <c r="AI36" s="490">
        <f t="shared" si="21"/>
        <v>0</v>
      </c>
      <c r="AJ36" s="514">
        <f t="shared" si="22"/>
        <v>0</v>
      </c>
      <c r="AK36" s="1003">
        <f t="shared" si="44"/>
        <v>0</v>
      </c>
      <c r="AL36" s="512">
        <f t="shared" si="45"/>
        <v>0</v>
      </c>
      <c r="AM36" s="526">
        <f t="shared" si="23"/>
        <v>0</v>
      </c>
      <c r="AN36" s="490">
        <f t="shared" si="24"/>
        <v>0</v>
      </c>
      <c r="AO36" s="490">
        <f t="shared" si="25"/>
        <v>0</v>
      </c>
      <c r="AP36" s="490">
        <f t="shared" si="26"/>
        <v>0</v>
      </c>
      <c r="AQ36" s="490">
        <f t="shared" si="27"/>
        <v>0</v>
      </c>
      <c r="AR36" s="490">
        <f t="shared" si="28"/>
        <v>0</v>
      </c>
      <c r="AS36" s="514">
        <f t="shared" si="29"/>
        <v>0</v>
      </c>
      <c r="AT36" s="2"/>
      <c r="AU36" s="512">
        <f t="shared" si="30"/>
        <v>0</v>
      </c>
      <c r="AV36" s="513">
        <f t="shared" si="31"/>
        <v>0</v>
      </c>
      <c r="AW36" s="490">
        <f t="shared" si="32"/>
        <v>0</v>
      </c>
      <c r="AX36" s="490">
        <f t="shared" si="33"/>
        <v>0</v>
      </c>
      <c r="AY36" s="514">
        <f t="shared" si="34"/>
        <v>0</v>
      </c>
      <c r="AZ36" s="1123" t="str">
        <f t="shared" si="46"/>
        <v/>
      </c>
      <c r="BA36" s="1048">
        <f t="shared" si="47"/>
        <v>0</v>
      </c>
      <c r="BB36" s="1003">
        <f t="shared" si="35"/>
        <v>0</v>
      </c>
      <c r="BC36" s="1003">
        <f t="shared" si="35"/>
        <v>0</v>
      </c>
      <c r="BD36" s="1003">
        <f t="shared" si="35"/>
        <v>0</v>
      </c>
      <c r="BE36" s="1003">
        <f t="shared" si="35"/>
        <v>0</v>
      </c>
      <c r="BF36" s="1003">
        <f t="shared" si="35"/>
        <v>0</v>
      </c>
      <c r="BG36" s="1049">
        <f t="shared" si="35"/>
        <v>0</v>
      </c>
      <c r="BH36" s="2"/>
      <c r="BI36" s="1314"/>
      <c r="BJ36" s="2"/>
    </row>
    <row r="37" spans="1:62" ht="20.25" customHeight="1" x14ac:dyDescent="0.2">
      <c r="A37" s="2"/>
      <c r="B37" s="18">
        <v>30</v>
      </c>
      <c r="C37" s="155">
        <f t="shared" si="48"/>
        <v>30</v>
      </c>
      <c r="D37" s="156">
        <f t="shared" si="36"/>
        <v>7</v>
      </c>
      <c r="E37" s="1959" t="str">
        <f t="shared" si="9"/>
        <v xml:space="preserve">disattivato  </v>
      </c>
      <c r="F37" s="1960"/>
      <c r="G37" s="1309"/>
      <c r="H37" s="1309"/>
      <c r="I37" s="1309"/>
      <c r="J37" s="1309"/>
      <c r="K37" s="1309"/>
      <c r="L37" s="1309"/>
      <c r="M37" s="1309"/>
      <c r="N37" s="1310"/>
      <c r="O37" s="6"/>
      <c r="P37" s="489">
        <f t="shared" si="10"/>
        <v>0</v>
      </c>
      <c r="Q37" s="490">
        <f t="shared" si="11"/>
        <v>0</v>
      </c>
      <c r="R37" s="490">
        <f t="shared" si="12"/>
        <v>0</v>
      </c>
      <c r="S37" s="490">
        <f t="shared" si="13"/>
        <v>0</v>
      </c>
      <c r="T37" s="490">
        <f t="shared" si="14"/>
        <v>0</v>
      </c>
      <c r="U37" s="490">
        <f t="shared" si="15"/>
        <v>0</v>
      </c>
      <c r="V37" s="491">
        <f t="shared" si="16"/>
        <v>0</v>
      </c>
      <c r="W37" s="154">
        <f t="shared" si="49"/>
        <v>45503</v>
      </c>
      <c r="X37" s="489">
        <f t="shared" si="37"/>
        <v>0</v>
      </c>
      <c r="Y37" s="490">
        <f t="shared" si="38"/>
        <v>0</v>
      </c>
      <c r="Z37" s="490">
        <f t="shared" si="39"/>
        <v>0</v>
      </c>
      <c r="AA37" s="490">
        <f t="shared" si="40"/>
        <v>0</v>
      </c>
      <c r="AB37" s="490">
        <f t="shared" si="41"/>
        <v>0</v>
      </c>
      <c r="AC37" s="490">
        <f t="shared" si="42"/>
        <v>0</v>
      </c>
      <c r="AD37" s="491">
        <f t="shared" si="43"/>
        <v>0</v>
      </c>
      <c r="AE37" s="414">
        <f>VLOOKUP(W37,CASSA!$B$180:$C$545,2,FALSE)</f>
        <v>0</v>
      </c>
      <c r="AF37" s="512">
        <f t="shared" si="18"/>
        <v>0</v>
      </c>
      <c r="AG37" s="513">
        <f t="shared" si="19"/>
        <v>0</v>
      </c>
      <c r="AH37" s="490">
        <f t="shared" si="20"/>
        <v>0</v>
      </c>
      <c r="AI37" s="490">
        <f t="shared" si="21"/>
        <v>0</v>
      </c>
      <c r="AJ37" s="514">
        <f t="shared" si="22"/>
        <v>0</v>
      </c>
      <c r="AK37" s="1003">
        <f t="shared" si="44"/>
        <v>0</v>
      </c>
      <c r="AL37" s="512">
        <f t="shared" si="45"/>
        <v>0</v>
      </c>
      <c r="AM37" s="526">
        <f t="shared" si="23"/>
        <v>0</v>
      </c>
      <c r="AN37" s="490">
        <f t="shared" si="24"/>
        <v>0</v>
      </c>
      <c r="AO37" s="490">
        <f t="shared" si="25"/>
        <v>0</v>
      </c>
      <c r="AP37" s="490">
        <f t="shared" si="26"/>
        <v>0</v>
      </c>
      <c r="AQ37" s="490">
        <f t="shared" si="27"/>
        <v>0</v>
      </c>
      <c r="AR37" s="490">
        <f t="shared" si="28"/>
        <v>0</v>
      </c>
      <c r="AS37" s="514">
        <f t="shared" si="29"/>
        <v>0</v>
      </c>
      <c r="AT37" s="2"/>
      <c r="AU37" s="512">
        <f t="shared" si="30"/>
        <v>0</v>
      </c>
      <c r="AV37" s="513">
        <f t="shared" si="31"/>
        <v>0</v>
      </c>
      <c r="AW37" s="490">
        <f t="shared" si="32"/>
        <v>0</v>
      </c>
      <c r="AX37" s="490">
        <f t="shared" si="33"/>
        <v>0</v>
      </c>
      <c r="AY37" s="514">
        <f t="shared" si="34"/>
        <v>0</v>
      </c>
      <c r="AZ37" s="1123" t="str">
        <f t="shared" si="46"/>
        <v/>
      </c>
      <c r="BA37" s="1048">
        <f t="shared" si="47"/>
        <v>0</v>
      </c>
      <c r="BB37" s="1003">
        <f t="shared" si="35"/>
        <v>0</v>
      </c>
      <c r="BC37" s="1003">
        <f t="shared" si="35"/>
        <v>0</v>
      </c>
      <c r="BD37" s="1003">
        <f t="shared" si="35"/>
        <v>0</v>
      </c>
      <c r="BE37" s="1003">
        <f t="shared" si="35"/>
        <v>0</v>
      </c>
      <c r="BF37" s="1003">
        <f t="shared" si="35"/>
        <v>0</v>
      </c>
      <c r="BG37" s="1049">
        <f t="shared" si="35"/>
        <v>0</v>
      </c>
      <c r="BH37" s="2"/>
      <c r="BI37" s="1314"/>
      <c r="BJ37" s="2"/>
    </row>
    <row r="38" spans="1:62" ht="20.25" customHeight="1" x14ac:dyDescent="0.2">
      <c r="A38" s="2"/>
      <c r="B38" s="18">
        <v>31</v>
      </c>
      <c r="C38" s="155">
        <f t="shared" si="48"/>
        <v>31</v>
      </c>
      <c r="D38" s="156">
        <f t="shared" si="36"/>
        <v>7</v>
      </c>
      <c r="E38" s="2039" t="str">
        <f t="shared" si="9"/>
        <v xml:space="preserve">disattivato  </v>
      </c>
      <c r="F38" s="2040"/>
      <c r="G38" s="1311"/>
      <c r="H38" s="1311"/>
      <c r="I38" s="1311"/>
      <c r="J38" s="1311"/>
      <c r="K38" s="1311"/>
      <c r="L38" s="1311"/>
      <c r="M38" s="1311"/>
      <c r="N38" s="1312"/>
      <c r="O38" s="6"/>
      <c r="P38" s="492">
        <f t="shared" si="10"/>
        <v>0</v>
      </c>
      <c r="Q38" s="493">
        <f t="shared" si="11"/>
        <v>0</v>
      </c>
      <c r="R38" s="493">
        <f t="shared" si="12"/>
        <v>0</v>
      </c>
      <c r="S38" s="493">
        <f t="shared" si="13"/>
        <v>0</v>
      </c>
      <c r="T38" s="493">
        <f t="shared" si="14"/>
        <v>0</v>
      </c>
      <c r="U38" s="493">
        <f t="shared" si="15"/>
        <v>0</v>
      </c>
      <c r="V38" s="494">
        <f t="shared" si="16"/>
        <v>0</v>
      </c>
      <c r="W38" s="154">
        <f t="shared" si="49"/>
        <v>45504</v>
      </c>
      <c r="X38" s="492">
        <f t="shared" si="37"/>
        <v>0</v>
      </c>
      <c r="Y38" s="493">
        <f t="shared" si="38"/>
        <v>0</v>
      </c>
      <c r="Z38" s="493">
        <f t="shared" si="39"/>
        <v>0</v>
      </c>
      <c r="AA38" s="493">
        <f t="shared" si="40"/>
        <v>0</v>
      </c>
      <c r="AB38" s="493">
        <f t="shared" si="41"/>
        <v>0</v>
      </c>
      <c r="AC38" s="493">
        <f t="shared" si="42"/>
        <v>0</v>
      </c>
      <c r="AD38" s="494">
        <f t="shared" si="43"/>
        <v>0</v>
      </c>
      <c r="AE38" s="414">
        <f>VLOOKUP(W38,CASSA!$B$180:$C$545,2,FALSE)</f>
        <v>0</v>
      </c>
      <c r="AF38" s="515">
        <f t="shared" si="18"/>
        <v>0</v>
      </c>
      <c r="AG38" s="516">
        <f t="shared" si="19"/>
        <v>0</v>
      </c>
      <c r="AH38" s="493">
        <f t="shared" si="20"/>
        <v>0</v>
      </c>
      <c r="AI38" s="493">
        <f t="shared" si="21"/>
        <v>0</v>
      </c>
      <c r="AJ38" s="517">
        <f t="shared" si="22"/>
        <v>0</v>
      </c>
      <c r="AK38" s="1003">
        <f t="shared" si="44"/>
        <v>0</v>
      </c>
      <c r="AL38" s="515">
        <f t="shared" si="45"/>
        <v>0</v>
      </c>
      <c r="AM38" s="527">
        <f t="shared" si="23"/>
        <v>0</v>
      </c>
      <c r="AN38" s="493">
        <f t="shared" si="24"/>
        <v>0</v>
      </c>
      <c r="AO38" s="493">
        <f t="shared" si="25"/>
        <v>0</v>
      </c>
      <c r="AP38" s="493">
        <f t="shared" si="26"/>
        <v>0</v>
      </c>
      <c r="AQ38" s="493">
        <f t="shared" si="27"/>
        <v>0</v>
      </c>
      <c r="AR38" s="493">
        <f t="shared" si="28"/>
        <v>0</v>
      </c>
      <c r="AS38" s="517">
        <f t="shared" si="29"/>
        <v>0</v>
      </c>
      <c r="AT38" s="2"/>
      <c r="AU38" s="515">
        <f t="shared" si="30"/>
        <v>0</v>
      </c>
      <c r="AV38" s="516">
        <f t="shared" si="31"/>
        <v>0</v>
      </c>
      <c r="AW38" s="493">
        <f t="shared" si="32"/>
        <v>0</v>
      </c>
      <c r="AX38" s="493">
        <f t="shared" si="33"/>
        <v>0</v>
      </c>
      <c r="AY38" s="517">
        <f t="shared" si="34"/>
        <v>0</v>
      </c>
      <c r="AZ38" s="1123" t="str">
        <f t="shared" si="46"/>
        <v/>
      </c>
      <c r="BA38" s="1050">
        <f t="shared" si="47"/>
        <v>0</v>
      </c>
      <c r="BB38" s="1051">
        <f t="shared" si="35"/>
        <v>0</v>
      </c>
      <c r="BC38" s="1051">
        <f t="shared" si="35"/>
        <v>0</v>
      </c>
      <c r="BD38" s="1051">
        <f t="shared" si="35"/>
        <v>0</v>
      </c>
      <c r="BE38" s="1051">
        <f t="shared" si="35"/>
        <v>0</v>
      </c>
      <c r="BF38" s="1051">
        <f t="shared" si="35"/>
        <v>0</v>
      </c>
      <c r="BG38" s="1052">
        <f t="shared" si="35"/>
        <v>0</v>
      </c>
      <c r="BH38" s="2"/>
      <c r="BI38" s="1316"/>
      <c r="BJ38" s="2"/>
    </row>
    <row r="39" spans="1:62" ht="20.25" customHeight="1" x14ac:dyDescent="0.2">
      <c r="A39" s="2"/>
      <c r="B39" s="7"/>
      <c r="C39" s="1992" t="s">
        <v>244</v>
      </c>
      <c r="D39" s="1993"/>
      <c r="E39" s="1996">
        <f>IMPOSTAZIONI!V273</f>
        <v>0</v>
      </c>
      <c r="F39" s="1997"/>
      <c r="G39" s="813">
        <f t="shared" ref="G39:M39" si="50">IF(ISERROR(G$123),0,SUM(G7:G38)-SUMIF($E8:$E38,$W4,G8:G38))</f>
        <v>0</v>
      </c>
      <c r="H39" s="813">
        <f t="shared" si="50"/>
        <v>0</v>
      </c>
      <c r="I39" s="813">
        <f t="shared" si="50"/>
        <v>0</v>
      </c>
      <c r="J39" s="813">
        <f t="shared" si="50"/>
        <v>0</v>
      </c>
      <c r="K39" s="813">
        <f t="shared" si="50"/>
        <v>0</v>
      </c>
      <c r="L39" s="813">
        <f t="shared" si="50"/>
        <v>0</v>
      </c>
      <c r="M39" s="813">
        <f t="shared" si="50"/>
        <v>0</v>
      </c>
      <c r="N39" s="1298"/>
      <c r="O39" s="6"/>
      <c r="P39" s="2"/>
      <c r="Q39" s="2"/>
      <c r="R39" s="2"/>
      <c r="S39" s="2"/>
      <c r="T39" s="2"/>
      <c r="U39" s="2"/>
      <c r="V39" s="2"/>
      <c r="W39" s="2"/>
      <c r="X39" s="2"/>
      <c r="Y39" s="2"/>
      <c r="Z39" s="2"/>
      <c r="AA39" s="2"/>
      <c r="AB39" s="2"/>
      <c r="AC39" s="2"/>
      <c r="AD39" s="2"/>
      <c r="AE39" s="415"/>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1285"/>
      <c r="BJ39" s="2"/>
    </row>
    <row r="40" spans="1:62" ht="3" customHeight="1" x14ac:dyDescent="0.2">
      <c r="A40" s="2"/>
      <c r="B40" s="2"/>
      <c r="C40" s="8"/>
      <c r="D40" s="9"/>
      <c r="E40" s="416"/>
      <c r="F40" s="417"/>
      <c r="G40" s="418"/>
      <c r="H40" s="418"/>
      <c r="I40" s="418"/>
      <c r="J40" s="418"/>
      <c r="K40" s="418"/>
      <c r="L40" s="418"/>
      <c r="M40" s="418"/>
      <c r="N40" s="416"/>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ht="6" customHeight="1" x14ac:dyDescent="0.2">
      <c r="A41" s="300"/>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8.75" customHeight="1" x14ac:dyDescent="0.2">
      <c r="A42" s="300"/>
      <c r="B42" s="2"/>
      <c r="C42" s="468" t="str">
        <f>CONCATENATE("Importi ",IMPOSTAZIONI!M82)</f>
        <v>Importi EUR</v>
      </c>
      <c r="D42" s="14"/>
      <c r="E42" s="12"/>
      <c r="F42" s="12"/>
      <c r="G42" s="1295">
        <f>IMPOSTAZIONI!H36</f>
        <v>0</v>
      </c>
      <c r="H42" s="1295">
        <f>IMPOSTAZIONI!L36</f>
        <v>0</v>
      </c>
      <c r="I42" s="1295">
        <f>IMPOSTAZIONI!P36</f>
        <v>0</v>
      </c>
      <c r="J42" s="1295">
        <f>IMPOSTAZIONI!T36</f>
        <v>0</v>
      </c>
      <c r="K42" s="1295">
        <f>IMPOSTAZIONI!X36</f>
        <v>0</v>
      </c>
      <c r="L42" s="1295">
        <f>IMPOSTAZIONI!AB36</f>
        <v>0</v>
      </c>
      <c r="M42" s="1295">
        <f>IMPOSTAZIONI!AF36</f>
        <v>0</v>
      </c>
      <c r="N42" s="12"/>
      <c r="O42" s="12"/>
      <c r="P42" s="2"/>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696"/>
      <c r="BA42" s="696"/>
      <c r="BB42" s="696"/>
      <c r="BC42" s="696"/>
      <c r="BD42" s="696"/>
      <c r="BE42" s="696"/>
      <c r="BF42" s="696"/>
      <c r="BG42" s="696"/>
      <c r="BH42" s="696"/>
      <c r="BI42" s="321"/>
      <c r="BJ42" s="321"/>
    </row>
    <row r="43" spans="1:62" ht="18" customHeight="1" x14ac:dyDescent="0.2">
      <c r="A43" s="300"/>
      <c r="B43" s="2"/>
      <c r="C43" s="2000" t="s">
        <v>243</v>
      </c>
      <c r="D43" s="2000"/>
      <c r="E43" s="1958">
        <f>C6</f>
        <v>2024</v>
      </c>
      <c r="F43" s="1958"/>
      <c r="G43" s="901" t="str">
        <f t="shared" ref="G43:M43" si="51">G6</f>
        <v/>
      </c>
      <c r="H43" s="902" t="str">
        <f t="shared" si="51"/>
        <v/>
      </c>
      <c r="I43" s="902" t="str">
        <f t="shared" si="51"/>
        <v/>
      </c>
      <c r="J43" s="902" t="str">
        <f t="shared" si="51"/>
        <v/>
      </c>
      <c r="K43" s="902" t="str">
        <f t="shared" si="51"/>
        <v/>
      </c>
      <c r="L43" s="902" t="str">
        <f t="shared" si="51"/>
        <v/>
      </c>
      <c r="M43" s="903" t="str">
        <f t="shared" si="51"/>
        <v/>
      </c>
      <c r="N43" s="696"/>
      <c r="O43" s="12"/>
      <c r="P43" s="2"/>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696"/>
      <c r="BA43" s="1141" t="str">
        <f>CASSA!AH61</f>
        <v>INSERITO</v>
      </c>
      <c r="BB43" s="696"/>
      <c r="BC43" s="696"/>
      <c r="BD43" s="696"/>
      <c r="BE43" s="696"/>
      <c r="BF43" s="696"/>
      <c r="BG43" s="696"/>
      <c r="BH43" s="696"/>
      <c r="BI43" s="321"/>
      <c r="BJ43" s="321"/>
    </row>
    <row r="44" spans="1:62" ht="22.5" customHeight="1" x14ac:dyDescent="0.2">
      <c r="A44" s="300"/>
      <c r="B44" s="2"/>
      <c r="C44" s="1980" t="s">
        <v>324</v>
      </c>
      <c r="D44" s="1980"/>
      <c r="E44" s="1980"/>
      <c r="F44" s="1980"/>
      <c r="G44" s="41" t="str">
        <f t="shared" ref="G44:I45" si="52">G4</f>
        <v/>
      </c>
      <c r="H44" s="41" t="str">
        <f t="shared" si="52"/>
        <v/>
      </c>
      <c r="I44" s="41" t="str">
        <f t="shared" si="52"/>
        <v/>
      </c>
      <c r="J44" s="41" t="str">
        <f t="shared" ref="J44:M45" si="53">J4</f>
        <v/>
      </c>
      <c r="K44" s="41" t="str">
        <f t="shared" si="53"/>
        <v/>
      </c>
      <c r="L44" s="41" t="str">
        <f t="shared" si="53"/>
        <v/>
      </c>
      <c r="M44" s="41" t="str">
        <f t="shared" si="53"/>
        <v/>
      </c>
      <c r="N44" s="696"/>
      <c r="O44" s="12"/>
      <c r="P44" s="2"/>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696"/>
      <c r="BA44" s="1141" t="str">
        <f>CASSA!AH62</f>
        <v>A CONTO</v>
      </c>
      <c r="BB44" s="696"/>
      <c r="BC44" s="696"/>
      <c r="BD44" s="696"/>
      <c r="BE44" s="696"/>
      <c r="BF44" s="696"/>
      <c r="BG44" s="696"/>
      <c r="BH44" s="696"/>
      <c r="BI44" s="321"/>
      <c r="BJ44" s="321"/>
    </row>
    <row r="45" spans="1:62" ht="22.5" customHeight="1" x14ac:dyDescent="0.2">
      <c r="A45" s="300"/>
      <c r="B45" s="2"/>
      <c r="C45" s="2041" t="s">
        <v>335</v>
      </c>
      <c r="D45" s="2041"/>
      <c r="E45" s="2042"/>
      <c r="F45" s="2042"/>
      <c r="G45" s="697" t="str">
        <f t="shared" si="52"/>
        <v/>
      </c>
      <c r="H45" s="697" t="str">
        <f t="shared" si="52"/>
        <v/>
      </c>
      <c r="I45" s="697" t="str">
        <f t="shared" si="52"/>
        <v/>
      </c>
      <c r="J45" s="697" t="str">
        <f t="shared" si="53"/>
        <v/>
      </c>
      <c r="K45" s="697" t="str">
        <f t="shared" si="53"/>
        <v/>
      </c>
      <c r="L45" s="697" t="str">
        <f t="shared" si="53"/>
        <v/>
      </c>
      <c r="M45" s="697" t="str">
        <f t="shared" si="53"/>
        <v/>
      </c>
      <c r="N45" s="696"/>
      <c r="O45" s="12"/>
      <c r="P45" s="2"/>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696"/>
      <c r="BA45" s="1141" t="str">
        <f>CASSA!AH63</f>
        <v>PERCENTUALI</v>
      </c>
      <c r="BB45" s="696"/>
      <c r="BC45" s="696"/>
      <c r="BD45" s="696"/>
      <c r="BE45" s="696"/>
      <c r="BF45" s="696"/>
      <c r="BG45" s="696"/>
      <c r="BH45" s="696"/>
      <c r="BI45" s="321"/>
      <c r="BJ45" s="321"/>
    </row>
    <row r="46" spans="1:62" ht="21.95" customHeight="1" x14ac:dyDescent="0.2">
      <c r="A46" s="300"/>
      <c r="B46" s="7"/>
      <c r="C46" s="2004" t="s">
        <v>513</v>
      </c>
      <c r="D46" s="2005"/>
      <c r="E46" s="1998">
        <f>SUM(G46:M46)-SUMIF(G42:M42,K102,G46:M46)</f>
        <v>0</v>
      </c>
      <c r="F46" s="1999"/>
      <c r="G46" s="904">
        <f t="shared" ref="G46:M46" si="54">IF(ISERROR(G$123),0,SUM(G8:G38)-SUMIF($E8:$E38,$W4,G8:G38))</f>
        <v>0</v>
      </c>
      <c r="H46" s="905">
        <f t="shared" si="54"/>
        <v>0</v>
      </c>
      <c r="I46" s="905">
        <f t="shared" si="54"/>
        <v>0</v>
      </c>
      <c r="J46" s="905">
        <f t="shared" si="54"/>
        <v>0</v>
      </c>
      <c r="K46" s="905">
        <f t="shared" si="54"/>
        <v>0</v>
      </c>
      <c r="L46" s="905">
        <f t="shared" si="54"/>
        <v>0</v>
      </c>
      <c r="M46" s="906">
        <f t="shared" si="54"/>
        <v>0</v>
      </c>
      <c r="N46" s="696"/>
      <c r="O46" s="12"/>
      <c r="P46" s="2"/>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696"/>
      <c r="BA46" s="696"/>
      <c r="BB46" s="696"/>
      <c r="BC46" s="696"/>
      <c r="BD46" s="696"/>
      <c r="BE46" s="696"/>
      <c r="BF46" s="696"/>
      <c r="BG46" s="696"/>
      <c r="BH46" s="696"/>
      <c r="BI46" s="321"/>
      <c r="BJ46" s="321"/>
    </row>
    <row r="47" spans="1:62" ht="16.5" customHeight="1" x14ac:dyDescent="0.2">
      <c r="A47" s="300"/>
      <c r="B47" s="7"/>
      <c r="C47" s="2006" t="s">
        <v>515</v>
      </c>
      <c r="D47" s="2007"/>
      <c r="E47" s="2002">
        <f>IF(I199=0,0,SUM(G47:M47)-SUMIF(G42:M42,K102,G47:M47))</f>
        <v>0</v>
      </c>
      <c r="F47" s="2003"/>
      <c r="G47" s="814">
        <f>IF($E$8=$W$4,0,IF(G123="X",G66,IF(G130=$N130,G46+G48,G46-G48)))</f>
        <v>0</v>
      </c>
      <c r="H47" s="815">
        <f t="shared" ref="H47:M47" si="55">IF($E$8=$W$4,0,IF(H123="X",H66,IF(H130=$N130,H46+H48,H46-H48)))</f>
        <v>0</v>
      </c>
      <c r="I47" s="815">
        <f t="shared" si="55"/>
        <v>0</v>
      </c>
      <c r="J47" s="815">
        <f t="shared" si="55"/>
        <v>0</v>
      </c>
      <c r="K47" s="815">
        <f t="shared" si="55"/>
        <v>0</v>
      </c>
      <c r="L47" s="815">
        <f t="shared" si="55"/>
        <v>0</v>
      </c>
      <c r="M47" s="816">
        <f t="shared" si="55"/>
        <v>0</v>
      </c>
      <c r="N47" s="696"/>
      <c r="O47" s="12"/>
      <c r="P47" s="2"/>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row>
    <row r="48" spans="1:62" ht="16.5" customHeight="1" x14ac:dyDescent="0.2">
      <c r="A48" s="300"/>
      <c r="B48" s="7"/>
      <c r="C48" s="1990" t="s">
        <v>514</v>
      </c>
      <c r="D48" s="1991"/>
      <c r="E48" s="2058">
        <f>IF(I199=0,0,SUM(G48:M48)-SUMIF(G42:M42,K102,G48:M48))</f>
        <v>0</v>
      </c>
      <c r="F48" s="2059"/>
      <c r="G48" s="817">
        <f>IF($E$8=$W$4,0,IF(G120=0,SUM(P8:P38)-SUMIF($E8:$E38,$W4,P8:P38),G67))</f>
        <v>0</v>
      </c>
      <c r="H48" s="818">
        <f t="shared" ref="H48:M48" si="56">IF($E$8=$W$4,0,IF(H120=0,SUM(Q8:Q38)-SUMIF($E8:$E38,$W4,Q8:Q38),H67))</f>
        <v>0</v>
      </c>
      <c r="I48" s="818">
        <f t="shared" si="56"/>
        <v>0</v>
      </c>
      <c r="J48" s="818">
        <f t="shared" si="56"/>
        <v>0</v>
      </c>
      <c r="K48" s="818">
        <f t="shared" si="56"/>
        <v>0</v>
      </c>
      <c r="L48" s="818">
        <f t="shared" si="56"/>
        <v>0</v>
      </c>
      <c r="M48" s="819">
        <f t="shared" si="56"/>
        <v>0</v>
      </c>
      <c r="N48" s="696"/>
      <c r="O48" s="13"/>
      <c r="P48" s="2"/>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row>
    <row r="49" spans="1:62" ht="37.5" customHeight="1" x14ac:dyDescent="0.2">
      <c r="A49" s="300"/>
      <c r="B49" s="2"/>
      <c r="C49" s="14"/>
      <c r="D49" s="14"/>
      <c r="E49" s="12"/>
      <c r="F49" s="12"/>
      <c r="G49" s="822" t="str">
        <f>IF(OR(ISERROR(G47),ISERROR(G48)),$E130,IF(G130=0,"",VLOOKUP(G130,IMPOSTAZIONI!$X$14:$Y$16,2,FALSE)))</f>
        <v/>
      </c>
      <c r="H49" s="822" t="str">
        <f>IF(OR(ISERROR(H47),ISERROR(H48)),$E130,IF(H130=0,"",VLOOKUP(H130,IMPOSTAZIONI!$X$14:$Y$16,2,FALSE)))</f>
        <v/>
      </c>
      <c r="I49" s="822" t="str">
        <f>IF(OR(ISERROR(I47),ISERROR(I48)),$E130,IF(I130=0,"",VLOOKUP(I130,IMPOSTAZIONI!$X$14:$Y$16,2,FALSE)))</f>
        <v/>
      </c>
      <c r="J49" s="822" t="str">
        <f>IF(OR(ISERROR(J47),ISERROR(J48)),$E130,IF(J130=0,"",VLOOKUP(J130,IMPOSTAZIONI!$X$14:$Y$16,2,FALSE)))</f>
        <v/>
      </c>
      <c r="K49" s="822" t="str">
        <f>IF(OR(ISERROR(K47),ISERROR(K48)),$E130,IF(K130=0,"",VLOOKUP(K130,IMPOSTAZIONI!$X$14:$Y$16,2,FALSE)))</f>
        <v/>
      </c>
      <c r="L49" s="822" t="str">
        <f>IF(OR(ISERROR(L47),ISERROR(L48)),$E130,IF(L130=0,"",VLOOKUP(L130,IMPOSTAZIONI!$X$14:$Y$16,2,FALSE)))</f>
        <v/>
      </c>
      <c r="M49" s="822" t="str">
        <f>IF(OR(ISERROR(M47),ISERROR(M48)),$E130,IF(M130=0,"",VLOOKUP(M130,IMPOSTAZIONI!$X$14:$Y$16,2,FALSE)))</f>
        <v/>
      </c>
      <c r="N49" s="12"/>
      <c r="O49" s="15"/>
      <c r="P49" s="2"/>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row>
    <row r="50" spans="1:62" ht="18.75" customHeight="1" x14ac:dyDescent="0.2">
      <c r="A50" s="300"/>
      <c r="B50" s="2"/>
      <c r="C50" s="2030" t="s">
        <v>544</v>
      </c>
      <c r="D50" s="2030"/>
      <c r="E50" s="2030"/>
      <c r="F50" s="2030"/>
      <c r="G50" s="65"/>
      <c r="H50" s="2064" t="s">
        <v>546</v>
      </c>
      <c r="I50" s="2065"/>
      <c r="J50" s="2065"/>
      <c r="K50" s="2066"/>
      <c r="L50" s="909"/>
      <c r="M50" s="2062"/>
      <c r="N50" s="2062"/>
      <c r="O50" s="16"/>
      <c r="P50" s="2"/>
      <c r="Q50" s="321"/>
      <c r="R50" s="321"/>
      <c r="S50" s="321"/>
      <c r="T50" s="321"/>
      <c r="U50" s="321"/>
      <c r="V50" s="565"/>
      <c r="W50" s="566"/>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row>
    <row r="51" spans="1:62" ht="16.5" customHeight="1" x14ac:dyDescent="0.25">
      <c r="A51" s="2"/>
      <c r="B51" s="2"/>
      <c r="C51" s="1987" t="s">
        <v>258</v>
      </c>
      <c r="D51" s="1988"/>
      <c r="E51" s="1988"/>
      <c r="F51" s="1989"/>
      <c r="G51" s="66"/>
      <c r="H51" s="910" t="str">
        <f>C47</f>
        <v>a CONTO</v>
      </c>
      <c r="I51" s="911" t="str">
        <f>C48</f>
        <v>Percent.</v>
      </c>
      <c r="J51" s="2067" t="s">
        <v>547</v>
      </c>
      <c r="K51" s="2068"/>
      <c r="L51" s="909"/>
      <c r="M51" s="2062"/>
      <c r="N51" s="2062"/>
      <c r="O51" s="2"/>
      <c r="P51" s="2"/>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row>
    <row r="52" spans="1:62" ht="16.5" customHeight="1" x14ac:dyDescent="0.2">
      <c r="A52" s="2"/>
      <c r="B52" s="2"/>
      <c r="C52" s="2027"/>
      <c r="D52" s="2028"/>
      <c r="E52" s="2028"/>
      <c r="F52" s="2029"/>
      <c r="G52" s="67"/>
      <c r="H52" s="1302">
        <f>E47</f>
        <v>0</v>
      </c>
      <c r="I52" s="1303">
        <f>E48</f>
        <v>0</v>
      </c>
      <c r="J52" s="2069"/>
      <c r="K52" s="2070"/>
      <c r="L52" s="909"/>
      <c r="M52" s="2062"/>
      <c r="N52" s="2062"/>
      <c r="O52" s="2"/>
      <c r="P52" s="2"/>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row>
    <row r="53" spans="1:62" ht="16.5" customHeight="1" x14ac:dyDescent="0.2">
      <c r="A53" s="2"/>
      <c r="B53" s="2"/>
      <c r="C53" s="2045" t="s">
        <v>92</v>
      </c>
      <c r="D53" s="2046"/>
      <c r="E53" s="2046"/>
      <c r="F53" s="2047"/>
      <c r="G53" s="66"/>
      <c r="H53" s="2060" t="s">
        <v>548</v>
      </c>
      <c r="I53" s="2061"/>
      <c r="J53" s="2071" t="s">
        <v>549</v>
      </c>
      <c r="K53" s="2072"/>
      <c r="L53" s="909"/>
      <c r="M53" s="2062"/>
      <c r="N53" s="2062"/>
      <c r="O53" s="2"/>
      <c r="P53" s="2"/>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row>
    <row r="54" spans="1:62" ht="16.5" customHeight="1" x14ac:dyDescent="0.2">
      <c r="A54" s="2"/>
      <c r="B54" s="2"/>
      <c r="C54" s="2024"/>
      <c r="D54" s="2025"/>
      <c r="E54" s="2025"/>
      <c r="F54" s="2026"/>
      <c r="G54" s="68"/>
      <c r="H54" s="1318"/>
      <c r="I54" s="1319"/>
      <c r="J54" s="2073"/>
      <c r="K54" s="2074"/>
      <c r="L54" s="909"/>
      <c r="M54" s="696"/>
      <c r="N54" s="696"/>
      <c r="O54" s="2"/>
      <c r="P54" s="2"/>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row>
    <row r="55" spans="1:62" ht="16.5" customHeight="1" x14ac:dyDescent="0.2">
      <c r="A55" s="2"/>
      <c r="B55" s="2"/>
      <c r="C55" s="2020" t="s">
        <v>165</v>
      </c>
      <c r="D55" s="2021"/>
      <c r="E55" s="2021"/>
      <c r="F55" s="2022"/>
      <c r="G55" s="66"/>
      <c r="H55" s="1320"/>
      <c r="I55" s="1321"/>
      <c r="J55" s="2075"/>
      <c r="K55" s="2076"/>
      <c r="L55" s="909"/>
      <c r="M55" s="696"/>
      <c r="N55" s="696"/>
      <c r="O55" s="2"/>
      <c r="P55" s="2"/>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row>
    <row r="56" spans="1:62" ht="16.5" customHeight="1" x14ac:dyDescent="0.2">
      <c r="A56" s="2"/>
      <c r="B56" s="2"/>
      <c r="C56" s="2084"/>
      <c r="D56" s="2085"/>
      <c r="E56" s="2053"/>
      <c r="F56" s="2054"/>
      <c r="G56" s="69"/>
      <c r="H56" s="1297">
        <f>H52+H54+H55</f>
        <v>0</v>
      </c>
      <c r="I56" s="907">
        <f>I52+I54+I55</f>
        <v>0</v>
      </c>
      <c r="J56" s="2077" t="s">
        <v>550</v>
      </c>
      <c r="K56" s="2078"/>
      <c r="L56" s="909"/>
      <c r="M56" s="2063"/>
      <c r="N56" s="2063"/>
      <c r="O56" s="14"/>
      <c r="P56" s="2"/>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row>
    <row r="57" spans="1:62" ht="30" customHeight="1" x14ac:dyDescent="0.2">
      <c r="A57" s="2"/>
      <c r="B57" s="17"/>
      <c r="C57" s="2055" t="s">
        <v>361</v>
      </c>
      <c r="D57" s="2055"/>
      <c r="E57" s="2056"/>
      <c r="F57" s="2056"/>
      <c r="G57" s="908" t="str">
        <f>IMPOSTAZIONI!Y75</f>
        <v>EVENTUALE SPECIFICA</v>
      </c>
      <c r="H57" s="908"/>
      <c r="I57" s="908"/>
      <c r="J57" s="908"/>
      <c r="K57" s="908"/>
      <c r="L57" s="908"/>
      <c r="M57" s="169" t="s">
        <v>402</v>
      </c>
      <c r="N57" s="169"/>
      <c r="O57" s="169"/>
      <c r="P57" s="12"/>
      <c r="Q57" s="567"/>
      <c r="R57" s="321"/>
      <c r="S57" s="321"/>
      <c r="T57" s="321"/>
      <c r="U57" s="321"/>
      <c r="V57" s="321"/>
      <c r="W57" s="321"/>
      <c r="X57" s="567"/>
      <c r="Y57" s="567"/>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567"/>
      <c r="BB57" s="567"/>
      <c r="BC57" s="321"/>
      <c r="BD57" s="321"/>
      <c r="BE57" s="321"/>
      <c r="BF57" s="321"/>
      <c r="BG57" s="321"/>
      <c r="BH57" s="321"/>
      <c r="BI57" s="321"/>
      <c r="BJ57" s="321"/>
    </row>
    <row r="58" spans="1:62" ht="24.75" customHeight="1" x14ac:dyDescent="0.2">
      <c r="A58" s="2"/>
      <c r="B58" s="2"/>
      <c r="C58" s="2052">
        <f>IMPOSTAZIONI!T74</f>
        <v>0</v>
      </c>
      <c r="D58" s="2052"/>
      <c r="E58" s="2052"/>
      <c r="F58" s="2052"/>
      <c r="G58" s="692" t="str">
        <f>IMPOSTAZIONI!Y76</f>
        <v>Eventuali indicazioni EXTRA / SEZIONI / UBICAZIONE</v>
      </c>
      <c r="H58" s="692"/>
      <c r="I58" s="692"/>
      <c r="J58" s="692"/>
      <c r="K58" s="692"/>
      <c r="L58" s="692"/>
      <c r="M58" s="532"/>
      <c r="N58" s="1322">
        <v>7</v>
      </c>
      <c r="O58" s="14"/>
      <c r="P58" s="2"/>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row>
    <row r="59" spans="1:62" ht="15.75" customHeight="1" x14ac:dyDescent="0.2">
      <c r="A59" s="2"/>
      <c r="B59" s="2"/>
      <c r="C59" s="1963" t="s">
        <v>287</v>
      </c>
      <c r="D59" s="1963"/>
      <c r="E59" s="1963"/>
      <c r="F59" s="2"/>
      <c r="G59" s="2"/>
      <c r="H59" s="2"/>
      <c r="I59" s="2"/>
      <c r="J59" s="2"/>
      <c r="K59" s="2"/>
      <c r="L59" s="2"/>
      <c r="M59" s="2"/>
      <c r="N59" s="2"/>
      <c r="O59" s="2"/>
      <c r="P59" s="564"/>
      <c r="Q59" s="568"/>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row>
    <row r="60" spans="1:62" ht="24" customHeight="1" x14ac:dyDescent="0.2">
      <c r="A60" s="300"/>
      <c r="B60" s="2"/>
      <c r="C60" s="1966" t="str">
        <f>IF(SUM(G118:M118)&gt;0,G119,IMPOSTAZIONI!Y413)</f>
        <v>Quest' area si attiva con colonne "Percentuali diverse" - Al momento non c'è nessun importo da calcolare manualmente.</v>
      </c>
      <c r="D60" s="1966"/>
      <c r="E60" s="1966"/>
      <c r="F60" s="1966"/>
      <c r="G60" s="1966"/>
      <c r="H60" s="1966"/>
      <c r="I60" s="1966"/>
      <c r="J60" s="1966"/>
      <c r="K60" s="1966"/>
      <c r="L60" s="1966"/>
      <c r="M60" s="1966"/>
      <c r="N60" s="1966"/>
      <c r="O60" s="2"/>
      <c r="P60" s="2"/>
      <c r="Q60" s="2"/>
      <c r="R60" s="2"/>
      <c r="S60" s="2"/>
      <c r="T60" s="321"/>
      <c r="U60" s="321"/>
      <c r="V60" s="321"/>
      <c r="W60" s="321"/>
      <c r="X60" s="321"/>
      <c r="Y60" s="321"/>
      <c r="Z60" s="321"/>
      <c r="AA60" s="321"/>
      <c r="AB60" s="321"/>
      <c r="AC60" s="321"/>
      <c r="AD60" s="321"/>
      <c r="AE60" s="321"/>
      <c r="AF60" s="321"/>
      <c r="AG60" s="321"/>
      <c r="AH60" s="321"/>
      <c r="AI60" s="321"/>
      <c r="AJ60" s="321"/>
      <c r="AL60" s="321"/>
      <c r="AM60" s="321"/>
      <c r="AN60" s="321"/>
      <c r="AO60" s="321"/>
      <c r="AP60" s="321"/>
      <c r="AQ60" s="321"/>
      <c r="AR60" s="321"/>
      <c r="AS60" s="321"/>
      <c r="AU60" s="321"/>
      <c r="AV60" s="321"/>
      <c r="AW60" s="321"/>
      <c r="AX60" s="321"/>
      <c r="AY60" s="321"/>
      <c r="AZ60" s="321"/>
      <c r="BA60" s="321"/>
      <c r="BB60" s="321"/>
      <c r="BC60" s="321"/>
      <c r="BD60" s="321"/>
      <c r="BE60" s="321"/>
      <c r="BF60" s="321"/>
      <c r="BG60" s="321"/>
      <c r="BH60" s="321"/>
      <c r="BI60" s="321"/>
      <c r="BJ60" s="321"/>
    </row>
    <row r="61" spans="1:62" ht="5.25" customHeight="1" x14ac:dyDescent="0.2">
      <c r="A61" s="300"/>
      <c r="B61" s="2"/>
      <c r="C61" s="2"/>
      <c r="D61" s="2"/>
      <c r="E61" s="2"/>
      <c r="F61" s="2"/>
      <c r="G61" s="2"/>
      <c r="H61" s="2"/>
      <c r="I61" s="2"/>
      <c r="J61" s="2"/>
      <c r="K61" s="2"/>
      <c r="L61" s="2"/>
      <c r="M61" s="2"/>
      <c r="N61" s="2"/>
      <c r="O61" s="2"/>
      <c r="P61" s="2"/>
      <c r="Q61" s="2"/>
      <c r="R61" s="2"/>
      <c r="S61" s="2"/>
      <c r="T61" s="321"/>
      <c r="U61" s="321"/>
      <c r="V61" s="321"/>
      <c r="W61" s="321"/>
      <c r="X61" s="321"/>
      <c r="Y61" s="321"/>
      <c r="Z61" s="321"/>
      <c r="AA61" s="321"/>
      <c r="AB61" s="321"/>
      <c r="AC61" s="321"/>
      <c r="AD61" s="321"/>
      <c r="AE61" s="321"/>
      <c r="AF61" s="321"/>
      <c r="AG61" s="321"/>
      <c r="AH61" s="321"/>
      <c r="AI61" s="321"/>
      <c r="AJ61" s="321"/>
      <c r="AL61" s="321"/>
      <c r="AM61" s="321"/>
      <c r="AN61" s="321"/>
      <c r="AO61" s="321"/>
      <c r="AP61" s="321"/>
      <c r="AQ61" s="321"/>
      <c r="AR61" s="321"/>
      <c r="AS61" s="321"/>
      <c r="AU61" s="321"/>
      <c r="AV61" s="321"/>
      <c r="AW61" s="321"/>
      <c r="AX61" s="321"/>
      <c r="AY61" s="321"/>
      <c r="AZ61" s="321"/>
      <c r="BA61" s="321"/>
      <c r="BB61" s="321"/>
      <c r="BC61" s="321"/>
      <c r="BD61" s="321"/>
      <c r="BE61" s="321"/>
      <c r="BF61" s="321"/>
      <c r="BG61" s="321"/>
      <c r="BH61" s="321"/>
      <c r="BI61" s="321"/>
      <c r="BJ61" s="321"/>
    </row>
    <row r="62" spans="1:62" ht="18" customHeight="1" x14ac:dyDescent="0.2">
      <c r="A62" s="300"/>
      <c r="B62" s="2"/>
      <c r="C62" s="2023"/>
      <c r="D62" s="2023"/>
      <c r="E62" s="1964"/>
      <c r="F62" s="1965"/>
      <c r="G62" s="184" t="str">
        <f t="shared" ref="G62:M64" si="57">IF(G$123="X",G43,"")</f>
        <v/>
      </c>
      <c r="H62" s="184" t="str">
        <f t="shared" si="57"/>
        <v/>
      </c>
      <c r="I62" s="184" t="str">
        <f t="shared" si="57"/>
        <v/>
      </c>
      <c r="J62" s="184" t="str">
        <f t="shared" si="57"/>
        <v/>
      </c>
      <c r="K62" s="184" t="str">
        <f t="shared" si="57"/>
        <v/>
      </c>
      <c r="L62" s="184" t="str">
        <f t="shared" si="57"/>
        <v/>
      </c>
      <c r="M62" s="184" t="str">
        <f t="shared" si="57"/>
        <v/>
      </c>
      <c r="N62" s="691"/>
      <c r="O62" s="12"/>
      <c r="P62" s="2"/>
      <c r="Q62" s="2"/>
      <c r="R62" s="2"/>
      <c r="S62" s="2"/>
      <c r="T62" s="321"/>
      <c r="U62" s="321"/>
      <c r="V62" s="321"/>
      <c r="W62" s="321"/>
      <c r="X62" s="321"/>
      <c r="Y62" s="321"/>
      <c r="Z62" s="321"/>
      <c r="AA62" s="321"/>
      <c r="AB62" s="321"/>
      <c r="AC62" s="321"/>
      <c r="AD62" s="321"/>
      <c r="AE62" s="321"/>
      <c r="AF62" s="321"/>
      <c r="AG62" s="321"/>
      <c r="AH62" s="321"/>
      <c r="AI62" s="321"/>
      <c r="AJ62" s="321"/>
      <c r="AL62" s="321"/>
      <c r="AM62" s="321"/>
      <c r="AN62" s="321"/>
      <c r="AO62" s="321"/>
      <c r="AP62" s="321"/>
      <c r="AQ62" s="321"/>
      <c r="AR62" s="321"/>
      <c r="AS62" s="321"/>
      <c r="AU62" s="321"/>
      <c r="AV62" s="321"/>
      <c r="AW62" s="321"/>
      <c r="AX62" s="321"/>
      <c r="AY62" s="321"/>
      <c r="AZ62" s="696"/>
      <c r="BA62" s="696"/>
      <c r="BB62" s="696"/>
      <c r="BC62" s="696"/>
      <c r="BD62" s="696"/>
      <c r="BE62" s="696"/>
      <c r="BF62" s="696"/>
      <c r="BG62" s="696"/>
      <c r="BH62" s="696"/>
      <c r="BI62" s="321"/>
      <c r="BJ62" s="321"/>
    </row>
    <row r="63" spans="1:62" ht="18" customHeight="1" x14ac:dyDescent="0.2">
      <c r="A63" s="300"/>
      <c r="B63" s="2"/>
      <c r="C63" s="2049" t="str">
        <f>C44</f>
        <v>TOTALI DEL PERIODO:</v>
      </c>
      <c r="D63" s="1980"/>
      <c r="E63" s="1980"/>
      <c r="F63" s="1980"/>
      <c r="G63" s="41" t="str">
        <f t="shared" si="57"/>
        <v/>
      </c>
      <c r="H63" s="41" t="str">
        <f t="shared" si="57"/>
        <v/>
      </c>
      <c r="I63" s="41" t="str">
        <f t="shared" si="57"/>
        <v/>
      </c>
      <c r="J63" s="41" t="str">
        <f t="shared" si="57"/>
        <v/>
      </c>
      <c r="K63" s="41" t="str">
        <f t="shared" si="57"/>
        <v/>
      </c>
      <c r="L63" s="41" t="str">
        <f t="shared" si="57"/>
        <v/>
      </c>
      <c r="M63" s="41" t="str">
        <f t="shared" si="57"/>
        <v/>
      </c>
      <c r="N63" s="59"/>
      <c r="O63" s="12"/>
      <c r="P63" s="2"/>
      <c r="Q63" s="2"/>
      <c r="R63" s="2"/>
      <c r="S63" s="2"/>
      <c r="T63" s="321"/>
      <c r="U63" s="321"/>
      <c r="V63" s="321"/>
      <c r="W63" s="321"/>
      <c r="X63" s="321"/>
      <c r="Y63" s="321"/>
      <c r="Z63" s="321"/>
      <c r="AA63" s="321"/>
      <c r="AB63" s="321"/>
      <c r="AC63" s="321"/>
      <c r="AD63" s="321"/>
      <c r="AE63" s="321"/>
      <c r="AF63" s="321"/>
      <c r="AG63" s="321"/>
      <c r="AH63" s="321"/>
      <c r="AI63" s="321"/>
      <c r="AJ63" s="321"/>
      <c r="AL63" s="321"/>
      <c r="AM63" s="321"/>
      <c r="AN63" s="321"/>
      <c r="AO63" s="321"/>
      <c r="AP63" s="321"/>
      <c r="AQ63" s="321"/>
      <c r="AR63" s="321"/>
      <c r="AS63" s="321"/>
      <c r="AU63" s="321"/>
      <c r="AV63" s="321"/>
      <c r="AW63" s="321"/>
      <c r="AX63" s="321"/>
      <c r="AY63" s="321"/>
      <c r="AZ63" s="696"/>
      <c r="BA63" s="1142">
        <f>IF(AND($BC$3=$BA$44,BA65&lt;&gt;0),BA66/BA65*BA64,IF(AND($BC$3=$BA$45,BA65&lt;&gt;0),BA67/BA65*BA64,0))</f>
        <v>0</v>
      </c>
      <c r="BB63" s="1143">
        <f t="shared" ref="BB63:BG63" si="58">IF(AND($BC$3=$BA$44,BB65&lt;&gt;0),BB66/BB65*BB64,IF(AND($BC$3=$BA$45,BB65&lt;&gt;0),BB67/BB65*BB64,0))</f>
        <v>0</v>
      </c>
      <c r="BC63" s="1143">
        <f t="shared" si="58"/>
        <v>0</v>
      </c>
      <c r="BD63" s="1143">
        <f t="shared" si="58"/>
        <v>0</v>
      </c>
      <c r="BE63" s="1143">
        <f t="shared" si="58"/>
        <v>0</v>
      </c>
      <c r="BF63" s="1143">
        <f t="shared" si="58"/>
        <v>0</v>
      </c>
      <c r="BG63" s="1146">
        <f t="shared" si="58"/>
        <v>0</v>
      </c>
      <c r="BH63" s="696"/>
      <c r="BI63" s="321"/>
      <c r="BJ63" s="321"/>
    </row>
    <row r="64" spans="1:62" ht="18" customHeight="1" x14ac:dyDescent="0.2">
      <c r="A64" s="300"/>
      <c r="B64" s="2"/>
      <c r="C64" s="2050" t="str">
        <f>C45</f>
        <v>01/07 - 31/07</v>
      </c>
      <c r="D64" s="2050"/>
      <c r="E64" s="2050"/>
      <c r="F64" s="2050"/>
      <c r="G64" s="698" t="str">
        <f t="shared" si="57"/>
        <v/>
      </c>
      <c r="H64" s="698" t="str">
        <f t="shared" si="57"/>
        <v/>
      </c>
      <c r="I64" s="698" t="str">
        <f t="shared" si="57"/>
        <v/>
      </c>
      <c r="J64" s="698" t="str">
        <f t="shared" si="57"/>
        <v/>
      </c>
      <c r="K64" s="698" t="str">
        <f t="shared" si="57"/>
        <v/>
      </c>
      <c r="L64" s="698" t="str">
        <f t="shared" si="57"/>
        <v/>
      </c>
      <c r="M64" s="698" t="str">
        <f t="shared" si="57"/>
        <v/>
      </c>
      <c r="N64" s="700" t="str">
        <f>IMPOSTAZIONI!M82</f>
        <v>EUR</v>
      </c>
      <c r="O64" s="12"/>
      <c r="P64" s="2"/>
      <c r="Q64" s="2"/>
      <c r="R64" s="2"/>
      <c r="S64" s="2"/>
      <c r="T64" s="321"/>
      <c r="U64" s="321"/>
      <c r="V64" s="321"/>
      <c r="W64" s="321"/>
      <c r="X64" s="321"/>
      <c r="Y64" s="321"/>
      <c r="Z64" s="321"/>
      <c r="AA64" s="321"/>
      <c r="AB64" s="321"/>
      <c r="AC64" s="321"/>
      <c r="AD64" s="321"/>
      <c r="AE64" s="321"/>
      <c r="AF64" s="321"/>
      <c r="AG64" s="321"/>
      <c r="AH64" s="321"/>
      <c r="AI64" s="321"/>
      <c r="AJ64" s="321"/>
      <c r="AL64" s="321"/>
      <c r="AM64" s="321"/>
      <c r="AN64" s="321"/>
      <c r="AO64" s="321"/>
      <c r="AP64" s="321"/>
      <c r="AQ64" s="321"/>
      <c r="AR64" s="321"/>
      <c r="AS64" s="321"/>
      <c r="AU64" s="321"/>
      <c r="AV64" s="321"/>
      <c r="AW64" s="321"/>
      <c r="AX64" s="321"/>
      <c r="AY64" s="321"/>
      <c r="AZ64" s="696"/>
      <c r="BA64" s="1045">
        <f>IF(BA65&lt;&gt;0,SUMIF($AZ8:$AZ38,"X",G8:G38),0)</f>
        <v>0</v>
      </c>
      <c r="BB64" s="1046">
        <f t="shared" ref="BB64:BG64" si="59">IF(BB65&lt;&gt;0,SUMIF($AZ8:$AZ38,"X",H8:H38),0)</f>
        <v>0</v>
      </c>
      <c r="BC64" s="1046">
        <f t="shared" si="59"/>
        <v>0</v>
      </c>
      <c r="BD64" s="1046">
        <f t="shared" si="59"/>
        <v>0</v>
      </c>
      <c r="BE64" s="1046">
        <f t="shared" si="59"/>
        <v>0</v>
      </c>
      <c r="BF64" s="1046">
        <f t="shared" si="59"/>
        <v>0</v>
      </c>
      <c r="BG64" s="1047">
        <f t="shared" si="59"/>
        <v>0</v>
      </c>
      <c r="BH64" s="696"/>
      <c r="BI64" s="321"/>
      <c r="BJ64" s="321"/>
    </row>
    <row r="65" spans="1:61" ht="18.75" customHeight="1" x14ac:dyDescent="0.2">
      <c r="A65" s="300"/>
      <c r="B65" s="7"/>
      <c r="C65" s="2051"/>
      <c r="D65" s="2051"/>
      <c r="E65" s="2048"/>
      <c r="F65" s="2048"/>
      <c r="G65" s="699">
        <f>IF(G123="X",SUM(G8:G38),0)</f>
        <v>0</v>
      </c>
      <c r="H65" s="699">
        <f t="shared" ref="H65:M65" si="60">IF(H123="X",SUM(H8:H38),0)</f>
        <v>0</v>
      </c>
      <c r="I65" s="699">
        <f t="shared" si="60"/>
        <v>0</v>
      </c>
      <c r="J65" s="699">
        <f t="shared" si="60"/>
        <v>0</v>
      </c>
      <c r="K65" s="699">
        <f t="shared" si="60"/>
        <v>0</v>
      </c>
      <c r="L65" s="699">
        <f t="shared" si="60"/>
        <v>0</v>
      </c>
      <c r="M65" s="699">
        <f t="shared" si="60"/>
        <v>0</v>
      </c>
      <c r="N65" s="700" t="s">
        <v>513</v>
      </c>
      <c r="O65" s="12"/>
      <c r="P65" s="244">
        <f>P66+P67</f>
        <v>0</v>
      </c>
      <c r="Q65" s="893" t="s">
        <v>43</v>
      </c>
      <c r="R65" s="2"/>
      <c r="S65" s="2"/>
      <c r="T65" s="321"/>
      <c r="U65" s="321"/>
      <c r="V65" s="321"/>
      <c r="W65" s="321"/>
      <c r="X65" s="321"/>
      <c r="Y65" s="321"/>
      <c r="Z65" s="321"/>
      <c r="AA65" s="321"/>
      <c r="AB65" s="321"/>
      <c r="AC65" s="321"/>
      <c r="AD65" s="321"/>
      <c r="AE65" s="321"/>
      <c r="AF65" s="321"/>
      <c r="AG65" s="321"/>
      <c r="AH65" s="321"/>
      <c r="AI65" s="321"/>
      <c r="AJ65" s="321"/>
      <c r="AL65" s="321"/>
      <c r="AM65" s="321"/>
      <c r="AN65" s="321"/>
      <c r="AO65" s="321"/>
      <c r="AP65" s="321"/>
      <c r="AQ65" s="321"/>
      <c r="AR65" s="321"/>
      <c r="AS65" s="321"/>
      <c r="AU65" s="321"/>
      <c r="AV65" s="321"/>
      <c r="AW65" s="321"/>
      <c r="AX65" s="321"/>
      <c r="AY65" s="321"/>
      <c r="AZ65" s="696"/>
      <c r="BA65" s="1142">
        <f>G65</f>
        <v>0</v>
      </c>
      <c r="BB65" s="1143">
        <f t="shared" ref="BB65:BG67" si="61">H65</f>
        <v>0</v>
      </c>
      <c r="BC65" s="1143">
        <f t="shared" si="61"/>
        <v>0</v>
      </c>
      <c r="BD65" s="1143">
        <f t="shared" si="61"/>
        <v>0</v>
      </c>
      <c r="BE65" s="1143">
        <f t="shared" si="61"/>
        <v>0</v>
      </c>
      <c r="BF65" s="1143">
        <f t="shared" si="61"/>
        <v>0</v>
      </c>
      <c r="BG65" s="1146">
        <f t="shared" si="61"/>
        <v>0</v>
      </c>
      <c r="BH65" s="696"/>
    </row>
    <row r="66" spans="1:61" ht="18.75" customHeight="1" x14ac:dyDescent="0.2">
      <c r="A66" s="2"/>
      <c r="B66" s="7"/>
      <c r="C66" s="1961" t="s">
        <v>362</v>
      </c>
      <c r="D66" s="1961"/>
      <c r="E66" s="1961"/>
      <c r="F66" s="1961"/>
      <c r="G66" s="1323"/>
      <c r="H66" s="1323"/>
      <c r="I66" s="1323"/>
      <c r="J66" s="1323"/>
      <c r="K66" s="1323"/>
      <c r="L66" s="1323"/>
      <c r="M66" s="1323"/>
      <c r="N66" s="701" t="s">
        <v>515</v>
      </c>
      <c r="O66" s="12"/>
      <c r="P66" s="244">
        <f>SUM(G66:M66)</f>
        <v>0</v>
      </c>
      <c r="Q66" s="244">
        <f>SUMIF($G$42:M$42,K$102,$G66:M66)</f>
        <v>0</v>
      </c>
      <c r="R66" s="531">
        <f>IF(P66=0,0,Q66/P66*100)</f>
        <v>0</v>
      </c>
      <c r="S66" s="2"/>
      <c r="T66" s="321"/>
      <c r="U66" s="321"/>
      <c r="V66" s="321"/>
      <c r="W66" s="321"/>
      <c r="X66" s="321"/>
      <c r="Y66" s="321"/>
      <c r="Z66" s="321"/>
      <c r="AA66" s="321"/>
      <c r="AB66" s="321"/>
      <c r="AC66" s="321"/>
      <c r="AD66" s="321"/>
      <c r="AE66" s="321"/>
      <c r="AF66" s="321"/>
      <c r="AG66" s="321"/>
      <c r="AH66" s="321"/>
      <c r="AI66" s="321"/>
      <c r="AJ66" s="321"/>
      <c r="AL66" s="321"/>
      <c r="AM66" s="321"/>
      <c r="AN66" s="321"/>
      <c r="AO66" s="321"/>
      <c r="AP66" s="321"/>
      <c r="AQ66" s="321"/>
      <c r="AR66" s="321"/>
      <c r="AS66" s="321"/>
      <c r="AU66" s="321"/>
      <c r="AV66" s="321"/>
      <c r="AW66" s="321"/>
      <c r="AX66" s="321"/>
      <c r="AY66" s="321"/>
      <c r="AZ66" s="696"/>
      <c r="BA66" s="1142">
        <f t="shared" ref="BA66:BA67" si="62">G66</f>
        <v>0</v>
      </c>
      <c r="BB66" s="1143">
        <f t="shared" si="61"/>
        <v>0</v>
      </c>
      <c r="BC66" s="1143">
        <f t="shared" si="61"/>
        <v>0</v>
      </c>
      <c r="BD66" s="1143">
        <f t="shared" si="61"/>
        <v>0</v>
      </c>
      <c r="BE66" s="1143">
        <f t="shared" si="61"/>
        <v>0</v>
      </c>
      <c r="BF66" s="1143">
        <f t="shared" si="61"/>
        <v>0</v>
      </c>
      <c r="BG66" s="1146">
        <f t="shared" si="61"/>
        <v>0</v>
      </c>
      <c r="BH66" s="696"/>
    </row>
    <row r="67" spans="1:61" ht="18.75" customHeight="1" x14ac:dyDescent="0.2">
      <c r="A67" s="2"/>
      <c r="B67" s="7"/>
      <c r="C67" s="1986" t="s">
        <v>7</v>
      </c>
      <c r="D67" s="1986"/>
      <c r="E67" s="1986"/>
      <c r="F67" s="1986"/>
      <c r="G67" s="1323"/>
      <c r="H67" s="1323"/>
      <c r="I67" s="1323"/>
      <c r="J67" s="1323"/>
      <c r="K67" s="1323"/>
      <c r="L67" s="1323"/>
      <c r="M67" s="1323"/>
      <c r="N67" s="702" t="s">
        <v>702</v>
      </c>
      <c r="O67" s="13"/>
      <c r="P67" s="244">
        <f>SUM(G67:M67)</f>
        <v>0</v>
      </c>
      <c r="Q67" s="2"/>
      <c r="R67" s="2"/>
      <c r="S67" s="2"/>
      <c r="T67" s="321"/>
      <c r="U67" s="321"/>
      <c r="V67" s="321"/>
      <c r="W67" s="321"/>
      <c r="X67" s="321"/>
      <c r="Y67" s="321"/>
      <c r="Z67" s="321"/>
      <c r="AA67" s="321"/>
      <c r="AB67" s="321"/>
      <c r="AC67" s="321"/>
      <c r="AD67" s="321"/>
      <c r="AE67" s="321"/>
      <c r="AF67" s="321"/>
      <c r="AG67" s="321"/>
      <c r="AH67" s="321"/>
      <c r="AI67" s="321"/>
      <c r="AJ67" s="321"/>
      <c r="AL67" s="321"/>
      <c r="AM67" s="321"/>
      <c r="AN67" s="321"/>
      <c r="AO67" s="321"/>
      <c r="AP67" s="321"/>
      <c r="AQ67" s="321"/>
      <c r="AR67" s="321"/>
      <c r="AS67" s="321"/>
      <c r="AU67" s="321"/>
      <c r="AV67" s="321"/>
      <c r="AW67" s="321"/>
      <c r="AX67" s="321"/>
      <c r="AY67" s="321"/>
      <c r="AZ67" s="696"/>
      <c r="BA67" s="1145">
        <f t="shared" si="62"/>
        <v>0</v>
      </c>
      <c r="BB67" s="1144">
        <f t="shared" si="61"/>
        <v>0</v>
      </c>
      <c r="BC67" s="1144">
        <f t="shared" si="61"/>
        <v>0</v>
      </c>
      <c r="BD67" s="1144">
        <f t="shared" si="61"/>
        <v>0</v>
      </c>
      <c r="BE67" s="1144">
        <f t="shared" si="61"/>
        <v>0</v>
      </c>
      <c r="BF67" s="1144">
        <f t="shared" si="61"/>
        <v>0</v>
      </c>
      <c r="BG67" s="1147">
        <f t="shared" si="61"/>
        <v>0</v>
      </c>
      <c r="BH67" s="696"/>
    </row>
    <row r="68" spans="1:61" ht="15" customHeight="1" x14ac:dyDescent="0.2">
      <c r="A68" s="2"/>
      <c r="B68" s="2"/>
      <c r="C68" s="10"/>
      <c r="D68" s="10"/>
      <c r="E68" s="10"/>
      <c r="F68" s="10"/>
      <c r="G68" s="60" t="str">
        <f>IF(AND(SUM(G66:G67)&lt;&gt;0,G120=0),$O$120,IF(G120=0,"",IF(G66=0,IMPOSTAZIONI!$J$413,IF(G130=$N130,IF((G65+G67)&lt;&gt;G66,IMPOSTAZIONI!$M$413,IMPOSTAZIONI!$H$413),IF((G66+G67)&lt;&gt;G65,IMPOSTAZIONI!$M$413,IMPOSTAZIONI!$H$413)))))</f>
        <v/>
      </c>
      <c r="H68" s="60" t="str">
        <f>IF(AND(SUM(H66:H67)&lt;&gt;0,H120=0),$O$120,IF(H120=0,"",IF(H66=0,IMPOSTAZIONI!$J$413,IF(H130=$N130,IF((H65+H67)&lt;&gt;H66,IMPOSTAZIONI!$M$413,IMPOSTAZIONI!$H$413),IF((H66+H67)&lt;&gt;H65,IMPOSTAZIONI!$M$413,IMPOSTAZIONI!$H$413)))))</f>
        <v/>
      </c>
      <c r="I68" s="60" t="str">
        <f>IF(AND(SUM(I66:I67)&lt;&gt;0,I120=0),$O$120,IF(I120=0,"",IF(I66=0,IMPOSTAZIONI!$J$413,IF(I130=$N130,IF((I65+I67)&lt;&gt;I66,IMPOSTAZIONI!$M$413,IMPOSTAZIONI!$H$413),IF((I66+I67)&lt;&gt;I65,IMPOSTAZIONI!$M$413,IMPOSTAZIONI!$H$413)))))</f>
        <v/>
      </c>
      <c r="J68" s="60" t="str">
        <f>IF(AND(SUM(J66:J67)&lt;&gt;0,J120=0),$O$120,IF(J120=0,"",IF(J66=0,IMPOSTAZIONI!$J$413,IF(J130=$N130,IF((J65+J67)&lt;&gt;J66,IMPOSTAZIONI!$M$413,IMPOSTAZIONI!$H$413),IF((J66+J67)&lt;&gt;J65,IMPOSTAZIONI!$M$413,IMPOSTAZIONI!$H$413)))))</f>
        <v/>
      </c>
      <c r="K68" s="60" t="str">
        <f>IF(AND(SUM(K66:K67)&lt;&gt;0,K120=0),$O$120,IF(K120=0,"",IF(K66=0,IMPOSTAZIONI!$J$413,IF(K130=$N130,IF((K65+K67)&lt;&gt;K66,IMPOSTAZIONI!$M$413,IMPOSTAZIONI!$H$413),IF((K66+K67)&lt;&gt;K65,IMPOSTAZIONI!$M$413,IMPOSTAZIONI!$H$413)))))</f>
        <v/>
      </c>
      <c r="L68" s="60" t="str">
        <f>IF(AND(SUM(L66:L67)&lt;&gt;0,L120=0),$O$120,IF(L120=0,"",IF(L66=0,IMPOSTAZIONI!$J$413,IF(L130=$N130,IF((L65+L67)&lt;&gt;L66,IMPOSTAZIONI!$M$413,IMPOSTAZIONI!$H$413),IF((L66+L67)&lt;&gt;L65,IMPOSTAZIONI!$M$413,IMPOSTAZIONI!$H$413)))))</f>
        <v/>
      </c>
      <c r="M68" s="60" t="str">
        <f>IF(AND(SUM(M66:M67)&lt;&gt;0,M120=0),$O$120,IF(M120=0,"",IF(M66=0,IMPOSTAZIONI!$J$413,IF(M130=$N130,IF((M65+M67)&lt;&gt;M66,IMPOSTAZIONI!$M$413,IMPOSTAZIONI!$H$413),IF((M66+M67)&lt;&gt;M65,IMPOSTAZIONI!$M$413,IMPOSTAZIONI!$H$413)))))</f>
        <v/>
      </c>
      <c r="N68" s="10"/>
      <c r="O68" s="2"/>
      <c r="P68" s="2"/>
      <c r="Q68" s="2"/>
      <c r="R68" s="2"/>
      <c r="S68" s="2"/>
      <c r="T68" s="321"/>
      <c r="U68" s="321"/>
      <c r="V68" s="321"/>
      <c r="W68" s="321"/>
      <c r="X68" s="321"/>
      <c r="Y68" s="321"/>
      <c r="Z68" s="321"/>
      <c r="AA68" s="321"/>
      <c r="AB68" s="321"/>
      <c r="AC68" s="321"/>
      <c r="AD68" s="321"/>
      <c r="AE68" s="321"/>
      <c r="AF68" s="321"/>
      <c r="AG68" s="321"/>
      <c r="AH68" s="321"/>
      <c r="AI68" s="321"/>
      <c r="AJ68" s="321"/>
      <c r="AL68" s="321"/>
      <c r="AM68" s="321"/>
      <c r="AN68" s="321"/>
      <c r="AO68" s="321"/>
      <c r="AP68" s="321"/>
      <c r="AQ68" s="321"/>
      <c r="AR68" s="321"/>
      <c r="AS68" s="321"/>
      <c r="AU68" s="321"/>
      <c r="AV68" s="321"/>
      <c r="AW68" s="321"/>
      <c r="AX68" s="321"/>
      <c r="AY68" s="321"/>
      <c r="AZ68" s="696"/>
      <c r="BA68" s="696"/>
      <c r="BB68" s="696"/>
      <c r="BC68" s="696"/>
      <c r="BD68" s="696"/>
      <c r="BE68" s="696"/>
      <c r="BF68" s="696"/>
      <c r="BG68" s="696"/>
      <c r="BH68" s="696"/>
    </row>
    <row r="69" spans="1:61" ht="21" customHeight="1" x14ac:dyDescent="0.2">
      <c r="A69" s="2"/>
      <c r="B69" s="2"/>
      <c r="C69" s="1985" t="s">
        <v>704</v>
      </c>
      <c r="D69" s="1985"/>
      <c r="E69" s="1985"/>
      <c r="F69" s="1985"/>
      <c r="G69" s="2"/>
      <c r="H69" s="2"/>
      <c r="I69" s="2"/>
      <c r="J69" s="2"/>
      <c r="K69" s="2"/>
      <c r="L69" s="2"/>
      <c r="M69" s="2"/>
      <c r="N69" s="2"/>
      <c r="O69" s="2"/>
      <c r="P69" s="2"/>
      <c r="Q69" s="893" t="s">
        <v>43</v>
      </c>
      <c r="R69" s="86" t="s">
        <v>160</v>
      </c>
      <c r="S69" s="2"/>
      <c r="T69" s="321"/>
      <c r="U69" s="321"/>
      <c r="V69" s="321"/>
      <c r="W69" s="321"/>
      <c r="X69" s="321"/>
      <c r="Y69" s="321"/>
      <c r="Z69" s="321"/>
      <c r="AA69" s="321"/>
      <c r="AB69" s="321"/>
      <c r="AC69" s="321"/>
      <c r="AD69" s="321"/>
      <c r="AE69" s="321"/>
      <c r="AF69" s="321"/>
      <c r="AG69" s="321"/>
      <c r="AH69" s="321"/>
      <c r="AI69" s="321"/>
      <c r="AJ69" s="321"/>
      <c r="AL69" s="321"/>
      <c r="AM69" s="321"/>
      <c r="AN69" s="321"/>
      <c r="AO69" s="321"/>
      <c r="AP69" s="321"/>
      <c r="AQ69" s="321"/>
      <c r="AR69" s="321"/>
      <c r="AS69" s="321"/>
      <c r="AU69" s="321"/>
      <c r="AV69" s="321"/>
      <c r="AW69" s="321"/>
      <c r="AX69" s="321"/>
      <c r="AY69" s="321"/>
      <c r="BA69" s="321"/>
      <c r="BB69" s="321"/>
      <c r="BC69" s="321"/>
      <c r="BD69" s="321"/>
      <c r="BE69" s="321"/>
      <c r="BF69" s="321"/>
      <c r="BG69" s="321"/>
    </row>
    <row r="70" spans="1:61" ht="16.5" customHeight="1" x14ac:dyDescent="0.2">
      <c r="A70" s="2"/>
      <c r="B70" s="1304">
        <f>IMPOSTAZIONI!B39</f>
        <v>0</v>
      </c>
      <c r="C70" s="1984" t="str">
        <f>IF(AND(IMPOSTAZIONI!B39="",SUM(G70:M70)&gt;0),"ERROR",CONCATENATE(IMPOSTAZIONI!C39," ",IMPOSTAZIONI!F39," %"))</f>
        <v xml:space="preserve">  %</v>
      </c>
      <c r="D70" s="1984"/>
      <c r="E70" s="1984"/>
      <c r="F70" s="1984"/>
      <c r="G70" s="1323"/>
      <c r="H70" s="1323"/>
      <c r="I70" s="1323"/>
      <c r="J70" s="1323"/>
      <c r="K70" s="1323"/>
      <c r="L70" s="1323"/>
      <c r="M70" s="1323"/>
      <c r="N70" s="704" t="s">
        <v>703</v>
      </c>
      <c r="O70" s="12"/>
      <c r="P70" s="62">
        <f>IF($E$8=$W$4,0,SUM(G70:M70))</f>
        <v>0</v>
      </c>
      <c r="Q70" s="890">
        <f>IF($E$8=$W$4,0,SUMIF($G$42:M$42,K$102,$G70:M70))</f>
        <v>0</v>
      </c>
      <c r="R70" s="531">
        <f>IF(P70=0,0,Q70/P70*100)</f>
        <v>0</v>
      </c>
      <c r="S70" s="2"/>
      <c r="T70" s="321"/>
      <c r="U70" s="321"/>
      <c r="V70" s="321"/>
      <c r="W70" s="321"/>
      <c r="X70" s="321"/>
      <c r="Y70" s="321"/>
      <c r="Z70" s="321"/>
      <c r="AA70" s="321"/>
      <c r="AB70" s="321"/>
      <c r="AC70" s="321"/>
      <c r="AD70" s="321"/>
      <c r="AE70" s="321"/>
      <c r="AF70" s="321"/>
      <c r="AG70" s="321"/>
      <c r="AH70" s="321"/>
      <c r="AI70" s="321"/>
      <c r="AJ70" s="321"/>
      <c r="AL70" s="321"/>
      <c r="AM70" s="321"/>
      <c r="AN70" s="321"/>
      <c r="AO70" s="321"/>
      <c r="AP70" s="321"/>
      <c r="AQ70" s="321"/>
      <c r="AR70" s="321"/>
      <c r="AS70" s="321"/>
      <c r="AU70" s="321"/>
      <c r="AV70" s="321"/>
      <c r="AW70" s="321"/>
      <c r="AX70" s="321"/>
      <c r="AY70" s="321"/>
      <c r="BA70" s="321"/>
      <c r="BB70" s="321"/>
      <c r="BC70" s="321"/>
      <c r="BD70" s="321"/>
      <c r="BE70" s="321"/>
      <c r="BF70" s="321"/>
      <c r="BG70" s="321"/>
    </row>
    <row r="71" spans="1:61" ht="16.5" customHeight="1" x14ac:dyDescent="0.2">
      <c r="A71" s="2"/>
      <c r="B71" s="1304">
        <f>IMPOSTAZIONI!B40</f>
        <v>0</v>
      </c>
      <c r="C71" s="1984" t="str">
        <f>IF(AND(IMPOSTAZIONI!B40="",SUM(G71:M71)&gt;0),"ERROR",CONCATENATE(IMPOSTAZIONI!C40," ",IMPOSTAZIONI!F40," %"))</f>
        <v xml:space="preserve">  %</v>
      </c>
      <c r="D71" s="1984"/>
      <c r="E71" s="1984"/>
      <c r="F71" s="1984"/>
      <c r="G71" s="1323"/>
      <c r="H71" s="1323"/>
      <c r="I71" s="1323"/>
      <c r="J71" s="1323"/>
      <c r="K71" s="1323"/>
      <c r="L71" s="1323"/>
      <c r="M71" s="1323"/>
      <c r="N71" s="704" t="s">
        <v>703</v>
      </c>
      <c r="O71" s="12"/>
      <c r="P71" s="63">
        <f t="shared" ref="P71:P73" si="63">IF($E$8=$W$4,0,SUM(G71:M71))</f>
        <v>0</v>
      </c>
      <c r="Q71" s="891">
        <f>IF($E$8=$W$4,0,SUMIF($G$42:M$42,K$102,$G71:M71))</f>
        <v>0</v>
      </c>
      <c r="R71" s="531">
        <f>IF(P71=0,0,Q71/P71*100)</f>
        <v>0</v>
      </c>
      <c r="S71" s="2"/>
      <c r="T71" s="321"/>
      <c r="U71" s="321"/>
      <c r="V71" s="321"/>
      <c r="W71" s="321"/>
      <c r="X71" s="321"/>
      <c r="Y71" s="321"/>
      <c r="Z71" s="321"/>
      <c r="AA71" s="321"/>
      <c r="AB71" s="321"/>
      <c r="AC71" s="321"/>
      <c r="AD71" s="321"/>
      <c r="AE71" s="321"/>
      <c r="AF71" s="321"/>
      <c r="AG71" s="321"/>
      <c r="AH71" s="321"/>
      <c r="AI71" s="321"/>
      <c r="AJ71" s="321"/>
      <c r="AL71" s="321"/>
      <c r="AM71" s="321"/>
      <c r="AN71" s="321"/>
      <c r="AO71" s="321"/>
      <c r="AP71" s="321"/>
      <c r="AQ71" s="321"/>
      <c r="AR71" s="321"/>
      <c r="AS71" s="321"/>
      <c r="AU71" s="321"/>
      <c r="AV71" s="321"/>
      <c r="AW71" s="321"/>
      <c r="AX71" s="321"/>
      <c r="AY71" s="321"/>
      <c r="BA71" s="321"/>
      <c r="BB71" s="321"/>
      <c r="BC71" s="321"/>
      <c r="BD71" s="321"/>
      <c r="BE71" s="321"/>
      <c r="BF71" s="321"/>
      <c r="BG71" s="321"/>
    </row>
    <row r="72" spans="1:61" ht="16.5" customHeight="1" x14ac:dyDescent="0.2">
      <c r="A72" s="2"/>
      <c r="B72" s="1304">
        <f>IMPOSTAZIONI!B41</f>
        <v>0</v>
      </c>
      <c r="C72" s="1984" t="str">
        <f>IF(AND(IMPOSTAZIONI!B41="",SUM(G72:M72)&gt;0),"ERROR",CONCATENATE(IMPOSTAZIONI!C41," ",IMPOSTAZIONI!F41," %"))</f>
        <v xml:space="preserve">  %</v>
      </c>
      <c r="D72" s="1984"/>
      <c r="E72" s="1984"/>
      <c r="F72" s="1984"/>
      <c r="G72" s="1323"/>
      <c r="H72" s="1323"/>
      <c r="I72" s="1323"/>
      <c r="J72" s="1323"/>
      <c r="K72" s="1323"/>
      <c r="L72" s="1323"/>
      <c r="M72" s="1323"/>
      <c r="N72" s="704" t="s">
        <v>703</v>
      </c>
      <c r="O72" s="12"/>
      <c r="P72" s="63">
        <f t="shared" si="63"/>
        <v>0</v>
      </c>
      <c r="Q72" s="891">
        <f>IF($E$8=$W$4,0,SUMIF($G$42:M$42,K$102,$G72:M72))</f>
        <v>0</v>
      </c>
      <c r="R72" s="531">
        <f>IF(P72=0,0,Q72/P72*100)</f>
        <v>0</v>
      </c>
      <c r="S72" s="2"/>
      <c r="T72" s="321"/>
      <c r="U72" s="321"/>
      <c r="V72" s="321"/>
      <c r="W72" s="321"/>
      <c r="X72" s="321"/>
      <c r="Y72" s="321"/>
      <c r="Z72" s="321"/>
      <c r="AA72" s="321"/>
      <c r="AB72" s="321"/>
      <c r="AC72" s="321"/>
      <c r="AD72" s="321"/>
      <c r="AE72" s="321"/>
      <c r="AF72" s="321"/>
      <c r="AG72" s="321"/>
      <c r="AH72" s="321"/>
      <c r="AI72" s="321"/>
      <c r="AJ72" s="321"/>
      <c r="AL72" s="321"/>
      <c r="AM72" s="321"/>
      <c r="AN72" s="321"/>
      <c r="AO72" s="321"/>
      <c r="AP72" s="321"/>
      <c r="AQ72" s="321"/>
      <c r="AR72" s="321"/>
      <c r="AS72" s="321"/>
      <c r="AU72" s="321"/>
      <c r="AV72" s="321"/>
      <c r="AW72" s="321"/>
      <c r="AX72" s="321"/>
      <c r="AY72" s="321"/>
      <c r="BA72" s="321"/>
      <c r="BB72" s="321"/>
      <c r="BC72" s="321"/>
      <c r="BD72" s="321"/>
      <c r="BE72" s="321"/>
      <c r="BF72" s="321"/>
      <c r="BG72" s="321"/>
    </row>
    <row r="73" spans="1:61" ht="16.5" customHeight="1" x14ac:dyDescent="0.2">
      <c r="A73" s="2"/>
      <c r="B73" s="1304">
        <f>IMPOSTAZIONI!B42</f>
        <v>0</v>
      </c>
      <c r="C73" s="2008" t="str">
        <f>IF(AND(IMPOSTAZIONI!B42="",SUM(G73:M73)&gt;0),"ERROR",CONCATENATE(IMPOSTAZIONI!C42," ",IMPOSTAZIONI!F42," %"))</f>
        <v xml:space="preserve">  %</v>
      </c>
      <c r="D73" s="2008"/>
      <c r="E73" s="2008"/>
      <c r="F73" s="2009"/>
      <c r="G73" s="1323"/>
      <c r="H73" s="1323"/>
      <c r="I73" s="1323"/>
      <c r="J73" s="1323"/>
      <c r="K73" s="1323"/>
      <c r="L73" s="1323"/>
      <c r="M73" s="1323"/>
      <c r="N73" s="703" t="s">
        <v>703</v>
      </c>
      <c r="O73" s="12"/>
      <c r="P73" s="64">
        <f t="shared" si="63"/>
        <v>0</v>
      </c>
      <c r="Q73" s="892">
        <f>IF($E$8=$W$4,0,SUMIF($G$42:M$42,K$102,$G73:M73))</f>
        <v>0</v>
      </c>
      <c r="R73" s="531">
        <f>IF(P73=0,0,Q73/P73*100)</f>
        <v>0</v>
      </c>
      <c r="S73" s="2"/>
      <c r="T73" s="321"/>
      <c r="U73" s="321"/>
      <c r="V73" s="321"/>
      <c r="W73" s="321"/>
      <c r="X73" s="321"/>
      <c r="Y73" s="321"/>
      <c r="Z73" s="321"/>
      <c r="AA73" s="321"/>
      <c r="AB73" s="321"/>
      <c r="AC73" s="321"/>
      <c r="AD73" s="321"/>
      <c r="AE73" s="321"/>
      <c r="AF73" s="321"/>
      <c r="AG73" s="321"/>
      <c r="AH73" s="321"/>
      <c r="AI73" s="321"/>
      <c r="AJ73" s="321"/>
      <c r="AL73" s="321"/>
      <c r="AM73" s="321"/>
      <c r="AN73" s="321"/>
      <c r="AO73" s="321"/>
      <c r="AP73" s="321"/>
      <c r="AQ73" s="321"/>
      <c r="AR73" s="321"/>
      <c r="AS73" s="321"/>
      <c r="AU73" s="321"/>
      <c r="AV73" s="321"/>
      <c r="AW73" s="321"/>
      <c r="AX73" s="321"/>
      <c r="AY73" s="321"/>
      <c r="BA73" s="321"/>
      <c r="BB73" s="321"/>
      <c r="BC73" s="321"/>
      <c r="BD73" s="321"/>
      <c r="BE73" s="321"/>
      <c r="BF73" s="321"/>
      <c r="BG73" s="321"/>
    </row>
    <row r="74" spans="1:61" ht="15" customHeight="1" x14ac:dyDescent="0.2">
      <c r="A74" s="2"/>
      <c r="B74" s="2"/>
      <c r="C74" s="10"/>
      <c r="D74" s="10"/>
      <c r="E74" s="10"/>
      <c r="F74" s="10"/>
      <c r="G74" s="60" t="str">
        <f>IF(AND(SUM(G70:G73)&lt;&gt;0,G120=0),$O$120,IF(G120=0,"",IF(SUM(G70:G73)&lt;G67,IMPOSTAZIONI!$J$413,IF(SUM(G70:G73)&lt;&gt;G67,IMPOSTAZIONI!$M$413,IMPOSTAZIONI!$H$413))))</f>
        <v/>
      </c>
      <c r="H74" s="60" t="str">
        <f>IF(AND(SUM(H70:H73)&lt;&gt;0,H120=0),$O$120,IF(H120=0,"",IF(SUM(H70:H73)&lt;H67,IMPOSTAZIONI!$J$413,IF(SUM(H70:H73)&lt;&gt;H67,IMPOSTAZIONI!$M$413,IMPOSTAZIONI!$H$413))))</f>
        <v/>
      </c>
      <c r="I74" s="60" t="str">
        <f>IF(AND(SUM(I70:I73)&lt;&gt;0,I120=0),$O$120,IF(I120=0,"",IF(SUM(I70:I73)&lt;I67,IMPOSTAZIONI!$J$413,IF(SUM(I70:I73)&lt;&gt;I67,IMPOSTAZIONI!$M$413,IMPOSTAZIONI!$H$413))))</f>
        <v/>
      </c>
      <c r="J74" s="60" t="str">
        <f>IF(AND(SUM(J70:J73)&lt;&gt;0,J120=0),$O$120,IF(J120=0,"",IF(SUM(J70:J73)&lt;J67,IMPOSTAZIONI!$J$413,IF(SUM(J70:J73)&lt;&gt;J67,IMPOSTAZIONI!$M$413,IMPOSTAZIONI!$H$413))))</f>
        <v/>
      </c>
      <c r="K74" s="60" t="str">
        <f>IF(AND(SUM(K70:K73)&lt;&gt;0,K120=0),$O$120,IF(K120=0,"",IF(SUM(K70:K73)&lt;K67,IMPOSTAZIONI!$J$413,IF(SUM(K70:K73)&lt;&gt;K67,IMPOSTAZIONI!$M$413,IMPOSTAZIONI!$H$413))))</f>
        <v/>
      </c>
      <c r="L74" s="60" t="str">
        <f>IF(AND(SUM(L70:L73)&lt;&gt;0,L120=0),$O$120,IF(L120=0,"",IF(SUM(L70:L73)&lt;L67,IMPOSTAZIONI!$J$413,IF(SUM(L70:L73)&lt;&gt;L67,IMPOSTAZIONI!$M$413,IMPOSTAZIONI!$H$413))))</f>
        <v/>
      </c>
      <c r="M74" s="60" t="str">
        <f>IF(AND(SUM(M70:M73)&lt;&gt;0,M120=0),$O$120,IF(M120=0,"",IF(SUM(M70:M73)&lt;M67,IMPOSTAZIONI!$J$413,IF(SUM(M70:M73)&lt;&gt;M67,IMPOSTAZIONI!$M$413,IMPOSTAZIONI!$H$413))))</f>
        <v/>
      </c>
      <c r="N74" s="10"/>
      <c r="O74" s="2"/>
      <c r="P74" s="2"/>
      <c r="Q74" s="2"/>
      <c r="R74" s="2"/>
      <c r="S74" s="2"/>
      <c r="T74" s="321"/>
      <c r="U74" s="321"/>
      <c r="V74" s="321"/>
      <c r="W74" s="321"/>
      <c r="X74" s="321"/>
      <c r="Y74" s="321"/>
      <c r="Z74" s="321"/>
      <c r="AA74" s="321"/>
      <c r="AB74" s="321"/>
      <c r="AC74" s="321"/>
      <c r="AD74" s="321"/>
      <c r="AE74" s="321"/>
      <c r="AF74" s="321"/>
      <c r="AG74" s="321"/>
      <c r="AH74" s="321"/>
      <c r="AI74" s="321"/>
      <c r="AJ74" s="321"/>
      <c r="AL74" s="321"/>
      <c r="AM74" s="321"/>
      <c r="AN74" s="321"/>
      <c r="AO74" s="321"/>
      <c r="AP74" s="321"/>
      <c r="AQ74" s="321"/>
      <c r="AR74" s="321"/>
      <c r="AS74" s="321"/>
      <c r="AU74" s="321"/>
      <c r="AV74" s="321"/>
      <c r="AW74" s="321"/>
      <c r="AX74" s="321"/>
      <c r="AY74" s="321"/>
      <c r="BA74" s="321"/>
      <c r="BB74" s="321"/>
      <c r="BC74" s="321"/>
      <c r="BD74" s="321"/>
      <c r="BE74" s="321"/>
      <c r="BF74" s="321"/>
      <c r="BG74" s="321"/>
    </row>
    <row r="75" spans="1:61" ht="21" customHeight="1" x14ac:dyDescent="0.2">
      <c r="A75" s="2"/>
      <c r="B75" s="2"/>
      <c r="C75" s="2"/>
      <c r="D75" s="2"/>
      <c r="E75" s="2"/>
      <c r="F75" s="2"/>
      <c r="G75" s="2"/>
      <c r="H75" s="2"/>
      <c r="I75" s="2"/>
      <c r="J75" s="2"/>
      <c r="K75" s="2"/>
      <c r="L75" s="2"/>
      <c r="M75" s="2"/>
      <c r="N75" s="2"/>
      <c r="O75" s="2"/>
      <c r="P75" s="2"/>
      <c r="Q75" s="2"/>
      <c r="R75" s="2"/>
      <c r="S75" s="2"/>
      <c r="T75" s="321"/>
      <c r="U75" s="321"/>
      <c r="V75" s="321"/>
      <c r="W75" s="321"/>
      <c r="X75" s="321"/>
      <c r="Y75" s="321"/>
      <c r="Z75" s="321"/>
      <c r="AA75" s="321"/>
      <c r="AB75" s="321"/>
      <c r="AC75" s="321"/>
      <c r="AD75" s="321"/>
      <c r="AE75" s="321"/>
      <c r="AG75" s="321"/>
      <c r="AH75" s="321"/>
      <c r="AI75" s="321"/>
      <c r="AJ75" s="321"/>
      <c r="AK75" s="321"/>
      <c r="AM75" s="321"/>
      <c r="AN75" s="321"/>
      <c r="AO75" s="321"/>
      <c r="AP75" s="321"/>
      <c r="AQ75" s="321"/>
      <c r="AR75" s="321"/>
      <c r="AS75" s="321"/>
      <c r="AT75" s="321"/>
      <c r="AV75" s="321"/>
      <c r="AW75" s="321"/>
      <c r="AX75" s="321"/>
      <c r="AY75" s="321"/>
      <c r="AZ75" s="321"/>
      <c r="BA75" s="321"/>
      <c r="BB75" s="321"/>
      <c r="BC75" s="321"/>
      <c r="BD75" s="321"/>
      <c r="BE75" s="321"/>
      <c r="BF75" s="321"/>
      <c r="BG75" s="321"/>
      <c r="BH75" s="321"/>
      <c r="BI75" s="321"/>
    </row>
    <row r="76" spans="1:61" ht="21" customHeight="1" x14ac:dyDescent="0.2">
      <c r="A76" s="2"/>
      <c r="B76" s="2"/>
      <c r="C76" s="2"/>
      <c r="D76" s="2"/>
      <c r="E76" s="2"/>
      <c r="F76" s="2"/>
      <c r="G76" s="798" t="s">
        <v>346</v>
      </c>
      <c r="H76" s="696"/>
      <c r="I76" s="696"/>
      <c r="J76" s="696"/>
      <c r="K76" s="696"/>
      <c r="L76" s="170"/>
      <c r="M76" s="2"/>
      <c r="N76" s="2"/>
      <c r="O76" s="2"/>
      <c r="P76" s="2"/>
      <c r="Q76" s="2"/>
      <c r="R76" s="2"/>
      <c r="S76" s="2"/>
      <c r="T76" s="321"/>
      <c r="U76" s="321"/>
      <c r="V76" s="321"/>
      <c r="W76" s="321"/>
      <c r="X76" s="321"/>
      <c r="Y76" s="321"/>
      <c r="Z76" s="321"/>
      <c r="AA76" s="321"/>
      <c r="AB76" s="321"/>
      <c r="AC76" s="321"/>
      <c r="AD76" s="321"/>
      <c r="AE76" s="321"/>
      <c r="AG76" s="321"/>
      <c r="AH76" s="321"/>
      <c r="AI76" s="321"/>
      <c r="AJ76" s="321"/>
      <c r="AK76" s="321"/>
      <c r="AM76" s="321"/>
      <c r="AN76" s="321"/>
      <c r="AO76" s="321"/>
      <c r="AP76" s="321"/>
      <c r="AQ76" s="321"/>
      <c r="AR76" s="321"/>
      <c r="AS76" s="321"/>
      <c r="AT76" s="321"/>
      <c r="AV76" s="321"/>
      <c r="AW76" s="321"/>
      <c r="AX76" s="321"/>
      <c r="AY76" s="321"/>
      <c r="AZ76" s="321"/>
      <c r="BA76" s="321"/>
      <c r="BB76" s="321"/>
      <c r="BC76" s="321"/>
      <c r="BD76" s="321"/>
      <c r="BE76" s="321"/>
      <c r="BF76" s="321"/>
      <c r="BG76" s="321"/>
      <c r="BH76" s="321"/>
      <c r="BI76" s="321"/>
    </row>
    <row r="77" spans="1:61" ht="18.75" customHeight="1" x14ac:dyDescent="0.2">
      <c r="A77" s="2"/>
      <c r="B77" s="2"/>
      <c r="C77" s="2"/>
      <c r="D77" s="2"/>
      <c r="E77" s="2"/>
      <c r="F77" s="2"/>
      <c r="G77" s="170" t="s">
        <v>519</v>
      </c>
      <c r="H77" s="696"/>
      <c r="I77" s="696"/>
      <c r="J77" s="696"/>
      <c r="K77" s="696"/>
      <c r="L77" s="796">
        <f>E7</f>
        <v>0</v>
      </c>
      <c r="M77" s="790">
        <f>L77-SUM(G7:M7)+SUMIF(G42:M42,K102,G7:M7)</f>
        <v>0</v>
      </c>
      <c r="N77" s="2087" t="s">
        <v>8</v>
      </c>
      <c r="O77" s="2087"/>
      <c r="P77" s="2"/>
      <c r="Q77" s="2"/>
      <c r="R77" s="2"/>
      <c r="S77" s="2"/>
      <c r="T77" s="321"/>
      <c r="U77" s="321"/>
      <c r="V77" s="321"/>
      <c r="W77" s="321"/>
      <c r="X77" s="321"/>
      <c r="Y77" s="321"/>
      <c r="Z77" s="321"/>
      <c r="AA77" s="321"/>
      <c r="AB77" s="321"/>
      <c r="AC77" s="321"/>
      <c r="AD77" s="321"/>
      <c r="AE77" s="321"/>
      <c r="AG77" s="321"/>
      <c r="AH77" s="321"/>
      <c r="AI77" s="321"/>
      <c r="AJ77" s="321"/>
      <c r="AK77" s="321"/>
      <c r="AM77" s="321"/>
      <c r="AN77" s="321"/>
      <c r="AO77" s="321"/>
      <c r="AP77" s="321"/>
      <c r="AQ77" s="321"/>
      <c r="AR77" s="321"/>
      <c r="AS77" s="321"/>
      <c r="AT77" s="321"/>
      <c r="AV77" s="321"/>
      <c r="AW77" s="321"/>
      <c r="AX77" s="321"/>
      <c r="AY77" s="321"/>
      <c r="AZ77" s="321"/>
      <c r="BA77" s="321"/>
      <c r="BB77" s="321"/>
      <c r="BC77" s="321"/>
      <c r="BD77" s="321"/>
      <c r="BE77" s="321"/>
      <c r="BF77" s="321"/>
      <c r="BG77" s="321"/>
      <c r="BH77" s="321"/>
      <c r="BI77" s="321"/>
    </row>
    <row r="78" spans="1:61" ht="18.75" customHeight="1" x14ac:dyDescent="0.2">
      <c r="A78" s="2"/>
      <c r="B78" s="2"/>
      <c r="C78" s="2"/>
      <c r="D78" s="2"/>
      <c r="E78" s="2"/>
      <c r="F78" s="2"/>
      <c r="G78" s="765" t="s">
        <v>520</v>
      </c>
      <c r="H78" s="696"/>
      <c r="I78" s="696"/>
      <c r="J78" s="696"/>
      <c r="K78" s="696"/>
      <c r="L78" s="797">
        <f>E39</f>
        <v>0</v>
      </c>
      <c r="M78" s="791">
        <f>L78-SUM(G39:M39)+SUMIF(G42:M42,K102,G39:M39)</f>
        <v>0</v>
      </c>
      <c r="N78" s="2086" t="s">
        <v>9</v>
      </c>
      <c r="O78" s="2086"/>
      <c r="P78" s="2"/>
      <c r="Q78" s="2"/>
      <c r="R78" s="2"/>
      <c r="S78" s="2"/>
      <c r="T78" s="321"/>
      <c r="U78" s="321"/>
      <c r="V78" s="321"/>
      <c r="W78" s="321"/>
      <c r="X78" s="321"/>
      <c r="Y78" s="321"/>
      <c r="Z78" s="321"/>
      <c r="AA78" s="321"/>
      <c r="AB78" s="321"/>
      <c r="AC78" s="321"/>
      <c r="AD78" s="321"/>
      <c r="AE78" s="321"/>
      <c r="AG78" s="321"/>
      <c r="AH78" s="321"/>
      <c r="AI78" s="321"/>
      <c r="AJ78" s="321"/>
      <c r="AK78" s="321"/>
      <c r="AM78" s="321"/>
      <c r="AN78" s="321"/>
      <c r="AO78" s="321"/>
      <c r="AP78" s="321"/>
      <c r="AQ78" s="321"/>
      <c r="AR78" s="321"/>
      <c r="AS78" s="321"/>
      <c r="AT78" s="321"/>
      <c r="AV78" s="321"/>
      <c r="AW78" s="321"/>
      <c r="AX78" s="321"/>
      <c r="AY78" s="321"/>
      <c r="AZ78" s="321"/>
      <c r="BA78" s="321"/>
      <c r="BB78" s="321"/>
      <c r="BC78" s="321"/>
      <c r="BD78" s="321"/>
      <c r="BE78" s="321"/>
      <c r="BF78" s="321"/>
      <c r="BG78" s="321"/>
      <c r="BH78" s="321"/>
      <c r="BI78" s="321"/>
    </row>
    <row r="79" spans="1:61" ht="19.5" customHeight="1" x14ac:dyDescent="0.25">
      <c r="A79" s="2"/>
      <c r="B79" s="2"/>
      <c r="C79" s="2"/>
      <c r="D79" s="2"/>
      <c r="E79" s="2"/>
      <c r="F79" s="2"/>
      <c r="G79" s="767" t="s">
        <v>521</v>
      </c>
      <c r="H79" s="696"/>
      <c r="I79" s="696"/>
      <c r="J79" s="696"/>
      <c r="K79" s="696"/>
      <c r="L79" s="696"/>
      <c r="M79" s="792"/>
      <c r="N79" s="2"/>
      <c r="O79" s="2"/>
      <c r="P79" s="2"/>
      <c r="Q79" s="2"/>
      <c r="R79" s="2"/>
      <c r="S79" s="2"/>
      <c r="T79" s="321"/>
      <c r="U79" s="321"/>
      <c r="V79" s="321"/>
      <c r="W79" s="321"/>
      <c r="X79" s="321"/>
      <c r="Y79" s="321"/>
      <c r="Z79" s="321"/>
      <c r="AA79" s="321"/>
      <c r="AB79" s="321"/>
      <c r="AC79" s="321"/>
      <c r="AD79" s="321"/>
      <c r="AE79" s="321"/>
      <c r="AG79" s="321"/>
      <c r="AH79" s="321"/>
      <c r="AI79" s="321"/>
      <c r="AJ79" s="321"/>
      <c r="AK79" s="321"/>
      <c r="AM79" s="321"/>
      <c r="AN79" s="321"/>
      <c r="AO79" s="321"/>
      <c r="AP79" s="321"/>
      <c r="AQ79" s="321"/>
      <c r="AR79" s="321"/>
      <c r="AS79" s="321"/>
      <c r="AT79" s="321"/>
      <c r="AV79" s="321"/>
      <c r="AW79" s="321"/>
      <c r="AX79" s="321"/>
      <c r="AY79" s="321"/>
      <c r="AZ79" s="321"/>
      <c r="BA79" s="321"/>
      <c r="BB79" s="321"/>
      <c r="BC79" s="321"/>
      <c r="BD79" s="321"/>
      <c r="BE79" s="321"/>
      <c r="BF79" s="321"/>
      <c r="BG79" s="321"/>
      <c r="BH79" s="321"/>
      <c r="BI79" s="321"/>
    </row>
    <row r="80" spans="1:61" ht="19.5" customHeight="1" x14ac:dyDescent="0.2">
      <c r="A80" s="2"/>
      <c r="B80" s="2"/>
      <c r="C80" s="2"/>
      <c r="D80" s="2"/>
      <c r="E80" s="2"/>
      <c r="F80" s="2"/>
      <c r="G80" s="769" t="s">
        <v>522</v>
      </c>
      <c r="H80" s="696"/>
      <c r="I80" s="696"/>
      <c r="J80" s="696"/>
      <c r="K80" s="696"/>
      <c r="L80" s="696"/>
      <c r="M80" s="793"/>
      <c r="N80" s="2"/>
      <c r="O80" s="2"/>
      <c r="P80" s="2"/>
      <c r="Q80" s="2"/>
      <c r="R80" s="2"/>
      <c r="S80" s="2"/>
      <c r="T80" s="321"/>
      <c r="U80" s="321"/>
      <c r="V80" s="321"/>
      <c r="W80" s="321"/>
      <c r="X80" s="321"/>
      <c r="Y80" s="321"/>
      <c r="Z80" s="321"/>
      <c r="AA80" s="321"/>
      <c r="AB80" s="321"/>
      <c r="AC80" s="321"/>
      <c r="AD80" s="321"/>
      <c r="AE80" s="321"/>
      <c r="AG80" s="321"/>
      <c r="AH80" s="321"/>
      <c r="AI80" s="321"/>
      <c r="AJ80" s="321"/>
      <c r="AK80" s="321"/>
      <c r="AM80" s="321"/>
      <c r="AN80" s="321"/>
      <c r="AO80" s="321"/>
      <c r="AP80" s="321"/>
      <c r="AQ80" s="321"/>
      <c r="AR80" s="321"/>
      <c r="AS80" s="321"/>
      <c r="AT80" s="321"/>
      <c r="AV80" s="321"/>
      <c r="AW80" s="321"/>
      <c r="AX80" s="321"/>
      <c r="AY80" s="321"/>
      <c r="AZ80" s="321"/>
      <c r="BA80" s="321"/>
      <c r="BB80" s="321"/>
      <c r="BC80" s="321"/>
      <c r="BD80" s="321"/>
      <c r="BE80" s="321"/>
      <c r="BF80" s="321"/>
      <c r="BG80" s="321"/>
      <c r="BH80" s="321"/>
      <c r="BI80" s="321"/>
    </row>
    <row r="81" spans="1:61" ht="21" customHeight="1" x14ac:dyDescent="0.2">
      <c r="A81" s="2"/>
      <c r="B81" s="2"/>
      <c r="C81" s="2"/>
      <c r="D81" s="2"/>
      <c r="E81" s="2"/>
      <c r="F81" s="2"/>
      <c r="G81" s="170" t="s">
        <v>523</v>
      </c>
      <c r="H81" s="696"/>
      <c r="I81" s="696"/>
      <c r="J81" s="696"/>
      <c r="K81" s="696"/>
      <c r="L81" s="696"/>
      <c r="M81" s="794"/>
      <c r="N81" s="2"/>
      <c r="O81" s="2"/>
      <c r="P81" s="2"/>
      <c r="Q81" s="2"/>
      <c r="R81" s="2"/>
      <c r="S81" s="2"/>
      <c r="T81" s="321"/>
      <c r="U81" s="321"/>
      <c r="V81" s="321"/>
      <c r="W81" s="321"/>
      <c r="X81" s="321"/>
      <c r="Y81" s="321"/>
      <c r="Z81" s="321"/>
      <c r="AA81" s="321"/>
      <c r="AB81" s="321"/>
      <c r="AC81" s="321"/>
      <c r="AD81" s="321"/>
      <c r="AE81" s="321"/>
      <c r="AG81" s="321"/>
      <c r="AH81" s="321"/>
      <c r="AI81" s="321"/>
      <c r="AJ81" s="321"/>
      <c r="AK81" s="321"/>
      <c r="AM81" s="321"/>
      <c r="AN81" s="321"/>
      <c r="AO81" s="321"/>
      <c r="AP81" s="321"/>
      <c r="AQ81" s="321"/>
      <c r="AR81" s="321"/>
      <c r="AS81" s="321"/>
      <c r="AT81" s="321"/>
      <c r="AV81" s="321"/>
      <c r="AW81" s="321"/>
      <c r="AX81" s="321"/>
      <c r="AY81" s="321"/>
      <c r="AZ81" s="321"/>
      <c r="BA81" s="321"/>
      <c r="BB81" s="321"/>
      <c r="BC81" s="321"/>
      <c r="BD81" s="321"/>
      <c r="BE81" s="321"/>
      <c r="BF81" s="321"/>
      <c r="BG81" s="321"/>
      <c r="BH81" s="321"/>
      <c r="BI81" s="321"/>
    </row>
    <row r="82" spans="1:61" ht="12" customHeight="1" x14ac:dyDescent="0.2">
      <c r="A82" s="2"/>
      <c r="B82" s="2"/>
      <c r="C82" s="2"/>
      <c r="D82" s="2"/>
      <c r="E82" s="2"/>
      <c r="F82" s="2"/>
      <c r="G82" s="2"/>
      <c r="H82" s="696"/>
      <c r="I82" s="696"/>
      <c r="J82" s="696"/>
      <c r="K82" s="696"/>
      <c r="L82" s="696"/>
      <c r="M82" s="94"/>
      <c r="N82" s="2"/>
      <c r="O82" s="2"/>
      <c r="P82" s="2"/>
      <c r="Q82" s="2"/>
      <c r="R82" s="2"/>
      <c r="S82" s="2"/>
      <c r="T82" s="321"/>
      <c r="U82" s="321"/>
      <c r="V82" s="321"/>
      <c r="W82" s="321"/>
      <c r="X82" s="321"/>
      <c r="Y82" s="321"/>
      <c r="Z82" s="321"/>
      <c r="AA82" s="321"/>
      <c r="AB82" s="321"/>
      <c r="AC82" s="321"/>
      <c r="AD82" s="321"/>
      <c r="AE82" s="321"/>
      <c r="AG82" s="321"/>
      <c r="AH82" s="321"/>
      <c r="AI82" s="321"/>
      <c r="AJ82" s="321"/>
      <c r="AK82" s="321"/>
      <c r="AM82" s="321"/>
      <c r="AN82" s="321"/>
      <c r="AO82" s="321"/>
      <c r="AP82" s="321"/>
      <c r="AQ82" s="321"/>
      <c r="AR82" s="321"/>
      <c r="AS82" s="321"/>
      <c r="AT82" s="321"/>
      <c r="AV82" s="321"/>
      <c r="AW82" s="321"/>
      <c r="AX82" s="321"/>
      <c r="AY82" s="321"/>
      <c r="AZ82" s="321"/>
      <c r="BA82" s="321"/>
      <c r="BB82" s="321"/>
      <c r="BC82" s="321"/>
      <c r="BD82" s="321"/>
      <c r="BE82" s="321"/>
      <c r="BF82" s="321"/>
      <c r="BG82" s="321"/>
      <c r="BH82" s="321"/>
      <c r="BI82" s="321"/>
    </row>
    <row r="83" spans="1:61" ht="15" hidden="1" customHeight="1" x14ac:dyDescent="0.2">
      <c r="A83" s="2"/>
      <c r="B83" s="2"/>
      <c r="C83" s="2"/>
      <c r="D83" s="2"/>
      <c r="E83" s="2"/>
      <c r="F83" s="2"/>
      <c r="G83" s="2"/>
      <c r="H83" s="771">
        <f>IF(ISERROR(G$103),HLOOKUP(L$106,$J$106:$L$106,1,FALSE),HLOOKUP(G$103,$G$97:$I97,1,FALSE))</f>
        <v>3</v>
      </c>
      <c r="I83" s="771">
        <f>IF(ISERROR(H$103),HLOOKUP(K$106,$J$106:$L$106,1,FALSE),HLOOKUP(H$103,$G$97:$I97,1,FALSE))</f>
        <v>2</v>
      </c>
      <c r="J83" s="771">
        <f>IF(ISERROR(I$103),HLOOKUP(J$106,$J$106:$L$106,1,FALSE),HLOOKUP(I$103,$G$97:$I97,1,FALSE))</f>
        <v>1</v>
      </c>
      <c r="K83" s="2"/>
      <c r="L83" s="696"/>
      <c r="M83" s="94"/>
      <c r="N83" s="2"/>
      <c r="O83" s="2"/>
      <c r="P83" s="2"/>
      <c r="Q83" s="2"/>
      <c r="R83" s="2"/>
      <c r="S83" s="2"/>
      <c r="T83" s="321"/>
      <c r="U83" s="321"/>
      <c r="V83" s="321"/>
      <c r="W83" s="321"/>
      <c r="X83" s="321"/>
      <c r="Y83" s="321"/>
      <c r="Z83" s="321"/>
      <c r="AA83" s="321"/>
      <c r="AB83" s="321"/>
      <c r="AC83" s="321"/>
      <c r="AD83" s="321"/>
      <c r="AE83" s="321"/>
      <c r="AG83" s="321"/>
      <c r="AH83" s="321"/>
      <c r="AI83" s="321"/>
      <c r="AJ83" s="321"/>
      <c r="AK83" s="321"/>
      <c r="AM83" s="321"/>
      <c r="AN83" s="321"/>
      <c r="AO83" s="321"/>
      <c r="AP83" s="321"/>
      <c r="AQ83" s="321"/>
      <c r="AR83" s="321"/>
      <c r="AS83" s="321"/>
      <c r="AT83" s="321"/>
      <c r="AV83" s="321"/>
      <c r="AW83" s="321"/>
      <c r="AX83" s="321"/>
      <c r="AY83" s="321"/>
      <c r="AZ83" s="321"/>
      <c r="BA83" s="321"/>
      <c r="BB83" s="321"/>
      <c r="BC83" s="321"/>
      <c r="BD83" s="321"/>
      <c r="BE83" s="321"/>
      <c r="BF83" s="321"/>
      <c r="BG83" s="321"/>
      <c r="BH83" s="321"/>
      <c r="BI83" s="321"/>
    </row>
    <row r="84" spans="1:61" ht="21" hidden="1" customHeight="1" x14ac:dyDescent="0.2">
      <c r="A84" s="2"/>
      <c r="B84" s="2"/>
      <c r="C84" s="2"/>
      <c r="D84" s="2"/>
      <c r="E84" s="2"/>
      <c r="F84" s="2"/>
      <c r="G84" s="2"/>
      <c r="H84" s="772">
        <f>IF(ISERROR(G$103),0,HLOOKUP(G$103,$G$97:$I98,2,FALSE))</f>
        <v>0</v>
      </c>
      <c r="I84" s="772">
        <f>IF(ISERROR(H$103),0,HLOOKUP(H$103,$G$97:$I98,2,FALSE))</f>
        <v>0</v>
      </c>
      <c r="J84" s="772">
        <f>IF(ISERROR(I$103),0,HLOOKUP(I$103,$G$97:$I98,2,FALSE))</f>
        <v>0</v>
      </c>
      <c r="K84" s="2"/>
      <c r="L84" s="696"/>
      <c r="M84" s="94"/>
      <c r="N84" s="2"/>
      <c r="O84" s="2"/>
      <c r="P84" s="2"/>
      <c r="Q84" s="2"/>
      <c r="R84" s="2"/>
      <c r="S84" s="2"/>
      <c r="T84" s="321"/>
      <c r="U84" s="321"/>
      <c r="V84" s="321"/>
      <c r="W84" s="321"/>
      <c r="X84" s="321"/>
      <c r="Y84" s="321"/>
      <c r="Z84" s="321"/>
      <c r="AA84" s="321"/>
      <c r="AB84" s="321"/>
      <c r="AC84" s="321"/>
      <c r="AD84" s="321"/>
      <c r="AE84" s="321"/>
      <c r="AG84" s="321"/>
      <c r="AH84" s="321"/>
      <c r="AI84" s="321"/>
      <c r="AJ84" s="321"/>
      <c r="AK84" s="321"/>
      <c r="AM84" s="321"/>
      <c r="AN84" s="321"/>
      <c r="AO84" s="321"/>
      <c r="AP84" s="321"/>
      <c r="AQ84" s="321"/>
      <c r="AR84" s="321"/>
      <c r="AS84" s="321"/>
      <c r="AT84" s="321"/>
      <c r="AV84" s="321"/>
      <c r="AW84" s="321"/>
      <c r="AX84" s="321"/>
      <c r="AY84" s="321"/>
      <c r="AZ84" s="321"/>
      <c r="BA84" s="321"/>
      <c r="BB84" s="321"/>
      <c r="BC84" s="321"/>
      <c r="BD84" s="321"/>
      <c r="BE84" s="321"/>
      <c r="BF84" s="321"/>
      <c r="BG84" s="321"/>
      <c r="BH84" s="321"/>
      <c r="BI84" s="321"/>
    </row>
    <row r="85" spans="1:61" ht="18" customHeight="1" x14ac:dyDescent="0.2">
      <c r="A85" s="2"/>
      <c r="B85" s="2"/>
      <c r="C85" s="2"/>
      <c r="D85" s="2"/>
      <c r="E85" s="2"/>
      <c r="F85" s="2"/>
      <c r="G85" s="2"/>
      <c r="H85" s="774">
        <f>IF(ISERROR(G$103),HLOOKUP(L$106,$J$106:$L108,3,FALSE),HLOOKUP(G$103,$G$97:$I99,3,FALSE))</f>
        <v>0</v>
      </c>
      <c r="I85" s="775">
        <f>IF(ISERROR(H$103),HLOOKUP(K$106,$J$106:$L108,3,FALSE),HLOOKUP(H$103,$G$97:$I99,3,FALSE))</f>
        <v>0</v>
      </c>
      <c r="J85" s="776">
        <f>IF(ISERROR(I$103),HLOOKUP(J$106,$J$106:$L108,3,FALSE),HLOOKUP(I$103,$G$97:$I99,3,FALSE))</f>
        <v>0</v>
      </c>
      <c r="K85" s="2"/>
      <c r="L85" s="696"/>
      <c r="M85" s="94"/>
      <c r="N85" s="2"/>
      <c r="O85" s="2"/>
      <c r="P85" s="2"/>
      <c r="Q85" s="2"/>
      <c r="R85" s="2"/>
      <c r="S85" s="2"/>
      <c r="T85" s="321"/>
      <c r="U85" s="321"/>
      <c r="V85" s="321"/>
      <c r="W85" s="321"/>
      <c r="X85" s="321"/>
      <c r="Y85" s="321"/>
      <c r="Z85" s="321"/>
      <c r="AA85" s="321"/>
      <c r="AB85" s="321"/>
      <c r="AC85" s="321"/>
      <c r="AD85" s="321"/>
      <c r="AE85" s="321"/>
      <c r="AG85" s="321"/>
      <c r="AH85" s="321"/>
      <c r="AI85" s="321"/>
      <c r="AJ85" s="321"/>
      <c r="AK85" s="321"/>
      <c r="AM85" s="321"/>
      <c r="AN85" s="321"/>
      <c r="AO85" s="321"/>
      <c r="AP85" s="321"/>
      <c r="AQ85" s="321"/>
      <c r="AR85" s="321"/>
      <c r="AS85" s="321"/>
      <c r="AT85" s="321"/>
      <c r="AV85" s="321"/>
      <c r="AW85" s="321"/>
      <c r="AX85" s="321"/>
      <c r="AY85" s="321"/>
      <c r="AZ85" s="321"/>
      <c r="BA85" s="321"/>
      <c r="BB85" s="321"/>
      <c r="BC85" s="321"/>
      <c r="BD85" s="321"/>
      <c r="BE85" s="321"/>
      <c r="BF85" s="321"/>
      <c r="BG85" s="321"/>
      <c r="BH85" s="321"/>
      <c r="BI85" s="321"/>
    </row>
    <row r="86" spans="1:61" ht="18" customHeight="1" x14ac:dyDescent="0.2">
      <c r="A86" s="2"/>
      <c r="B86" s="2"/>
      <c r="C86" s="2"/>
      <c r="D86" s="2"/>
      <c r="E86" s="2"/>
      <c r="F86" s="2"/>
      <c r="G86" s="2"/>
      <c r="H86" s="777">
        <f>IF(ISERROR(G$103),HLOOKUP(L$106,$J$106:$L109,4,FALSE),HLOOKUP(G$103,$G$97:$I100,4,FALSE))</f>
        <v>0</v>
      </c>
      <c r="I86" s="778">
        <f>IF(ISERROR(H$103),HLOOKUP(K$106,$J$106:$L109,4,FALSE),HLOOKUP(H$103,$G$97:$I100,4,FALSE))</f>
        <v>0</v>
      </c>
      <c r="J86" s="779">
        <f>IF(ISERROR(I$103),HLOOKUP(J$106,$J$106:$L109,4,FALSE),HLOOKUP(I$103,$G$97:$I100,4,FALSE))</f>
        <v>0</v>
      </c>
      <c r="K86" s="2"/>
      <c r="L86" s="696"/>
      <c r="M86" s="94"/>
      <c r="N86" s="2"/>
      <c r="O86" s="2"/>
      <c r="P86" s="2"/>
      <c r="Q86" s="2"/>
      <c r="R86" s="2"/>
      <c r="S86" s="2"/>
      <c r="T86" s="321"/>
      <c r="U86" s="321"/>
      <c r="V86" s="321"/>
      <c r="W86" s="321"/>
      <c r="X86" s="321"/>
      <c r="Y86" s="321"/>
      <c r="Z86" s="321"/>
      <c r="AA86" s="321"/>
      <c r="AB86" s="321"/>
      <c r="AC86" s="321"/>
      <c r="AD86" s="321"/>
      <c r="AE86" s="321"/>
      <c r="AG86" s="321"/>
      <c r="AH86" s="321"/>
      <c r="AI86" s="321"/>
      <c r="AJ86" s="321"/>
      <c r="AK86" s="321"/>
      <c r="AM86" s="321"/>
      <c r="AN86" s="321"/>
      <c r="AO86" s="321"/>
      <c r="AP86" s="321"/>
      <c r="AQ86" s="321"/>
      <c r="AR86" s="321"/>
      <c r="AS86" s="321"/>
      <c r="AT86" s="321"/>
      <c r="AV86" s="321"/>
      <c r="AW86" s="321"/>
      <c r="AX86" s="321"/>
      <c r="AY86" s="321"/>
      <c r="AZ86" s="321"/>
      <c r="BA86" s="321"/>
      <c r="BB86" s="321"/>
      <c r="BC86" s="321"/>
      <c r="BD86" s="321"/>
      <c r="BE86" s="321"/>
      <c r="BF86" s="321"/>
      <c r="BG86" s="321"/>
      <c r="BH86" s="321"/>
      <c r="BI86" s="321"/>
    </row>
    <row r="87" spans="1:61" ht="18" customHeight="1" x14ac:dyDescent="0.2">
      <c r="A87" s="2"/>
      <c r="B87" s="2"/>
      <c r="C87" s="2"/>
      <c r="D87" s="2"/>
      <c r="E87" s="2"/>
      <c r="F87" s="2"/>
      <c r="G87" s="2"/>
      <c r="H87" s="780">
        <f>IF(ISERROR(G$103),HLOOKUP(L$106,$J$106:$L110,5,FALSE),HLOOKUP(G$103,$G$97:$I101,5,FALSE))</f>
        <v>0</v>
      </c>
      <c r="I87" s="781">
        <f>IF(ISERROR(H$103),HLOOKUP(K$106,$J$106:$L110,5,FALSE),HLOOKUP(H$103,$G$97:$I101,5,FALSE))</f>
        <v>0</v>
      </c>
      <c r="J87" s="782">
        <f>IF(ISERROR(I$103),HLOOKUP(J$106,$J$106:$L110,5,FALSE),HLOOKUP(I$103,$G$97:$I101,5,FALSE))</f>
        <v>0</v>
      </c>
      <c r="K87" s="2"/>
      <c r="L87" s="696"/>
      <c r="M87" s="94"/>
      <c r="N87" s="2"/>
      <c r="O87" s="2"/>
      <c r="P87" s="2"/>
      <c r="Q87" s="2"/>
      <c r="R87" s="2"/>
      <c r="S87" s="2"/>
      <c r="T87" s="321"/>
      <c r="U87" s="321"/>
      <c r="V87" s="321"/>
      <c r="W87" s="321"/>
      <c r="X87" s="321"/>
      <c r="Y87" s="321"/>
      <c r="Z87" s="321"/>
      <c r="AA87" s="321"/>
      <c r="AB87" s="321"/>
      <c r="AC87" s="321"/>
      <c r="AD87" s="321"/>
      <c r="AE87" s="321"/>
      <c r="AG87" s="321"/>
      <c r="AH87" s="321"/>
      <c r="AI87" s="321"/>
      <c r="AJ87" s="321"/>
      <c r="AK87" s="321"/>
      <c r="AM87" s="321"/>
      <c r="AN87" s="321"/>
      <c r="AO87" s="321"/>
      <c r="AP87" s="321"/>
      <c r="AQ87" s="321"/>
      <c r="AR87" s="321"/>
      <c r="AS87" s="321"/>
      <c r="AT87" s="321"/>
      <c r="AV87" s="321"/>
      <c r="AW87" s="321"/>
      <c r="AX87" s="321"/>
      <c r="AY87" s="321"/>
      <c r="AZ87" s="321"/>
      <c r="BA87" s="321"/>
      <c r="BB87" s="321"/>
      <c r="BC87" s="321"/>
      <c r="BD87" s="321"/>
      <c r="BE87" s="321"/>
      <c r="BF87" s="321"/>
      <c r="BG87" s="321"/>
      <c r="BH87" s="321"/>
      <c r="BI87" s="321"/>
    </row>
    <row r="88" spans="1:61" ht="21" hidden="1" customHeight="1" x14ac:dyDescent="0.2">
      <c r="A88" s="2"/>
      <c r="B88" s="2"/>
      <c r="C88" s="2"/>
      <c r="D88" s="2"/>
      <c r="E88" s="2"/>
      <c r="F88" s="2"/>
      <c r="G88" s="2"/>
      <c r="H88" s="773" t="e">
        <f>IF(ISERROR(G$103),HLOOKUP(L$106,$J$106:$L107,2,FALSE),HLOOKUP(G$103,$G$97:$I104,8,FALSE))</f>
        <v>#N/A</v>
      </c>
      <c r="I88" s="773" t="e">
        <f>IF(ISERROR(H$103),HLOOKUP(K$106,$J$106:$L107,2,FALSE),HLOOKUP(H$103,$G$97:$I104,8,FALSE))</f>
        <v>#N/A</v>
      </c>
      <c r="J88" s="773" t="e">
        <f>IF(ISERROR(I$103),HLOOKUP(J$106,$J$106:$L107,2,FALSE),HLOOKUP(I$103,$G$97:$I104,8,FALSE))</f>
        <v>#N/A</v>
      </c>
      <c r="K88" s="2"/>
      <c r="L88" s="696"/>
      <c r="M88" s="94"/>
      <c r="N88" s="2"/>
      <c r="O88" s="2"/>
      <c r="P88" s="2"/>
      <c r="Q88" s="2"/>
      <c r="R88" s="2"/>
      <c r="S88" s="2"/>
      <c r="T88" s="321"/>
      <c r="U88" s="321"/>
      <c r="V88" s="321"/>
      <c r="W88" s="321"/>
      <c r="X88" s="321"/>
      <c r="Y88" s="321"/>
      <c r="Z88" s="321"/>
      <c r="AA88" s="321"/>
      <c r="AB88" s="321"/>
      <c r="AC88" s="321"/>
      <c r="AD88" s="321"/>
      <c r="AE88" s="321"/>
      <c r="AG88" s="321"/>
      <c r="AH88" s="321"/>
      <c r="AI88" s="321"/>
      <c r="AJ88" s="321"/>
      <c r="AK88" s="321"/>
      <c r="AM88" s="321"/>
      <c r="AN88" s="321"/>
      <c r="AO88" s="321"/>
      <c r="AP88" s="321"/>
      <c r="AQ88" s="321"/>
      <c r="AR88" s="321"/>
      <c r="AS88" s="321"/>
      <c r="AT88" s="321"/>
      <c r="AV88" s="321"/>
      <c r="AW88" s="321"/>
      <c r="AX88" s="321"/>
      <c r="AY88" s="321"/>
      <c r="AZ88" s="321"/>
      <c r="BA88" s="321"/>
      <c r="BB88" s="321"/>
      <c r="BC88" s="321"/>
      <c r="BD88" s="321"/>
      <c r="BE88" s="321"/>
      <c r="BF88" s="321"/>
      <c r="BG88" s="321"/>
      <c r="BH88" s="321"/>
      <c r="BI88" s="321"/>
    </row>
    <row r="89" spans="1:61" ht="4.5" customHeight="1" x14ac:dyDescent="0.2">
      <c r="A89" s="2"/>
      <c r="B89" s="2"/>
      <c r="C89" s="2"/>
      <c r="D89" s="2"/>
      <c r="E89" s="2"/>
      <c r="F89" s="2"/>
      <c r="G89" s="2"/>
      <c r="H89" s="696"/>
      <c r="I89" s="696"/>
      <c r="J89" s="696"/>
      <c r="K89" s="696"/>
      <c r="L89" s="696"/>
      <c r="M89" s="94"/>
      <c r="N89" s="2"/>
      <c r="O89" s="2"/>
      <c r="P89" s="2"/>
      <c r="Q89" s="2"/>
      <c r="R89" s="2"/>
      <c r="S89" s="2"/>
      <c r="T89" s="321"/>
      <c r="U89" s="321"/>
      <c r="V89" s="321"/>
      <c r="W89" s="321"/>
      <c r="X89" s="321"/>
      <c r="Y89" s="321"/>
      <c r="Z89" s="321"/>
      <c r="AA89" s="321"/>
      <c r="AB89" s="321"/>
      <c r="AC89" s="321"/>
      <c r="AD89" s="321"/>
      <c r="AE89" s="321"/>
      <c r="AG89" s="321"/>
      <c r="AH89" s="321"/>
      <c r="AI89" s="321"/>
      <c r="AJ89" s="321"/>
      <c r="AK89" s="321"/>
      <c r="AM89" s="321"/>
      <c r="AN89" s="321"/>
      <c r="AO89" s="321"/>
      <c r="AP89" s="321"/>
      <c r="AQ89" s="321"/>
      <c r="AR89" s="321"/>
      <c r="AS89" s="321"/>
      <c r="AT89" s="321"/>
      <c r="AV89" s="321"/>
      <c r="AW89" s="321"/>
      <c r="AX89" s="321"/>
      <c r="AY89" s="321"/>
      <c r="AZ89" s="321"/>
      <c r="BA89" s="321"/>
      <c r="BB89" s="321"/>
      <c r="BC89" s="321"/>
      <c r="BD89" s="321"/>
      <c r="BE89" s="321"/>
      <c r="BF89" s="321"/>
      <c r="BG89" s="321"/>
      <c r="BH89" s="321"/>
      <c r="BI89" s="321"/>
    </row>
    <row r="90" spans="1:61" ht="18" customHeight="1" x14ac:dyDescent="0.25">
      <c r="A90" s="2"/>
      <c r="B90" s="2"/>
      <c r="C90" s="2"/>
      <c r="D90" s="2"/>
      <c r="E90" s="2"/>
      <c r="F90" s="2"/>
      <c r="G90" s="179" t="s">
        <v>517</v>
      </c>
      <c r="H90" s="783">
        <f>IMPOSTAZIONI!B304</f>
        <v>0</v>
      </c>
      <c r="I90" s="784">
        <f>IMPOSTAZIONI!B305</f>
        <v>0</v>
      </c>
      <c r="J90" s="785">
        <f>IMPOSTAZIONI!B306</f>
        <v>0</v>
      </c>
      <c r="K90" s="786">
        <f>SUM(H90:J90)</f>
        <v>0</v>
      </c>
      <c r="L90" s="42"/>
      <c r="M90" s="94"/>
      <c r="N90" s="2"/>
      <c r="O90" s="2"/>
      <c r="P90" s="2"/>
      <c r="Q90" s="2"/>
      <c r="R90" s="2"/>
      <c r="S90" s="2"/>
      <c r="T90" s="321"/>
      <c r="U90" s="321"/>
      <c r="V90" s="321"/>
      <c r="W90" s="321"/>
      <c r="X90" s="321"/>
      <c r="Y90" s="321"/>
      <c r="Z90" s="321"/>
      <c r="AA90" s="321"/>
      <c r="AB90" s="321"/>
      <c r="AC90" s="321"/>
      <c r="AD90" s="321"/>
      <c r="AE90" s="321"/>
      <c r="AG90" s="321"/>
      <c r="AH90" s="321"/>
      <c r="AI90" s="321"/>
      <c r="AJ90" s="321"/>
      <c r="AK90" s="321"/>
      <c r="AM90" s="321"/>
      <c r="AN90" s="321"/>
      <c r="AO90" s="321"/>
      <c r="AP90" s="321"/>
      <c r="AQ90" s="321"/>
      <c r="AR90" s="321"/>
      <c r="AS90" s="321"/>
      <c r="AT90" s="321"/>
      <c r="AV90" s="321"/>
      <c r="AW90" s="321"/>
      <c r="AX90" s="321"/>
      <c r="AY90" s="321"/>
      <c r="AZ90" s="321"/>
      <c r="BA90" s="321"/>
      <c r="BB90" s="321"/>
      <c r="BC90" s="321"/>
      <c r="BD90" s="321"/>
      <c r="BE90" s="321"/>
      <c r="BF90" s="321"/>
      <c r="BG90" s="321"/>
      <c r="BH90" s="321"/>
      <c r="BI90" s="321"/>
    </row>
    <row r="91" spans="1:61" ht="18" customHeight="1" x14ac:dyDescent="0.2">
      <c r="A91" s="2"/>
      <c r="B91" s="2"/>
      <c r="C91" s="2"/>
      <c r="D91" s="2"/>
      <c r="E91" s="2"/>
      <c r="F91" s="2"/>
      <c r="G91" s="180" t="s">
        <v>518</v>
      </c>
      <c r="H91" s="787">
        <f>IMPOSTAZIONI!G304</f>
        <v>0</v>
      </c>
      <c r="I91" s="788">
        <f>IMPOSTAZIONI!G305</f>
        <v>0</v>
      </c>
      <c r="J91" s="789">
        <f>IMPOSTAZIONI!G306</f>
        <v>0</v>
      </c>
      <c r="K91" s="786">
        <f>SUM(H91:J91)</f>
        <v>0</v>
      </c>
      <c r="L91" s="795"/>
      <c r="M91" s="185"/>
      <c r="N91" s="2"/>
      <c r="O91" s="2"/>
      <c r="P91" s="2"/>
      <c r="Q91" s="2"/>
      <c r="R91" s="2"/>
      <c r="S91" s="2"/>
      <c r="T91" s="321"/>
      <c r="U91" s="321"/>
      <c r="V91" s="321"/>
      <c r="W91" s="321"/>
      <c r="X91" s="321"/>
      <c r="Y91" s="321"/>
      <c r="Z91" s="321"/>
      <c r="AA91" s="321"/>
      <c r="AB91" s="321"/>
      <c r="AC91" s="321"/>
      <c r="AD91" s="321"/>
      <c r="AE91" s="321"/>
      <c r="AG91" s="321"/>
      <c r="AH91" s="321"/>
      <c r="AI91" s="321"/>
      <c r="AJ91" s="321"/>
      <c r="AK91" s="321"/>
      <c r="AM91" s="321"/>
      <c r="AN91" s="321"/>
      <c r="AO91" s="321"/>
      <c r="AP91" s="321"/>
      <c r="AQ91" s="321"/>
      <c r="AR91" s="321"/>
      <c r="AS91" s="321"/>
      <c r="AT91" s="321"/>
      <c r="AV91" s="321"/>
      <c r="AW91" s="321"/>
      <c r="AX91" s="321"/>
      <c r="AY91" s="321"/>
      <c r="AZ91" s="321"/>
      <c r="BA91" s="321"/>
      <c r="BB91" s="321"/>
      <c r="BC91" s="321"/>
      <c r="BD91" s="321"/>
      <c r="BE91" s="321"/>
      <c r="BF91" s="321"/>
      <c r="BG91" s="321"/>
      <c r="BH91" s="321"/>
      <c r="BI91" s="321"/>
    </row>
    <row r="92" spans="1:61" ht="21" customHeight="1" x14ac:dyDescent="0.2">
      <c r="A92" s="2"/>
      <c r="B92" s="2"/>
      <c r="C92" s="2"/>
      <c r="D92" s="2"/>
      <c r="E92" s="2"/>
      <c r="F92" s="2"/>
      <c r="G92" s="2"/>
      <c r="H92" s="2"/>
      <c r="I92" s="2"/>
      <c r="J92" s="2"/>
      <c r="K92" s="2"/>
      <c r="L92" s="2"/>
      <c r="M92" s="2"/>
      <c r="N92" s="2"/>
      <c r="O92" s="2"/>
      <c r="P92" s="2"/>
      <c r="Q92" s="2"/>
      <c r="R92" s="2"/>
      <c r="S92" s="2"/>
      <c r="T92" s="321"/>
      <c r="U92" s="321"/>
      <c r="V92" s="321"/>
      <c r="W92" s="321"/>
      <c r="X92" s="321"/>
      <c r="Y92" s="321"/>
      <c r="Z92" s="321"/>
      <c r="AA92" s="321"/>
      <c r="AB92" s="321"/>
      <c r="AC92" s="321"/>
      <c r="AD92" s="321"/>
      <c r="AE92" s="321"/>
      <c r="AG92" s="321"/>
      <c r="AH92" s="321"/>
      <c r="AI92" s="321"/>
      <c r="AJ92" s="321"/>
      <c r="AK92" s="321"/>
      <c r="AM92" s="321"/>
      <c r="AN92" s="321"/>
      <c r="AO92" s="321"/>
      <c r="AP92" s="321"/>
      <c r="AQ92" s="321"/>
      <c r="AR92" s="321"/>
      <c r="AS92" s="321"/>
      <c r="AT92" s="321"/>
      <c r="AV92" s="321"/>
      <c r="AW92" s="321"/>
      <c r="AX92" s="321"/>
      <c r="AY92" s="321"/>
      <c r="AZ92" s="321"/>
      <c r="BA92" s="321"/>
      <c r="BB92" s="321"/>
      <c r="BC92" s="321"/>
      <c r="BD92" s="321"/>
      <c r="BE92" s="321"/>
      <c r="BF92" s="321"/>
      <c r="BG92" s="321"/>
      <c r="BH92" s="321"/>
      <c r="BI92" s="321"/>
    </row>
    <row r="93" spans="1:61" ht="21" customHeight="1" x14ac:dyDescent="0.2">
      <c r="A93" s="2"/>
      <c r="B93" s="2"/>
      <c r="C93" s="181"/>
      <c r="D93" s="181"/>
      <c r="E93" s="181"/>
      <c r="F93" s="181"/>
      <c r="G93" s="181"/>
      <c r="H93" s="181"/>
      <c r="I93" s="181"/>
      <c r="J93" s="181"/>
      <c r="K93" s="181"/>
      <c r="L93" s="181"/>
      <c r="M93" s="181"/>
      <c r="N93" s="181"/>
      <c r="O93" s="181"/>
      <c r="P93" s="2"/>
      <c r="Q93" s="2"/>
      <c r="R93" s="2"/>
      <c r="S93" s="2"/>
      <c r="T93" s="321"/>
      <c r="U93" s="321"/>
      <c r="V93" s="321"/>
      <c r="W93" s="321"/>
      <c r="X93" s="321"/>
      <c r="Y93" s="321"/>
      <c r="Z93" s="321"/>
      <c r="AA93" s="321"/>
      <c r="AB93" s="321"/>
      <c r="AC93" s="321"/>
      <c r="AD93" s="321"/>
      <c r="AE93" s="321"/>
      <c r="AG93" s="321"/>
      <c r="AH93" s="321"/>
      <c r="AI93" s="321"/>
      <c r="AJ93" s="321"/>
      <c r="AK93" s="321"/>
      <c r="AM93" s="321"/>
      <c r="AN93" s="321"/>
      <c r="AO93" s="321"/>
      <c r="AP93" s="321"/>
      <c r="AQ93" s="321"/>
      <c r="AR93" s="321"/>
      <c r="AS93" s="321"/>
      <c r="AT93" s="321"/>
      <c r="AV93" s="321"/>
      <c r="AW93" s="321"/>
      <c r="AX93" s="321"/>
      <c r="AY93" s="321"/>
      <c r="AZ93" s="321"/>
      <c r="BA93" s="321"/>
      <c r="BB93" s="321"/>
      <c r="BC93" s="321"/>
      <c r="BD93" s="321"/>
      <c r="BE93" s="321"/>
      <c r="BF93" s="321"/>
      <c r="BG93" s="321"/>
      <c r="BH93" s="321"/>
      <c r="BI93" s="321"/>
    </row>
    <row r="94" spans="1:61" ht="13.5" customHeight="1" x14ac:dyDescent="0.2">
      <c r="A94" s="2"/>
      <c r="B94" s="2"/>
      <c r="C94" s="2"/>
      <c r="D94" s="2"/>
      <c r="E94" s="2"/>
      <c r="F94" s="2"/>
      <c r="G94" s="2"/>
      <c r="H94" s="2"/>
      <c r="I94" s="2"/>
      <c r="J94" s="2"/>
      <c r="K94" s="2"/>
      <c r="L94" s="2"/>
      <c r="M94" s="2"/>
      <c r="N94" s="2"/>
      <c r="O94" s="2"/>
      <c r="P94" s="2"/>
      <c r="Q94" s="2"/>
      <c r="R94" s="2"/>
      <c r="S94" s="2"/>
      <c r="T94" s="321"/>
      <c r="U94" s="321"/>
      <c r="V94" s="321"/>
      <c r="W94" s="321"/>
      <c r="X94" s="321"/>
      <c r="Y94" s="321"/>
      <c r="Z94" s="321"/>
      <c r="AA94" s="321"/>
      <c r="AB94" s="321"/>
      <c r="AC94" s="321"/>
      <c r="AD94" s="321"/>
      <c r="AE94" s="321"/>
      <c r="AG94" s="321"/>
      <c r="AH94" s="321"/>
      <c r="AI94" s="321"/>
      <c r="AJ94" s="321"/>
      <c r="AK94" s="321"/>
      <c r="AM94" s="321"/>
      <c r="AN94" s="321"/>
      <c r="AO94" s="321"/>
      <c r="AP94" s="321"/>
      <c r="AQ94" s="321"/>
      <c r="AR94" s="321"/>
      <c r="AS94" s="321"/>
      <c r="AT94" s="321"/>
      <c r="AV94" s="321"/>
      <c r="AW94" s="321"/>
      <c r="AX94" s="321"/>
      <c r="AY94" s="321"/>
      <c r="AZ94" s="321"/>
      <c r="BA94" s="321"/>
      <c r="BB94" s="321"/>
      <c r="BC94" s="321"/>
      <c r="BD94" s="321"/>
      <c r="BE94" s="321"/>
      <c r="BF94" s="321"/>
      <c r="BG94" s="321"/>
      <c r="BH94" s="321"/>
      <c r="BI94" s="321"/>
    </row>
    <row r="95" spans="1:61" ht="18.75" customHeight="1" x14ac:dyDescent="0.2">
      <c r="A95" s="2"/>
      <c r="B95" s="696"/>
      <c r="C95" s="1317" t="str">
        <f>Presentazione!D82</f>
        <v>Questo file risulta al momento completamente funzionante ed il sistema rileva tutti i suoi fogli.</v>
      </c>
      <c r="D95" s="696"/>
      <c r="E95" s="696"/>
      <c r="F95" s="696"/>
      <c r="G95" s="696"/>
      <c r="H95" s="696"/>
      <c r="I95" s="696"/>
      <c r="J95" s="696"/>
      <c r="K95" s="696"/>
      <c r="L95" s="696"/>
      <c r="M95" s="696"/>
      <c r="N95" s="696"/>
      <c r="O95" s="696"/>
      <c r="P95" s="1317"/>
      <c r="Q95" s="2"/>
      <c r="R95" s="2"/>
      <c r="S95" s="321"/>
      <c r="T95" s="321"/>
      <c r="U95" s="321"/>
      <c r="V95" s="321"/>
      <c r="W95" s="321"/>
      <c r="X95" s="321"/>
      <c r="Y95" s="321"/>
      <c r="Z95" s="321"/>
      <c r="AA95" s="321"/>
      <c r="AB95" s="321"/>
      <c r="AC95" s="321"/>
      <c r="AD95" s="321"/>
      <c r="AE95" s="321"/>
      <c r="AG95" s="321"/>
      <c r="AH95" s="321"/>
      <c r="AI95" s="321"/>
      <c r="AJ95" s="321"/>
      <c r="AK95" s="321"/>
      <c r="AM95" s="321"/>
      <c r="AN95" s="321"/>
      <c r="AO95" s="321"/>
      <c r="AP95" s="321"/>
      <c r="AQ95" s="321"/>
      <c r="AR95" s="321"/>
      <c r="AS95" s="321"/>
      <c r="AT95" s="321"/>
      <c r="AV95" s="321"/>
      <c r="AW95" s="321"/>
      <c r="AX95" s="321"/>
      <c r="AY95" s="321"/>
      <c r="AZ95" s="321"/>
      <c r="BA95" s="321"/>
      <c r="BB95" s="321"/>
      <c r="BC95" s="321"/>
      <c r="BD95" s="321"/>
      <c r="BE95" s="321"/>
      <c r="BF95" s="321"/>
      <c r="BG95" s="321"/>
      <c r="BH95" s="321"/>
      <c r="BI95" s="321"/>
    </row>
    <row r="96" spans="1:61" ht="15" hidden="1" customHeight="1" x14ac:dyDescent="0.2">
      <c r="A96" s="2"/>
      <c r="B96" s="2"/>
      <c r="C96" s="2"/>
      <c r="D96" s="2"/>
      <c r="E96" s="2"/>
      <c r="F96" s="2"/>
      <c r="G96" s="2"/>
      <c r="H96" s="2"/>
      <c r="I96" s="2"/>
      <c r="J96" s="2"/>
      <c r="K96" s="2"/>
      <c r="L96" s="2"/>
      <c r="M96" s="2"/>
      <c r="N96" s="2"/>
      <c r="O96" s="2"/>
      <c r="P96" s="2"/>
      <c r="Q96" s="2"/>
      <c r="R96" s="2"/>
      <c r="S96" s="321"/>
      <c r="T96" s="321"/>
      <c r="U96" s="321"/>
      <c r="V96" s="321"/>
      <c r="W96" s="321"/>
      <c r="X96" s="321"/>
      <c r="Y96" s="321"/>
      <c r="Z96" s="321"/>
      <c r="AA96" s="321"/>
      <c r="AB96" s="321"/>
      <c r="AC96" s="321"/>
      <c r="AD96" s="321"/>
      <c r="AE96" s="321"/>
      <c r="AG96" s="321"/>
      <c r="AH96" s="321"/>
      <c r="AI96" s="321"/>
      <c r="AJ96" s="321"/>
      <c r="AK96" s="321"/>
      <c r="AM96" s="321"/>
      <c r="AN96" s="321"/>
      <c r="AO96" s="321"/>
      <c r="AP96" s="321"/>
      <c r="AQ96" s="321"/>
      <c r="AR96" s="321"/>
      <c r="AS96" s="321"/>
      <c r="AT96" s="321"/>
      <c r="AV96" s="321"/>
      <c r="AW96" s="321"/>
      <c r="AX96" s="321"/>
      <c r="AY96" s="321"/>
      <c r="AZ96" s="321"/>
      <c r="BA96" s="321"/>
      <c r="BB96" s="321"/>
      <c r="BC96" s="321"/>
      <c r="BD96" s="321"/>
      <c r="BE96" s="321"/>
      <c r="BF96" s="321"/>
      <c r="BG96" s="321"/>
      <c r="BH96" s="321"/>
      <c r="BI96" s="321"/>
    </row>
    <row r="97" spans="1:61" ht="15.75" hidden="1" customHeight="1" x14ac:dyDescent="0.2">
      <c r="A97" s="2"/>
      <c r="B97" s="2"/>
      <c r="C97" s="2"/>
      <c r="D97" s="2"/>
      <c r="E97" s="2"/>
      <c r="F97" s="2"/>
      <c r="G97" s="738">
        <v>1</v>
      </c>
      <c r="H97" s="739">
        <v>2</v>
      </c>
      <c r="I97" s="740">
        <v>3</v>
      </c>
      <c r="J97" s="2"/>
      <c r="K97" s="2"/>
      <c r="L97" s="2"/>
      <c r="M97" s="2"/>
      <c r="N97" s="2"/>
      <c r="O97" s="2"/>
      <c r="P97" s="2"/>
      <c r="Q97" s="2"/>
      <c r="R97" s="2"/>
      <c r="S97" s="321"/>
      <c r="T97" s="321"/>
      <c r="U97" s="321"/>
      <c r="V97" s="321"/>
      <c r="W97" s="321"/>
      <c r="X97" s="321"/>
      <c r="Y97" s="321"/>
      <c r="Z97" s="321"/>
      <c r="AA97" s="321"/>
      <c r="AB97" s="321"/>
      <c r="AC97" s="321"/>
      <c r="AD97" s="321"/>
      <c r="AE97" s="321"/>
      <c r="AG97" s="321"/>
      <c r="AH97" s="321"/>
      <c r="AI97" s="321"/>
      <c r="AJ97" s="321"/>
      <c r="AK97" s="321"/>
      <c r="AM97" s="321"/>
      <c r="AN97" s="321"/>
      <c r="AO97" s="321"/>
      <c r="AP97" s="321"/>
      <c r="AQ97" s="321"/>
      <c r="AR97" s="321"/>
      <c r="AS97" s="321"/>
      <c r="AT97" s="321"/>
      <c r="AV97" s="321"/>
      <c r="AW97" s="321"/>
      <c r="AX97" s="321"/>
      <c r="AY97" s="321"/>
      <c r="AZ97" s="321"/>
      <c r="BA97" s="321"/>
      <c r="BB97" s="321"/>
      <c r="BC97" s="321"/>
      <c r="BD97" s="321"/>
      <c r="BE97" s="321"/>
      <c r="BF97" s="321"/>
      <c r="BG97" s="321"/>
      <c r="BH97" s="321"/>
      <c r="BI97" s="321"/>
    </row>
    <row r="98" spans="1:61" ht="15.75" hidden="1" customHeight="1" x14ac:dyDescent="0.2">
      <c r="A98" s="2"/>
      <c r="B98" s="2"/>
      <c r="C98" s="2"/>
      <c r="D98" s="2"/>
      <c r="E98" s="2"/>
      <c r="F98" s="2"/>
      <c r="G98" s="713">
        <f>IF(E$99=1,IMPOSTAZIONI!J95,0)</f>
        <v>0</v>
      </c>
      <c r="H98" s="713">
        <f>IF(E$100=1,IMPOSTAZIONI!J103,0)</f>
        <v>0</v>
      </c>
      <c r="I98" s="713">
        <f>IF(E$101=1,IMPOSTAZIONI!J111,0)</f>
        <v>0</v>
      </c>
      <c r="J98" s="2"/>
      <c r="K98" s="2"/>
      <c r="L98" s="2"/>
      <c r="M98" s="2"/>
      <c r="N98" s="2"/>
      <c r="O98" s="2"/>
      <c r="P98" s="2"/>
      <c r="Q98" s="2"/>
      <c r="R98" s="2"/>
      <c r="S98" s="321"/>
      <c r="T98" s="321"/>
      <c r="U98" s="321"/>
      <c r="V98" s="321"/>
      <c r="W98" s="321"/>
      <c r="X98" s="321"/>
      <c r="Y98" s="321"/>
      <c r="Z98" s="321"/>
      <c r="AA98" s="321"/>
      <c r="AB98" s="321"/>
      <c r="AC98" s="321"/>
      <c r="AD98" s="321"/>
      <c r="AF98" s="321"/>
      <c r="AG98" s="321"/>
      <c r="AH98" s="321"/>
      <c r="AI98" s="321"/>
      <c r="AJ98" s="321"/>
      <c r="AL98" s="321"/>
      <c r="AM98" s="321"/>
      <c r="AN98" s="321"/>
      <c r="AO98" s="321"/>
      <c r="AP98" s="321"/>
      <c r="AQ98" s="321"/>
      <c r="AR98" s="321"/>
      <c r="AS98" s="321"/>
      <c r="AU98" s="321"/>
      <c r="AV98" s="321"/>
      <c r="AW98" s="321"/>
      <c r="AX98" s="321"/>
      <c r="AY98" s="321"/>
      <c r="AZ98" s="321"/>
      <c r="BA98" s="321"/>
      <c r="BB98" s="321"/>
      <c r="BC98" s="321"/>
      <c r="BD98" s="321"/>
      <c r="BE98" s="321"/>
      <c r="BF98" s="321"/>
      <c r="BG98" s="321"/>
      <c r="BH98" s="321"/>
    </row>
    <row r="99" spans="1:61" ht="15.75" hidden="1" customHeight="1" x14ac:dyDescent="0.2">
      <c r="A99" s="2"/>
      <c r="B99" s="2"/>
      <c r="C99" s="2"/>
      <c r="D99" s="2"/>
      <c r="E99" s="713">
        <f>IF(IMPOSTAZIONI!U181=0,1,0)</f>
        <v>0</v>
      </c>
      <c r="F99" s="2"/>
      <c r="G99" s="714">
        <f>IF(E$99=1,IMPOSTAZIONI!J97,0)</f>
        <v>0</v>
      </c>
      <c r="H99" s="715">
        <f>IF(E$100=1,IMPOSTAZIONI!J105,0)</f>
        <v>0</v>
      </c>
      <c r="I99" s="716">
        <f>IF(E$101=1,IMPOSTAZIONI!J113,0)</f>
        <v>0</v>
      </c>
      <c r="J99" s="2"/>
      <c r="K99" s="2"/>
      <c r="L99" s="723" t="str">
        <f>Presentazione!$K$158</f>
        <v>disattivato</v>
      </c>
      <c r="M99" s="2"/>
      <c r="N99" s="2"/>
      <c r="O99" s="2"/>
      <c r="P99" s="2"/>
      <c r="Q99" s="2"/>
      <c r="R99" s="2"/>
      <c r="S99" s="321"/>
      <c r="T99" s="321"/>
      <c r="U99" s="321"/>
      <c r="V99" s="321"/>
      <c r="W99" s="321"/>
      <c r="X99" s="321"/>
      <c r="Y99" s="321"/>
      <c r="Z99" s="321"/>
      <c r="AA99" s="321"/>
      <c r="AB99" s="321"/>
      <c r="AC99" s="321"/>
      <c r="AD99" s="321"/>
      <c r="AE99" s="321"/>
      <c r="AG99" s="321"/>
      <c r="AH99" s="321"/>
      <c r="AI99" s="321"/>
      <c r="AJ99" s="321"/>
      <c r="AK99" s="321"/>
      <c r="AM99" s="321"/>
      <c r="AN99" s="321"/>
      <c r="AO99" s="321"/>
      <c r="AP99" s="321"/>
      <c r="AQ99" s="321"/>
      <c r="AR99" s="321"/>
      <c r="AS99" s="321"/>
      <c r="AT99" s="321"/>
      <c r="AV99" s="321"/>
      <c r="AW99" s="321"/>
      <c r="AX99" s="321"/>
      <c r="AY99" s="321"/>
      <c r="AZ99" s="321"/>
      <c r="BA99" s="321"/>
      <c r="BB99" s="321"/>
      <c r="BC99" s="321"/>
      <c r="BD99" s="321"/>
      <c r="BE99" s="321"/>
      <c r="BF99" s="321"/>
      <c r="BG99" s="321"/>
      <c r="BH99" s="321"/>
      <c r="BI99" s="321"/>
    </row>
    <row r="100" spans="1:61" ht="15.75" hidden="1" customHeight="1" x14ac:dyDescent="0.2">
      <c r="A100" s="2"/>
      <c r="B100" s="2"/>
      <c r="C100" s="2"/>
      <c r="D100" s="2"/>
      <c r="E100" s="713">
        <f>IF(IMPOSTAZIONI!U182=0,1,0)</f>
        <v>0</v>
      </c>
      <c r="F100" s="2"/>
      <c r="G100" s="717">
        <f>IF(E$99=1,IMPOSTAZIONI!J98,0)</f>
        <v>0</v>
      </c>
      <c r="H100" s="718">
        <f>IF(E$100=1,IMPOSTAZIONI!J106,0)</f>
        <v>0</v>
      </c>
      <c r="I100" s="719">
        <f>IF(E$101=1,IMPOSTAZIONI!J114,0)</f>
        <v>0</v>
      </c>
      <c r="J100" s="2"/>
      <c r="K100" s="2"/>
      <c r="L100" s="2"/>
      <c r="M100" s="2"/>
      <c r="N100" s="2"/>
      <c r="O100" s="2"/>
      <c r="P100" s="2"/>
      <c r="Q100" s="2"/>
      <c r="R100" s="2"/>
      <c r="S100" s="321"/>
      <c r="T100" s="321"/>
      <c r="U100" s="321"/>
      <c r="V100" s="321"/>
      <c r="W100" s="321"/>
      <c r="X100" s="321"/>
      <c r="Y100" s="321"/>
      <c r="Z100" s="321"/>
      <c r="AA100" s="321"/>
      <c r="AB100" s="321"/>
      <c r="AC100" s="321"/>
      <c r="AD100" s="321"/>
      <c r="AF100" s="321"/>
      <c r="AG100" s="321"/>
      <c r="AH100" s="321"/>
      <c r="AI100" s="321"/>
      <c r="AJ100" s="321"/>
      <c r="AL100" s="321"/>
      <c r="AM100" s="321"/>
      <c r="AN100" s="321"/>
      <c r="AO100" s="321"/>
      <c r="AP100" s="321"/>
      <c r="AQ100" s="321"/>
      <c r="AR100" s="321"/>
      <c r="AS100" s="321"/>
      <c r="AU100" s="321"/>
      <c r="AV100" s="321"/>
      <c r="AW100" s="321"/>
      <c r="AX100" s="321"/>
      <c r="AY100" s="321"/>
      <c r="AZ100" s="321"/>
      <c r="BA100" s="321"/>
      <c r="BB100" s="321"/>
      <c r="BC100" s="321"/>
      <c r="BD100" s="321"/>
      <c r="BE100" s="321"/>
      <c r="BF100" s="321"/>
      <c r="BG100" s="321"/>
      <c r="BH100" s="321"/>
    </row>
    <row r="101" spans="1:61" ht="15.75" hidden="1" customHeight="1" x14ac:dyDescent="0.2">
      <c r="A101" s="2"/>
      <c r="B101" s="2"/>
      <c r="C101" s="2"/>
      <c r="D101" s="2"/>
      <c r="E101" s="713">
        <f>IF(IMPOSTAZIONI!U183=0,1,0)</f>
        <v>0</v>
      </c>
      <c r="F101" s="2"/>
      <c r="G101" s="735">
        <f>IF(E$99=1,IMPOSTAZIONI!J99,0)</f>
        <v>0</v>
      </c>
      <c r="H101" s="736">
        <f>IF(E$100=1,IMPOSTAZIONI!J107,0)</f>
        <v>0</v>
      </c>
      <c r="I101" s="737">
        <f>IF(E$101=1,IMPOSTAZIONI!J115,0)</f>
        <v>0</v>
      </c>
      <c r="J101" s="2"/>
      <c r="K101" s="2"/>
      <c r="L101" s="2"/>
      <c r="M101" s="2"/>
      <c r="N101" s="2"/>
      <c r="O101" s="2"/>
      <c r="P101" s="2"/>
      <c r="Q101" s="2"/>
      <c r="R101" s="2"/>
      <c r="S101" s="321"/>
      <c r="T101" s="321"/>
      <c r="U101" s="321"/>
      <c r="V101" s="321"/>
      <c r="W101" s="321"/>
      <c r="X101" s="321"/>
      <c r="Y101" s="321"/>
      <c r="Z101" s="321"/>
      <c r="AA101" s="321"/>
      <c r="AB101" s="321"/>
      <c r="AC101" s="321"/>
      <c r="AD101" s="321"/>
      <c r="AE101" s="321"/>
      <c r="AG101" s="321"/>
      <c r="AH101" s="321"/>
      <c r="AI101" s="321"/>
      <c r="AJ101" s="321"/>
      <c r="AK101" s="321"/>
      <c r="AM101" s="321"/>
      <c r="AN101" s="321"/>
      <c r="AO101" s="321"/>
      <c r="AP101" s="321"/>
      <c r="AQ101" s="321"/>
      <c r="AR101" s="321"/>
      <c r="AS101" s="321"/>
      <c r="AT101" s="321"/>
      <c r="AV101" s="321"/>
      <c r="AW101" s="321"/>
      <c r="AX101" s="321"/>
      <c r="AY101" s="321"/>
      <c r="AZ101" s="321"/>
      <c r="BA101" s="321"/>
      <c r="BB101" s="321"/>
      <c r="BC101" s="321"/>
      <c r="BD101" s="321"/>
      <c r="BE101" s="321"/>
      <c r="BF101" s="321"/>
      <c r="BG101" s="321"/>
      <c r="BH101" s="321"/>
      <c r="BI101" s="321"/>
    </row>
    <row r="102" spans="1:61" ht="15.75" hidden="1" customHeight="1" x14ac:dyDescent="0.2">
      <c r="A102" s="2"/>
      <c r="B102" s="2"/>
      <c r="C102" s="2"/>
      <c r="D102" s="2"/>
      <c r="E102" s="87"/>
      <c r="F102" s="2"/>
      <c r="G102" s="741">
        <f>IF(G98=0,0,G97)</f>
        <v>0</v>
      </c>
      <c r="H102" s="742">
        <f>IF(H98=0,0,H97)</f>
        <v>0</v>
      </c>
      <c r="I102" s="743">
        <f>IF(I98=0,0,I97)</f>
        <v>0</v>
      </c>
      <c r="J102" s="2"/>
      <c r="K102" s="713" t="str">
        <f>IMPOSTAZIONI!D141</f>
        <v>ESCLUDI</v>
      </c>
      <c r="L102" s="2"/>
      <c r="M102" s="2"/>
      <c r="N102" s="2"/>
      <c r="O102" s="2"/>
      <c r="P102" s="2"/>
      <c r="Q102" s="2"/>
      <c r="R102" s="2"/>
      <c r="S102" s="321"/>
      <c r="T102" s="321"/>
      <c r="U102" s="321"/>
      <c r="V102" s="321"/>
      <c r="W102" s="321"/>
      <c r="X102" s="321"/>
      <c r="Y102" s="321"/>
      <c r="Z102" s="321"/>
      <c r="AA102" s="321"/>
      <c r="AB102" s="321"/>
      <c r="AC102" s="321"/>
      <c r="AD102" s="321"/>
      <c r="AE102" s="321"/>
      <c r="AF102" s="321"/>
      <c r="AG102" s="321"/>
      <c r="AH102" s="321"/>
      <c r="AI102" s="321"/>
      <c r="AK102" s="321"/>
      <c r="AL102" s="321"/>
      <c r="AM102" s="321"/>
      <c r="AN102" s="321"/>
      <c r="AO102" s="321"/>
      <c r="AP102" s="321"/>
      <c r="AQ102" s="321"/>
      <c r="AR102" s="321"/>
      <c r="AT102" s="321"/>
      <c r="AU102" s="321"/>
      <c r="AV102" s="321"/>
      <c r="AW102" s="321"/>
      <c r="AX102" s="321"/>
      <c r="AZ102" s="321"/>
      <c r="BA102" s="321"/>
      <c r="BB102" s="321"/>
      <c r="BC102" s="321"/>
      <c r="BD102" s="321"/>
      <c r="BE102" s="321"/>
      <c r="BF102" s="321"/>
      <c r="BG102" s="321"/>
      <c r="BH102" s="321"/>
    </row>
    <row r="103" spans="1:61" ht="15.75" hidden="1" customHeight="1" x14ac:dyDescent="0.2">
      <c r="A103" s="2"/>
      <c r="B103" s="2"/>
      <c r="C103" s="2"/>
      <c r="D103" s="2"/>
      <c r="E103" s="734">
        <f>COUNTIF(G102:I102,0)</f>
        <v>3</v>
      </c>
      <c r="F103" s="2"/>
      <c r="G103" s="720" t="e">
        <f>SMALL($G102:$I102,$E103+1)</f>
        <v>#NUM!</v>
      </c>
      <c r="H103" s="744" t="e">
        <f>SMALL($G102:$I102,$E103+2)</f>
        <v>#NUM!</v>
      </c>
      <c r="I103" s="722" t="e">
        <f>SMALL($G102:$I102,$E103+3)</f>
        <v>#NUM!</v>
      </c>
      <c r="J103" s="2"/>
      <c r="K103" s="2"/>
      <c r="L103" s="2"/>
      <c r="M103" s="2"/>
      <c r="N103" s="2"/>
      <c r="O103" s="2"/>
      <c r="P103" s="2"/>
      <c r="Q103" s="2"/>
      <c r="R103" s="2"/>
      <c r="S103" s="321"/>
      <c r="T103" s="321"/>
      <c r="U103" s="321"/>
      <c r="V103" s="321"/>
      <c r="W103" s="321"/>
      <c r="X103" s="321"/>
      <c r="Y103" s="321"/>
      <c r="Z103" s="321"/>
      <c r="AA103" s="321"/>
      <c r="AB103" s="321"/>
      <c r="AC103" s="321"/>
      <c r="AD103" s="321"/>
      <c r="AE103" s="321"/>
      <c r="AF103" s="321"/>
      <c r="AG103" s="321"/>
      <c r="AH103" s="321"/>
      <c r="AI103" s="321"/>
      <c r="AK103" s="321"/>
      <c r="AL103" s="321"/>
      <c r="AM103" s="321"/>
      <c r="AN103" s="321"/>
      <c r="AO103" s="321"/>
      <c r="AP103" s="321"/>
      <c r="AQ103" s="321"/>
      <c r="AR103" s="321"/>
      <c r="AT103" s="321"/>
      <c r="AU103" s="321"/>
      <c r="AV103" s="321"/>
      <c r="AW103" s="321"/>
      <c r="AX103" s="321"/>
      <c r="AZ103" s="321"/>
      <c r="BA103" s="321"/>
      <c r="BB103" s="321"/>
      <c r="BC103" s="321"/>
      <c r="BD103" s="321"/>
      <c r="BE103" s="321"/>
      <c r="BF103" s="321"/>
      <c r="BG103" s="321"/>
      <c r="BH103" s="321"/>
    </row>
    <row r="104" spans="1:61" ht="15.75" hidden="1" customHeight="1" x14ac:dyDescent="0.2">
      <c r="A104" s="2"/>
      <c r="B104" s="2"/>
      <c r="C104" s="2"/>
      <c r="D104" s="2"/>
      <c r="E104" s="178"/>
      <c r="F104" s="2"/>
      <c r="G104" s="724">
        <f>IF(E$99=1,CONCATENATE(IF(IMPOSTAZIONI!I97="","..",IMPOSTAZIONI!I97),"-",IF(IMPOSTAZIONI!I98="","..",IMPOSTAZIONI!I98),"-",IF(IMPOSTAZIONI!I99="","..",IMPOSTAZIONI!I99)),0)</f>
        <v>0</v>
      </c>
      <c r="H104" s="725">
        <f>IF(E$100=1,CONCATENATE(IF(IMPOSTAZIONI!I105="","..",IMPOSTAZIONI!I105),"-",IF(IMPOSTAZIONI!I106="","..",IMPOSTAZIONI!I106),"-",IF(IMPOSTAZIONI!I107="","..",IMPOSTAZIONI!I107)),0)</f>
        <v>0</v>
      </c>
      <c r="I104" s="726">
        <f>IF(E$101=1,CONCATENATE(IF(IMPOSTAZIONI!I113="","..",IMPOSTAZIONI!I113),"-",IF(IMPOSTAZIONI!I114="","..",IMPOSTAZIONI!I114),"-",IF(IMPOSTAZIONI!I115="","..",IMPOSTAZIONI!I115)),0)</f>
        <v>0</v>
      </c>
      <c r="J104" s="2"/>
      <c r="K104" s="2"/>
      <c r="L104" s="2"/>
      <c r="M104" s="2"/>
      <c r="N104" s="2"/>
      <c r="O104" s="2"/>
      <c r="P104" s="2"/>
      <c r="Q104" s="2"/>
      <c r="R104" s="2"/>
      <c r="S104" s="321"/>
      <c r="T104" s="321"/>
      <c r="U104" s="321"/>
      <c r="V104" s="321"/>
      <c r="W104" s="321"/>
      <c r="X104" s="321"/>
      <c r="Y104" s="321"/>
      <c r="Z104" s="321"/>
      <c r="AA104" s="321"/>
      <c r="AB104" s="321"/>
      <c r="AC104" s="321"/>
      <c r="AD104" s="321"/>
      <c r="AE104" s="321"/>
      <c r="AG104" s="321"/>
      <c r="AH104" s="321"/>
      <c r="AI104" s="321"/>
      <c r="AJ104" s="321"/>
      <c r="AK104" s="321"/>
      <c r="AM104" s="321"/>
      <c r="AN104" s="321"/>
      <c r="AO104" s="321"/>
      <c r="AP104" s="321"/>
      <c r="AQ104" s="321"/>
      <c r="AR104" s="321"/>
      <c r="AS104" s="321"/>
      <c r="AT104" s="321"/>
      <c r="AV104" s="321"/>
      <c r="AW104" s="321"/>
      <c r="AX104" s="321"/>
      <c r="AY104" s="321"/>
      <c r="AZ104" s="321"/>
      <c r="BA104" s="321"/>
      <c r="BB104" s="321"/>
      <c r="BC104" s="321"/>
      <c r="BD104" s="321"/>
      <c r="BE104" s="321"/>
      <c r="BF104" s="321"/>
      <c r="BG104" s="321"/>
      <c r="BH104" s="321"/>
      <c r="BI104" s="321"/>
    </row>
    <row r="105" spans="1:61" ht="15.75" hidden="1" customHeight="1" x14ac:dyDescent="0.2">
      <c r="A105" s="2"/>
      <c r="B105" s="2"/>
      <c r="C105" s="2"/>
      <c r="D105" s="2"/>
      <c r="E105" s="87"/>
      <c r="F105" s="2"/>
      <c r="G105" s="177"/>
      <c r="H105" s="177"/>
      <c r="I105" s="2"/>
      <c r="J105" s="2"/>
      <c r="K105" s="2"/>
      <c r="L105" s="2"/>
      <c r="M105" s="2"/>
      <c r="N105" s="2"/>
      <c r="O105" s="2"/>
      <c r="P105" s="2"/>
      <c r="Q105" s="2"/>
      <c r="R105" s="2"/>
      <c r="S105" s="321"/>
      <c r="T105" s="321"/>
      <c r="U105" s="321"/>
      <c r="V105" s="321"/>
      <c r="W105" s="321"/>
      <c r="X105" s="321"/>
      <c r="Y105" s="321"/>
      <c r="Z105" s="321"/>
      <c r="AA105" s="321"/>
      <c r="AB105" s="321"/>
      <c r="AC105" s="321"/>
      <c r="AD105" s="321"/>
      <c r="AE105" s="321"/>
      <c r="AG105" s="321"/>
      <c r="AH105" s="321"/>
      <c r="AI105" s="321"/>
      <c r="AJ105" s="321"/>
      <c r="AK105" s="321"/>
      <c r="AM105" s="321"/>
      <c r="AN105" s="321"/>
      <c r="AO105" s="321"/>
      <c r="AP105" s="321"/>
      <c r="AQ105" s="321"/>
      <c r="AR105" s="321"/>
      <c r="AS105" s="321"/>
      <c r="AT105" s="321"/>
      <c r="AV105" s="321"/>
      <c r="AW105" s="321"/>
      <c r="AX105" s="321"/>
      <c r="AY105" s="321"/>
      <c r="AZ105" s="321"/>
      <c r="BA105" s="321"/>
      <c r="BB105" s="321"/>
      <c r="BC105" s="321"/>
      <c r="BD105" s="321"/>
      <c r="BE105" s="321"/>
      <c r="BF105" s="321"/>
      <c r="BG105" s="321"/>
      <c r="BH105" s="321"/>
      <c r="BI105" s="321"/>
    </row>
    <row r="106" spans="1:61" ht="15.75" hidden="1" customHeight="1" x14ac:dyDescent="0.2">
      <c r="A106" s="2"/>
      <c r="B106" s="2"/>
      <c r="C106" s="2"/>
      <c r="D106" s="2"/>
      <c r="E106" s="87"/>
      <c r="F106" s="2"/>
      <c r="G106" s="177"/>
      <c r="H106" s="177"/>
      <c r="I106" s="177"/>
      <c r="J106" s="731">
        <v>1</v>
      </c>
      <c r="K106" s="732">
        <v>2</v>
      </c>
      <c r="L106" s="733">
        <v>3</v>
      </c>
      <c r="M106" s="2"/>
      <c r="N106" s="2"/>
      <c r="O106" s="2"/>
      <c r="P106" s="2"/>
      <c r="Q106" s="2"/>
      <c r="R106" s="2"/>
      <c r="S106" s="321"/>
      <c r="T106" s="321"/>
      <c r="U106" s="321"/>
      <c r="V106" s="321"/>
      <c r="W106" s="321"/>
      <c r="X106" s="321"/>
      <c r="Y106" s="321"/>
      <c r="Z106" s="321"/>
      <c r="AA106" s="321"/>
      <c r="AB106" s="321"/>
      <c r="AC106" s="321"/>
      <c r="AD106" s="321"/>
      <c r="AE106" s="321"/>
      <c r="AG106" s="321"/>
      <c r="AH106" s="321"/>
      <c r="AI106" s="321"/>
      <c r="AJ106" s="321"/>
      <c r="AK106" s="321"/>
      <c r="AM106" s="321"/>
      <c r="AN106" s="321"/>
      <c r="AO106" s="321"/>
      <c r="AP106" s="321"/>
      <c r="AQ106" s="321"/>
      <c r="AR106" s="321"/>
      <c r="AS106" s="321"/>
      <c r="AT106" s="321"/>
      <c r="AV106" s="321"/>
      <c r="AW106" s="321"/>
      <c r="AX106" s="321"/>
      <c r="AY106" s="321"/>
      <c r="AZ106" s="321"/>
      <c r="BA106" s="321"/>
      <c r="BB106" s="321"/>
      <c r="BC106" s="321"/>
      <c r="BD106" s="321"/>
      <c r="BE106" s="321"/>
      <c r="BF106" s="321"/>
      <c r="BG106" s="321"/>
      <c r="BH106" s="321"/>
      <c r="BI106" s="321"/>
    </row>
    <row r="107" spans="1:61" ht="15.75" hidden="1" customHeight="1" x14ac:dyDescent="0.2">
      <c r="A107" s="2"/>
      <c r="B107" s="2"/>
      <c r="C107" s="745">
        <v>1</v>
      </c>
      <c r="D107" s="745">
        <f>IF(I107=0,0,1)</f>
        <v>0</v>
      </c>
      <c r="E107" s="750" t="str">
        <f>IMPOSTAZIONI!B311</f>
        <v/>
      </c>
      <c r="F107" s="696"/>
      <c r="G107" s="756">
        <f>VLOOKUP(E107,IMPOSTAZIONI!$B$311:$AK$320,$E$117,FALSE)</f>
        <v>0</v>
      </c>
      <c r="H107" s="754" t="str">
        <f t="shared" ref="H107:H116" si="64">IF(G107&gt;0,IF(AND(ISERROR(HLOOKUP(E107,G$104:I$104,1,FALSE)),ISERROR(HLOOKUP(E107,G$1:M$1,1,FALSE))),E107,"OK"),"")</f>
        <v/>
      </c>
      <c r="I107" s="757">
        <f>IF(H107="OK",0,IF(H107="",0,1))</f>
        <v>0</v>
      </c>
      <c r="J107" s="713" t="e">
        <f>VLOOKUP(C107,$D$107:$H$116,5,FALSE)</f>
        <v>#N/A</v>
      </c>
      <c r="K107" s="713" t="e">
        <f>VLOOKUP(C108,$D$107:$H$116,5,FALSE)</f>
        <v>#N/A</v>
      </c>
      <c r="L107" s="713" t="e">
        <f>VLOOKUP(C109,$D$107:$H$116,5,FALSE)</f>
        <v>#N/A</v>
      </c>
      <c r="M107" s="2"/>
      <c r="N107" s="2"/>
      <c r="O107" s="2"/>
      <c r="P107" s="2"/>
      <c r="Q107" s="2"/>
      <c r="R107" s="2"/>
      <c r="S107" s="321"/>
      <c r="T107" s="321"/>
      <c r="U107" s="321"/>
      <c r="V107" s="321"/>
      <c r="W107" s="321"/>
      <c r="X107" s="321"/>
      <c r="Y107" s="321"/>
      <c r="Z107" s="321"/>
      <c r="AA107" s="321"/>
      <c r="AB107" s="321"/>
      <c r="AC107" s="321"/>
      <c r="AD107" s="321"/>
      <c r="AE107" s="321"/>
      <c r="AG107" s="321"/>
      <c r="AH107" s="321"/>
      <c r="AI107" s="321"/>
      <c r="AJ107" s="321"/>
      <c r="AK107" s="321"/>
      <c r="AM107" s="321"/>
      <c r="AN107" s="321"/>
      <c r="AO107" s="321"/>
      <c r="AP107" s="321"/>
      <c r="AQ107" s="321"/>
      <c r="AR107" s="321"/>
      <c r="AS107" s="321"/>
      <c r="AT107" s="321"/>
      <c r="AV107" s="321"/>
      <c r="AW107" s="321"/>
      <c r="AX107" s="321"/>
      <c r="AY107" s="321"/>
      <c r="AZ107" s="321"/>
      <c r="BA107" s="321"/>
      <c r="BB107" s="321"/>
      <c r="BC107" s="321"/>
      <c r="BD107" s="321"/>
      <c r="BE107" s="321"/>
      <c r="BF107" s="321"/>
      <c r="BG107" s="321"/>
      <c r="BH107" s="321"/>
      <c r="BI107" s="321"/>
    </row>
    <row r="108" spans="1:61" ht="15.75" hidden="1" customHeight="1" x14ac:dyDescent="0.2">
      <c r="A108" s="2"/>
      <c r="B108" s="2"/>
      <c r="C108" s="746">
        <v>2</v>
      </c>
      <c r="D108" s="748">
        <f>IF(I108=0,0,COUNTIF(D$107:D107,"&gt;0")+1)</f>
        <v>0</v>
      </c>
      <c r="E108" s="751" t="str">
        <f>IMPOSTAZIONI!B312</f>
        <v/>
      </c>
      <c r="F108" s="696"/>
      <c r="G108" s="756">
        <f>VLOOKUP(E108,IMPOSTAZIONI!$B$311:$AK$320,$E$117,FALSE)</f>
        <v>0</v>
      </c>
      <c r="H108" s="754" t="str">
        <f t="shared" si="64"/>
        <v/>
      </c>
      <c r="I108" s="757">
        <f t="shared" ref="I108:I116" si="65">IF(H108="OK",0,IF(H108="",0,1))</f>
        <v>0</v>
      </c>
      <c r="J108" s="714">
        <f>IF(ISERROR(J$107),0,HLOOKUP(J$107,IMPOSTAZIONI!$AB$180:$AH$184,3,FALSE))</f>
        <v>0</v>
      </c>
      <c r="K108" s="714">
        <f>IF(ISERROR(K$107),0,HLOOKUP(K$107,IMPOSTAZIONI!$AB$180:$AH$184,3,FALSE))</f>
        <v>0</v>
      </c>
      <c r="L108" s="715">
        <f>IF(ISERROR(L$107),0,HLOOKUP(L$107,IMPOSTAZIONI!$AB$180:$AH$184,3,FALSE))</f>
        <v>0</v>
      </c>
      <c r="M108" s="2"/>
      <c r="N108" s="2"/>
      <c r="O108" s="2"/>
      <c r="P108" s="2"/>
      <c r="Q108" s="2"/>
      <c r="R108" s="2"/>
      <c r="S108" s="321"/>
      <c r="T108" s="321"/>
      <c r="U108" s="321"/>
      <c r="V108" s="321"/>
      <c r="W108" s="321"/>
      <c r="X108" s="321"/>
      <c r="Y108" s="321"/>
      <c r="Z108" s="321"/>
      <c r="AA108" s="321"/>
      <c r="AB108" s="321"/>
      <c r="AC108" s="321"/>
      <c r="AD108" s="321"/>
      <c r="AE108" s="321"/>
      <c r="AG108" s="321"/>
      <c r="AH108" s="321"/>
      <c r="AI108" s="321"/>
      <c r="AJ108" s="321"/>
      <c r="AK108" s="321"/>
      <c r="AM108" s="321"/>
      <c r="AN108" s="321"/>
      <c r="AO108" s="321"/>
      <c r="AP108" s="321"/>
      <c r="AQ108" s="321"/>
      <c r="AR108" s="321"/>
      <c r="AS108" s="321"/>
      <c r="AT108" s="321"/>
      <c r="AV108" s="321"/>
      <c r="AW108" s="321"/>
      <c r="AX108" s="321"/>
      <c r="AY108" s="321"/>
      <c r="AZ108" s="321"/>
      <c r="BA108" s="321"/>
      <c r="BB108" s="321"/>
      <c r="BC108" s="321"/>
      <c r="BD108" s="321"/>
      <c r="BE108" s="321"/>
      <c r="BF108" s="321"/>
      <c r="BG108" s="321"/>
      <c r="BH108" s="321"/>
      <c r="BI108" s="321"/>
    </row>
    <row r="109" spans="1:61" ht="15.75" hidden="1" customHeight="1" x14ac:dyDescent="0.2">
      <c r="A109" s="2"/>
      <c r="B109" s="2"/>
      <c r="C109" s="747">
        <v>3</v>
      </c>
      <c r="D109" s="748">
        <f>IF(I109=0,0,COUNTIF(D$107:D108,"&gt;0")+1)</f>
        <v>0</v>
      </c>
      <c r="E109" s="751" t="str">
        <f>IMPOSTAZIONI!B313</f>
        <v/>
      </c>
      <c r="F109" s="696"/>
      <c r="G109" s="756">
        <f>VLOOKUP(E109,IMPOSTAZIONI!$B$311:$AK$320,$E$117,FALSE)</f>
        <v>0</v>
      </c>
      <c r="H109" s="754" t="str">
        <f t="shared" si="64"/>
        <v/>
      </c>
      <c r="I109" s="757">
        <f t="shared" si="65"/>
        <v>0</v>
      </c>
      <c r="J109" s="717">
        <f>IF(ISERROR(J$107),0,HLOOKUP(J$107,IMPOSTAZIONI!$AB$180:$AH$184,4,FALSE))</f>
        <v>0</v>
      </c>
      <c r="K109" s="717">
        <f>IF(ISERROR(K$107),0,HLOOKUP(K$107,IMPOSTAZIONI!$AB$180:$AH$184,4,FALSE))</f>
        <v>0</v>
      </c>
      <c r="L109" s="718">
        <f>IF(ISERROR(L$107),0,HLOOKUP(L$107,IMPOSTAZIONI!$AB$180:$AH$184,4,FALSE))</f>
        <v>0</v>
      </c>
      <c r="M109" s="2"/>
      <c r="N109" s="2"/>
      <c r="O109" s="2"/>
      <c r="P109" s="2"/>
      <c r="Q109" s="2"/>
      <c r="R109" s="2"/>
      <c r="S109" s="321"/>
      <c r="T109" s="321"/>
      <c r="U109" s="321"/>
      <c r="V109" s="321"/>
      <c r="W109" s="321"/>
      <c r="X109" s="321"/>
      <c r="Y109" s="321"/>
      <c r="Z109" s="321"/>
      <c r="AA109" s="321"/>
      <c r="AB109" s="321"/>
      <c r="AC109" s="321"/>
      <c r="AD109" s="321"/>
      <c r="AE109" s="321"/>
      <c r="AG109" s="321"/>
      <c r="AH109" s="321"/>
      <c r="AI109" s="321"/>
      <c r="AJ109" s="321"/>
      <c r="AK109" s="321"/>
      <c r="AM109" s="321"/>
      <c r="AN109" s="321"/>
      <c r="AO109" s="321"/>
      <c r="AP109" s="321"/>
      <c r="AQ109" s="321"/>
      <c r="AR109" s="321"/>
      <c r="AS109" s="321"/>
      <c r="AT109" s="321"/>
      <c r="AV109" s="321"/>
      <c r="AW109" s="321"/>
      <c r="AX109" s="321"/>
      <c r="AY109" s="321"/>
      <c r="AZ109" s="321"/>
      <c r="BA109" s="321"/>
      <c r="BB109" s="321"/>
      <c r="BC109" s="321"/>
      <c r="BD109" s="321"/>
      <c r="BE109" s="321"/>
      <c r="BF109" s="321"/>
      <c r="BG109" s="321"/>
      <c r="BH109" s="321"/>
      <c r="BI109" s="321"/>
    </row>
    <row r="110" spans="1:61" ht="15.75" hidden="1" customHeight="1" x14ac:dyDescent="0.2">
      <c r="A110" s="2"/>
      <c r="B110" s="2"/>
      <c r="C110" s="71"/>
      <c r="D110" s="748">
        <f>IF(I110=0,0,COUNTIF(D$107:D109,"&gt;0")+1)</f>
        <v>0</v>
      </c>
      <c r="E110" s="751" t="str">
        <f>IMPOSTAZIONI!B314</f>
        <v/>
      </c>
      <c r="F110" s="696"/>
      <c r="G110" s="756">
        <f>VLOOKUP(E110,IMPOSTAZIONI!$B$311:$AK$320,$E$117,FALSE)</f>
        <v>0</v>
      </c>
      <c r="H110" s="754" t="str">
        <f t="shared" si="64"/>
        <v/>
      </c>
      <c r="I110" s="757">
        <f t="shared" si="65"/>
        <v>0</v>
      </c>
      <c r="J110" s="720">
        <f>IF(ISERROR(J$107),0,HLOOKUP(J$107,IMPOSTAZIONI!$AB$180:$AH$184,5,FALSE))</f>
        <v>0</v>
      </c>
      <c r="K110" s="720">
        <f>IF(ISERROR(K$107),0,HLOOKUP(K$107,IMPOSTAZIONI!$AB$180:$AH$184,5,FALSE))</f>
        <v>0</v>
      </c>
      <c r="L110" s="721">
        <f>IF(ISERROR(L$107),0,HLOOKUP(L$107,IMPOSTAZIONI!$AB$180:$AH$184,5,FALSE))</f>
        <v>0</v>
      </c>
      <c r="M110" s="2"/>
      <c r="N110" s="2"/>
      <c r="O110" s="2"/>
      <c r="P110" s="2"/>
      <c r="Q110" s="2"/>
      <c r="R110" s="2"/>
      <c r="S110" s="321"/>
      <c r="T110" s="321"/>
      <c r="U110" s="321"/>
      <c r="V110" s="321"/>
      <c r="W110" s="321"/>
      <c r="X110" s="321"/>
      <c r="Y110" s="321"/>
      <c r="Z110" s="321"/>
      <c r="AA110" s="321"/>
      <c r="AB110" s="321"/>
      <c r="AC110" s="321"/>
      <c r="AD110" s="321"/>
      <c r="AE110" s="321"/>
      <c r="AG110" s="321"/>
      <c r="AH110" s="321"/>
      <c r="AI110" s="321"/>
      <c r="AJ110" s="321"/>
      <c r="AK110" s="321"/>
      <c r="AM110" s="321"/>
      <c r="AN110" s="321"/>
      <c r="AO110" s="321"/>
      <c r="AP110" s="321"/>
      <c r="AQ110" s="321"/>
      <c r="AR110" s="321"/>
      <c r="AS110" s="321"/>
      <c r="AT110" s="321"/>
      <c r="AV110" s="321"/>
      <c r="AW110" s="321"/>
      <c r="AX110" s="321"/>
      <c r="AY110" s="321"/>
      <c r="AZ110" s="321"/>
      <c r="BA110" s="321"/>
      <c r="BB110" s="321"/>
      <c r="BC110" s="321"/>
      <c r="BD110" s="321"/>
      <c r="BE110" s="321"/>
      <c r="BF110" s="321"/>
      <c r="BG110" s="321"/>
      <c r="BH110" s="321"/>
      <c r="BI110" s="321"/>
    </row>
    <row r="111" spans="1:61" ht="15.75" hidden="1" customHeight="1" x14ac:dyDescent="0.2">
      <c r="A111" s="2"/>
      <c r="B111" s="2"/>
      <c r="C111" s="71"/>
      <c r="D111" s="748">
        <f>IF(I111=0,0,COUNTIF(D$107:D110,"&gt;0")+1)</f>
        <v>0</v>
      </c>
      <c r="E111" s="751" t="str">
        <f>IMPOSTAZIONI!B315</f>
        <v/>
      </c>
      <c r="F111" s="696"/>
      <c r="G111" s="756">
        <f>VLOOKUP(E111,IMPOSTAZIONI!$B$311:$AK$320,$E$117,FALSE)</f>
        <v>0</v>
      </c>
      <c r="H111" s="754" t="str">
        <f t="shared" si="64"/>
        <v/>
      </c>
      <c r="I111" s="757">
        <f t="shared" si="65"/>
        <v>0</v>
      </c>
      <c r="J111" s="824">
        <f>IF(ISERROR(J107),1,0)</f>
        <v>1</v>
      </c>
      <c r="K111" s="824">
        <f t="shared" ref="K111:L111" si="66">IF(ISERROR(K107),1,0)</f>
        <v>1</v>
      </c>
      <c r="L111" s="824">
        <f t="shared" si="66"/>
        <v>1</v>
      </c>
      <c r="M111" s="2"/>
      <c r="N111" s="2"/>
      <c r="O111" s="2"/>
      <c r="P111" s="2"/>
      <c r="Q111" s="2"/>
      <c r="R111" s="2"/>
      <c r="S111" s="321"/>
      <c r="T111" s="321"/>
      <c r="U111" s="321"/>
      <c r="V111" s="321"/>
      <c r="W111" s="321"/>
      <c r="X111" s="321"/>
      <c r="Y111" s="321"/>
      <c r="Z111" s="321"/>
      <c r="AA111" s="321"/>
      <c r="AB111" s="321"/>
      <c r="AC111" s="321"/>
      <c r="AD111" s="321"/>
      <c r="AE111" s="321"/>
      <c r="AG111" s="321"/>
      <c r="AH111" s="321"/>
      <c r="AI111" s="321"/>
      <c r="AJ111" s="321"/>
      <c r="AK111" s="321"/>
      <c r="AM111" s="321"/>
      <c r="AN111" s="321"/>
      <c r="AO111" s="321"/>
      <c r="AP111" s="321"/>
      <c r="AQ111" s="321"/>
      <c r="AR111" s="321"/>
      <c r="AS111" s="321"/>
      <c r="AT111" s="321"/>
      <c r="AV111" s="321"/>
      <c r="AW111" s="321"/>
      <c r="AX111" s="321"/>
      <c r="AY111" s="321"/>
      <c r="AZ111" s="321"/>
      <c r="BA111" s="321"/>
      <c r="BB111" s="321"/>
      <c r="BC111" s="321"/>
      <c r="BD111" s="321"/>
      <c r="BE111" s="321"/>
      <c r="BF111" s="321"/>
      <c r="BG111" s="321"/>
      <c r="BH111" s="321"/>
      <c r="BI111" s="321"/>
    </row>
    <row r="112" spans="1:61" ht="15.75" hidden="1" customHeight="1" x14ac:dyDescent="0.2">
      <c r="A112" s="2"/>
      <c r="B112" s="2"/>
      <c r="C112" s="71"/>
      <c r="D112" s="748">
        <f>IF(I112=0,0,COUNTIF(D$107:D111,"&gt;0")+1)</f>
        <v>0</v>
      </c>
      <c r="E112" s="751" t="str">
        <f>IMPOSTAZIONI!B316</f>
        <v/>
      </c>
      <c r="F112" s="696"/>
      <c r="G112" s="756">
        <f>VLOOKUP(E112,IMPOSTAZIONI!$B$311:$AK$320,$E$117,FALSE)</f>
        <v>0</v>
      </c>
      <c r="H112" s="754" t="str">
        <f t="shared" si="64"/>
        <v/>
      </c>
      <c r="I112" s="757">
        <f t="shared" si="65"/>
        <v>0</v>
      </c>
      <c r="J112" s="728">
        <f>SUM(J111:L111)</f>
        <v>3</v>
      </c>
      <c r="K112" s="825" t="s">
        <v>532</v>
      </c>
      <c r="L112" s="696"/>
      <c r="M112" s="696"/>
      <c r="N112" s="696"/>
      <c r="O112" s="696"/>
      <c r="P112" s="696"/>
      <c r="Q112" s="696"/>
      <c r="R112" s="696"/>
      <c r="S112" s="321"/>
      <c r="T112" s="321"/>
      <c r="U112" s="321"/>
      <c r="V112" s="321"/>
      <c r="W112" s="321"/>
      <c r="X112" s="321"/>
      <c r="AE112" s="321"/>
      <c r="AF112" s="321"/>
      <c r="AG112" s="321"/>
      <c r="AH112" s="321"/>
      <c r="AI112" s="321"/>
      <c r="AJ112" s="321"/>
      <c r="AL112" s="321"/>
      <c r="AM112" s="321"/>
      <c r="AN112" s="321"/>
      <c r="AO112" s="321"/>
      <c r="AP112" s="321"/>
      <c r="AR112" s="321"/>
      <c r="BA112" s="321"/>
    </row>
    <row r="113" spans="1:61" ht="15.75" hidden="1" customHeight="1" x14ac:dyDescent="0.2">
      <c r="A113" s="2"/>
      <c r="B113" s="2"/>
      <c r="C113" s="71"/>
      <c r="D113" s="748">
        <f>IF(I113=0,0,COUNTIF(D$107:D112,"&gt;0")+1)</f>
        <v>0</v>
      </c>
      <c r="E113" s="751" t="str">
        <f>IMPOSTAZIONI!B317</f>
        <v/>
      </c>
      <c r="F113" s="696"/>
      <c r="G113" s="756">
        <f>VLOOKUP(E113,IMPOSTAZIONI!$B$311:$AK$320,$E$117,FALSE)</f>
        <v>0</v>
      </c>
      <c r="H113" s="754" t="str">
        <f t="shared" si="64"/>
        <v/>
      </c>
      <c r="I113" s="757">
        <f t="shared" si="65"/>
        <v>0</v>
      </c>
      <c r="J113" s="2"/>
      <c r="K113" s="696"/>
      <c r="L113" s="696"/>
      <c r="M113" s="696"/>
      <c r="N113" s="696"/>
      <c r="O113" s="696"/>
      <c r="P113" s="696"/>
      <c r="Q113" s="696"/>
      <c r="R113" s="696"/>
      <c r="S113" s="321"/>
      <c r="T113" s="321"/>
      <c r="U113" s="321"/>
      <c r="V113" s="321"/>
      <c r="W113" s="321"/>
      <c r="X113" s="321"/>
      <c r="AE113" s="321"/>
      <c r="AF113" s="321"/>
      <c r="AG113" s="321"/>
      <c r="AH113" s="321"/>
      <c r="AI113" s="321"/>
      <c r="AJ113" s="321"/>
      <c r="AL113" s="321"/>
      <c r="AM113" s="321"/>
      <c r="AN113" s="321"/>
      <c r="AO113" s="321"/>
      <c r="AP113" s="321"/>
      <c r="AR113" s="321"/>
      <c r="BA113" s="321"/>
    </row>
    <row r="114" spans="1:61" ht="15.75" hidden="1" customHeight="1" x14ac:dyDescent="0.2">
      <c r="A114" s="2"/>
      <c r="B114" s="2"/>
      <c r="C114" s="71"/>
      <c r="D114" s="748">
        <f>IF(I114=0,0,COUNTIF(D$107:D113,"&gt;0")+1)</f>
        <v>0</v>
      </c>
      <c r="E114" s="751" t="str">
        <f>IMPOSTAZIONI!B318</f>
        <v/>
      </c>
      <c r="F114" s="696"/>
      <c r="G114" s="756">
        <f>VLOOKUP(E114,IMPOSTAZIONI!$B$311:$AK$320,$E$117,FALSE)</f>
        <v>0</v>
      </c>
      <c r="H114" s="754" t="str">
        <f t="shared" si="64"/>
        <v/>
      </c>
      <c r="I114" s="757">
        <f t="shared" si="65"/>
        <v>0</v>
      </c>
      <c r="J114" s="2"/>
      <c r="K114" s="696"/>
      <c r="L114" s="696"/>
      <c r="M114" s="696"/>
      <c r="N114" s="696"/>
      <c r="O114" s="696"/>
      <c r="P114" s="696"/>
      <c r="Q114" s="696"/>
      <c r="R114" s="696"/>
      <c r="S114" s="321"/>
      <c r="T114" s="321"/>
      <c r="U114" s="321"/>
      <c r="V114" s="321"/>
      <c r="W114" s="321"/>
      <c r="X114" s="321"/>
      <c r="AE114" s="321"/>
      <c r="AF114" s="321"/>
      <c r="AG114" s="321"/>
      <c r="AH114" s="321"/>
      <c r="AI114" s="321"/>
      <c r="AJ114" s="321"/>
      <c r="AL114" s="321"/>
      <c r="AM114" s="321"/>
      <c r="AN114" s="321"/>
      <c r="AO114" s="321"/>
      <c r="AP114" s="321"/>
      <c r="AR114" s="321"/>
      <c r="BA114" s="321"/>
    </row>
    <row r="115" spans="1:61" ht="15.75" hidden="1" customHeight="1" x14ac:dyDescent="0.2">
      <c r="A115" s="2"/>
      <c r="B115" s="2"/>
      <c r="C115" s="71"/>
      <c r="D115" s="748">
        <f>IF(I115=0,0,COUNTIF(D$107:D114,"&gt;0")+1)</f>
        <v>0</v>
      </c>
      <c r="E115" s="751" t="str">
        <f>IMPOSTAZIONI!B319</f>
        <v/>
      </c>
      <c r="F115" s="696"/>
      <c r="G115" s="756">
        <f>VLOOKUP(E115,IMPOSTAZIONI!$B$311:$AK$320,$E$117,FALSE)</f>
        <v>0</v>
      </c>
      <c r="H115" s="754" t="str">
        <f t="shared" si="64"/>
        <v/>
      </c>
      <c r="I115" s="757">
        <f t="shared" si="65"/>
        <v>0</v>
      </c>
      <c r="J115" s="2"/>
      <c r="K115" s="696"/>
      <c r="L115" s="696"/>
      <c r="M115" s="696"/>
      <c r="N115" s="696"/>
      <c r="O115" s="696"/>
      <c r="P115" s="696"/>
      <c r="Q115" s="696"/>
      <c r="R115" s="696"/>
      <c r="S115" s="321"/>
      <c r="T115" s="321"/>
      <c r="U115" s="321"/>
      <c r="V115" s="321"/>
      <c r="W115" s="321"/>
      <c r="X115" s="321"/>
      <c r="AE115" s="321"/>
      <c r="AF115" s="321"/>
      <c r="AG115" s="321"/>
      <c r="AH115" s="321"/>
      <c r="AI115" s="321"/>
      <c r="AJ115" s="321"/>
      <c r="AL115" s="321"/>
      <c r="AM115" s="321"/>
      <c r="AN115" s="321"/>
      <c r="AO115" s="321"/>
      <c r="AP115" s="321"/>
      <c r="AR115" s="321"/>
      <c r="BA115" s="321"/>
    </row>
    <row r="116" spans="1:61" ht="15.75" hidden="1" customHeight="1" x14ac:dyDescent="0.2">
      <c r="A116" s="2"/>
      <c r="B116" s="2"/>
      <c r="C116" s="71"/>
      <c r="D116" s="749">
        <f>IF(I116=0,0,COUNTIF(D$107:D115,"&gt;0")+1)</f>
        <v>0</v>
      </c>
      <c r="E116" s="751" t="str">
        <f>IMPOSTAZIONI!B320</f>
        <v/>
      </c>
      <c r="F116" s="696"/>
      <c r="G116" s="756">
        <f>VLOOKUP(E116,IMPOSTAZIONI!$B$311:$AK$320,$E$117,FALSE)</f>
        <v>0</v>
      </c>
      <c r="H116" s="754" t="str">
        <f t="shared" si="64"/>
        <v/>
      </c>
      <c r="I116" s="757">
        <f t="shared" si="65"/>
        <v>0</v>
      </c>
      <c r="J116" s="2"/>
      <c r="K116" s="696"/>
      <c r="L116" s="696"/>
      <c r="M116" s="696"/>
      <c r="N116" s="696"/>
      <c r="O116" s="696"/>
      <c r="P116" s="696"/>
      <c r="Q116" s="696"/>
      <c r="R116" s="696"/>
      <c r="S116" s="321"/>
      <c r="T116" s="321"/>
      <c r="U116" s="321"/>
      <c r="V116" s="321"/>
      <c r="W116" s="321"/>
      <c r="X116" s="321"/>
      <c r="AE116" s="321"/>
      <c r="AF116" s="321"/>
      <c r="AG116" s="321"/>
      <c r="AH116" s="321"/>
      <c r="AI116" s="321"/>
      <c r="AJ116" s="321"/>
      <c r="AL116" s="321"/>
      <c r="AM116" s="321"/>
      <c r="AN116" s="321"/>
      <c r="AO116" s="321"/>
      <c r="AP116" s="321"/>
      <c r="AR116" s="321"/>
      <c r="BA116" s="321"/>
    </row>
    <row r="117" spans="1:61" ht="15.75" hidden="1" customHeight="1" x14ac:dyDescent="0.2">
      <c r="A117" s="2"/>
      <c r="B117" s="2"/>
      <c r="C117" s="2"/>
      <c r="D117" s="2"/>
      <c r="E117" s="752">
        <v>21</v>
      </c>
      <c r="F117" s="696"/>
      <c r="G117" s="754" t="str">
        <f>IF(MAX(D107:D116)&gt;C109,E130,"")</f>
        <v/>
      </c>
      <c r="H117" s="755">
        <f>IF((MAX(D107:D116)+3-E103)&gt;3,E130,MAX(D107:D116))</f>
        <v>0</v>
      </c>
      <c r="I117" s="177"/>
      <c r="J117" s="696"/>
      <c r="K117" s="696"/>
      <c r="L117" s="696"/>
      <c r="M117" s="696"/>
      <c r="N117" s="696"/>
      <c r="O117" s="696"/>
      <c r="P117" s="696"/>
      <c r="Q117" s="696"/>
      <c r="R117" s="696"/>
      <c r="S117" s="321"/>
      <c r="T117" s="321"/>
      <c r="U117" s="321"/>
      <c r="V117" s="321"/>
      <c r="W117" s="321"/>
      <c r="X117" s="321"/>
      <c r="Y117" s="321"/>
      <c r="Z117" s="321"/>
      <c r="AA117" s="321"/>
      <c r="AB117" s="321"/>
      <c r="AC117" s="321"/>
      <c r="AD117" s="321"/>
      <c r="AE117" s="321"/>
      <c r="AG117" s="321"/>
      <c r="AH117" s="321"/>
      <c r="AI117" s="321"/>
      <c r="AJ117" s="321"/>
      <c r="AK117" s="321"/>
      <c r="AM117" s="321"/>
      <c r="AN117" s="321"/>
      <c r="AO117" s="321"/>
      <c r="AP117" s="321"/>
      <c r="AQ117" s="321"/>
      <c r="AR117" s="321"/>
      <c r="AS117" s="321"/>
      <c r="AT117" s="321"/>
      <c r="AV117" s="321"/>
      <c r="AW117" s="321"/>
      <c r="AX117" s="321"/>
      <c r="AY117" s="321"/>
      <c r="AZ117" s="321"/>
      <c r="BA117" s="321"/>
      <c r="BB117" s="321"/>
      <c r="BC117" s="321"/>
      <c r="BD117" s="321"/>
      <c r="BE117" s="321"/>
      <c r="BF117" s="321"/>
      <c r="BG117" s="321"/>
      <c r="BH117" s="321"/>
      <c r="BI117" s="321"/>
    </row>
    <row r="118" spans="1:61" ht="21" hidden="1" customHeight="1" x14ac:dyDescent="0.2">
      <c r="A118" s="2"/>
      <c r="B118" s="2"/>
      <c r="C118" s="2"/>
      <c r="D118" s="2"/>
      <c r="E118" s="2"/>
      <c r="F118" s="696"/>
      <c r="G118" s="753">
        <f t="shared" ref="G118:M118" si="67">IF(AND(G120&gt;0,OR(G68&lt;&gt;"OK",G74&lt;&gt;"OK")),1,0)</f>
        <v>0</v>
      </c>
      <c r="H118" s="753">
        <f t="shared" si="67"/>
        <v>0</v>
      </c>
      <c r="I118" s="730">
        <f t="shared" si="67"/>
        <v>0</v>
      </c>
      <c r="J118" s="730">
        <f t="shared" si="67"/>
        <v>0</v>
      </c>
      <c r="K118" s="730">
        <f t="shared" si="67"/>
        <v>0</v>
      </c>
      <c r="L118" s="730">
        <f t="shared" si="67"/>
        <v>0</v>
      </c>
      <c r="M118" s="730">
        <f t="shared" si="67"/>
        <v>0</v>
      </c>
      <c r="N118" s="2"/>
      <c r="O118" s="2"/>
      <c r="P118" s="2"/>
      <c r="Q118" s="2"/>
      <c r="R118" s="2"/>
      <c r="S118" s="321"/>
      <c r="T118" s="321"/>
      <c r="U118" s="321"/>
      <c r="V118" s="321"/>
      <c r="W118" s="321"/>
      <c r="X118" s="321"/>
      <c r="Y118" s="321"/>
      <c r="Z118" s="321"/>
      <c r="AA118" s="321"/>
      <c r="AB118" s="321"/>
      <c r="AC118" s="321"/>
      <c r="AD118" s="321"/>
      <c r="AE118" s="321"/>
      <c r="AG118" s="321"/>
      <c r="AH118" s="321"/>
      <c r="AI118" s="321"/>
      <c r="AJ118" s="321"/>
      <c r="AK118" s="321"/>
      <c r="AM118" s="321"/>
      <c r="AN118" s="321"/>
      <c r="AO118" s="321"/>
      <c r="AP118" s="321"/>
      <c r="AQ118" s="321"/>
      <c r="AR118" s="321"/>
      <c r="AS118" s="321"/>
      <c r="AT118" s="321"/>
      <c r="AV118" s="321"/>
      <c r="AW118" s="321"/>
      <c r="AX118" s="321"/>
      <c r="AY118" s="321"/>
      <c r="AZ118" s="321"/>
      <c r="BA118" s="321"/>
      <c r="BB118" s="321"/>
      <c r="BC118" s="321"/>
      <c r="BD118" s="321"/>
      <c r="BE118" s="321"/>
      <c r="BF118" s="321"/>
      <c r="BG118" s="321"/>
      <c r="BH118" s="321"/>
      <c r="BI118" s="321"/>
    </row>
    <row r="119" spans="1:61" ht="21" hidden="1" customHeight="1" x14ac:dyDescent="0.2">
      <c r="A119" s="2"/>
      <c r="B119" s="2"/>
      <c r="C119" s="2"/>
      <c r="D119" s="2"/>
      <c r="E119" s="2"/>
      <c r="F119" s="696"/>
      <c r="G119" s="2034" t="str">
        <f>IMPOSTAZIONI!Y412</f>
        <v>Hai delle colonne PERCENTUALI DIVERSE che devi calcolare manualmente qui.</v>
      </c>
      <c r="H119" s="2035"/>
      <c r="I119" s="2035"/>
      <c r="J119" s="2035"/>
      <c r="K119" s="2035"/>
      <c r="L119" s="2035"/>
      <c r="M119" s="2036"/>
      <c r="N119" s="70"/>
      <c r="O119" s="70"/>
      <c r="P119" s="2"/>
      <c r="Q119" s="2"/>
      <c r="R119" s="2"/>
      <c r="S119" s="321"/>
      <c r="T119" s="321"/>
      <c r="U119" s="321"/>
      <c r="V119" s="321"/>
      <c r="W119" s="321"/>
      <c r="X119" s="321"/>
      <c r="Y119" s="321"/>
      <c r="Z119" s="321"/>
      <c r="AA119" s="321"/>
      <c r="AB119" s="321"/>
      <c r="AC119" s="321"/>
      <c r="AD119" s="321"/>
      <c r="AE119" s="321"/>
      <c r="AG119" s="321"/>
      <c r="AH119" s="321"/>
      <c r="AI119" s="321"/>
      <c r="AJ119" s="321"/>
      <c r="AK119" s="321"/>
      <c r="AM119" s="321"/>
      <c r="AN119" s="321"/>
      <c r="AO119" s="321"/>
      <c r="AP119" s="321"/>
      <c r="AQ119" s="321"/>
      <c r="AR119" s="321"/>
      <c r="AS119" s="321"/>
      <c r="AT119" s="321"/>
      <c r="AV119" s="321"/>
      <c r="AW119" s="321"/>
      <c r="AX119" s="321"/>
      <c r="AY119" s="321"/>
      <c r="AZ119" s="321"/>
      <c r="BA119" s="321"/>
      <c r="BB119" s="321"/>
      <c r="BC119" s="321"/>
      <c r="BD119" s="321"/>
      <c r="BE119" s="321"/>
      <c r="BF119" s="321"/>
      <c r="BG119" s="321"/>
      <c r="BH119" s="321"/>
      <c r="BI119" s="321"/>
    </row>
    <row r="120" spans="1:61" ht="21" hidden="1" customHeight="1" x14ac:dyDescent="0.2">
      <c r="A120" s="2"/>
      <c r="B120" s="2"/>
      <c r="C120" s="2"/>
      <c r="D120" s="728">
        <f>SUM(G120:M120)</f>
        <v>0</v>
      </c>
      <c r="E120" s="729" t="str">
        <f>IMPOSTAZIONI!J413</f>
        <v>INSERISCI</v>
      </c>
      <c r="F120" s="696"/>
      <c r="G120" s="727">
        <f>IF(G123="X",1,0)</f>
        <v>0</v>
      </c>
      <c r="H120" s="727">
        <f t="shared" ref="H120:M120" si="68">IF(H123="X",1,0)</f>
        <v>0</v>
      </c>
      <c r="I120" s="727">
        <f t="shared" si="68"/>
        <v>0</v>
      </c>
      <c r="J120" s="727">
        <f t="shared" si="68"/>
        <v>0</v>
      </c>
      <c r="K120" s="727">
        <f t="shared" si="68"/>
        <v>0</v>
      </c>
      <c r="L120" s="727">
        <f t="shared" si="68"/>
        <v>0</v>
      </c>
      <c r="M120" s="727">
        <f t="shared" si="68"/>
        <v>0</v>
      </c>
      <c r="N120" s="729" t="str">
        <f>IMPOSTAZIONI!M413</f>
        <v>VERIFICA</v>
      </c>
      <c r="O120" s="729" t="str">
        <f>IMPOSTAZIONI!P413</f>
        <v>CANCELLA</v>
      </c>
      <c r="P120" s="2"/>
      <c r="Q120" s="2"/>
      <c r="R120" s="2"/>
      <c r="S120" s="321"/>
      <c r="T120" s="321"/>
      <c r="U120" s="321"/>
      <c r="V120" s="321"/>
      <c r="W120" s="321"/>
      <c r="X120" s="321"/>
      <c r="Y120" s="321"/>
      <c r="Z120" s="321"/>
      <c r="AA120" s="321"/>
      <c r="AB120" s="321"/>
      <c r="AC120" s="321"/>
      <c r="AD120" s="321"/>
      <c r="AE120" s="321"/>
      <c r="AG120" s="321"/>
      <c r="AH120" s="321"/>
      <c r="AI120" s="321"/>
      <c r="AJ120" s="321"/>
      <c r="AK120" s="321"/>
      <c r="AM120" s="321"/>
      <c r="AN120" s="321"/>
      <c r="AO120" s="321"/>
      <c r="AP120" s="321"/>
      <c r="AQ120" s="321"/>
      <c r="AR120" s="321"/>
      <c r="AS120" s="321"/>
      <c r="AT120" s="321"/>
      <c r="AV120" s="321"/>
      <c r="AW120" s="321"/>
      <c r="AX120" s="321"/>
      <c r="AY120" s="321"/>
      <c r="AZ120" s="321"/>
      <c r="BA120" s="321"/>
      <c r="BB120" s="321"/>
      <c r="BC120" s="321"/>
      <c r="BD120" s="321"/>
      <c r="BE120" s="321"/>
      <c r="BF120" s="321"/>
      <c r="BG120" s="321"/>
      <c r="BH120" s="321"/>
      <c r="BI120" s="321"/>
    </row>
    <row r="121" spans="1:61" ht="18.75" hidden="1" customHeight="1" x14ac:dyDescent="0.2">
      <c r="A121" s="2"/>
      <c r="B121" s="2"/>
      <c r="C121" s="2"/>
      <c r="D121" s="2"/>
      <c r="E121" s="2"/>
      <c r="F121" s="696"/>
      <c r="G121" s="838" t="str">
        <f>MID(G1,4,2)</f>
        <v>..</v>
      </c>
      <c r="H121" s="838" t="str">
        <f t="shared" ref="H121:M121" si="69">MID(H1,4,2)</f>
        <v>..</v>
      </c>
      <c r="I121" s="838" t="str">
        <f t="shared" si="69"/>
        <v>..</v>
      </c>
      <c r="J121" s="838" t="str">
        <f t="shared" si="69"/>
        <v>..</v>
      </c>
      <c r="K121" s="838" t="str">
        <f t="shared" si="69"/>
        <v>..</v>
      </c>
      <c r="L121" s="838" t="str">
        <f t="shared" si="69"/>
        <v>..</v>
      </c>
      <c r="M121" s="838" t="str">
        <f t="shared" si="69"/>
        <v>..</v>
      </c>
      <c r="N121" s="710" t="s">
        <v>257</v>
      </c>
      <c r="O121" s="2"/>
      <c r="P121" s="2"/>
      <c r="Q121" s="2"/>
      <c r="R121" s="2"/>
      <c r="S121" s="321"/>
      <c r="T121" s="321"/>
      <c r="U121" s="321"/>
      <c r="V121" s="321"/>
      <c r="W121" s="321"/>
      <c r="X121" s="321"/>
      <c r="Y121" s="321"/>
      <c r="Z121" s="321"/>
      <c r="AA121" s="321"/>
      <c r="AB121" s="321"/>
      <c r="AC121" s="321"/>
      <c r="AD121" s="321"/>
      <c r="AE121" s="321"/>
      <c r="AG121" s="321"/>
      <c r="AH121" s="321"/>
      <c r="AI121" s="321"/>
      <c r="AJ121" s="321"/>
      <c r="AK121" s="321"/>
      <c r="AM121" s="321"/>
      <c r="AN121" s="321"/>
      <c r="AO121" s="321"/>
      <c r="AP121" s="321"/>
      <c r="AQ121" s="321"/>
      <c r="AR121" s="321"/>
      <c r="AS121" s="321"/>
      <c r="AT121" s="321"/>
      <c r="AV121" s="321"/>
      <c r="AW121" s="321"/>
      <c r="AX121" s="321"/>
      <c r="AY121" s="321"/>
      <c r="AZ121" s="321"/>
      <c r="BA121" s="321"/>
      <c r="BB121" s="321"/>
      <c r="BC121" s="321"/>
      <c r="BD121" s="321"/>
      <c r="BE121" s="321"/>
      <c r="BF121" s="321"/>
      <c r="BG121" s="321"/>
      <c r="BH121" s="321"/>
      <c r="BI121" s="321"/>
    </row>
    <row r="122" spans="1:61" ht="16.5" hidden="1" customHeight="1" x14ac:dyDescent="0.2">
      <c r="A122" s="2"/>
      <c r="B122" s="2"/>
      <c r="C122" s="2"/>
      <c r="D122" s="2"/>
      <c r="E122" s="2"/>
      <c r="F122" s="696"/>
      <c r="G122" s="705">
        <f t="shared" ref="G122:M122" si="70">G48</f>
        <v>0</v>
      </c>
      <c r="H122" s="705">
        <f t="shared" si="70"/>
        <v>0</v>
      </c>
      <c r="I122" s="705">
        <f t="shared" si="70"/>
        <v>0</v>
      </c>
      <c r="J122" s="705">
        <f t="shared" si="70"/>
        <v>0</v>
      </c>
      <c r="K122" s="705">
        <f t="shared" si="70"/>
        <v>0</v>
      </c>
      <c r="L122" s="705">
        <f t="shared" si="70"/>
        <v>0</v>
      </c>
      <c r="M122" s="705">
        <f t="shared" si="70"/>
        <v>0</v>
      </c>
      <c r="N122" s="2"/>
      <c r="O122" s="2"/>
      <c r="P122" s="2"/>
      <c r="Q122" s="2"/>
      <c r="R122" s="2"/>
      <c r="S122" s="321"/>
      <c r="T122" s="321"/>
      <c r="U122" s="321"/>
      <c r="V122" s="321"/>
      <c r="W122" s="321"/>
      <c r="X122" s="321"/>
      <c r="Y122" s="321"/>
      <c r="Z122" s="321"/>
      <c r="AA122" s="321"/>
      <c r="AB122" s="321"/>
      <c r="AC122" s="321"/>
      <c r="AD122" s="321"/>
      <c r="AE122" s="321"/>
      <c r="AG122" s="321"/>
      <c r="AH122" s="321"/>
      <c r="AI122" s="321"/>
      <c r="AJ122" s="321"/>
      <c r="AK122" s="321"/>
      <c r="AM122" s="321"/>
      <c r="AN122" s="321"/>
      <c r="AO122" s="321"/>
      <c r="AP122" s="321"/>
      <c r="AQ122" s="321"/>
      <c r="AR122" s="321"/>
      <c r="AS122" s="321"/>
      <c r="AT122" s="321"/>
      <c r="AV122" s="321"/>
      <c r="AW122" s="321"/>
      <c r="AX122" s="321"/>
      <c r="AY122" s="321"/>
      <c r="AZ122" s="321"/>
      <c r="BA122" s="321"/>
      <c r="BB122" s="321"/>
      <c r="BC122" s="321"/>
      <c r="BD122" s="321"/>
      <c r="BE122" s="321"/>
      <c r="BF122" s="321"/>
      <c r="BG122" s="321"/>
      <c r="BH122" s="321"/>
      <c r="BI122" s="321"/>
    </row>
    <row r="123" spans="1:61" ht="15" hidden="1" customHeight="1" x14ac:dyDescent="0.2">
      <c r="A123" s="2"/>
      <c r="B123" s="2"/>
      <c r="C123" s="2"/>
      <c r="D123" s="2"/>
      <c r="E123" s="2"/>
      <c r="F123" s="696"/>
      <c r="G123" s="706">
        <f>IF(G124="",0,VLOOKUP(G124,IMPOSTAZIONI!$R$132:$AD$141,13,FALSE))</f>
        <v>0</v>
      </c>
      <c r="H123" s="706">
        <f>IF(H124="",0,VLOOKUP(H124,IMPOSTAZIONI!$R$132:$AD$141,13,FALSE))</f>
        <v>0</v>
      </c>
      <c r="I123" s="706">
        <f>IF(I124="",0,VLOOKUP(I124,IMPOSTAZIONI!$R$132:$AD$141,13,FALSE))</f>
        <v>0</v>
      </c>
      <c r="J123" s="706">
        <f>IF(J124="",0,VLOOKUP(J124,IMPOSTAZIONI!$R$132:$AD$141,13,FALSE))</f>
        <v>0</v>
      </c>
      <c r="K123" s="706">
        <f>IF(K124="",0,VLOOKUP(K124,IMPOSTAZIONI!$R$132:$AD$141,13,FALSE))</f>
        <v>0</v>
      </c>
      <c r="L123" s="706">
        <f>IF(L124="",0,VLOOKUP(L124,IMPOSTAZIONI!$R$132:$AD$141,13,FALSE))</f>
        <v>0</v>
      </c>
      <c r="M123" s="706">
        <f>IF(M124="",0,VLOOKUP(M124,IMPOSTAZIONI!$R$132:$AD$141,13,FALSE))</f>
        <v>0</v>
      </c>
      <c r="N123" s="2"/>
      <c r="O123" s="2"/>
      <c r="P123" s="2"/>
      <c r="Q123" s="2"/>
      <c r="R123" s="2"/>
      <c r="S123" s="321"/>
      <c r="T123" s="321"/>
      <c r="U123" s="321"/>
      <c r="V123" s="321"/>
      <c r="W123" s="321"/>
      <c r="X123" s="321"/>
      <c r="Y123" s="321"/>
      <c r="Z123" s="321"/>
      <c r="AA123" s="321"/>
      <c r="AB123" s="321"/>
      <c r="AC123" s="321"/>
      <c r="AD123" s="321"/>
      <c r="AE123" s="321"/>
      <c r="AG123" s="321"/>
      <c r="AH123" s="321"/>
      <c r="AI123" s="321"/>
      <c r="AJ123" s="321"/>
      <c r="AK123" s="321"/>
      <c r="AM123" s="321"/>
      <c r="AN123" s="321"/>
      <c r="AO123" s="321"/>
      <c r="AP123" s="321"/>
      <c r="AQ123" s="321"/>
      <c r="AR123" s="321"/>
      <c r="AS123" s="321"/>
      <c r="AT123" s="321"/>
      <c r="AV123" s="321"/>
      <c r="AW123" s="321"/>
      <c r="AX123" s="321"/>
      <c r="AY123" s="321"/>
      <c r="AZ123" s="321"/>
      <c r="BA123" s="321"/>
      <c r="BB123" s="321"/>
      <c r="BC123" s="321"/>
      <c r="BD123" s="321"/>
      <c r="BE123" s="321"/>
      <c r="BF123" s="321"/>
      <c r="BG123" s="321"/>
      <c r="BH123" s="321"/>
      <c r="BI123" s="321"/>
    </row>
    <row r="124" spans="1:61" ht="15" hidden="1" customHeight="1" x14ac:dyDescent="0.2">
      <c r="A124" s="2"/>
      <c r="B124" s="2"/>
      <c r="C124" s="2"/>
      <c r="D124" s="803" t="str">
        <f>IMPOSTAZIONI!X16</f>
        <v>SC</v>
      </c>
      <c r="E124" s="803" t="str">
        <f>IMPOSTAZIONI!W141</f>
        <v>X</v>
      </c>
      <c r="F124" s="696"/>
      <c r="G124" s="803" t="str">
        <f>IMPOSTAZIONI!F209</f>
        <v/>
      </c>
      <c r="H124" s="803" t="str">
        <f>IMPOSTAZIONI!K209</f>
        <v/>
      </c>
      <c r="I124" s="803" t="str">
        <f>IMPOSTAZIONI!P209</f>
        <v/>
      </c>
      <c r="J124" s="803" t="str">
        <f>IMPOSTAZIONI!U209</f>
        <v/>
      </c>
      <c r="K124" s="803" t="str">
        <f>IMPOSTAZIONI!Z209</f>
        <v/>
      </c>
      <c r="L124" s="803" t="str">
        <f>IMPOSTAZIONI!AE209</f>
        <v/>
      </c>
      <c r="M124" s="803" t="str">
        <f>IMPOSTAZIONI!AJ209</f>
        <v/>
      </c>
      <c r="N124" s="710" t="s">
        <v>257</v>
      </c>
      <c r="O124" s="711"/>
      <c r="P124" s="2"/>
      <c r="Q124" s="2"/>
      <c r="R124" s="2"/>
      <c r="S124" s="321"/>
      <c r="T124" s="321"/>
      <c r="U124" s="321"/>
      <c r="V124" s="321"/>
      <c r="W124" s="321"/>
      <c r="X124" s="321"/>
      <c r="Y124" s="321"/>
      <c r="Z124" s="321"/>
      <c r="AA124" s="321"/>
      <c r="AB124" s="321"/>
      <c r="AC124" s="321"/>
      <c r="AD124" s="321"/>
      <c r="AE124" s="321"/>
      <c r="AG124" s="321"/>
      <c r="AH124" s="321"/>
      <c r="AI124" s="321"/>
      <c r="AJ124" s="321"/>
      <c r="AK124" s="321"/>
      <c r="AM124" s="321"/>
      <c r="AN124" s="321"/>
      <c r="AO124" s="321"/>
      <c r="AP124" s="321"/>
      <c r="AQ124" s="321"/>
      <c r="AR124" s="321"/>
      <c r="AS124" s="321"/>
      <c r="AT124" s="321"/>
      <c r="AV124" s="321"/>
      <c r="AW124" s="321"/>
      <c r="AX124" s="321"/>
      <c r="AY124" s="321"/>
      <c r="AZ124" s="321"/>
      <c r="BA124" s="321"/>
      <c r="BB124" s="321"/>
      <c r="BC124" s="321"/>
      <c r="BD124" s="321"/>
      <c r="BE124" s="321"/>
      <c r="BF124" s="321"/>
      <c r="BG124" s="321"/>
      <c r="BH124" s="321"/>
      <c r="BI124" s="321"/>
    </row>
    <row r="125" spans="1:61" ht="15" hidden="1" customHeight="1" x14ac:dyDescent="0.2">
      <c r="A125" s="2"/>
      <c r="B125" s="2"/>
      <c r="C125" s="2"/>
      <c r="D125" s="2"/>
      <c r="E125" s="2"/>
      <c r="F125" s="696"/>
      <c r="G125" s="706" t="str">
        <f>MID(G1,7,2)</f>
        <v>..</v>
      </c>
      <c r="H125" s="706" t="str">
        <f t="shared" ref="H125:M125" si="71">MID(H1,7,2)</f>
        <v>..</v>
      </c>
      <c r="I125" s="706" t="str">
        <f t="shared" si="71"/>
        <v>..</v>
      </c>
      <c r="J125" s="706" t="str">
        <f t="shared" si="71"/>
        <v>..</v>
      </c>
      <c r="K125" s="706" t="str">
        <f t="shared" si="71"/>
        <v>..</v>
      </c>
      <c r="L125" s="706" t="str">
        <f t="shared" si="71"/>
        <v>..</v>
      </c>
      <c r="M125" s="706" t="str">
        <f t="shared" si="71"/>
        <v>..</v>
      </c>
      <c r="N125" s="710" t="str">
        <f>IMPOSTAZIONI!AG7</f>
        <v>Opzione II</v>
      </c>
      <c r="O125" s="711"/>
      <c r="P125" s="2"/>
      <c r="Q125" s="2"/>
      <c r="R125" s="2"/>
      <c r="S125" s="321"/>
      <c r="T125" s="321"/>
      <c r="U125" s="321"/>
      <c r="V125" s="321"/>
      <c r="W125" s="321"/>
      <c r="X125" s="321"/>
      <c r="Y125" s="321"/>
      <c r="Z125" s="321"/>
      <c r="AA125" s="321"/>
      <c r="AB125" s="321"/>
      <c r="AC125" s="321"/>
      <c r="AD125" s="321"/>
      <c r="AE125" s="321"/>
      <c r="AG125" s="321"/>
      <c r="AH125" s="321"/>
      <c r="AI125" s="321"/>
      <c r="AJ125" s="321"/>
      <c r="AK125" s="321"/>
      <c r="AM125" s="321"/>
      <c r="AN125" s="321"/>
      <c r="AO125" s="321"/>
      <c r="AP125" s="321"/>
      <c r="AQ125" s="321"/>
      <c r="AR125" s="321"/>
      <c r="AS125" s="321"/>
      <c r="AT125" s="321"/>
      <c r="AV125" s="321"/>
      <c r="AW125" s="321"/>
      <c r="AX125" s="321"/>
      <c r="AY125" s="321"/>
      <c r="AZ125" s="321"/>
      <c r="BA125" s="321"/>
      <c r="BB125" s="321"/>
      <c r="BC125" s="321"/>
      <c r="BD125" s="321"/>
      <c r="BE125" s="321"/>
      <c r="BF125" s="321"/>
      <c r="BG125" s="321"/>
      <c r="BH125" s="321"/>
      <c r="BI125" s="321"/>
    </row>
    <row r="126" spans="1:61" ht="15" hidden="1" customHeight="1" x14ac:dyDescent="0.2">
      <c r="A126" s="2"/>
      <c r="B126" s="2"/>
      <c r="C126" s="2"/>
      <c r="D126" s="2"/>
      <c r="E126" s="2"/>
      <c r="F126" s="696"/>
      <c r="G126" s="707" t="str">
        <f t="shared" ref="G126:M126" si="72">MID(G1,1,2)</f>
        <v>..</v>
      </c>
      <c r="H126" s="707" t="str">
        <f t="shared" si="72"/>
        <v>..</v>
      </c>
      <c r="I126" s="707" t="str">
        <f t="shared" si="72"/>
        <v>..</v>
      </c>
      <c r="J126" s="707" t="str">
        <f t="shared" si="72"/>
        <v>..</v>
      </c>
      <c r="K126" s="707" t="str">
        <f t="shared" si="72"/>
        <v>..</v>
      </c>
      <c r="L126" s="707" t="str">
        <f t="shared" si="72"/>
        <v>..</v>
      </c>
      <c r="M126" s="707" t="str">
        <f t="shared" si="72"/>
        <v>..</v>
      </c>
      <c r="N126" s="710" t="str">
        <f>IMPOSTAZIONI!B366</f>
        <v>RIGA 1</v>
      </c>
      <c r="O126" s="711"/>
      <c r="P126" s="2"/>
      <c r="Q126" s="2"/>
      <c r="R126" s="2"/>
      <c r="S126" s="321"/>
      <c r="T126" s="321"/>
      <c r="U126" s="321"/>
      <c r="V126" s="321"/>
      <c r="W126" s="321"/>
      <c r="X126" s="321"/>
      <c r="Y126" s="321"/>
      <c r="Z126" s="321"/>
      <c r="AA126" s="321"/>
      <c r="AB126" s="321"/>
      <c r="AC126" s="321"/>
      <c r="AD126" s="321"/>
      <c r="AE126" s="321"/>
      <c r="AG126" s="321"/>
      <c r="AH126" s="321"/>
      <c r="AI126" s="321"/>
      <c r="AJ126" s="321"/>
      <c r="AK126" s="321"/>
      <c r="AM126" s="321"/>
      <c r="AN126" s="321"/>
      <c r="AO126" s="321"/>
      <c r="AP126" s="321"/>
      <c r="AQ126" s="321"/>
      <c r="AR126" s="321"/>
      <c r="AS126" s="321"/>
      <c r="AT126" s="321"/>
      <c r="AV126" s="321"/>
      <c r="AW126" s="321"/>
      <c r="AX126" s="321"/>
      <c r="AY126" s="321"/>
      <c r="AZ126" s="321"/>
      <c r="BA126" s="321"/>
      <c r="BB126" s="321"/>
      <c r="BC126" s="321"/>
      <c r="BD126" s="321"/>
      <c r="BE126" s="321"/>
      <c r="BF126" s="321"/>
      <c r="BG126" s="321"/>
      <c r="BH126" s="321"/>
      <c r="BI126" s="321"/>
    </row>
    <row r="127" spans="1:61" ht="15" hidden="1" customHeight="1" x14ac:dyDescent="0.2">
      <c r="A127" s="2"/>
      <c r="B127" s="2"/>
      <c r="C127" s="2"/>
      <c r="D127" s="2"/>
      <c r="E127" s="2"/>
      <c r="F127" s="696"/>
      <c r="G127" s="708">
        <f t="shared" ref="G127:M127" si="73">SUM(G70:G73)</f>
        <v>0</v>
      </c>
      <c r="H127" s="708">
        <f t="shared" si="73"/>
        <v>0</v>
      </c>
      <c r="I127" s="708">
        <f t="shared" si="73"/>
        <v>0</v>
      </c>
      <c r="J127" s="708">
        <f t="shared" si="73"/>
        <v>0</v>
      </c>
      <c r="K127" s="708">
        <f t="shared" si="73"/>
        <v>0</v>
      </c>
      <c r="L127" s="708">
        <f t="shared" si="73"/>
        <v>0</v>
      </c>
      <c r="M127" s="708">
        <f t="shared" si="73"/>
        <v>0</v>
      </c>
      <c r="N127" s="709" t="s">
        <v>38</v>
      </c>
      <c r="O127" s="712"/>
      <c r="P127" s="2"/>
      <c r="Q127" s="2"/>
      <c r="R127" s="2"/>
      <c r="S127" s="321"/>
      <c r="T127" s="321"/>
      <c r="U127" s="321"/>
      <c r="V127" s="321"/>
      <c r="W127" s="321"/>
      <c r="X127" s="321"/>
      <c r="Y127" s="321"/>
      <c r="Z127" s="321"/>
      <c r="AA127" s="321"/>
      <c r="AB127" s="321"/>
      <c r="AC127" s="321"/>
      <c r="AD127" s="321"/>
      <c r="AE127" s="321"/>
      <c r="AG127" s="321"/>
      <c r="AH127" s="321"/>
      <c r="AI127" s="321"/>
      <c r="AJ127" s="321"/>
      <c r="AK127" s="321"/>
      <c r="AM127" s="321"/>
      <c r="AN127" s="321"/>
      <c r="AO127" s="321"/>
      <c r="AP127" s="321"/>
      <c r="AQ127" s="321"/>
      <c r="AR127" s="321"/>
      <c r="AS127" s="321"/>
      <c r="AT127" s="321"/>
      <c r="AV127" s="321"/>
      <c r="AW127" s="321"/>
      <c r="AX127" s="321"/>
      <c r="AY127" s="321"/>
      <c r="AZ127" s="321"/>
      <c r="BA127" s="321"/>
      <c r="BB127" s="321"/>
      <c r="BC127" s="321"/>
      <c r="BD127" s="321"/>
      <c r="BE127" s="321"/>
      <c r="BF127" s="321"/>
      <c r="BG127" s="321"/>
      <c r="BH127" s="321"/>
      <c r="BI127" s="321"/>
    </row>
    <row r="128" spans="1:61" ht="15" hidden="1" customHeight="1" x14ac:dyDescent="0.2">
      <c r="A128" s="2"/>
      <c r="B128" s="2"/>
      <c r="C128" s="2"/>
      <c r="D128" s="2"/>
      <c r="E128" s="1299"/>
      <c r="F128" s="696"/>
      <c r="G128" s="708">
        <f t="shared" ref="G128:M128" si="74">IF(G42=$K102,G48,0)</f>
        <v>0</v>
      </c>
      <c r="H128" s="708">
        <f t="shared" si="74"/>
        <v>0</v>
      </c>
      <c r="I128" s="708">
        <f t="shared" si="74"/>
        <v>0</v>
      </c>
      <c r="J128" s="708">
        <f t="shared" si="74"/>
        <v>0</v>
      </c>
      <c r="K128" s="708">
        <f t="shared" si="74"/>
        <v>0</v>
      </c>
      <c r="L128" s="708">
        <f t="shared" si="74"/>
        <v>0</v>
      </c>
      <c r="M128" s="708">
        <f t="shared" si="74"/>
        <v>0</v>
      </c>
      <c r="N128" s="709" t="s">
        <v>43</v>
      </c>
      <c r="O128" s="2"/>
      <c r="P128" s="2"/>
      <c r="Q128" s="2"/>
      <c r="R128" s="2"/>
      <c r="S128" s="321"/>
      <c r="T128" s="321"/>
      <c r="U128" s="321"/>
      <c r="V128" s="321"/>
      <c r="W128" s="321"/>
      <c r="X128" s="321"/>
      <c r="Y128" s="321"/>
      <c r="Z128" s="321"/>
      <c r="AA128" s="321"/>
      <c r="AB128" s="321"/>
      <c r="AC128" s="321"/>
      <c r="AD128" s="321"/>
      <c r="AE128" s="321"/>
      <c r="AG128" s="321"/>
      <c r="AH128" s="321"/>
      <c r="AI128" s="321"/>
      <c r="AJ128" s="321"/>
      <c r="AK128" s="321"/>
      <c r="AM128" s="321"/>
      <c r="AN128" s="321"/>
      <c r="AO128" s="321"/>
      <c r="AP128" s="321"/>
      <c r="AQ128" s="321"/>
      <c r="AR128" s="321"/>
      <c r="AS128" s="321"/>
      <c r="AT128" s="321"/>
      <c r="AV128" s="321"/>
      <c r="AW128" s="321"/>
      <c r="AX128" s="321"/>
      <c r="AY128" s="321"/>
      <c r="AZ128" s="321"/>
      <c r="BA128" s="321"/>
      <c r="BB128" s="321"/>
      <c r="BC128" s="321"/>
      <c r="BD128" s="321"/>
      <c r="BE128" s="321"/>
      <c r="BF128" s="321"/>
      <c r="BG128" s="321"/>
      <c r="BH128" s="321"/>
      <c r="BI128" s="321"/>
    </row>
    <row r="129" spans="1:61" ht="15" hidden="1" customHeight="1" x14ac:dyDescent="0.2">
      <c r="A129" s="2"/>
      <c r="B129" s="1975">
        <f>Presentazione!Q26</f>
        <v>45292</v>
      </c>
      <c r="C129" s="1976"/>
      <c r="D129" s="1977"/>
      <c r="E129" s="706" t="str">
        <f>CONCATENATE(IMPOSTAZIONI!$X$55,"    ")</f>
        <v xml:space="preserve">Chiuso    </v>
      </c>
      <c r="F129" s="696"/>
      <c r="G129" s="708">
        <f t="shared" ref="G129:M129" si="75">G48-G128</f>
        <v>0</v>
      </c>
      <c r="H129" s="708">
        <f t="shared" si="75"/>
        <v>0</v>
      </c>
      <c r="I129" s="708">
        <f t="shared" si="75"/>
        <v>0</v>
      </c>
      <c r="J129" s="708">
        <f t="shared" si="75"/>
        <v>0</v>
      </c>
      <c r="K129" s="708">
        <f t="shared" si="75"/>
        <v>0</v>
      </c>
      <c r="L129" s="708">
        <f t="shared" si="75"/>
        <v>0</v>
      </c>
      <c r="M129" s="708">
        <f t="shared" si="75"/>
        <v>0</v>
      </c>
      <c r="N129" s="2"/>
      <c r="O129" s="2"/>
      <c r="P129" s="2"/>
      <c r="Q129" s="2"/>
      <c r="R129" s="2"/>
      <c r="S129" s="321"/>
      <c r="T129" s="321"/>
      <c r="U129" s="321"/>
      <c r="V129" s="321"/>
      <c r="W129" s="321"/>
      <c r="X129" s="321"/>
      <c r="Y129" s="321"/>
      <c r="Z129" s="321"/>
      <c r="AA129" s="321"/>
      <c r="AB129" s="321"/>
      <c r="AC129" s="321"/>
      <c r="AD129" s="321"/>
      <c r="AE129" s="321"/>
      <c r="AG129" s="321"/>
      <c r="AH129" s="321"/>
      <c r="AI129" s="321"/>
      <c r="AJ129" s="321"/>
      <c r="AK129" s="321"/>
      <c r="AM129" s="321"/>
      <c r="AN129" s="321"/>
      <c r="AO129" s="321"/>
      <c r="AP129" s="321"/>
      <c r="AQ129" s="321"/>
      <c r="AR129" s="321"/>
      <c r="AS129" s="321"/>
      <c r="AT129" s="321"/>
      <c r="AV129" s="321"/>
      <c r="AW129" s="321"/>
      <c r="AX129" s="321"/>
      <c r="AY129" s="321"/>
      <c r="AZ129" s="321"/>
      <c r="BA129" s="321"/>
      <c r="BB129" s="321"/>
      <c r="BC129" s="321"/>
      <c r="BD129" s="321"/>
      <c r="BE129" s="321"/>
      <c r="BF129" s="321"/>
      <c r="BG129" s="321"/>
      <c r="BH129" s="321"/>
      <c r="BI129" s="321"/>
    </row>
    <row r="130" spans="1:61" ht="15" hidden="1" customHeight="1" x14ac:dyDescent="0.2">
      <c r="A130" s="2"/>
      <c r="B130" s="1975">
        <f>Presentazione!R26</f>
        <v>45382</v>
      </c>
      <c r="C130" s="1976"/>
      <c r="D130" s="1977"/>
      <c r="E130" s="706" t="str">
        <f>CONCATENATE(IMPOSTAZIONI!L185,"    ")</f>
        <v xml:space="preserve">ERROR    </v>
      </c>
      <c r="F130" s="696"/>
      <c r="G130" s="803">
        <f>IMPOSTAZIONI!J209</f>
        <v>0</v>
      </c>
      <c r="H130" s="803">
        <f>IMPOSTAZIONI!O209</f>
        <v>0</v>
      </c>
      <c r="I130" s="803">
        <f>IMPOSTAZIONI!T209</f>
        <v>0</v>
      </c>
      <c r="J130" s="803">
        <f>IMPOSTAZIONI!Y209</f>
        <v>0</v>
      </c>
      <c r="K130" s="803">
        <f>IMPOSTAZIONI!AD209</f>
        <v>0</v>
      </c>
      <c r="L130" s="803">
        <f>IMPOSTAZIONI!AI209</f>
        <v>0</v>
      </c>
      <c r="M130" s="803">
        <f>IMPOSTAZIONI!AN209</f>
        <v>0</v>
      </c>
      <c r="N130" s="803" t="str">
        <f>IMPOSTAZIONI!X14</f>
        <v>+</v>
      </c>
      <c r="O130" s="696"/>
      <c r="P130" s="696"/>
      <c r="Q130" s="696"/>
      <c r="R130" s="2"/>
      <c r="S130" s="321"/>
      <c r="T130" s="321"/>
      <c r="U130" s="321"/>
      <c r="V130" s="321"/>
      <c r="W130" s="321"/>
      <c r="X130" s="321"/>
      <c r="Y130" s="321"/>
      <c r="Z130" s="321"/>
      <c r="AA130" s="321"/>
      <c r="AB130" s="321"/>
      <c r="AC130" s="321"/>
      <c r="AD130" s="321"/>
      <c r="AE130" s="321"/>
      <c r="AG130" s="321"/>
      <c r="AH130" s="321"/>
      <c r="AI130" s="321"/>
      <c r="AJ130" s="321"/>
      <c r="AK130" s="321"/>
      <c r="AM130" s="321"/>
      <c r="AN130" s="321"/>
      <c r="AO130" s="321"/>
      <c r="AP130" s="321"/>
      <c r="AQ130" s="321"/>
      <c r="AR130" s="321"/>
      <c r="AS130" s="321"/>
      <c r="AT130" s="321"/>
      <c r="AV130" s="321"/>
      <c r="AW130" s="321"/>
      <c r="AX130" s="321"/>
      <c r="AY130" s="321"/>
      <c r="AZ130" s="321"/>
      <c r="BA130" s="321"/>
      <c r="BB130" s="321"/>
      <c r="BC130" s="321"/>
      <c r="BD130" s="321"/>
      <c r="BE130" s="321"/>
      <c r="BF130" s="321"/>
      <c r="BG130" s="321"/>
      <c r="BH130" s="321"/>
      <c r="BI130" s="321"/>
    </row>
    <row r="131" spans="1:61" ht="15" hidden="1" customHeight="1" x14ac:dyDescent="0.2">
      <c r="A131" s="2"/>
      <c r="B131" s="2"/>
      <c r="C131" s="2"/>
      <c r="D131" s="2"/>
      <c r="E131" s="2"/>
      <c r="F131" s="2"/>
      <c r="G131" s="2"/>
      <c r="H131" s="2"/>
      <c r="I131" s="2"/>
      <c r="J131" s="2"/>
      <c r="K131" s="2"/>
      <c r="L131" s="2"/>
      <c r="M131" s="2"/>
      <c r="N131" s="2"/>
      <c r="O131" s="2"/>
      <c r="P131" s="2"/>
      <c r="Q131" s="2"/>
      <c r="R131" s="2"/>
      <c r="S131" s="321"/>
      <c r="T131" s="321"/>
      <c r="U131" s="321"/>
      <c r="V131" s="321"/>
      <c r="W131" s="321"/>
      <c r="X131" s="321"/>
      <c r="Y131" s="321"/>
      <c r="Z131" s="321"/>
      <c r="AA131" s="321"/>
      <c r="AB131" s="321"/>
      <c r="AC131" s="321"/>
      <c r="AD131" s="321"/>
      <c r="AE131" s="321"/>
      <c r="AG131" s="321"/>
      <c r="AH131" s="321"/>
      <c r="AI131" s="321"/>
      <c r="AJ131" s="321"/>
      <c r="AK131" s="321"/>
      <c r="AM131" s="321"/>
      <c r="AN131" s="321"/>
      <c r="AO131" s="321"/>
      <c r="AP131" s="321"/>
      <c r="AQ131" s="321"/>
      <c r="AR131" s="321"/>
      <c r="AS131" s="321"/>
      <c r="AT131" s="321"/>
      <c r="AV131" s="321"/>
      <c r="AW131" s="321"/>
      <c r="AX131" s="321"/>
      <c r="AY131" s="321"/>
      <c r="AZ131" s="321"/>
      <c r="BA131" s="321"/>
      <c r="BB131" s="321"/>
      <c r="BC131" s="321"/>
      <c r="BD131" s="321"/>
      <c r="BE131" s="321"/>
      <c r="BF131" s="321"/>
      <c r="BG131" s="321"/>
      <c r="BH131" s="321"/>
      <c r="BI131" s="321"/>
    </row>
    <row r="132" spans="1:61" ht="30" customHeight="1" x14ac:dyDescent="0.25">
      <c r="A132" s="300"/>
      <c r="B132" s="2"/>
      <c r="C132" s="457" t="s">
        <v>144</v>
      </c>
      <c r="D132" s="457"/>
      <c r="E132" s="457"/>
      <c r="F132" s="457"/>
      <c r="G132" s="457"/>
      <c r="H132" s="2"/>
      <c r="I132" s="2"/>
      <c r="J132" s="2"/>
      <c r="K132" s="2"/>
      <c r="L132" s="2"/>
      <c r="M132" s="2"/>
      <c r="N132" s="1306" t="s">
        <v>79</v>
      </c>
      <c r="O132" s="696"/>
      <c r="P132" s="696"/>
      <c r="Q132" s="2"/>
      <c r="R132" s="2"/>
      <c r="S132" s="321"/>
      <c r="T132" s="321"/>
      <c r="U132" s="321"/>
      <c r="V132" s="321"/>
      <c r="W132" s="321"/>
      <c r="X132" s="321"/>
      <c r="Y132" s="321"/>
      <c r="Z132" s="321"/>
      <c r="AA132" s="321"/>
      <c r="AB132" s="321"/>
      <c r="AC132" s="321"/>
      <c r="AD132" s="321"/>
      <c r="AE132" s="321"/>
      <c r="AG132" s="321"/>
      <c r="AH132" s="321"/>
      <c r="AI132" s="321"/>
      <c r="AJ132" s="321"/>
      <c r="AK132" s="321"/>
      <c r="AM132" s="321"/>
      <c r="AN132" s="321"/>
      <c r="AO132" s="321"/>
      <c r="AP132" s="321"/>
      <c r="AQ132" s="321"/>
      <c r="AR132" s="321"/>
      <c r="AS132" s="321"/>
      <c r="AT132" s="321"/>
      <c r="AV132" s="321"/>
      <c r="AW132" s="321"/>
      <c r="AX132" s="321"/>
      <c r="AY132" s="321"/>
      <c r="AZ132" s="321"/>
      <c r="BA132" s="321"/>
      <c r="BB132" s="321"/>
      <c r="BC132" s="321"/>
      <c r="BD132" s="321"/>
      <c r="BE132" s="321"/>
      <c r="BF132" s="321"/>
      <c r="BG132" s="321"/>
      <c r="BH132" s="321"/>
      <c r="BI132" s="321"/>
    </row>
    <row r="133" spans="1:61" ht="22.5" customHeight="1" x14ac:dyDescent="0.2">
      <c r="A133" s="2"/>
      <c r="B133" s="2"/>
      <c r="C133" s="2"/>
      <c r="D133" s="2"/>
      <c r="E133" s="2"/>
      <c r="F133" s="2"/>
      <c r="G133" s="1305">
        <v>1</v>
      </c>
      <c r="H133" s="1305">
        <v>2</v>
      </c>
      <c r="I133" s="1305">
        <v>3</v>
      </c>
      <c r="J133" s="1305">
        <v>4</v>
      </c>
      <c r="K133" s="1305">
        <v>5</v>
      </c>
      <c r="L133" s="1305">
        <v>6</v>
      </c>
      <c r="M133" s="1305">
        <v>7</v>
      </c>
      <c r="N133" s="1974" t="s">
        <v>513</v>
      </c>
      <c r="O133" s="1974"/>
      <c r="P133" s="696"/>
      <c r="Q133" s="2"/>
      <c r="R133" s="2"/>
      <c r="S133" s="321"/>
      <c r="T133" s="321"/>
      <c r="U133" s="321"/>
      <c r="V133" s="321"/>
      <c r="W133" s="321"/>
      <c r="X133" s="321"/>
      <c r="Y133" s="321"/>
      <c r="Z133" s="321"/>
      <c r="AA133" s="321"/>
      <c r="AB133" s="321"/>
      <c r="AC133" s="321"/>
      <c r="AD133" s="321"/>
      <c r="AE133" s="321"/>
      <c r="AG133" s="321"/>
      <c r="AV133" s="321"/>
      <c r="BA133" s="321"/>
      <c r="BB133" s="321"/>
      <c r="BC133" s="321"/>
      <c r="BD133" s="321"/>
      <c r="BE133" s="321"/>
      <c r="BF133" s="321"/>
      <c r="BG133" s="321"/>
    </row>
    <row r="134" spans="1:61" ht="18" customHeight="1" x14ac:dyDescent="0.2">
      <c r="A134" s="2"/>
      <c r="B134" s="2"/>
      <c r="C134" s="2037" t="s">
        <v>243</v>
      </c>
      <c r="D134" s="2037"/>
      <c r="E134" s="2038">
        <f>E43</f>
        <v>2024</v>
      </c>
      <c r="F134" s="2038"/>
      <c r="G134" s="320" t="str">
        <f t="shared" ref="G134:M136" si="76">G43</f>
        <v/>
      </c>
      <c r="H134" s="320" t="str">
        <f t="shared" si="76"/>
        <v/>
      </c>
      <c r="I134" s="320" t="str">
        <f t="shared" si="76"/>
        <v/>
      </c>
      <c r="J134" s="320" t="str">
        <f t="shared" si="76"/>
        <v/>
      </c>
      <c r="K134" s="320" t="str">
        <f t="shared" si="76"/>
        <v/>
      </c>
      <c r="L134" s="320" t="str">
        <f t="shared" si="76"/>
        <v/>
      </c>
      <c r="M134" s="320" t="str">
        <f t="shared" si="76"/>
        <v/>
      </c>
      <c r="N134" s="1306" t="s">
        <v>145</v>
      </c>
      <c r="O134" s="696"/>
      <c r="P134" s="696"/>
      <c r="Q134" s="2"/>
      <c r="R134" s="2"/>
      <c r="S134" s="321"/>
      <c r="T134" s="321"/>
      <c r="U134" s="321"/>
      <c r="V134" s="321"/>
      <c r="W134" s="321"/>
      <c r="X134" s="321"/>
      <c r="Y134" s="321"/>
      <c r="Z134" s="321"/>
      <c r="AA134" s="321"/>
      <c r="AB134" s="321"/>
      <c r="AC134" s="321"/>
      <c r="AD134" s="321"/>
      <c r="AE134" s="321"/>
      <c r="AG134" s="321"/>
      <c r="AV134" s="321"/>
      <c r="BA134" s="321"/>
      <c r="BB134" s="321"/>
      <c r="BC134" s="321"/>
      <c r="BD134" s="321"/>
      <c r="BE134" s="321"/>
      <c r="BF134" s="321"/>
      <c r="BG134" s="321"/>
    </row>
    <row r="135" spans="1:61" ht="22.5" customHeight="1" x14ac:dyDescent="0.2">
      <c r="A135" s="2"/>
      <c r="B135" s="2"/>
      <c r="C135" s="1980" t="s">
        <v>324</v>
      </c>
      <c r="D135" s="1980"/>
      <c r="E135" s="1980"/>
      <c r="F135" s="1980"/>
      <c r="G135" s="934" t="str">
        <f t="shared" si="76"/>
        <v/>
      </c>
      <c r="H135" s="934" t="str">
        <f t="shared" si="76"/>
        <v/>
      </c>
      <c r="I135" s="934" t="str">
        <f t="shared" si="76"/>
        <v/>
      </c>
      <c r="J135" s="934" t="str">
        <f t="shared" si="76"/>
        <v/>
      </c>
      <c r="K135" s="934" t="str">
        <f t="shared" si="76"/>
        <v/>
      </c>
      <c r="L135" s="934" t="str">
        <f t="shared" si="76"/>
        <v/>
      </c>
      <c r="M135" s="934" t="str">
        <f t="shared" si="76"/>
        <v/>
      </c>
      <c r="N135" s="1974" t="s">
        <v>561</v>
      </c>
      <c r="O135" s="1974"/>
      <c r="P135" s="696"/>
      <c r="Q135" s="2"/>
      <c r="R135" s="2"/>
      <c r="S135" s="321"/>
      <c r="T135" s="321"/>
      <c r="U135" s="321"/>
      <c r="V135" s="321"/>
      <c r="W135" s="321"/>
      <c r="X135" s="321"/>
      <c r="Y135" s="321"/>
      <c r="Z135" s="321"/>
      <c r="AA135" s="321"/>
      <c r="AB135" s="321"/>
      <c r="AC135" s="321"/>
      <c r="AD135" s="321"/>
      <c r="AE135" s="321"/>
      <c r="AG135" s="321"/>
      <c r="AV135" s="321"/>
      <c r="BA135" s="321"/>
      <c r="BB135" s="321"/>
      <c r="BC135" s="321"/>
      <c r="BD135" s="321"/>
      <c r="BE135" s="321"/>
      <c r="BF135" s="321"/>
      <c r="BG135" s="321"/>
    </row>
    <row r="136" spans="1:61" ht="19.5" customHeight="1" x14ac:dyDescent="0.2">
      <c r="A136" s="2"/>
      <c r="C136" s="1981" t="str">
        <f>C64</f>
        <v>01/07 - 31/07</v>
      </c>
      <c r="D136" s="1982"/>
      <c r="E136" s="1982"/>
      <c r="F136" s="1982"/>
      <c r="G136" s="698" t="str">
        <f t="shared" si="76"/>
        <v/>
      </c>
      <c r="H136" s="698" t="str">
        <f t="shared" si="76"/>
        <v/>
      </c>
      <c r="I136" s="698" t="str">
        <f t="shared" si="76"/>
        <v/>
      </c>
      <c r="J136" s="698" t="str">
        <f t="shared" si="76"/>
        <v/>
      </c>
      <c r="K136" s="698" t="str">
        <f t="shared" si="76"/>
        <v/>
      </c>
      <c r="L136" s="698" t="str">
        <f t="shared" si="76"/>
        <v/>
      </c>
      <c r="M136" s="698" t="str">
        <f t="shared" si="76"/>
        <v/>
      </c>
      <c r="N136" s="2"/>
      <c r="O136" s="2"/>
      <c r="P136" s="12"/>
      <c r="Q136" s="2"/>
      <c r="R136" s="2"/>
      <c r="S136" s="321"/>
      <c r="T136" s="321"/>
      <c r="U136" s="321"/>
      <c r="V136" s="321"/>
      <c r="W136" s="321"/>
      <c r="X136" s="321"/>
      <c r="Y136" s="321"/>
      <c r="Z136" s="321"/>
      <c r="AA136" s="321"/>
      <c r="AB136" s="321"/>
      <c r="AC136" s="321"/>
      <c r="AD136" s="321"/>
      <c r="AE136" s="321"/>
      <c r="AG136" s="321"/>
      <c r="AV136" s="321"/>
      <c r="BA136" s="321"/>
      <c r="BB136" s="321"/>
      <c r="BC136" s="321"/>
      <c r="BD136" s="321"/>
      <c r="BE136" s="321"/>
      <c r="BF136" s="321"/>
      <c r="BG136" s="321"/>
    </row>
    <row r="137" spans="1:61" ht="7.5" customHeight="1" x14ac:dyDescent="0.2">
      <c r="A137" s="2"/>
      <c r="B137" s="2"/>
      <c r="C137" s="1978"/>
      <c r="D137" s="1979"/>
      <c r="E137" s="268"/>
      <c r="F137" s="2"/>
      <c r="G137" s="1301">
        <f>IF(AND(G$147&lt;&gt;0,G$147&gt;0),IF(($E$138*9)&gt;=G$147,0,1),IF(AND(G$147&lt;&gt;0,G$147&lt;0),IF(($E$138*9)&lt;=G$147,0,1),0))</f>
        <v>0</v>
      </c>
      <c r="H137" s="1301">
        <f t="shared" ref="H137:M137" si="77">IF(AND(H$147&lt;&gt;0,H$147&gt;0),IF(($E$138*9)&gt;=H$147,0,1),IF(AND(H$147&lt;&gt;0,H$147&lt;0),IF(($E$138*9)&lt;=H$147,0,1),0))</f>
        <v>0</v>
      </c>
      <c r="I137" s="1301">
        <f t="shared" si="77"/>
        <v>0</v>
      </c>
      <c r="J137" s="1301">
        <f t="shared" si="77"/>
        <v>0</v>
      </c>
      <c r="K137" s="1301">
        <f t="shared" si="77"/>
        <v>0</v>
      </c>
      <c r="L137" s="1301">
        <f t="shared" si="77"/>
        <v>0</v>
      </c>
      <c r="M137" s="1301">
        <f t="shared" si="77"/>
        <v>0</v>
      </c>
      <c r="N137" s="2"/>
      <c r="O137" s="2"/>
      <c r="P137" s="2"/>
      <c r="Q137" s="2"/>
      <c r="R137" s="2"/>
      <c r="S137" s="321"/>
      <c r="T137" s="321"/>
      <c r="U137" s="321"/>
      <c r="V137" s="321"/>
      <c r="W137" s="321"/>
      <c r="X137" s="321"/>
      <c r="Y137" s="321"/>
      <c r="Z137" s="321"/>
      <c r="AA137" s="321"/>
      <c r="AB137" s="321"/>
      <c r="AC137" s="321"/>
      <c r="AD137" s="321"/>
      <c r="AE137" s="321"/>
      <c r="AG137" s="321"/>
      <c r="AV137" s="321"/>
      <c r="BA137" s="321"/>
      <c r="BB137" s="321"/>
      <c r="BC137" s="321"/>
      <c r="BD137" s="321"/>
      <c r="BE137" s="321"/>
      <c r="BF137" s="321"/>
      <c r="BG137" s="321"/>
    </row>
    <row r="138" spans="1:61" ht="7.5" customHeight="1" x14ac:dyDescent="0.2">
      <c r="A138" s="2"/>
      <c r="B138" s="2"/>
      <c r="C138" s="1967" t="str">
        <f>CONCATENATE("Unità M. ",PROPER(IMPOSTAZIONI!M82))</f>
        <v>Unità M. Eur</v>
      </c>
      <c r="D138" s="1967"/>
      <c r="E138" s="2013">
        <f>IF(OR(N133=0,N135=""),0,IF(N135=E187,E188,MAX(G147:M147)/10))</f>
        <v>0</v>
      </c>
      <c r="F138" s="2"/>
      <c r="G138" s="1301">
        <f>IF(AND(G$147&lt;&gt;0,G$147&gt;0),IF(($E$138*8)&gt;=G$147,0,1),IF(AND(G$147&lt;&gt;0,G$147&lt;0),IF(($E$138*8)&lt;=G$147,0,1),0))</f>
        <v>0</v>
      </c>
      <c r="H138" s="1301">
        <f t="shared" ref="H138:M138" si="78">IF(AND(H$147&lt;&gt;0,H$147&gt;0),IF(($E$138*8)&gt;=H$147,0,1),IF(AND(H$147&lt;&gt;0,H$147&lt;0),IF(($E$138*8)&lt;=H$147,0,1),0))</f>
        <v>0</v>
      </c>
      <c r="I138" s="1301">
        <f t="shared" si="78"/>
        <v>0</v>
      </c>
      <c r="J138" s="1301">
        <f t="shared" si="78"/>
        <v>0</v>
      </c>
      <c r="K138" s="1301">
        <f t="shared" si="78"/>
        <v>0</v>
      </c>
      <c r="L138" s="1301">
        <f t="shared" si="78"/>
        <v>0</v>
      </c>
      <c r="M138" s="1301">
        <f t="shared" si="78"/>
        <v>0</v>
      </c>
      <c r="N138" s="2"/>
      <c r="O138" s="2"/>
      <c r="P138" s="2"/>
      <c r="Q138" s="2"/>
      <c r="R138" s="2"/>
      <c r="S138" s="321"/>
      <c r="T138" s="321"/>
      <c r="U138" s="321"/>
      <c r="V138" s="321"/>
      <c r="W138" s="321"/>
      <c r="X138" s="321"/>
      <c r="Y138" s="321"/>
      <c r="Z138" s="321"/>
      <c r="AA138" s="321"/>
      <c r="AB138" s="321"/>
      <c r="AC138" s="321"/>
      <c r="AD138" s="321"/>
      <c r="AE138" s="321"/>
      <c r="AG138" s="321"/>
      <c r="AV138" s="321"/>
      <c r="BA138" s="321"/>
      <c r="BB138" s="321"/>
      <c r="BC138" s="321"/>
      <c r="BD138" s="321"/>
      <c r="BE138" s="321"/>
      <c r="BF138" s="321"/>
      <c r="BG138" s="321"/>
    </row>
    <row r="139" spans="1:61" ht="7.5" customHeight="1" x14ac:dyDescent="0.2">
      <c r="A139" s="2"/>
      <c r="B139" s="2"/>
      <c r="C139" s="1968"/>
      <c r="D139" s="1968"/>
      <c r="E139" s="2013"/>
      <c r="F139" s="2"/>
      <c r="G139" s="1301">
        <f>IF(AND(G$147&lt;&gt;0,G$147&gt;0),IF(($E$138*7)&gt;=G$147,0,1),IF(AND(G$147&lt;&gt;0,G$147&lt;0),IF(($E$138*7)&lt;=G$147,0,1),0))</f>
        <v>0</v>
      </c>
      <c r="H139" s="1301">
        <f t="shared" ref="H139:M139" si="79">IF(AND(H$147&lt;&gt;0,H$147&gt;0),IF(($E$138*7)&gt;=H$147,0,1),IF(AND(H$147&lt;&gt;0,H$147&lt;0),IF(($E$138*7)&lt;=H$147,0,1),0))</f>
        <v>0</v>
      </c>
      <c r="I139" s="1301">
        <f t="shared" si="79"/>
        <v>0</v>
      </c>
      <c r="J139" s="1301">
        <f t="shared" si="79"/>
        <v>0</v>
      </c>
      <c r="K139" s="1301">
        <f t="shared" si="79"/>
        <v>0</v>
      </c>
      <c r="L139" s="1301">
        <f t="shared" si="79"/>
        <v>0</v>
      </c>
      <c r="M139" s="1301">
        <f t="shared" si="79"/>
        <v>0</v>
      </c>
      <c r="N139" s="2"/>
      <c r="O139" s="2"/>
      <c r="P139" s="2"/>
      <c r="Q139" s="2"/>
      <c r="R139" s="2"/>
      <c r="S139" s="321"/>
      <c r="T139" s="321"/>
      <c r="U139" s="321"/>
      <c r="V139" s="321"/>
      <c r="W139" s="321"/>
      <c r="X139" s="321"/>
      <c r="Y139" s="321"/>
      <c r="Z139" s="321"/>
      <c r="AG139" s="321"/>
      <c r="AV139" s="321"/>
      <c r="BA139" s="321"/>
      <c r="BB139" s="321"/>
      <c r="BC139" s="321"/>
    </row>
    <row r="140" spans="1:61" ht="7.5" customHeight="1" x14ac:dyDescent="0.2">
      <c r="A140" s="2"/>
      <c r="B140" s="2"/>
      <c r="C140" s="2"/>
      <c r="D140" s="2"/>
      <c r="E140" s="2"/>
      <c r="F140" s="2"/>
      <c r="G140" s="1301">
        <f>IF(AND(G$147&lt;&gt;0,G$147&gt;0),IF(($E$138*6)&gt;=G$147,0,1),IF(AND(G$147&lt;&gt;0,G$147&lt;0),IF(($E$138*6)&lt;=G$147,0,1),0))</f>
        <v>0</v>
      </c>
      <c r="H140" s="1301">
        <f t="shared" ref="H140:M140" si="80">IF(AND(H$147&lt;&gt;0,H$147&gt;0),IF(($E$138*6)&gt;=H$147,0,1),IF(AND(H$147&lt;&gt;0,H$147&lt;0),IF(($E$138*6)&lt;=H$147,0,1),0))</f>
        <v>0</v>
      </c>
      <c r="I140" s="1301">
        <f t="shared" si="80"/>
        <v>0</v>
      </c>
      <c r="J140" s="1301">
        <f t="shared" si="80"/>
        <v>0</v>
      </c>
      <c r="K140" s="1301">
        <f t="shared" si="80"/>
        <v>0</v>
      </c>
      <c r="L140" s="1301">
        <f t="shared" si="80"/>
        <v>0</v>
      </c>
      <c r="M140" s="1301">
        <f t="shared" si="80"/>
        <v>0</v>
      </c>
      <c r="N140" s="2"/>
      <c r="O140" s="2"/>
      <c r="P140" s="2"/>
      <c r="Q140" s="2"/>
      <c r="R140" s="2"/>
      <c r="S140" s="321"/>
      <c r="T140" s="321"/>
      <c r="U140" s="321"/>
      <c r="V140" s="321"/>
      <c r="W140" s="321"/>
      <c r="X140" s="321"/>
      <c r="Y140" s="321"/>
      <c r="Z140" s="321"/>
      <c r="AG140" s="321"/>
      <c r="AV140" s="321"/>
      <c r="BA140" s="321"/>
      <c r="BB140" s="321"/>
      <c r="BC140" s="321"/>
    </row>
    <row r="141" spans="1:61" ht="7.5" customHeight="1" x14ac:dyDescent="0.2">
      <c r="A141" s="2"/>
      <c r="B141" s="2"/>
      <c r="C141" s="2"/>
      <c r="D141" s="2"/>
      <c r="E141" s="2"/>
      <c r="F141" s="2"/>
      <c r="G141" s="1301">
        <f>IF(AND(G$147&lt;&gt;0,G$147&gt;0),IF(($E$138*5)&gt;=G$147,0,1),IF(AND(G$147&lt;&gt;0,G$147&lt;0),IF(($E$138*5)&lt;=G$147,0,1),0))</f>
        <v>0</v>
      </c>
      <c r="H141" s="1301">
        <f t="shared" ref="H141:M141" si="81">IF(AND(H$147&lt;&gt;0,H$147&gt;0),IF(($E$138*5)&gt;=H$147,0,1),IF(AND(H$147&lt;&gt;0,H$147&lt;0),IF(($E$138*5)&lt;=H$147,0,1),0))</f>
        <v>0</v>
      </c>
      <c r="I141" s="1301">
        <f t="shared" si="81"/>
        <v>0</v>
      </c>
      <c r="J141" s="1301">
        <f t="shared" si="81"/>
        <v>0</v>
      </c>
      <c r="K141" s="1301">
        <f t="shared" si="81"/>
        <v>0</v>
      </c>
      <c r="L141" s="1301">
        <f t="shared" si="81"/>
        <v>0</v>
      </c>
      <c r="M141" s="1301">
        <f t="shared" si="81"/>
        <v>0</v>
      </c>
      <c r="N141" s="2"/>
      <c r="O141" s="2"/>
      <c r="P141" s="2"/>
      <c r="Q141" s="2"/>
      <c r="R141" s="2"/>
      <c r="S141" s="321"/>
      <c r="T141" s="321"/>
      <c r="U141" s="321"/>
      <c r="V141" s="321"/>
      <c r="W141" s="321"/>
      <c r="X141" s="321"/>
      <c r="Y141" s="321"/>
      <c r="Z141" s="321"/>
      <c r="AG141" s="321"/>
      <c r="AV141" s="321"/>
      <c r="BA141" s="321"/>
      <c r="BB141" s="321"/>
      <c r="BC141" s="321"/>
    </row>
    <row r="142" spans="1:61" ht="7.5" customHeight="1" x14ac:dyDescent="0.2">
      <c r="A142" s="2"/>
      <c r="B142" s="2"/>
      <c r="C142" s="2"/>
      <c r="D142" s="2"/>
      <c r="E142" s="2"/>
      <c r="F142" s="2"/>
      <c r="G142" s="1301">
        <f>IF(AND(G$147&lt;&gt;0,G$147&gt;0),IF(($E$138*4)&gt;=G$147,0,1),IF(AND(G$147&lt;&gt;0,G$147&lt;0),IF(($E$138*4)&lt;=G$147,0,1),0))</f>
        <v>0</v>
      </c>
      <c r="H142" s="1301">
        <f t="shared" ref="H142:M142" si="82">IF(AND(H$147&lt;&gt;0,H$147&gt;0),IF(($E$138*4)&gt;=H$147,0,1),IF(AND(H$147&lt;&gt;0,H$147&lt;0),IF(($E$138*4)&lt;=H$147,0,1),0))</f>
        <v>0</v>
      </c>
      <c r="I142" s="1301">
        <f t="shared" si="82"/>
        <v>0</v>
      </c>
      <c r="J142" s="1301">
        <f t="shared" si="82"/>
        <v>0</v>
      </c>
      <c r="K142" s="1301">
        <f t="shared" si="82"/>
        <v>0</v>
      </c>
      <c r="L142" s="1301">
        <f t="shared" si="82"/>
        <v>0</v>
      </c>
      <c r="M142" s="1301">
        <f t="shared" si="82"/>
        <v>0</v>
      </c>
      <c r="N142" s="2"/>
      <c r="O142" s="2"/>
      <c r="P142" s="2"/>
      <c r="Q142" s="2"/>
      <c r="R142" s="2"/>
      <c r="S142" s="321"/>
      <c r="T142" s="321"/>
      <c r="U142" s="321"/>
      <c r="V142" s="321"/>
      <c r="W142" s="321"/>
      <c r="X142" s="321"/>
      <c r="Y142" s="321"/>
      <c r="Z142" s="321"/>
      <c r="AG142" s="321"/>
      <c r="AV142" s="321"/>
      <c r="BA142" s="321"/>
      <c r="BB142" s="321"/>
      <c r="BC142" s="321"/>
    </row>
    <row r="143" spans="1:61" ht="7.5" customHeight="1" x14ac:dyDescent="0.2">
      <c r="A143" s="2"/>
      <c r="B143" s="2"/>
      <c r="C143" s="2"/>
      <c r="D143" s="2"/>
      <c r="E143" s="2"/>
      <c r="F143" s="2"/>
      <c r="G143" s="1301">
        <f>IF(AND(G$147&lt;&gt;0,G$147&gt;0),IF(($E$138*3)&gt;=G$147,0,1),IF(AND(G$147&lt;&gt;0,G$147&lt;0),IF(($E$138*3)&lt;=G$147,0,1),0))</f>
        <v>0</v>
      </c>
      <c r="H143" s="1301">
        <f t="shared" ref="H143:M143" si="83">IF(AND(H$147&lt;&gt;0,H$147&gt;0),IF(($E$138*3)&gt;=H$147,0,1),IF(AND(H$147&lt;&gt;0,H$147&lt;0),IF(($E$138*3)&lt;=H$147,0,1),0))</f>
        <v>0</v>
      </c>
      <c r="I143" s="1301">
        <f t="shared" si="83"/>
        <v>0</v>
      </c>
      <c r="J143" s="1301">
        <f t="shared" si="83"/>
        <v>0</v>
      </c>
      <c r="K143" s="1301">
        <f t="shared" si="83"/>
        <v>0</v>
      </c>
      <c r="L143" s="1301">
        <f t="shared" si="83"/>
        <v>0</v>
      </c>
      <c r="M143" s="1301">
        <f t="shared" si="83"/>
        <v>0</v>
      </c>
      <c r="N143" s="2"/>
      <c r="O143" s="2"/>
      <c r="P143" s="2"/>
      <c r="Q143" s="2"/>
      <c r="R143" s="2"/>
      <c r="S143" s="321"/>
      <c r="T143" s="321"/>
      <c r="U143" s="321"/>
      <c r="V143" s="321"/>
      <c r="W143" s="321"/>
      <c r="AG143" s="321"/>
      <c r="AV143" s="321"/>
    </row>
    <row r="144" spans="1:61" ht="7.5" customHeight="1" x14ac:dyDescent="0.2">
      <c r="A144" s="2"/>
      <c r="B144" s="2"/>
      <c r="C144" s="2"/>
      <c r="D144" s="2"/>
      <c r="E144" s="2"/>
      <c r="F144" s="2"/>
      <c r="G144" s="1301">
        <f>IF(AND(G$147&lt;&gt;0,G$147&gt;0),IF(($E$138*2)&gt;=G$147,0,1),IF(AND(G$147&lt;&gt;0,G$147&lt;0),IF(($E$138*2)&lt;=G$147,0,1),0))</f>
        <v>0</v>
      </c>
      <c r="H144" s="1301">
        <f t="shared" ref="H144:M144" si="84">IF(AND(H$147&lt;&gt;0,H$147&gt;0),IF(($E$138*2)&gt;=H$147,0,1),IF(AND(H$147&lt;&gt;0,H$147&lt;0),IF(($E$138*2)&lt;=H$147,0,1),0))</f>
        <v>0</v>
      </c>
      <c r="I144" s="1301">
        <f t="shared" si="84"/>
        <v>0</v>
      </c>
      <c r="J144" s="1301">
        <f t="shared" si="84"/>
        <v>0</v>
      </c>
      <c r="K144" s="1301">
        <f t="shared" si="84"/>
        <v>0</v>
      </c>
      <c r="L144" s="1301">
        <f t="shared" si="84"/>
        <v>0</v>
      </c>
      <c r="M144" s="1301">
        <f t="shared" si="84"/>
        <v>0</v>
      </c>
      <c r="N144" s="2"/>
      <c r="O144" s="2"/>
      <c r="P144" s="2"/>
      <c r="Q144" s="2"/>
      <c r="R144" s="2"/>
      <c r="S144" s="321"/>
      <c r="T144" s="321"/>
      <c r="U144" s="321"/>
      <c r="V144" s="321"/>
      <c r="W144" s="321"/>
      <c r="X144" s="321"/>
      <c r="Y144" s="321"/>
      <c r="Z144" s="321"/>
      <c r="AA144" s="321"/>
      <c r="AB144" s="321"/>
      <c r="AC144" s="321"/>
      <c r="AD144" s="321"/>
      <c r="AE144" s="321"/>
      <c r="AG144" s="321"/>
      <c r="AV144" s="321"/>
      <c r="BA144" s="321"/>
      <c r="BB144" s="321"/>
      <c r="BC144" s="321"/>
      <c r="BD144" s="321"/>
      <c r="BE144" s="321"/>
      <c r="BF144" s="321"/>
      <c r="BG144" s="321"/>
    </row>
    <row r="145" spans="1:59" ht="7.5" customHeight="1" x14ac:dyDescent="0.2">
      <c r="A145" s="2"/>
      <c r="B145" s="2"/>
      <c r="C145" s="2"/>
      <c r="D145" s="2"/>
      <c r="E145" s="2"/>
      <c r="F145" s="2"/>
      <c r="G145" s="1301">
        <f>IF(AND(G$147&lt;&gt;0,G$147&gt;0),IF(($E$138*1)&gt;=G$147,0,1),IF(AND(G$147&lt;&gt;0,G$147&lt;0),IF(($E$138*1)&lt;=G$147,0,1),0))</f>
        <v>0</v>
      </c>
      <c r="H145" s="1301">
        <f t="shared" ref="H145:M145" si="85">IF(AND(H$147&lt;&gt;0,H$147&gt;0),IF(($E$138*1)&gt;=H$147,0,1),IF(AND(H$147&lt;&gt;0,H$147&lt;0),IF(($E$138*1)&lt;=H$147,0,1),0))</f>
        <v>0</v>
      </c>
      <c r="I145" s="1301">
        <f t="shared" si="85"/>
        <v>0</v>
      </c>
      <c r="J145" s="1301">
        <f t="shared" si="85"/>
        <v>0</v>
      </c>
      <c r="K145" s="1301">
        <f t="shared" si="85"/>
        <v>0</v>
      </c>
      <c r="L145" s="1301">
        <f t="shared" si="85"/>
        <v>0</v>
      </c>
      <c r="M145" s="1301">
        <f t="shared" si="85"/>
        <v>0</v>
      </c>
      <c r="N145" s="2"/>
      <c r="O145" s="2"/>
      <c r="P145" s="2"/>
      <c r="Q145" s="2"/>
      <c r="R145" s="2"/>
      <c r="S145" s="321"/>
      <c r="T145" s="321"/>
      <c r="U145" s="321"/>
      <c r="V145" s="321"/>
      <c r="W145" s="321"/>
      <c r="X145" s="321"/>
      <c r="Y145" s="321"/>
      <c r="Z145" s="321"/>
      <c r="AA145" s="321"/>
      <c r="AB145" s="321"/>
      <c r="AC145" s="321"/>
      <c r="AD145" s="321"/>
      <c r="AE145" s="321"/>
      <c r="AG145" s="321"/>
      <c r="AV145" s="321"/>
      <c r="BA145" s="321"/>
      <c r="BB145" s="321"/>
      <c r="BC145" s="321"/>
      <c r="BD145" s="321"/>
      <c r="BE145" s="321"/>
      <c r="BF145" s="321"/>
      <c r="BG145" s="321"/>
    </row>
    <row r="146" spans="1:59" ht="7.5" customHeight="1" x14ac:dyDescent="0.2">
      <c r="A146" s="2"/>
      <c r="B146" s="2"/>
      <c r="C146" s="2"/>
      <c r="D146" s="2"/>
      <c r="E146" s="2"/>
      <c r="F146" s="2"/>
      <c r="G146" s="1301">
        <f>IF(G147&lt;&gt;0,1,0)</f>
        <v>0</v>
      </c>
      <c r="H146" s="1301">
        <f t="shared" ref="H146:M146" si="86">IF(H147&lt;&gt;0,1,0)</f>
        <v>0</v>
      </c>
      <c r="I146" s="1301">
        <f t="shared" si="86"/>
        <v>0</v>
      </c>
      <c r="J146" s="1301">
        <f t="shared" si="86"/>
        <v>0</v>
      </c>
      <c r="K146" s="1301">
        <f t="shared" si="86"/>
        <v>0</v>
      </c>
      <c r="L146" s="1301">
        <f t="shared" si="86"/>
        <v>0</v>
      </c>
      <c r="M146" s="1301">
        <f t="shared" si="86"/>
        <v>0</v>
      </c>
      <c r="N146" s="2"/>
      <c r="O146" s="2"/>
      <c r="P146" s="2"/>
      <c r="Q146" s="2"/>
      <c r="R146" s="2"/>
      <c r="S146" s="321"/>
      <c r="T146" s="321"/>
      <c r="U146" s="321"/>
      <c r="V146" s="321"/>
      <c r="W146" s="321"/>
      <c r="X146" s="321"/>
      <c r="Y146" s="321"/>
      <c r="Z146" s="321"/>
      <c r="AA146" s="321"/>
      <c r="AB146" s="321"/>
      <c r="AC146" s="321"/>
      <c r="AD146" s="321"/>
      <c r="AE146" s="321"/>
      <c r="AG146" s="321"/>
      <c r="AV146" s="321"/>
      <c r="BA146" s="321"/>
      <c r="BB146" s="321"/>
      <c r="BC146" s="321"/>
      <c r="BD146" s="321"/>
      <c r="BE146" s="321"/>
      <c r="BF146" s="321"/>
      <c r="BG146" s="321"/>
    </row>
    <row r="147" spans="1:59" ht="21.95" customHeight="1" x14ac:dyDescent="0.2">
      <c r="A147" s="300"/>
      <c r="B147" s="7"/>
      <c r="C147" s="1972" t="str">
        <f>RIEPILOGO!B4</f>
        <v>Totale EUR</v>
      </c>
      <c r="D147" s="1972"/>
      <c r="E147" s="1973">
        <f>SUM(G147:M147)</f>
        <v>0</v>
      </c>
      <c r="F147" s="1973"/>
      <c r="G147" s="1300">
        <f>VLOOKUP($N133,$C46:G48,G133+4,FALSE)</f>
        <v>0</v>
      </c>
      <c r="H147" s="1300">
        <f>VLOOKUP($N133,$C46:H48,H133+4,FALSE)</f>
        <v>0</v>
      </c>
      <c r="I147" s="1300">
        <f>VLOOKUP($N133,$C46:I48,I133+4,FALSE)</f>
        <v>0</v>
      </c>
      <c r="J147" s="1300">
        <f>VLOOKUP($N133,$C46:J48,J133+4,FALSE)</f>
        <v>0</v>
      </c>
      <c r="K147" s="1300">
        <f>VLOOKUP($N133,$C46:K48,K133+4,FALSE)</f>
        <v>0</v>
      </c>
      <c r="L147" s="1300">
        <f>VLOOKUP($N133,$C46:L48,L133+4,FALSE)</f>
        <v>0</v>
      </c>
      <c r="M147" s="1300">
        <f>VLOOKUP($N133,$C46:M48,M133+4,FALSE)</f>
        <v>0</v>
      </c>
      <c r="N147" s="14"/>
      <c r="O147" s="2"/>
      <c r="P147" s="12"/>
      <c r="Q147" s="2"/>
      <c r="R147" s="2"/>
      <c r="S147" s="321"/>
      <c r="T147" s="321"/>
      <c r="U147" s="321"/>
      <c r="V147" s="321"/>
      <c r="W147" s="321"/>
      <c r="X147" s="321"/>
      <c r="Y147" s="321"/>
      <c r="Z147" s="321"/>
      <c r="AA147" s="321"/>
      <c r="AB147" s="321"/>
      <c r="AC147" s="321"/>
      <c r="AD147" s="321"/>
      <c r="AE147" s="321"/>
      <c r="AG147" s="321"/>
      <c r="AV147" s="321"/>
      <c r="BA147" s="321"/>
      <c r="BB147" s="321"/>
      <c r="BC147" s="321"/>
      <c r="BD147" s="321"/>
      <c r="BE147" s="321"/>
      <c r="BF147" s="321"/>
      <c r="BG147" s="321"/>
    </row>
    <row r="148" spans="1:59" ht="11.25" customHeight="1" x14ac:dyDescent="0.2">
      <c r="A148" s="2"/>
      <c r="B148" s="2"/>
      <c r="C148" s="2"/>
      <c r="D148" s="2"/>
      <c r="E148" s="2"/>
      <c r="F148" s="2"/>
      <c r="G148" s="2"/>
      <c r="H148" s="2"/>
      <c r="I148" s="2"/>
      <c r="J148" s="2"/>
      <c r="K148" s="2"/>
      <c r="L148" s="2"/>
      <c r="M148" s="2"/>
      <c r="N148" s="2"/>
      <c r="O148" s="2"/>
      <c r="P148" s="2"/>
      <c r="Q148" s="2"/>
      <c r="R148" s="2"/>
      <c r="S148" s="321"/>
      <c r="T148" s="321"/>
      <c r="U148" s="321"/>
      <c r="V148" s="321"/>
      <c r="W148" s="321"/>
      <c r="X148" s="321"/>
      <c r="Y148" s="321"/>
      <c r="Z148" s="321"/>
      <c r="AA148" s="321"/>
      <c r="AB148" s="321"/>
      <c r="AC148" s="321"/>
      <c r="AD148" s="321"/>
      <c r="AE148" s="321"/>
      <c r="AG148" s="321"/>
      <c r="AV148" s="321"/>
      <c r="BA148" s="321"/>
      <c r="BB148" s="321"/>
      <c r="BC148" s="321"/>
      <c r="BD148" s="321"/>
      <c r="BE148" s="321"/>
      <c r="BF148" s="321"/>
      <c r="BG148" s="321"/>
    </row>
    <row r="149" spans="1:59" ht="19.5" customHeight="1" x14ac:dyDescent="0.2">
      <c r="A149" s="2"/>
      <c r="B149" s="2"/>
      <c r="C149" s="1982" t="str">
        <f>CONCATENATE("01/01 - ",RIGHT(C136,5))</f>
        <v>01/01 - 31/07</v>
      </c>
      <c r="D149" s="1982"/>
      <c r="E149" s="1982"/>
      <c r="F149" s="1982"/>
      <c r="G149" s="2"/>
      <c r="H149" s="2"/>
      <c r="I149" s="2"/>
      <c r="J149" s="2"/>
      <c r="K149" s="2"/>
      <c r="L149" s="2"/>
      <c r="M149" s="2"/>
      <c r="N149" s="2"/>
      <c r="O149" s="2"/>
      <c r="P149" s="2"/>
      <c r="Q149" s="2"/>
      <c r="R149" s="2"/>
      <c r="S149" s="321"/>
      <c r="T149" s="321"/>
      <c r="U149" s="321"/>
      <c r="V149" s="321"/>
      <c r="W149" s="321"/>
      <c r="X149" s="321"/>
      <c r="Y149" s="321"/>
      <c r="Z149" s="321"/>
      <c r="AA149" s="321"/>
      <c r="AB149" s="321"/>
      <c r="AC149" s="321"/>
      <c r="AD149" s="321"/>
      <c r="AE149" s="321"/>
      <c r="AG149" s="321"/>
      <c r="AV149" s="321"/>
      <c r="BA149" s="321"/>
      <c r="BB149" s="321"/>
      <c r="BC149" s="321"/>
      <c r="BD149" s="321"/>
      <c r="BE149" s="321"/>
      <c r="BF149" s="321"/>
      <c r="BG149" s="321"/>
    </row>
    <row r="150" spans="1:59" ht="7.5" customHeight="1" x14ac:dyDescent="0.2">
      <c r="A150" s="2"/>
      <c r="B150" s="2"/>
      <c r="C150" s="1978"/>
      <c r="D150" s="1979"/>
      <c r="E150" s="268"/>
      <c r="F150" s="2"/>
      <c r="G150" s="1301" t="e">
        <f t="shared" ref="G150:M150" si="87">IF(AND(G$160&lt;&gt;0,G$160&gt;0),IF(($E$151*9)&gt;=G$160,0,1),IF(AND(G$160&lt;&gt;0,G$160&lt;0),IF(($E$151*9)&lt;=G$160,0,1),0))</f>
        <v>#N/A</v>
      </c>
      <c r="H150" s="1301" t="e">
        <f t="shared" si="87"/>
        <v>#N/A</v>
      </c>
      <c r="I150" s="1301" t="e">
        <f t="shared" si="87"/>
        <v>#N/A</v>
      </c>
      <c r="J150" s="1301" t="e">
        <f t="shared" si="87"/>
        <v>#N/A</v>
      </c>
      <c r="K150" s="1301" t="e">
        <f t="shared" si="87"/>
        <v>#N/A</v>
      </c>
      <c r="L150" s="1301" t="e">
        <f t="shared" si="87"/>
        <v>#N/A</v>
      </c>
      <c r="M150" s="1301" t="e">
        <f t="shared" si="87"/>
        <v>#N/A</v>
      </c>
      <c r="N150" s="2"/>
      <c r="O150" s="2"/>
      <c r="P150" s="2"/>
      <c r="Q150" s="2"/>
      <c r="R150" s="2"/>
      <c r="S150" s="321"/>
      <c r="T150" s="321"/>
      <c r="U150" s="321"/>
      <c r="V150" s="321"/>
      <c r="W150" s="321"/>
      <c r="X150" s="321"/>
      <c r="Y150" s="321"/>
      <c r="Z150" s="321"/>
      <c r="AA150" s="321"/>
      <c r="AB150" s="321"/>
      <c r="AC150" s="321"/>
      <c r="AD150" s="321"/>
      <c r="AE150" s="321"/>
      <c r="AG150" s="321"/>
      <c r="AV150" s="321"/>
      <c r="BA150" s="321"/>
      <c r="BB150" s="321"/>
      <c r="BC150" s="321"/>
      <c r="BD150" s="321"/>
      <c r="BE150" s="321"/>
      <c r="BF150" s="321"/>
      <c r="BG150" s="321"/>
    </row>
    <row r="151" spans="1:59" ht="7.5" customHeight="1" x14ac:dyDescent="0.2">
      <c r="A151" s="2"/>
      <c r="B151" s="2"/>
      <c r="C151" s="1967" t="str">
        <f>C138</f>
        <v>Unità M. Eur</v>
      </c>
      <c r="D151" s="1967"/>
      <c r="E151" s="2013" t="e">
        <f>IF(OR(N133=0,N135=""),0,IF(N135=E187,E188,MAX(G160:M160)/10))</f>
        <v>#N/A</v>
      </c>
      <c r="F151" s="2"/>
      <c r="G151" s="1301" t="e">
        <f t="shared" ref="G151:M151" si="88">IF(AND(G$160&lt;&gt;0,G$160&gt;0),IF(($E$151*8)&gt;=G$160,0,1),IF(AND(G$160&lt;&gt;0,G$160&lt;0),IF(($E$151*8)&lt;=G$160,0,1),0))</f>
        <v>#N/A</v>
      </c>
      <c r="H151" s="1301" t="e">
        <f t="shared" si="88"/>
        <v>#N/A</v>
      </c>
      <c r="I151" s="1301" t="e">
        <f t="shared" si="88"/>
        <v>#N/A</v>
      </c>
      <c r="J151" s="1301" t="e">
        <f t="shared" si="88"/>
        <v>#N/A</v>
      </c>
      <c r="K151" s="1301" t="e">
        <f t="shared" si="88"/>
        <v>#N/A</v>
      </c>
      <c r="L151" s="1301" t="e">
        <f t="shared" si="88"/>
        <v>#N/A</v>
      </c>
      <c r="M151" s="1301" t="e">
        <f t="shared" si="88"/>
        <v>#N/A</v>
      </c>
      <c r="N151" s="2"/>
      <c r="O151" s="2"/>
      <c r="P151" s="2"/>
      <c r="Q151" s="2"/>
      <c r="R151" s="2"/>
      <c r="S151" s="321"/>
      <c r="T151" s="321"/>
      <c r="U151" s="321"/>
      <c r="V151" s="321"/>
      <c r="W151" s="321"/>
      <c r="X151" s="321"/>
      <c r="Y151" s="321"/>
      <c r="Z151" s="321"/>
      <c r="AA151" s="321"/>
      <c r="AB151" s="321"/>
      <c r="AC151" s="321"/>
      <c r="AD151" s="321"/>
      <c r="AE151" s="321"/>
      <c r="AG151" s="321"/>
      <c r="AV151" s="321"/>
      <c r="BA151" s="321"/>
      <c r="BB151" s="321"/>
      <c r="BC151" s="321"/>
      <c r="BD151" s="321"/>
      <c r="BE151" s="321"/>
      <c r="BF151" s="321"/>
      <c r="BG151" s="321"/>
    </row>
    <row r="152" spans="1:59" ht="7.5" customHeight="1" x14ac:dyDescent="0.2">
      <c r="A152" s="2"/>
      <c r="B152" s="2"/>
      <c r="C152" s="1968"/>
      <c r="D152" s="1968"/>
      <c r="E152" s="2013"/>
      <c r="F152" s="2"/>
      <c r="G152" s="1301" t="e">
        <f t="shared" ref="G152:M152" si="89">IF(AND(G$160&lt;&gt;0,G$160&gt;0),IF(($E$151*7)&gt;=G$160,0,1),IF(AND(G$160&lt;&gt;0,G$160&lt;0),IF(($E$151*7)&lt;=G$160,0,1),0))</f>
        <v>#N/A</v>
      </c>
      <c r="H152" s="1301" t="e">
        <f t="shared" si="89"/>
        <v>#N/A</v>
      </c>
      <c r="I152" s="1301" t="e">
        <f t="shared" si="89"/>
        <v>#N/A</v>
      </c>
      <c r="J152" s="1301" t="e">
        <f t="shared" si="89"/>
        <v>#N/A</v>
      </c>
      <c r="K152" s="1301" t="e">
        <f t="shared" si="89"/>
        <v>#N/A</v>
      </c>
      <c r="L152" s="1301" t="e">
        <f t="shared" si="89"/>
        <v>#N/A</v>
      </c>
      <c r="M152" s="1301" t="e">
        <f t="shared" si="89"/>
        <v>#N/A</v>
      </c>
      <c r="N152" s="2"/>
      <c r="O152" s="2"/>
      <c r="P152" s="2"/>
      <c r="Q152" s="2"/>
      <c r="R152" s="2"/>
      <c r="S152" s="321"/>
      <c r="T152" s="321"/>
      <c r="U152" s="321"/>
      <c r="V152" s="321"/>
      <c r="W152" s="321"/>
      <c r="X152" s="321"/>
      <c r="Y152" s="321"/>
      <c r="Z152" s="321"/>
      <c r="AA152" s="321"/>
      <c r="AB152" s="321"/>
      <c r="AC152" s="321"/>
      <c r="AD152" s="321"/>
      <c r="AE152" s="321"/>
      <c r="AG152" s="321"/>
      <c r="AV152" s="321"/>
      <c r="BA152" s="321"/>
      <c r="BB152" s="321"/>
      <c r="BC152" s="321"/>
      <c r="BD152" s="321"/>
      <c r="BE152" s="321"/>
      <c r="BF152" s="321"/>
      <c r="BG152" s="321"/>
    </row>
    <row r="153" spans="1:59" ht="7.5" customHeight="1" x14ac:dyDescent="0.2">
      <c r="A153" s="2"/>
      <c r="B153" s="2"/>
      <c r="C153" s="2"/>
      <c r="D153" s="2"/>
      <c r="E153" s="2"/>
      <c r="F153" s="2"/>
      <c r="G153" s="1301" t="e">
        <f t="shared" ref="G153:M153" si="90">IF(AND(G$160&lt;&gt;0,G$160&gt;0),IF(($E$151*6)&gt;=G$160,0,1),IF(AND(G$160&lt;&gt;0,G$160&lt;0),IF(($E$151*6)&lt;=G$160,0,1),0))</f>
        <v>#N/A</v>
      </c>
      <c r="H153" s="1301" t="e">
        <f t="shared" si="90"/>
        <v>#N/A</v>
      </c>
      <c r="I153" s="1301" t="e">
        <f t="shared" si="90"/>
        <v>#N/A</v>
      </c>
      <c r="J153" s="1301" t="e">
        <f t="shared" si="90"/>
        <v>#N/A</v>
      </c>
      <c r="K153" s="1301" t="e">
        <f t="shared" si="90"/>
        <v>#N/A</v>
      </c>
      <c r="L153" s="1301" t="e">
        <f t="shared" si="90"/>
        <v>#N/A</v>
      </c>
      <c r="M153" s="1301" t="e">
        <f t="shared" si="90"/>
        <v>#N/A</v>
      </c>
      <c r="N153" s="2"/>
      <c r="O153" s="2"/>
      <c r="P153" s="2"/>
      <c r="Q153" s="2"/>
      <c r="R153" s="2"/>
      <c r="S153" s="321"/>
      <c r="T153" s="321"/>
      <c r="U153" s="321"/>
      <c r="V153" s="321"/>
      <c r="W153" s="321"/>
      <c r="X153" s="321"/>
      <c r="Y153" s="321"/>
      <c r="Z153" s="321"/>
      <c r="AA153" s="321"/>
      <c r="AB153" s="321"/>
      <c r="AC153" s="321"/>
      <c r="AD153" s="321"/>
      <c r="AE153" s="321"/>
      <c r="AG153" s="321"/>
      <c r="AV153" s="321"/>
      <c r="BA153" s="321"/>
      <c r="BB153" s="321"/>
      <c r="BC153" s="321"/>
      <c r="BD153" s="321"/>
      <c r="BE153" s="321"/>
      <c r="BF153" s="321"/>
      <c r="BG153" s="321"/>
    </row>
    <row r="154" spans="1:59" ht="7.5" customHeight="1" x14ac:dyDescent="0.2">
      <c r="A154" s="2"/>
      <c r="B154" s="2"/>
      <c r="C154" s="2"/>
      <c r="D154" s="2"/>
      <c r="E154" s="2"/>
      <c r="F154" s="2"/>
      <c r="G154" s="1301" t="e">
        <f t="shared" ref="G154:M154" si="91">IF(AND(G$160&lt;&gt;0,G$160&gt;0),IF(($E$151*5)&gt;=G$160,0,1),IF(AND(G$160&lt;&gt;0,G$160&lt;0),IF(($E$151*5)&lt;=G$160,0,1),0))</f>
        <v>#N/A</v>
      </c>
      <c r="H154" s="1301" t="e">
        <f t="shared" si="91"/>
        <v>#N/A</v>
      </c>
      <c r="I154" s="1301" t="e">
        <f t="shared" si="91"/>
        <v>#N/A</v>
      </c>
      <c r="J154" s="1301" t="e">
        <f t="shared" si="91"/>
        <v>#N/A</v>
      </c>
      <c r="K154" s="1301" t="e">
        <f t="shared" si="91"/>
        <v>#N/A</v>
      </c>
      <c r="L154" s="1301" t="e">
        <f t="shared" si="91"/>
        <v>#N/A</v>
      </c>
      <c r="M154" s="1301" t="e">
        <f t="shared" si="91"/>
        <v>#N/A</v>
      </c>
      <c r="N154" s="2"/>
      <c r="O154" s="2"/>
      <c r="P154" s="2"/>
      <c r="Q154" s="2"/>
      <c r="R154" s="2"/>
      <c r="S154" s="321"/>
      <c r="T154" s="321"/>
      <c r="U154" s="321"/>
      <c r="V154" s="321"/>
      <c r="W154" s="321"/>
      <c r="X154" s="321"/>
      <c r="Y154" s="321"/>
      <c r="Z154" s="321"/>
      <c r="AA154" s="321"/>
      <c r="AB154" s="321"/>
      <c r="AC154" s="321"/>
      <c r="AD154" s="321"/>
      <c r="AE154" s="321"/>
      <c r="AG154" s="321"/>
      <c r="AV154" s="321"/>
      <c r="BA154" s="321"/>
      <c r="BB154" s="321"/>
      <c r="BC154" s="321"/>
      <c r="BD154" s="321"/>
      <c r="BE154" s="321"/>
      <c r="BF154" s="321"/>
      <c r="BG154" s="321"/>
    </row>
    <row r="155" spans="1:59" ht="7.5" customHeight="1" x14ac:dyDescent="0.2">
      <c r="A155" s="2"/>
      <c r="B155" s="2"/>
      <c r="C155" s="2"/>
      <c r="D155" s="2"/>
      <c r="E155" s="2"/>
      <c r="F155" s="2"/>
      <c r="G155" s="1301" t="e">
        <f t="shared" ref="G155:M155" si="92">IF(AND(G$160&lt;&gt;0,G$160&gt;0),IF(($E$151*4)&gt;=G$160,0,1),IF(AND(G$160&lt;&gt;0,G$160&lt;0),IF(($E$151*4)&lt;=G$160,0,1),0))</f>
        <v>#N/A</v>
      </c>
      <c r="H155" s="1301" t="e">
        <f t="shared" si="92"/>
        <v>#N/A</v>
      </c>
      <c r="I155" s="1301" t="e">
        <f t="shared" si="92"/>
        <v>#N/A</v>
      </c>
      <c r="J155" s="1301" t="e">
        <f t="shared" si="92"/>
        <v>#N/A</v>
      </c>
      <c r="K155" s="1301" t="e">
        <f t="shared" si="92"/>
        <v>#N/A</v>
      </c>
      <c r="L155" s="1301" t="e">
        <f t="shared" si="92"/>
        <v>#N/A</v>
      </c>
      <c r="M155" s="1301" t="e">
        <f t="shared" si="92"/>
        <v>#N/A</v>
      </c>
      <c r="N155" s="2"/>
      <c r="O155" s="2"/>
      <c r="P155" s="2"/>
      <c r="Q155" s="2"/>
      <c r="R155" s="2"/>
      <c r="S155" s="321"/>
      <c r="T155" s="321"/>
      <c r="U155" s="321"/>
      <c r="V155" s="321"/>
      <c r="W155" s="321"/>
      <c r="X155" s="321"/>
      <c r="Y155" s="321"/>
      <c r="Z155" s="321"/>
      <c r="AA155" s="321"/>
      <c r="AB155" s="321"/>
      <c r="AC155" s="321"/>
      <c r="AD155" s="321"/>
      <c r="AE155" s="321"/>
      <c r="AG155" s="321"/>
      <c r="AV155" s="321"/>
      <c r="BA155" s="321"/>
      <c r="BB155" s="321"/>
      <c r="BC155" s="321"/>
      <c r="BD155" s="321"/>
      <c r="BE155" s="321"/>
      <c r="BF155" s="321"/>
      <c r="BG155" s="321"/>
    </row>
    <row r="156" spans="1:59" ht="7.5" customHeight="1" x14ac:dyDescent="0.2">
      <c r="A156" s="2"/>
      <c r="B156" s="2"/>
      <c r="C156" s="2"/>
      <c r="D156" s="2"/>
      <c r="E156" s="2"/>
      <c r="F156" s="2"/>
      <c r="G156" s="1301" t="e">
        <f t="shared" ref="G156:M156" si="93">IF(AND(G$160&lt;&gt;0,G$160&gt;0),IF(($E$151*3)&gt;=G$160,0,1),IF(AND(G$160&lt;&gt;0,G$160&lt;0),IF(($E$151*3)&lt;=G$160,0,1),0))</f>
        <v>#N/A</v>
      </c>
      <c r="H156" s="1301" t="e">
        <f t="shared" si="93"/>
        <v>#N/A</v>
      </c>
      <c r="I156" s="1301" t="e">
        <f t="shared" si="93"/>
        <v>#N/A</v>
      </c>
      <c r="J156" s="1301" t="e">
        <f t="shared" si="93"/>
        <v>#N/A</v>
      </c>
      <c r="K156" s="1301" t="e">
        <f t="shared" si="93"/>
        <v>#N/A</v>
      </c>
      <c r="L156" s="1301" t="e">
        <f t="shared" si="93"/>
        <v>#N/A</v>
      </c>
      <c r="M156" s="1301" t="e">
        <f t="shared" si="93"/>
        <v>#N/A</v>
      </c>
      <c r="N156" s="2"/>
      <c r="O156" s="2"/>
      <c r="P156" s="2"/>
      <c r="Q156" s="2"/>
      <c r="R156" s="2"/>
      <c r="S156" s="321"/>
      <c r="T156" s="321"/>
      <c r="U156" s="321"/>
      <c r="V156" s="321"/>
      <c r="W156" s="321"/>
      <c r="X156" s="321"/>
      <c r="Y156" s="321"/>
      <c r="Z156" s="321"/>
      <c r="AA156" s="321"/>
      <c r="AB156" s="321"/>
      <c r="AC156" s="321"/>
      <c r="AD156" s="321"/>
      <c r="AE156" s="321"/>
      <c r="AG156" s="321"/>
      <c r="AV156" s="321"/>
      <c r="BA156" s="321"/>
      <c r="BB156" s="321"/>
      <c r="BC156" s="321"/>
      <c r="BD156" s="321"/>
      <c r="BE156" s="321"/>
      <c r="BF156" s="321"/>
      <c r="BG156" s="321"/>
    </row>
    <row r="157" spans="1:59" ht="7.5" customHeight="1" x14ac:dyDescent="0.2">
      <c r="A157" s="2"/>
      <c r="B157" s="2"/>
      <c r="C157" s="2"/>
      <c r="D157" s="2"/>
      <c r="E157" s="2"/>
      <c r="F157" s="2"/>
      <c r="G157" s="1301" t="e">
        <f t="shared" ref="G157:M157" si="94">IF(AND(G$160&lt;&gt;0,G$160&gt;0),IF(($E$151*2)&gt;=G$160,0,1),IF(AND(G$160&lt;&gt;0,G$160&lt;0),IF(($E$151*2)&lt;=G$160,0,1),0))</f>
        <v>#N/A</v>
      </c>
      <c r="H157" s="1301" t="e">
        <f t="shared" si="94"/>
        <v>#N/A</v>
      </c>
      <c r="I157" s="1301" t="e">
        <f t="shared" si="94"/>
        <v>#N/A</v>
      </c>
      <c r="J157" s="1301" t="e">
        <f t="shared" si="94"/>
        <v>#N/A</v>
      </c>
      <c r="K157" s="1301" t="e">
        <f t="shared" si="94"/>
        <v>#N/A</v>
      </c>
      <c r="L157" s="1301" t="e">
        <f t="shared" si="94"/>
        <v>#N/A</v>
      </c>
      <c r="M157" s="1301" t="e">
        <f t="shared" si="94"/>
        <v>#N/A</v>
      </c>
      <c r="N157" s="2"/>
      <c r="O157" s="2"/>
      <c r="P157" s="2"/>
      <c r="Q157" s="2"/>
      <c r="R157" s="2"/>
      <c r="S157" s="321"/>
      <c r="T157" s="321"/>
      <c r="U157" s="321"/>
      <c r="V157" s="321"/>
      <c r="W157" s="321"/>
      <c r="X157" s="321"/>
      <c r="Y157" s="321"/>
      <c r="Z157" s="321"/>
      <c r="AA157" s="321"/>
      <c r="AB157" s="321"/>
      <c r="AC157" s="321"/>
      <c r="AD157" s="321"/>
      <c r="AE157" s="321"/>
      <c r="AG157" s="321"/>
      <c r="AV157" s="321"/>
      <c r="BA157" s="321"/>
      <c r="BB157" s="321"/>
      <c r="BC157" s="321"/>
      <c r="BD157" s="321"/>
      <c r="BE157" s="321"/>
      <c r="BF157" s="321"/>
      <c r="BG157" s="321"/>
    </row>
    <row r="158" spans="1:59" ht="7.5" customHeight="1" x14ac:dyDescent="0.2">
      <c r="A158" s="2"/>
      <c r="B158" s="2"/>
      <c r="C158" s="2"/>
      <c r="D158" s="2"/>
      <c r="E158" s="2"/>
      <c r="F158" s="2"/>
      <c r="G158" s="1301" t="e">
        <f t="shared" ref="G158:M158" si="95">IF(AND(G$160&lt;&gt;0,G$160&gt;0),IF(($E$151*1)&gt;=G$160,0,1),IF(AND(G$160&lt;&gt;0,G$160&lt;0),IF(($E$151*1)&lt;=G$160,0,1),0))</f>
        <v>#N/A</v>
      </c>
      <c r="H158" s="1301" t="e">
        <f t="shared" si="95"/>
        <v>#N/A</v>
      </c>
      <c r="I158" s="1301" t="e">
        <f t="shared" si="95"/>
        <v>#N/A</v>
      </c>
      <c r="J158" s="1301" t="e">
        <f t="shared" si="95"/>
        <v>#N/A</v>
      </c>
      <c r="K158" s="1301" t="e">
        <f t="shared" si="95"/>
        <v>#N/A</v>
      </c>
      <c r="L158" s="1301" t="e">
        <f t="shared" si="95"/>
        <v>#N/A</v>
      </c>
      <c r="M158" s="1301" t="e">
        <f t="shared" si="95"/>
        <v>#N/A</v>
      </c>
      <c r="N158" s="2"/>
      <c r="O158" s="2"/>
      <c r="P158" s="2"/>
      <c r="Q158" s="2"/>
      <c r="R158" s="2"/>
      <c r="S158" s="321"/>
      <c r="T158" s="321"/>
      <c r="U158" s="321"/>
      <c r="V158" s="321"/>
      <c r="W158" s="321"/>
      <c r="X158" s="321"/>
      <c r="Y158" s="321"/>
      <c r="Z158" s="321"/>
      <c r="AA158" s="321"/>
      <c r="AB158" s="321"/>
      <c r="AC158" s="321"/>
      <c r="AD158" s="321"/>
      <c r="AE158" s="321"/>
      <c r="AG158" s="321"/>
      <c r="AV158" s="321"/>
      <c r="BA158" s="321"/>
      <c r="BB158" s="321"/>
      <c r="BC158" s="321"/>
      <c r="BD158" s="321"/>
      <c r="BE158" s="321"/>
      <c r="BF158" s="321"/>
      <c r="BG158" s="321"/>
    </row>
    <row r="159" spans="1:59" ht="7.5" customHeight="1" x14ac:dyDescent="0.2">
      <c r="A159" s="2"/>
      <c r="B159" s="2"/>
      <c r="C159" s="2"/>
      <c r="D159" s="2"/>
      <c r="E159" s="2"/>
      <c r="F159" s="2"/>
      <c r="G159" s="1301" t="e">
        <f>IF(G160&lt;&gt;0,1,0)</f>
        <v>#N/A</v>
      </c>
      <c r="H159" s="1301" t="e">
        <f t="shared" ref="H159:M159" si="96">IF(H160&lt;&gt;0,1,0)</f>
        <v>#N/A</v>
      </c>
      <c r="I159" s="1301" t="e">
        <f t="shared" si="96"/>
        <v>#N/A</v>
      </c>
      <c r="J159" s="1301" t="e">
        <f t="shared" si="96"/>
        <v>#N/A</v>
      </c>
      <c r="K159" s="1301" t="e">
        <f t="shared" si="96"/>
        <v>#N/A</v>
      </c>
      <c r="L159" s="1301" t="e">
        <f t="shared" si="96"/>
        <v>#N/A</v>
      </c>
      <c r="M159" s="1301" t="e">
        <f t="shared" si="96"/>
        <v>#N/A</v>
      </c>
      <c r="N159" s="2"/>
      <c r="O159" s="2"/>
      <c r="P159" s="2"/>
      <c r="Q159" s="2"/>
      <c r="R159" s="2"/>
      <c r="S159" s="321"/>
      <c r="T159" s="321"/>
      <c r="U159" s="321"/>
      <c r="V159" s="321"/>
      <c r="W159" s="321"/>
      <c r="X159" s="321"/>
      <c r="Y159" s="321"/>
      <c r="Z159" s="321"/>
      <c r="AA159" s="321"/>
      <c r="AB159" s="321"/>
      <c r="AC159" s="321"/>
      <c r="AD159" s="321"/>
      <c r="AE159" s="321"/>
      <c r="AG159" s="321"/>
      <c r="AV159" s="321"/>
      <c r="BA159" s="321"/>
      <c r="BB159" s="321"/>
      <c r="BC159" s="321"/>
      <c r="BD159" s="321"/>
      <c r="BE159" s="321"/>
      <c r="BF159" s="321"/>
      <c r="BG159" s="321"/>
    </row>
    <row r="160" spans="1:59" ht="21.95" customHeight="1" x14ac:dyDescent="0.2">
      <c r="A160" s="300"/>
      <c r="B160" s="7"/>
      <c r="C160" s="1972" t="str">
        <f>C147</f>
        <v>Totale EUR</v>
      </c>
      <c r="D160" s="1972"/>
      <c r="E160" s="1973" t="e">
        <f>SUM(G160:M160)</f>
        <v>#N/A</v>
      </c>
      <c r="F160" s="1973"/>
      <c r="G160" s="1300" t="e">
        <f>VLOOKUP($N133,$C182:G184,G181,FALSE)</f>
        <v>#N/A</v>
      </c>
      <c r="H160" s="1300" t="e">
        <f>VLOOKUP($N133,$C182:H184,H181,FALSE)</f>
        <v>#N/A</v>
      </c>
      <c r="I160" s="1300" t="e">
        <f>VLOOKUP($N133,$C182:I184,I181,FALSE)</f>
        <v>#N/A</v>
      </c>
      <c r="J160" s="1300" t="e">
        <f>VLOOKUP($N133,$C182:J184,J181,FALSE)</f>
        <v>#N/A</v>
      </c>
      <c r="K160" s="1300" t="e">
        <f>VLOOKUP($N133,$C182:K184,K181,FALSE)</f>
        <v>#N/A</v>
      </c>
      <c r="L160" s="1300" t="e">
        <f>VLOOKUP($N133,$C182:L184,L181,FALSE)</f>
        <v>#N/A</v>
      </c>
      <c r="M160" s="1300" t="e">
        <f>VLOOKUP($N133,$C182:M184,M181,FALSE)</f>
        <v>#N/A</v>
      </c>
      <c r="N160" s="14"/>
      <c r="O160" s="2"/>
      <c r="P160" s="12"/>
      <c r="Q160" s="2"/>
      <c r="R160" s="2"/>
      <c r="S160" s="321"/>
      <c r="T160" s="321"/>
      <c r="U160" s="321"/>
      <c r="V160" s="321"/>
      <c r="W160" s="321"/>
      <c r="X160" s="321"/>
      <c r="Y160" s="321"/>
      <c r="Z160" s="321"/>
      <c r="AA160" s="321"/>
      <c r="AB160" s="321"/>
      <c r="AC160" s="321"/>
      <c r="AD160" s="321"/>
      <c r="AE160" s="321"/>
      <c r="AG160" s="321"/>
      <c r="AV160" s="321"/>
      <c r="BA160" s="321"/>
      <c r="BB160" s="321"/>
      <c r="BC160" s="321"/>
      <c r="BD160" s="321"/>
      <c r="BE160" s="321"/>
      <c r="BF160" s="321"/>
      <c r="BG160" s="321"/>
    </row>
    <row r="161" spans="1:59" ht="11.25" customHeight="1" x14ac:dyDescent="0.2">
      <c r="A161" s="2"/>
      <c r="B161" s="2"/>
      <c r="C161" s="2"/>
      <c r="D161" s="2"/>
      <c r="E161" s="2"/>
      <c r="F161" s="2"/>
      <c r="G161" s="2"/>
      <c r="H161" s="2"/>
      <c r="I161" s="2"/>
      <c r="J161" s="2"/>
      <c r="K161" s="2"/>
      <c r="L161" s="2"/>
      <c r="M161" s="2"/>
      <c r="N161" s="2"/>
      <c r="O161" s="2"/>
      <c r="P161" s="2"/>
      <c r="Q161" s="2"/>
      <c r="R161" s="2"/>
      <c r="S161" s="321"/>
      <c r="T161" s="321"/>
      <c r="U161" s="321"/>
      <c r="V161" s="321"/>
      <c r="W161" s="321"/>
      <c r="X161" s="321"/>
      <c r="Y161" s="321"/>
      <c r="Z161" s="321"/>
      <c r="AA161" s="321"/>
      <c r="AB161" s="321"/>
      <c r="AC161" s="321"/>
      <c r="AD161" s="321"/>
      <c r="AE161" s="321"/>
      <c r="AG161" s="321"/>
      <c r="AV161" s="321"/>
      <c r="BA161" s="321"/>
      <c r="BB161" s="321"/>
      <c r="BC161" s="321"/>
      <c r="BD161" s="321"/>
      <c r="BE161" s="321"/>
      <c r="BF161" s="321"/>
      <c r="BG161" s="321"/>
    </row>
    <row r="162" spans="1:59" ht="19.5" customHeight="1" x14ac:dyDescent="0.2">
      <c r="A162" s="2"/>
      <c r="B162" s="2"/>
      <c r="C162" s="2010" t="e">
        <f>VLOOKUP(K174,I187:K196,3,FALSE)</f>
        <v>#N/A</v>
      </c>
      <c r="D162" s="2010"/>
      <c r="E162" s="2010"/>
      <c r="F162" s="2010"/>
      <c r="G162" s="2010"/>
      <c r="H162" s="2010"/>
      <c r="I162" s="2"/>
      <c r="J162" s="2"/>
      <c r="K162" s="2"/>
      <c r="L162" s="2"/>
      <c r="M162" s="2"/>
      <c r="N162" s="2"/>
      <c r="O162" s="2"/>
      <c r="P162" s="2"/>
      <c r="Q162" s="2"/>
      <c r="R162" s="2"/>
      <c r="S162" s="321"/>
      <c r="T162" s="321"/>
      <c r="U162" s="321"/>
      <c r="V162" s="321"/>
      <c r="W162" s="321"/>
      <c r="X162" s="321"/>
      <c r="Y162" s="321"/>
      <c r="Z162" s="321"/>
      <c r="AA162" s="321"/>
      <c r="AB162" s="321"/>
      <c r="AC162" s="321"/>
      <c r="AD162" s="321"/>
      <c r="AE162" s="321"/>
      <c r="AG162" s="321"/>
      <c r="AV162" s="321"/>
      <c r="BA162" s="321"/>
      <c r="BB162" s="321"/>
      <c r="BC162" s="321"/>
      <c r="BD162" s="321"/>
      <c r="BE162" s="321"/>
      <c r="BF162" s="321"/>
      <c r="BG162" s="321"/>
    </row>
    <row r="163" spans="1:59" ht="7.5" customHeight="1" x14ac:dyDescent="0.2">
      <c r="A163" s="2"/>
      <c r="B163" s="2"/>
      <c r="C163" s="2014"/>
      <c r="D163" s="2015"/>
      <c r="E163" s="268"/>
      <c r="F163" s="2"/>
      <c r="G163" s="1301" t="e">
        <f>IF(AND(G$173&lt;&gt;0,G$173&gt;0),IF(($E$164*9)&gt;=G$173,0,1),IF(AND(G$173&lt;&gt;0,G$173&lt;0),IF(($E$164*9)&lt;=G$173,0,1),0))</f>
        <v>#N/A</v>
      </c>
      <c r="H163" s="1301" t="e">
        <f t="shared" ref="H163:M163" si="97">IF(AND(H$173&lt;&gt;0,H$173&gt;0),IF(($E$164*9)&gt;=H$173,0,1),IF(AND(H$173&lt;&gt;0,H$173&lt;0),IF(($E$164*9)&lt;=H$173,0,1),0))</f>
        <v>#N/A</v>
      </c>
      <c r="I163" s="1301" t="e">
        <f t="shared" si="97"/>
        <v>#N/A</v>
      </c>
      <c r="J163" s="1301" t="e">
        <f t="shared" si="97"/>
        <v>#N/A</v>
      </c>
      <c r="K163" s="1301" t="e">
        <f t="shared" si="97"/>
        <v>#N/A</v>
      </c>
      <c r="L163" s="1301" t="e">
        <f t="shared" si="97"/>
        <v>#N/A</v>
      </c>
      <c r="M163" s="1301" t="e">
        <f t="shared" si="97"/>
        <v>#N/A</v>
      </c>
      <c r="N163" s="2"/>
      <c r="O163" s="2"/>
      <c r="P163" s="2"/>
      <c r="Q163" s="2"/>
      <c r="R163" s="2"/>
      <c r="S163" s="321"/>
      <c r="T163" s="321"/>
      <c r="U163" s="321"/>
      <c r="V163" s="321"/>
      <c r="W163" s="321"/>
      <c r="X163" s="321"/>
      <c r="Y163" s="321"/>
      <c r="Z163" s="321"/>
      <c r="AA163" s="321"/>
      <c r="AB163" s="321"/>
      <c r="AC163" s="321"/>
      <c r="AD163" s="321"/>
      <c r="AE163" s="321"/>
      <c r="AG163" s="321"/>
      <c r="AV163" s="321"/>
      <c r="BA163" s="321"/>
      <c r="BB163" s="321"/>
      <c r="BC163" s="321"/>
      <c r="BD163" s="321"/>
      <c r="BE163" s="321"/>
      <c r="BF163" s="321"/>
      <c r="BG163" s="321"/>
    </row>
    <row r="164" spans="1:59" ht="7.5" customHeight="1" x14ac:dyDescent="0.2">
      <c r="A164" s="2"/>
      <c r="B164" s="2"/>
      <c r="C164" s="1967" t="str">
        <f>C151</f>
        <v>Unità M. Eur</v>
      </c>
      <c r="D164" s="1967"/>
      <c r="E164" s="2013" t="e">
        <f>IF(OR(N133=0,N135=""),0,IF(N135=E187,E188,MAX(G173:M173)/10))</f>
        <v>#N/A</v>
      </c>
      <c r="F164" s="2"/>
      <c r="G164" s="1301" t="e">
        <f>IF(AND(G$173&lt;&gt;0,G$173&gt;0),IF(($E$164*8)&gt;=G$173,0,1),IF(AND(G$173&lt;&gt;0,G$173&lt;0),IF(($E$164*8)&lt;=G$173,0,1),0))</f>
        <v>#N/A</v>
      </c>
      <c r="H164" s="1301" t="e">
        <f t="shared" ref="H164:M164" si="98">IF(AND(H$173&lt;&gt;0,H$173&gt;0),IF(($E$164*8)&gt;=H$173,0,1),IF(AND(H$173&lt;&gt;0,H$173&lt;0),IF(($E$164*8)&lt;=H$173,0,1),0))</f>
        <v>#N/A</v>
      </c>
      <c r="I164" s="1301" t="e">
        <f t="shared" si="98"/>
        <v>#N/A</v>
      </c>
      <c r="J164" s="1301" t="e">
        <f t="shared" si="98"/>
        <v>#N/A</v>
      </c>
      <c r="K164" s="1301" t="e">
        <f t="shared" si="98"/>
        <v>#N/A</v>
      </c>
      <c r="L164" s="1301" t="e">
        <f t="shared" si="98"/>
        <v>#N/A</v>
      </c>
      <c r="M164" s="1301" t="e">
        <f t="shared" si="98"/>
        <v>#N/A</v>
      </c>
      <c r="N164" s="2"/>
      <c r="O164" s="2"/>
      <c r="P164" s="2"/>
      <c r="Q164" s="2"/>
      <c r="R164" s="2"/>
      <c r="S164" s="321"/>
      <c r="T164" s="321"/>
      <c r="U164" s="321"/>
      <c r="V164" s="321"/>
      <c r="W164" s="321"/>
      <c r="X164" s="321"/>
      <c r="Y164" s="321"/>
      <c r="Z164" s="321"/>
      <c r="AA164" s="321"/>
      <c r="AB164" s="321"/>
      <c r="AC164" s="321"/>
      <c r="AD164" s="321"/>
      <c r="AE164" s="321"/>
      <c r="AG164" s="321"/>
      <c r="AV164" s="321"/>
      <c r="BA164" s="321"/>
      <c r="BB164" s="321"/>
      <c r="BC164" s="321"/>
      <c r="BD164" s="321"/>
      <c r="BE164" s="321"/>
      <c r="BF164" s="321"/>
      <c r="BG164" s="321"/>
    </row>
    <row r="165" spans="1:59" ht="7.5" customHeight="1" x14ac:dyDescent="0.2">
      <c r="A165" s="2"/>
      <c r="B165" s="2"/>
      <c r="C165" s="1968"/>
      <c r="D165" s="1968"/>
      <c r="E165" s="2013"/>
      <c r="F165" s="2"/>
      <c r="G165" s="1301" t="e">
        <f>IF(AND(G$173&lt;&gt;0,G$173&gt;0),IF(($E$164*7)&gt;=G$173,0,1),IF(AND(G$173&lt;&gt;0,G$173&lt;0),IF(($E$164*7)&lt;=G$173,0,1),0))</f>
        <v>#N/A</v>
      </c>
      <c r="H165" s="1301" t="e">
        <f t="shared" ref="H165:M165" si="99">IF(AND(H$173&lt;&gt;0,H$173&gt;0),IF(($E$164*7)&gt;=H$173,0,1),IF(AND(H$173&lt;&gt;0,H$173&lt;0),IF(($E$164*7)&lt;=H$173,0,1),0))</f>
        <v>#N/A</v>
      </c>
      <c r="I165" s="1301" t="e">
        <f t="shared" si="99"/>
        <v>#N/A</v>
      </c>
      <c r="J165" s="1301" t="e">
        <f t="shared" si="99"/>
        <v>#N/A</v>
      </c>
      <c r="K165" s="1301" t="e">
        <f t="shared" si="99"/>
        <v>#N/A</v>
      </c>
      <c r="L165" s="1301" t="e">
        <f t="shared" si="99"/>
        <v>#N/A</v>
      </c>
      <c r="M165" s="1301" t="e">
        <f t="shared" si="99"/>
        <v>#N/A</v>
      </c>
      <c r="N165" s="2"/>
      <c r="O165" s="2"/>
      <c r="P165" s="2"/>
      <c r="Q165" s="2"/>
      <c r="R165" s="2"/>
      <c r="S165" s="321"/>
      <c r="T165" s="321"/>
      <c r="U165" s="321"/>
      <c r="V165" s="321"/>
      <c r="W165" s="321"/>
      <c r="X165" s="321"/>
      <c r="Y165" s="321"/>
      <c r="Z165" s="321"/>
      <c r="AA165" s="321"/>
      <c r="AB165" s="321"/>
      <c r="AC165" s="321"/>
      <c r="AD165" s="321"/>
      <c r="AE165" s="321"/>
      <c r="AG165" s="321"/>
      <c r="AV165" s="321"/>
      <c r="BA165" s="321"/>
      <c r="BB165" s="321"/>
      <c r="BC165" s="321"/>
      <c r="BD165" s="321"/>
      <c r="BE165" s="321"/>
      <c r="BF165" s="321"/>
      <c r="BG165" s="321"/>
    </row>
    <row r="166" spans="1:59" ht="7.5" customHeight="1" x14ac:dyDescent="0.2">
      <c r="A166" s="2"/>
      <c r="B166" s="2"/>
      <c r="C166" s="2"/>
      <c r="D166" s="2"/>
      <c r="E166" s="2"/>
      <c r="F166" s="2"/>
      <c r="G166" s="1301" t="e">
        <f>IF(AND(G$173&lt;&gt;0,G$173&gt;0),IF(($E$164*6)&gt;=G$173,0,1),IF(AND(G$173&lt;&gt;0,G$173&lt;0),IF(($E$164*6)&lt;=G$173,0,1),0))</f>
        <v>#N/A</v>
      </c>
      <c r="H166" s="1301" t="e">
        <f t="shared" ref="H166:M166" si="100">IF(AND(H$173&lt;&gt;0,H$173&gt;0),IF(($E$164*6)&gt;=H$173,0,1),IF(AND(H$173&lt;&gt;0,H$173&lt;0),IF(($E$164*6)&lt;=H$173,0,1),0))</f>
        <v>#N/A</v>
      </c>
      <c r="I166" s="1301" t="e">
        <f t="shared" si="100"/>
        <v>#N/A</v>
      </c>
      <c r="J166" s="1301" t="e">
        <f t="shared" si="100"/>
        <v>#N/A</v>
      </c>
      <c r="K166" s="1301" t="e">
        <f t="shared" si="100"/>
        <v>#N/A</v>
      </c>
      <c r="L166" s="1301" t="e">
        <f t="shared" si="100"/>
        <v>#N/A</v>
      </c>
      <c r="M166" s="1301" t="e">
        <f t="shared" si="100"/>
        <v>#N/A</v>
      </c>
      <c r="N166" s="2"/>
      <c r="O166" s="2"/>
      <c r="P166" s="2"/>
      <c r="Q166" s="2"/>
      <c r="R166" s="2"/>
      <c r="S166" s="321"/>
      <c r="T166" s="321"/>
      <c r="U166" s="321"/>
      <c r="V166" s="321"/>
      <c r="W166" s="321"/>
      <c r="X166" s="321"/>
      <c r="Y166" s="321"/>
      <c r="Z166" s="321"/>
      <c r="AA166" s="321"/>
      <c r="AB166" s="321"/>
      <c r="AC166" s="321"/>
      <c r="AD166" s="321"/>
      <c r="AE166" s="321"/>
      <c r="AG166" s="321"/>
      <c r="AV166" s="321"/>
      <c r="BA166" s="321"/>
      <c r="BB166" s="321"/>
      <c r="BC166" s="321"/>
      <c r="BD166" s="321"/>
      <c r="BE166" s="321"/>
      <c r="BF166" s="321"/>
      <c r="BG166" s="321"/>
    </row>
    <row r="167" spans="1:59" ht="7.5" customHeight="1" x14ac:dyDescent="0.2">
      <c r="A167" s="2"/>
      <c r="B167" s="2"/>
      <c r="C167" s="2"/>
      <c r="D167" s="2"/>
      <c r="E167" s="2"/>
      <c r="F167" s="2"/>
      <c r="G167" s="1301" t="e">
        <f>IF(AND(G$173&lt;&gt;0,G$173&gt;0),IF(($E$164*5)&gt;=G$173,0,1),IF(AND(G$173&lt;&gt;0,G$173&lt;0),IF(($E$164*5)&lt;=G$173,0,1),0))</f>
        <v>#N/A</v>
      </c>
      <c r="H167" s="1301" t="e">
        <f t="shared" ref="H167:M167" si="101">IF(AND(H$173&lt;&gt;0,H$173&gt;0),IF(($E$164*5)&gt;=H$173,0,1),IF(AND(H$173&lt;&gt;0,H$173&lt;0),IF(($E$164*5)&lt;=H$173,0,1),0))</f>
        <v>#N/A</v>
      </c>
      <c r="I167" s="1301" t="e">
        <f t="shared" si="101"/>
        <v>#N/A</v>
      </c>
      <c r="J167" s="1301" t="e">
        <f t="shared" si="101"/>
        <v>#N/A</v>
      </c>
      <c r="K167" s="1301" t="e">
        <f t="shared" si="101"/>
        <v>#N/A</v>
      </c>
      <c r="L167" s="1301" t="e">
        <f t="shared" si="101"/>
        <v>#N/A</v>
      </c>
      <c r="M167" s="1301" t="e">
        <f t="shared" si="101"/>
        <v>#N/A</v>
      </c>
      <c r="N167" s="2"/>
      <c r="O167" s="2"/>
      <c r="P167" s="2"/>
      <c r="Q167" s="2"/>
      <c r="R167" s="2"/>
      <c r="S167" s="321"/>
      <c r="T167" s="321"/>
      <c r="U167" s="321"/>
      <c r="V167" s="321"/>
      <c r="W167" s="321"/>
      <c r="X167" s="321"/>
      <c r="Y167" s="321"/>
      <c r="Z167" s="321"/>
      <c r="AA167" s="321"/>
      <c r="AB167" s="321"/>
      <c r="AC167" s="321"/>
      <c r="AD167" s="321"/>
      <c r="AE167" s="321"/>
      <c r="AG167" s="321"/>
      <c r="AV167" s="321"/>
      <c r="BA167" s="321"/>
      <c r="BB167" s="321"/>
      <c r="BC167" s="321"/>
      <c r="BD167" s="321"/>
      <c r="BE167" s="321"/>
      <c r="BF167" s="321"/>
      <c r="BG167" s="321"/>
    </row>
    <row r="168" spans="1:59" ht="7.5" customHeight="1" x14ac:dyDescent="0.2">
      <c r="A168" s="2"/>
      <c r="B168" s="2"/>
      <c r="C168" s="2"/>
      <c r="D168" s="2"/>
      <c r="E168" s="2"/>
      <c r="F168" s="2"/>
      <c r="G168" s="1301" t="e">
        <f>IF(AND(G$173&lt;&gt;0,G$173&gt;0),IF(($E$164*4)&gt;=G$173,0,1),IF(AND(G$173&lt;&gt;0,G$173&lt;0),IF(($E$164*4)&lt;=G$173,0,1),0))</f>
        <v>#N/A</v>
      </c>
      <c r="H168" s="1301" t="e">
        <f t="shared" ref="H168:M168" si="102">IF(AND(H$173&lt;&gt;0,H$173&gt;0),IF(($E$164*4)&gt;=H$173,0,1),IF(AND(H$173&lt;&gt;0,H$173&lt;0),IF(($E$164*4)&lt;=H$173,0,1),0))</f>
        <v>#N/A</v>
      </c>
      <c r="I168" s="1301" t="e">
        <f t="shared" si="102"/>
        <v>#N/A</v>
      </c>
      <c r="J168" s="1301" t="e">
        <f t="shared" si="102"/>
        <v>#N/A</v>
      </c>
      <c r="K168" s="1301" t="e">
        <f t="shared" si="102"/>
        <v>#N/A</v>
      </c>
      <c r="L168" s="1301" t="e">
        <f t="shared" si="102"/>
        <v>#N/A</v>
      </c>
      <c r="M168" s="1301" t="e">
        <f t="shared" si="102"/>
        <v>#N/A</v>
      </c>
      <c r="N168" s="2"/>
      <c r="O168" s="2"/>
      <c r="P168" s="2"/>
      <c r="Q168" s="2"/>
      <c r="R168" s="2"/>
      <c r="S168" s="321"/>
      <c r="T168" s="321"/>
      <c r="U168" s="321"/>
      <c r="V168" s="321"/>
      <c r="W168" s="321"/>
      <c r="X168" s="321"/>
      <c r="Y168" s="321"/>
      <c r="Z168" s="321"/>
      <c r="AA168" s="321"/>
      <c r="AB168" s="321"/>
      <c r="AC168" s="321"/>
      <c r="AD168" s="321"/>
      <c r="AE168" s="321"/>
      <c r="AG168" s="321"/>
      <c r="AV168" s="321"/>
      <c r="BA168" s="321"/>
      <c r="BB168" s="321"/>
      <c r="BC168" s="321"/>
      <c r="BD168" s="321"/>
      <c r="BE168" s="321"/>
      <c r="BF168" s="321"/>
      <c r="BG168" s="321"/>
    </row>
    <row r="169" spans="1:59" ht="7.5" customHeight="1" x14ac:dyDescent="0.2">
      <c r="A169" s="2"/>
      <c r="B169" s="2"/>
      <c r="C169" s="2"/>
      <c r="D169" s="2"/>
      <c r="E169" s="2"/>
      <c r="F169" s="2"/>
      <c r="G169" s="1301" t="e">
        <f>IF(AND(G$173&lt;&gt;0,G$173&gt;0),IF(($E$164*3)&gt;=G$173,0,1),IF(AND(G$173&lt;&gt;0,G$173&lt;0),IF(($E$164*3)&lt;=G$173,0,1),0))</f>
        <v>#N/A</v>
      </c>
      <c r="H169" s="1301" t="e">
        <f t="shared" ref="H169:M169" si="103">IF(AND(H$173&lt;&gt;0,H$173&gt;0),IF(($E$164*3)&gt;=H$173,0,1),IF(AND(H$173&lt;&gt;0,H$173&lt;0),IF(($E$164*3)&lt;=H$173,0,1),0))</f>
        <v>#N/A</v>
      </c>
      <c r="I169" s="1301" t="e">
        <f t="shared" si="103"/>
        <v>#N/A</v>
      </c>
      <c r="J169" s="1301" t="e">
        <f t="shared" si="103"/>
        <v>#N/A</v>
      </c>
      <c r="K169" s="1301" t="e">
        <f t="shared" si="103"/>
        <v>#N/A</v>
      </c>
      <c r="L169" s="1301" t="e">
        <f t="shared" si="103"/>
        <v>#N/A</v>
      </c>
      <c r="M169" s="1301" t="e">
        <f t="shared" si="103"/>
        <v>#N/A</v>
      </c>
      <c r="N169" s="2"/>
      <c r="O169" s="2"/>
      <c r="P169" s="2"/>
      <c r="Q169" s="2"/>
      <c r="R169" s="2"/>
      <c r="S169" s="321"/>
      <c r="T169" s="321"/>
      <c r="U169" s="321"/>
      <c r="V169" s="321"/>
      <c r="W169" s="321"/>
      <c r="X169" s="321"/>
      <c r="Y169" s="321"/>
      <c r="Z169" s="321"/>
      <c r="AA169" s="321"/>
      <c r="AB169" s="321"/>
      <c r="AC169" s="321"/>
      <c r="AD169" s="321"/>
      <c r="AE169" s="321"/>
      <c r="AG169" s="321"/>
      <c r="AV169" s="321"/>
      <c r="BA169" s="321"/>
      <c r="BB169" s="321"/>
      <c r="BC169" s="321"/>
      <c r="BD169" s="321"/>
      <c r="BE169" s="321"/>
      <c r="BF169" s="321"/>
      <c r="BG169" s="321"/>
    </row>
    <row r="170" spans="1:59" ht="7.5" customHeight="1" x14ac:dyDescent="0.2">
      <c r="A170" s="2"/>
      <c r="B170" s="2"/>
      <c r="C170" s="2"/>
      <c r="D170" s="2"/>
      <c r="E170" s="2"/>
      <c r="F170" s="2"/>
      <c r="G170" s="1301" t="e">
        <f>IF(AND(G$173&lt;&gt;0,G$173&gt;0),IF(($E$164*2)&gt;=G$173,0,1),IF(AND(G$173&lt;&gt;0,G$173&lt;0),IF(($E$164*2)&lt;=G$173,0,1),0))</f>
        <v>#N/A</v>
      </c>
      <c r="H170" s="1301" t="e">
        <f t="shared" ref="H170:M170" si="104">IF(AND(H$173&lt;&gt;0,H$173&gt;0),IF(($E$164*2)&gt;=H$173,0,1),IF(AND(H$173&lt;&gt;0,H$173&lt;0),IF(($E$164*2)&lt;=H$173,0,1),0))</f>
        <v>#N/A</v>
      </c>
      <c r="I170" s="1301" t="e">
        <f t="shared" si="104"/>
        <v>#N/A</v>
      </c>
      <c r="J170" s="1301" t="e">
        <f t="shared" si="104"/>
        <v>#N/A</v>
      </c>
      <c r="K170" s="1301" t="e">
        <f t="shared" si="104"/>
        <v>#N/A</v>
      </c>
      <c r="L170" s="1301" t="e">
        <f t="shared" si="104"/>
        <v>#N/A</v>
      </c>
      <c r="M170" s="1301" t="e">
        <f t="shared" si="104"/>
        <v>#N/A</v>
      </c>
      <c r="N170" s="2"/>
      <c r="O170" s="2"/>
      <c r="P170" s="2"/>
      <c r="Q170" s="2"/>
      <c r="R170" s="2"/>
      <c r="S170" s="321"/>
      <c r="T170" s="321"/>
      <c r="U170" s="321"/>
      <c r="V170" s="321"/>
      <c r="W170" s="321"/>
      <c r="X170" s="321"/>
      <c r="Y170" s="321"/>
      <c r="Z170" s="321"/>
      <c r="AA170" s="321"/>
      <c r="AB170" s="321"/>
      <c r="AC170" s="321"/>
      <c r="AD170" s="321"/>
      <c r="AE170" s="321"/>
      <c r="AG170" s="321"/>
      <c r="AV170" s="321"/>
      <c r="BA170" s="321"/>
      <c r="BB170" s="321"/>
      <c r="BC170" s="321"/>
      <c r="BD170" s="321"/>
      <c r="BE170" s="321"/>
      <c r="BF170" s="321"/>
      <c r="BG170" s="321"/>
    </row>
    <row r="171" spans="1:59" ht="7.5" customHeight="1" x14ac:dyDescent="0.2">
      <c r="A171" s="2"/>
      <c r="B171" s="2"/>
      <c r="C171" s="2"/>
      <c r="D171" s="2"/>
      <c r="E171" s="2"/>
      <c r="F171" s="2"/>
      <c r="G171" s="1301" t="e">
        <f>IF(AND(G$173&lt;&gt;0,G$173&gt;0),IF(($E$164*1)&gt;=G$173,0,1),IF(AND(G$173&lt;&gt;0,G$173&lt;0),IF(($E$164*1)&lt;=G$173,0,1),0))</f>
        <v>#N/A</v>
      </c>
      <c r="H171" s="1301" t="e">
        <f t="shared" ref="H171:M171" si="105">IF(AND(H$173&lt;&gt;0,H$173&gt;0),IF(($E$164*1)&gt;=H$173,0,1),IF(AND(H$173&lt;&gt;0,H$173&lt;0),IF(($E$164*1)&lt;=H$173,0,1),0))</f>
        <v>#N/A</v>
      </c>
      <c r="I171" s="1301" t="e">
        <f t="shared" si="105"/>
        <v>#N/A</v>
      </c>
      <c r="J171" s="1301" t="e">
        <f t="shared" si="105"/>
        <v>#N/A</v>
      </c>
      <c r="K171" s="1301" t="e">
        <f t="shared" si="105"/>
        <v>#N/A</v>
      </c>
      <c r="L171" s="1301" t="e">
        <f t="shared" si="105"/>
        <v>#N/A</v>
      </c>
      <c r="M171" s="1301" t="e">
        <f t="shared" si="105"/>
        <v>#N/A</v>
      </c>
      <c r="N171" s="2"/>
      <c r="O171" s="2"/>
      <c r="P171" s="2"/>
      <c r="Q171" s="2"/>
      <c r="R171" s="2"/>
      <c r="S171" s="321"/>
      <c r="T171" s="321"/>
      <c r="U171" s="321"/>
      <c r="V171" s="321"/>
      <c r="W171" s="321"/>
      <c r="X171" s="321"/>
      <c r="Y171" s="321"/>
      <c r="Z171" s="321"/>
      <c r="AA171" s="321"/>
      <c r="AB171" s="321"/>
      <c r="AC171" s="321"/>
      <c r="AD171" s="321"/>
      <c r="AE171" s="321"/>
      <c r="AG171" s="321"/>
      <c r="AV171" s="321"/>
      <c r="BA171" s="321"/>
      <c r="BB171" s="321"/>
      <c r="BC171" s="321"/>
      <c r="BD171" s="321"/>
      <c r="BE171" s="321"/>
      <c r="BF171" s="321"/>
      <c r="BG171" s="321"/>
    </row>
    <row r="172" spans="1:59" ht="7.5" customHeight="1" x14ac:dyDescent="0.2">
      <c r="A172" s="2"/>
      <c r="B172" s="2"/>
      <c r="C172" s="2"/>
      <c r="D172" s="2"/>
      <c r="E172" s="2"/>
      <c r="F172" s="2"/>
      <c r="G172" s="1301" t="e">
        <f>IF(G173&lt;&gt;0,1,0)</f>
        <v>#N/A</v>
      </c>
      <c r="H172" s="1301" t="e">
        <f t="shared" ref="H172:M172" si="106">IF(H173&lt;&gt;0,1,0)</f>
        <v>#N/A</v>
      </c>
      <c r="I172" s="1301" t="e">
        <f t="shared" si="106"/>
        <v>#N/A</v>
      </c>
      <c r="J172" s="1301" t="e">
        <f t="shared" si="106"/>
        <v>#N/A</v>
      </c>
      <c r="K172" s="1301" t="e">
        <f t="shared" si="106"/>
        <v>#N/A</v>
      </c>
      <c r="L172" s="1301" t="e">
        <f t="shared" si="106"/>
        <v>#N/A</v>
      </c>
      <c r="M172" s="1301" t="e">
        <f t="shared" si="106"/>
        <v>#N/A</v>
      </c>
      <c r="N172" s="2"/>
      <c r="O172" s="2"/>
      <c r="P172" s="2"/>
      <c r="Q172" s="2"/>
      <c r="R172" s="2"/>
      <c r="S172" s="321"/>
      <c r="T172" s="321"/>
      <c r="U172" s="321"/>
      <c r="V172" s="321"/>
      <c r="W172" s="321"/>
      <c r="X172" s="321"/>
      <c r="Y172" s="321"/>
      <c r="Z172" s="321"/>
      <c r="AA172" s="321"/>
      <c r="AB172" s="321"/>
      <c r="AC172" s="321"/>
      <c r="AD172" s="321"/>
      <c r="AE172" s="321"/>
      <c r="AG172" s="321"/>
      <c r="AV172" s="321"/>
      <c r="BA172" s="321"/>
      <c r="BB172" s="321"/>
      <c r="BC172" s="321"/>
      <c r="BD172" s="321"/>
      <c r="BE172" s="321"/>
      <c r="BF172" s="321"/>
      <c r="BG172" s="321"/>
    </row>
    <row r="173" spans="1:59" ht="21.95" customHeight="1" x14ac:dyDescent="0.2">
      <c r="A173" s="300"/>
      <c r="B173" s="7"/>
      <c r="C173" s="1972" t="str">
        <f>C160</f>
        <v>Totale EUR</v>
      </c>
      <c r="D173" s="1972"/>
      <c r="E173" s="1973" t="e">
        <f>SUM(G173:M173)</f>
        <v>#N/A</v>
      </c>
      <c r="F173" s="1973"/>
      <c r="G173" s="1300" t="e">
        <f>HLOOKUP(G1,STORICO!$E$100:$AH$131,VLOOKUP(CONCATENATE($N133,$K174),STORICO!$AP$102:$AQ$131,2,FALSE),FALSE)</f>
        <v>#N/A</v>
      </c>
      <c r="H173" s="1300" t="e">
        <f>HLOOKUP(H1,STORICO!$E$100:$AH$131,VLOOKUP(CONCATENATE($N133,$K174),STORICO!$AP$102:$AQ$131,2,FALSE),FALSE)</f>
        <v>#N/A</v>
      </c>
      <c r="I173" s="1300" t="e">
        <f>HLOOKUP(I1,STORICO!$E$100:$AH$131,VLOOKUP(CONCATENATE($N133,$K174),STORICO!$AP$102:$AQ$131,2,FALSE),FALSE)</f>
        <v>#N/A</v>
      </c>
      <c r="J173" s="1300" t="e">
        <f>HLOOKUP(J1,STORICO!$E$100:$AH$131,VLOOKUP(CONCATENATE($N133,$K174),STORICO!$AP$102:$AQ$131,2,FALSE),FALSE)</f>
        <v>#N/A</v>
      </c>
      <c r="K173" s="1300" t="e">
        <f>HLOOKUP(K1,STORICO!$E$100:$AH$131,VLOOKUP(CONCATENATE($N133,$K174),STORICO!$AP$102:$AQ$131,2,FALSE),FALSE)</f>
        <v>#N/A</v>
      </c>
      <c r="L173" s="1300" t="e">
        <f>HLOOKUP(L1,STORICO!$E$100:$AH$131,VLOOKUP(CONCATENATE($N133,$K174),STORICO!$AP$102:$AQ$131,2,FALSE),FALSE)</f>
        <v>#N/A</v>
      </c>
      <c r="M173" s="1300" t="e">
        <f>HLOOKUP(M1,STORICO!$E$100:$AH$131,VLOOKUP(CONCATENATE($N133,$K174),STORICO!$AP$102:$AQ$131,2,FALSE),FALSE)</f>
        <v>#N/A</v>
      </c>
      <c r="N173" s="14"/>
      <c r="O173" s="2"/>
      <c r="P173" s="12"/>
      <c r="Q173" s="2"/>
      <c r="R173" s="2"/>
      <c r="S173" s="321"/>
      <c r="T173" s="321"/>
      <c r="U173" s="321"/>
      <c r="V173" s="321"/>
      <c r="W173" s="321"/>
      <c r="X173" s="321"/>
      <c r="Y173" s="321"/>
      <c r="Z173" s="321"/>
      <c r="AA173" s="321"/>
      <c r="AB173" s="321"/>
      <c r="AC173" s="321"/>
      <c r="AD173" s="321"/>
      <c r="AE173" s="321"/>
      <c r="AG173" s="321"/>
      <c r="AV173" s="321"/>
      <c r="BA173" s="321"/>
      <c r="BB173" s="321"/>
      <c r="BC173" s="321"/>
      <c r="BD173" s="321"/>
      <c r="BE173" s="321"/>
      <c r="BF173" s="321"/>
      <c r="BG173" s="321"/>
    </row>
    <row r="174" spans="1:59" ht="18.75" customHeight="1" x14ac:dyDescent="0.2">
      <c r="A174" s="2"/>
      <c r="B174" s="2"/>
      <c r="C174" s="2011" t="s">
        <v>237</v>
      </c>
      <c r="D174" s="2011"/>
      <c r="E174" s="2011"/>
      <c r="F174" s="2011"/>
      <c r="G174" s="2011"/>
      <c r="H174" s="2011"/>
      <c r="I174" s="2011"/>
      <c r="J174" s="2012"/>
      <c r="K174" s="1969"/>
      <c r="L174" s="1970"/>
      <c r="M174" s="1971"/>
      <c r="N174" s="2"/>
      <c r="O174" s="2"/>
      <c r="P174" s="2"/>
      <c r="Q174" s="2"/>
      <c r="R174" s="2"/>
      <c r="S174" s="321"/>
      <c r="T174" s="321"/>
      <c r="U174" s="321"/>
      <c r="V174" s="321"/>
      <c r="W174" s="321"/>
      <c r="X174" s="321"/>
      <c r="Y174" s="321"/>
      <c r="Z174" s="321"/>
      <c r="AA174" s="321"/>
      <c r="AB174" s="321"/>
      <c r="AC174" s="321"/>
      <c r="AD174" s="321"/>
      <c r="AE174" s="321"/>
      <c r="AG174" s="321"/>
      <c r="AV174" s="321"/>
      <c r="BA174" s="321"/>
      <c r="BB174" s="321"/>
      <c r="BC174" s="321"/>
      <c r="BD174" s="321"/>
      <c r="BE174" s="321"/>
      <c r="BF174" s="321"/>
      <c r="BG174" s="321"/>
    </row>
    <row r="175" spans="1:59" ht="18.75" customHeight="1" x14ac:dyDescent="0.2">
      <c r="A175" s="300"/>
      <c r="B175" s="2"/>
      <c r="C175" s="2"/>
      <c r="D175" s="2"/>
      <c r="E175" s="2"/>
      <c r="F175" s="2"/>
      <c r="G175" s="2"/>
      <c r="H175" s="2"/>
      <c r="I175" s="2"/>
      <c r="J175" s="2"/>
      <c r="K175" s="2"/>
      <c r="L175" s="2"/>
      <c r="M175" s="2"/>
      <c r="N175" s="2"/>
      <c r="O175" s="2"/>
      <c r="P175" s="2"/>
      <c r="Q175" s="2"/>
      <c r="R175" s="2"/>
      <c r="S175" s="321"/>
      <c r="T175" s="321"/>
      <c r="U175" s="321"/>
      <c r="V175" s="321"/>
      <c r="W175" s="321"/>
      <c r="X175" s="321"/>
      <c r="Y175" s="321"/>
      <c r="Z175" s="321"/>
      <c r="AA175" s="321"/>
      <c r="AB175" s="321"/>
      <c r="AC175" s="321"/>
      <c r="AD175" s="321"/>
      <c r="AE175" s="321"/>
      <c r="AG175" s="321"/>
      <c r="AV175" s="321"/>
      <c r="BA175" s="321"/>
      <c r="BB175" s="321"/>
      <c r="BC175" s="321"/>
      <c r="BD175" s="321"/>
      <c r="BE175" s="321"/>
      <c r="BF175" s="321"/>
      <c r="BG175" s="321"/>
    </row>
    <row r="176" spans="1:59" ht="18.75" customHeight="1" x14ac:dyDescent="0.2">
      <c r="A176" s="2"/>
      <c r="B176" s="2"/>
      <c r="C176" s="2"/>
      <c r="D176" s="2"/>
      <c r="E176" s="2"/>
      <c r="F176" s="2"/>
      <c r="G176" s="2"/>
      <c r="H176" s="2"/>
      <c r="I176" s="2"/>
      <c r="J176" s="2"/>
      <c r="K176" s="2"/>
      <c r="L176" s="2"/>
      <c r="M176" s="365" t="str">
        <f>Presentazione!$H$23</f>
        <v/>
      </c>
      <c r="N176" s="2"/>
      <c r="O176" s="2"/>
      <c r="P176" s="2"/>
      <c r="Q176" s="2"/>
      <c r="R176" s="2"/>
      <c r="S176" s="321"/>
      <c r="T176" s="321"/>
      <c r="U176" s="321"/>
      <c r="V176" s="321"/>
      <c r="W176" s="321"/>
      <c r="X176" s="321"/>
      <c r="Y176" s="321"/>
      <c r="Z176" s="321"/>
      <c r="AA176" s="321"/>
      <c r="AB176" s="321"/>
      <c r="AC176" s="321"/>
      <c r="AD176" s="321"/>
      <c r="AE176" s="321"/>
      <c r="AG176" s="321"/>
      <c r="AV176" s="321"/>
      <c r="BA176" s="321"/>
      <c r="BB176" s="321"/>
      <c r="BC176" s="321"/>
      <c r="BD176" s="321"/>
      <c r="BE176" s="321"/>
      <c r="BF176" s="321"/>
      <c r="BG176" s="321"/>
    </row>
    <row r="177" spans="1:62" ht="18.75" customHeight="1" x14ac:dyDescent="0.2">
      <c r="A177" s="2"/>
      <c r="B177" s="2"/>
      <c r="C177" s="2"/>
      <c r="D177" s="2"/>
      <c r="E177" s="2"/>
      <c r="F177" s="2"/>
      <c r="G177" s="2"/>
      <c r="H177" s="2"/>
      <c r="I177" s="2"/>
      <c r="J177" s="2"/>
      <c r="K177" s="2"/>
      <c r="L177" s="2"/>
      <c r="M177" s="361" t="str">
        <f>IF(Presentazione!$J$173=Presentazione!$K$95,CONCATENATE(Presentazione!$F$89,"   -   ","P.I./C.F ",Presentazione!$K$91),Presentazione!$I$165)</f>
        <v>Sistema attivato dal 01/01 al 31/03. Modifica il trimestre dal foglio Presentazione.</v>
      </c>
      <c r="N177" s="2"/>
      <c r="O177" s="2"/>
      <c r="P177" s="2"/>
      <c r="Q177" s="2"/>
      <c r="R177" s="2"/>
      <c r="S177" s="321"/>
      <c r="T177" s="321"/>
      <c r="U177" s="321"/>
      <c r="V177" s="321"/>
      <c r="W177" s="321"/>
      <c r="X177" s="321"/>
      <c r="Y177" s="321"/>
      <c r="Z177" s="321"/>
      <c r="AA177" s="321"/>
      <c r="AB177" s="321"/>
      <c r="AC177" s="321"/>
      <c r="AD177" s="321"/>
      <c r="AE177" s="321"/>
      <c r="AG177" s="321"/>
      <c r="AV177" s="321"/>
      <c r="BA177" s="321"/>
      <c r="BB177" s="321"/>
      <c r="BC177" s="321"/>
      <c r="BD177" s="321"/>
      <c r="BE177" s="321"/>
      <c r="BF177" s="321"/>
      <c r="BG177" s="321"/>
    </row>
    <row r="178" spans="1:62" ht="18.75" customHeight="1" x14ac:dyDescent="0.2">
      <c r="A178" s="2"/>
      <c r="B178" s="2"/>
      <c r="C178" s="2"/>
      <c r="D178" s="2"/>
      <c r="E178" s="2"/>
      <c r="F178" s="2"/>
      <c r="G178" s="2"/>
      <c r="H178" s="2"/>
      <c r="I178" s="2"/>
      <c r="J178" s="2"/>
      <c r="K178" s="2"/>
      <c r="L178" s="2"/>
      <c r="M178" s="2"/>
      <c r="N178" s="2"/>
      <c r="O178" s="2"/>
      <c r="P178" s="2"/>
      <c r="Q178" s="2"/>
      <c r="R178" s="2"/>
      <c r="S178" s="321"/>
      <c r="T178" s="321"/>
      <c r="U178" s="321"/>
      <c r="V178" s="321"/>
      <c r="W178" s="321"/>
      <c r="X178" s="321"/>
      <c r="Y178" s="321"/>
      <c r="Z178" s="321"/>
      <c r="AA178" s="321"/>
      <c r="AB178" s="321"/>
      <c r="AC178" s="321"/>
      <c r="AD178" s="321"/>
      <c r="AE178" s="321"/>
      <c r="AG178" s="321"/>
      <c r="AV178" s="321"/>
      <c r="BA178" s="321"/>
      <c r="BB178" s="321"/>
      <c r="BC178" s="321"/>
      <c r="BD178" s="321"/>
      <c r="BE178" s="321"/>
      <c r="BF178" s="321"/>
      <c r="BG178" s="321"/>
    </row>
    <row r="179" spans="1:62" ht="18.75" customHeight="1" x14ac:dyDescent="0.2">
      <c r="A179" s="2"/>
      <c r="B179" s="2"/>
      <c r="C179" s="360" t="str">
        <f>CASSA!B172</f>
        <v>www.marcopiccoli.it - Registro Contabile Giornaliero 6.0.7 - per EXCEL .xlsm</v>
      </c>
      <c r="D179" s="2"/>
      <c r="E179" s="2"/>
      <c r="F179" s="2"/>
      <c r="G179" s="2"/>
      <c r="H179" s="2"/>
      <c r="I179" s="2"/>
      <c r="J179" s="2"/>
      <c r="K179" s="2"/>
      <c r="L179" s="2"/>
      <c r="M179" s="2"/>
      <c r="N179" s="2"/>
      <c r="O179" s="2"/>
      <c r="P179" s="2"/>
      <c r="Q179" s="2"/>
      <c r="R179" s="2"/>
      <c r="S179" s="321"/>
      <c r="T179" s="321"/>
      <c r="U179" s="321"/>
      <c r="V179" s="321"/>
      <c r="W179" s="321"/>
      <c r="X179" s="321"/>
      <c r="Y179" s="321"/>
      <c r="Z179" s="321"/>
      <c r="AA179" s="321"/>
      <c r="AB179" s="321"/>
      <c r="AC179" s="321"/>
      <c r="AD179" s="321"/>
      <c r="AE179" s="321"/>
      <c r="AG179" s="321"/>
      <c r="AV179" s="321"/>
      <c r="BA179" s="321"/>
      <c r="BB179" s="321"/>
      <c r="BC179" s="321"/>
      <c r="BD179" s="321"/>
      <c r="BE179" s="321"/>
      <c r="BF179" s="321"/>
      <c r="BG179" s="321"/>
    </row>
    <row r="180" spans="1:62" ht="18.75" customHeight="1" x14ac:dyDescent="0.2">
      <c r="A180" s="2"/>
      <c r="B180" s="2"/>
      <c r="C180" s="2"/>
      <c r="D180" s="2"/>
      <c r="E180" s="2"/>
      <c r="F180" s="2"/>
      <c r="G180" s="2"/>
      <c r="H180" s="2"/>
      <c r="I180" s="2"/>
      <c r="J180" s="2"/>
      <c r="K180" s="2"/>
      <c r="L180" s="2"/>
      <c r="M180" s="2"/>
      <c r="N180" s="2"/>
      <c r="O180" s="2"/>
      <c r="P180" s="2"/>
      <c r="Q180" s="2"/>
      <c r="R180" s="2"/>
      <c r="S180" s="321"/>
      <c r="T180" s="321"/>
      <c r="U180" s="321"/>
      <c r="V180" s="321"/>
      <c r="W180" s="321"/>
      <c r="X180" s="321"/>
      <c r="Y180" s="321"/>
      <c r="Z180" s="321"/>
      <c r="AA180" s="321"/>
      <c r="AB180" s="321"/>
      <c r="AC180" s="321"/>
      <c r="AD180" s="321"/>
      <c r="AE180" s="321"/>
      <c r="AG180" s="321"/>
      <c r="AV180" s="321"/>
      <c r="BA180" s="321"/>
      <c r="BB180" s="321"/>
      <c r="BC180" s="321"/>
      <c r="BD180" s="321"/>
      <c r="BE180" s="321"/>
      <c r="BF180" s="321"/>
      <c r="BG180" s="321"/>
      <c r="BJ180" s="1369"/>
    </row>
    <row r="181" spans="1:62" ht="18.75" hidden="1" customHeight="1" x14ac:dyDescent="0.2">
      <c r="A181" s="2"/>
      <c r="B181" s="2"/>
      <c r="C181" s="2"/>
      <c r="D181" s="324">
        <v>21</v>
      </c>
      <c r="E181" s="2"/>
      <c r="F181" s="2"/>
      <c r="G181" s="102">
        <v>5</v>
      </c>
      <c r="H181" s="102">
        <v>6</v>
      </c>
      <c r="I181" s="102">
        <v>7</v>
      </c>
      <c r="J181" s="102">
        <v>8</v>
      </c>
      <c r="K181" s="102">
        <v>9</v>
      </c>
      <c r="L181" s="102">
        <v>10</v>
      </c>
      <c r="M181" s="102">
        <v>11</v>
      </c>
      <c r="N181" s="2"/>
      <c r="O181" s="2"/>
      <c r="P181" s="2"/>
      <c r="Q181" s="2"/>
      <c r="R181" s="2"/>
      <c r="S181" s="321"/>
      <c r="T181" s="321"/>
      <c r="U181" s="321"/>
      <c r="V181" s="321"/>
      <c r="W181" s="321"/>
      <c r="X181" s="321"/>
      <c r="Y181" s="321"/>
      <c r="Z181" s="321"/>
      <c r="AA181" s="321"/>
      <c r="AB181" s="321"/>
      <c r="AC181" s="321"/>
      <c r="AD181" s="321"/>
      <c r="AE181" s="321"/>
      <c r="AG181" s="321"/>
      <c r="AV181" s="321"/>
      <c r="BA181" s="321"/>
      <c r="BB181" s="321"/>
      <c r="BC181" s="321"/>
      <c r="BD181" s="321"/>
      <c r="BE181" s="321"/>
      <c r="BF181" s="321"/>
      <c r="BG181" s="321"/>
    </row>
    <row r="182" spans="1:62" ht="21.95" hidden="1" customHeight="1" x14ac:dyDescent="0.2">
      <c r="A182" s="2"/>
      <c r="B182" s="7"/>
      <c r="C182" s="2017" t="str">
        <f>C46</f>
        <v>INSERITO</v>
      </c>
      <c r="D182" s="2017"/>
      <c r="E182" s="2018" t="e">
        <f>SUM(G182:M182)</f>
        <v>#N/A</v>
      </c>
      <c r="F182" s="2018"/>
      <c r="G182" s="326" t="e">
        <f>VLOOKUP(G$1,IMPOSTAZIONI!$B$311:$AM$320,$D$181,FALSE)</f>
        <v>#N/A</v>
      </c>
      <c r="H182" s="326" t="e">
        <f>VLOOKUP(H$1,IMPOSTAZIONI!$B$311:$AM$320,$D$181,FALSE)</f>
        <v>#N/A</v>
      </c>
      <c r="I182" s="326" t="e">
        <f>VLOOKUP(I$1,IMPOSTAZIONI!$B$311:$AM$320,$D$181,FALSE)</f>
        <v>#N/A</v>
      </c>
      <c r="J182" s="326" t="e">
        <f>VLOOKUP(J$1,IMPOSTAZIONI!$B$311:$AM$320,$D$181,FALSE)</f>
        <v>#N/A</v>
      </c>
      <c r="K182" s="326" t="e">
        <f>VLOOKUP(K$1,IMPOSTAZIONI!$B$311:$AM$320,$D$181,FALSE)</f>
        <v>#N/A</v>
      </c>
      <c r="L182" s="326" t="e">
        <f>VLOOKUP(L$1,IMPOSTAZIONI!$B$311:$AM$320,$D$181,FALSE)</f>
        <v>#N/A</v>
      </c>
      <c r="M182" s="326" t="e">
        <f>VLOOKUP(M$1,IMPOSTAZIONI!$B$311:$AM$320,$D$181,FALSE)</f>
        <v>#N/A</v>
      </c>
      <c r="N182" s="14"/>
      <c r="O182" s="2"/>
      <c r="P182" s="12"/>
      <c r="Q182" s="2"/>
      <c r="R182" s="2"/>
      <c r="S182" s="321"/>
      <c r="T182" s="321"/>
      <c r="U182" s="321"/>
      <c r="V182" s="321"/>
      <c r="W182" s="321"/>
      <c r="X182" s="321"/>
      <c r="Y182" s="321"/>
      <c r="Z182" s="321"/>
      <c r="AA182" s="321"/>
      <c r="AB182" s="321"/>
      <c r="AC182" s="321"/>
      <c r="AD182" s="321"/>
      <c r="AE182" s="321"/>
      <c r="AG182" s="321"/>
      <c r="AV182" s="321"/>
      <c r="BA182" s="321"/>
      <c r="BB182" s="321"/>
      <c r="BC182" s="321"/>
      <c r="BD182" s="321"/>
      <c r="BE182" s="321"/>
      <c r="BF182" s="321"/>
      <c r="BG182" s="321"/>
    </row>
    <row r="183" spans="1:62" hidden="1" x14ac:dyDescent="0.2">
      <c r="A183" s="2"/>
      <c r="B183" s="7"/>
      <c r="C183" s="2019" t="str">
        <f>C47</f>
        <v>a CONTO</v>
      </c>
      <c r="D183" s="2019"/>
      <c r="E183" s="2031" t="e">
        <f>SUM(G183:M183)</f>
        <v>#N/A</v>
      </c>
      <c r="F183" s="2031"/>
      <c r="G183" s="325" t="e">
        <f>VLOOKUP(G$1,IMPOSTAZIONI!$B$421:$AM$430,$D$181,FALSE)</f>
        <v>#N/A</v>
      </c>
      <c r="H183" s="325" t="e">
        <f>VLOOKUP(H$1,IMPOSTAZIONI!$B$421:$AM$430,$D$181,FALSE)</f>
        <v>#N/A</v>
      </c>
      <c r="I183" s="325" t="e">
        <f>VLOOKUP(I$1,IMPOSTAZIONI!$B$421:$AM$430,$D$181,FALSE)</f>
        <v>#N/A</v>
      </c>
      <c r="J183" s="325" t="e">
        <f>VLOOKUP(J$1,IMPOSTAZIONI!$B$421:$AM$430,$D$181,FALSE)</f>
        <v>#N/A</v>
      </c>
      <c r="K183" s="325" t="e">
        <f>VLOOKUP(K$1,IMPOSTAZIONI!$B$421:$AM$430,$D$181,FALSE)</f>
        <v>#N/A</v>
      </c>
      <c r="L183" s="325" t="e">
        <f>VLOOKUP(L$1,IMPOSTAZIONI!$B$421:$AM$430,$D$181,FALSE)</f>
        <v>#N/A</v>
      </c>
      <c r="M183" s="325" t="e">
        <f>VLOOKUP(M$1,IMPOSTAZIONI!$B$421:$AM$430,$D$181,FALSE)</f>
        <v>#N/A</v>
      </c>
      <c r="N183" s="14"/>
      <c r="O183" s="2"/>
      <c r="P183" s="12"/>
      <c r="Q183" s="2"/>
      <c r="R183" s="2"/>
      <c r="S183" s="321"/>
      <c r="T183" s="321"/>
      <c r="U183" s="321"/>
      <c r="V183" s="321"/>
      <c r="W183" s="321"/>
      <c r="X183" s="321"/>
      <c r="Y183" s="321"/>
      <c r="Z183" s="321"/>
      <c r="AA183" s="321"/>
      <c r="AB183" s="321"/>
      <c r="AC183" s="321"/>
      <c r="AD183" s="321"/>
      <c r="AE183" s="321"/>
      <c r="AG183" s="321"/>
      <c r="AV183" s="321"/>
      <c r="BA183" s="321"/>
      <c r="BB183" s="321"/>
      <c r="BC183" s="321"/>
      <c r="BD183" s="321"/>
      <c r="BE183" s="321"/>
      <c r="BF183" s="321"/>
      <c r="BG183" s="321"/>
    </row>
    <row r="184" spans="1:62" ht="21.95" hidden="1" customHeight="1" x14ac:dyDescent="0.2">
      <c r="A184" s="2"/>
      <c r="B184" s="7"/>
      <c r="C184" s="2001" t="str">
        <f>C48</f>
        <v>Percent.</v>
      </c>
      <c r="D184" s="2001"/>
      <c r="E184" s="2016" t="e">
        <f>SUM(G184:M184)</f>
        <v>#N/A</v>
      </c>
      <c r="F184" s="2016"/>
      <c r="G184" s="327" t="e">
        <f>G182-G183</f>
        <v>#N/A</v>
      </c>
      <c r="H184" s="327" t="e">
        <f t="shared" ref="H184:M184" si="107">H182-H183</f>
        <v>#N/A</v>
      </c>
      <c r="I184" s="327" t="e">
        <f t="shared" si="107"/>
        <v>#N/A</v>
      </c>
      <c r="J184" s="327" t="e">
        <f t="shared" si="107"/>
        <v>#N/A</v>
      </c>
      <c r="K184" s="327" t="e">
        <f t="shared" si="107"/>
        <v>#N/A</v>
      </c>
      <c r="L184" s="327" t="e">
        <f t="shared" si="107"/>
        <v>#N/A</v>
      </c>
      <c r="M184" s="327" t="e">
        <f t="shared" si="107"/>
        <v>#N/A</v>
      </c>
      <c r="N184" s="14"/>
      <c r="O184" s="2"/>
      <c r="P184" s="12"/>
      <c r="Q184" s="2"/>
      <c r="R184" s="2"/>
      <c r="S184" s="321"/>
      <c r="T184" s="321"/>
      <c r="U184" s="321"/>
      <c r="V184" s="321"/>
      <c r="W184" s="321"/>
      <c r="X184" s="321"/>
      <c r="Y184" s="321"/>
      <c r="Z184" s="321"/>
      <c r="AA184" s="321"/>
      <c r="AB184" s="321"/>
      <c r="AC184" s="321"/>
      <c r="AD184" s="321"/>
      <c r="AE184" s="321"/>
      <c r="AG184" s="321"/>
      <c r="AV184" s="321"/>
      <c r="BA184" s="321"/>
      <c r="BB184" s="321"/>
      <c r="BC184" s="321"/>
      <c r="BD184" s="321"/>
      <c r="BE184" s="321"/>
      <c r="BF184" s="321"/>
      <c r="BG184" s="321"/>
    </row>
    <row r="185" spans="1:62" ht="18.75" hidden="1" customHeight="1" x14ac:dyDescent="0.2">
      <c r="A185" s="2"/>
      <c r="B185" s="2"/>
      <c r="C185" s="2"/>
      <c r="D185" s="2"/>
      <c r="E185" s="2"/>
      <c r="F185" s="2"/>
      <c r="G185" s="2"/>
      <c r="H185" s="2"/>
      <c r="I185" s="2"/>
      <c r="J185" s="2"/>
      <c r="K185" s="2"/>
      <c r="L185" s="2"/>
      <c r="M185" s="2"/>
      <c r="N185" s="2"/>
      <c r="O185" s="2"/>
      <c r="P185" s="2"/>
      <c r="Q185" s="2"/>
      <c r="R185" s="2"/>
      <c r="S185" s="321"/>
      <c r="T185" s="321"/>
      <c r="U185" s="321"/>
      <c r="V185" s="321"/>
      <c r="W185" s="321"/>
      <c r="X185" s="321"/>
      <c r="Y185" s="321"/>
      <c r="Z185" s="321"/>
      <c r="AA185" s="321"/>
      <c r="AB185" s="321"/>
      <c r="AC185" s="321"/>
      <c r="AD185" s="321"/>
      <c r="AE185" s="321"/>
      <c r="AG185" s="321"/>
      <c r="AV185" s="321"/>
      <c r="BA185" s="321"/>
      <c r="BB185" s="321"/>
      <c r="BC185" s="321"/>
      <c r="BD185" s="321"/>
      <c r="BE185" s="321"/>
      <c r="BF185" s="321"/>
      <c r="BG185" s="321"/>
    </row>
    <row r="186" spans="1:62" hidden="1" x14ac:dyDescent="0.2">
      <c r="A186" s="2"/>
      <c r="B186" s="2"/>
      <c r="C186" s="2"/>
      <c r="D186" s="2"/>
      <c r="E186" s="937" t="s">
        <v>561</v>
      </c>
      <c r="F186" s="2"/>
      <c r="G186" s="322" t="s">
        <v>243</v>
      </c>
      <c r="H186" s="2"/>
      <c r="I186" s="2"/>
      <c r="J186" s="2"/>
      <c r="K186" s="2"/>
      <c r="L186" s="2"/>
      <c r="M186" s="2"/>
      <c r="N186" s="2"/>
      <c r="O186" s="2"/>
      <c r="P186" s="2"/>
      <c r="Q186" s="2"/>
      <c r="R186" s="2"/>
      <c r="S186" s="321"/>
      <c r="T186" s="321"/>
      <c r="U186" s="321"/>
      <c r="V186" s="321"/>
      <c r="W186" s="321"/>
      <c r="X186" s="321"/>
      <c r="Y186" s="321"/>
      <c r="Z186" s="321"/>
      <c r="AA186" s="321"/>
      <c r="AB186" s="321"/>
      <c r="AC186" s="321"/>
      <c r="AD186" s="321"/>
      <c r="AE186" s="321"/>
      <c r="AG186" s="321"/>
      <c r="AV186" s="321"/>
      <c r="BA186" s="321"/>
      <c r="BB186" s="321"/>
      <c r="BC186" s="321"/>
      <c r="BD186" s="321"/>
      <c r="BE186" s="321"/>
      <c r="BF186" s="321"/>
      <c r="BG186" s="321"/>
    </row>
    <row r="187" spans="1:62" ht="14.25" hidden="1" customHeight="1" x14ac:dyDescent="0.2">
      <c r="A187" s="2"/>
      <c r="B187" s="2"/>
      <c r="C187" s="2"/>
      <c r="D187" s="2"/>
      <c r="E187" s="938" t="s">
        <v>562</v>
      </c>
      <c r="F187" s="2"/>
      <c r="G187" s="323">
        <f>STORICO!C15</f>
        <v>2024</v>
      </c>
      <c r="H187" s="2"/>
      <c r="I187" s="322" t="str">
        <f t="shared" ref="I187:I196" si="108">CONCATENATE(G$186,"   ",G187)</f>
        <v>ANNO   2024</v>
      </c>
      <c r="J187" s="2"/>
      <c r="K187" s="322" t="s">
        <v>80</v>
      </c>
      <c r="L187" s="2"/>
      <c r="M187" s="2"/>
      <c r="N187" s="2"/>
      <c r="O187" s="2"/>
      <c r="P187" s="2"/>
      <c r="Q187" s="2"/>
      <c r="R187" s="2"/>
      <c r="S187" s="321"/>
      <c r="T187" s="321"/>
      <c r="U187" s="321"/>
      <c r="V187" s="321"/>
      <c r="W187" s="321"/>
      <c r="X187" s="321"/>
      <c r="Y187" s="321"/>
      <c r="Z187" s="321"/>
      <c r="AA187" s="321"/>
      <c r="AB187" s="321"/>
      <c r="AC187" s="321"/>
      <c r="AD187" s="321"/>
      <c r="AE187" s="321"/>
      <c r="AG187" s="321"/>
      <c r="AV187" s="321"/>
      <c r="BA187" s="321"/>
      <c r="BB187" s="321"/>
      <c r="BC187" s="321"/>
      <c r="BD187" s="321"/>
      <c r="BE187" s="321"/>
      <c r="BF187" s="321"/>
      <c r="BG187" s="321"/>
    </row>
    <row r="188" spans="1:62" ht="14.25" hidden="1" customHeight="1" x14ac:dyDescent="0.2">
      <c r="A188" s="2"/>
      <c r="B188" s="2"/>
      <c r="C188" s="2"/>
      <c r="D188" s="2"/>
      <c r="E188" s="939" t="e">
        <f>IF(ISERROR(G173),MAX(G147:M147,G160:M160)/10,MAX(G147:M147,G160:M160,G173:M173)/10)</f>
        <v>#N/A</v>
      </c>
      <c r="F188" s="2"/>
      <c r="G188" s="323">
        <f>STORICO!C26</f>
        <v>2023</v>
      </c>
      <c r="H188" s="2"/>
      <c r="I188" s="322" t="str">
        <f t="shared" si="108"/>
        <v>ANNO   2023</v>
      </c>
      <c r="J188" s="2"/>
      <c r="K188" s="322" t="s">
        <v>81</v>
      </c>
      <c r="L188" s="2"/>
      <c r="M188" s="2"/>
      <c r="N188" s="2"/>
      <c r="O188" s="2"/>
      <c r="P188" s="2"/>
      <c r="Q188" s="2"/>
      <c r="R188" s="2"/>
      <c r="S188" s="321"/>
      <c r="T188" s="321"/>
      <c r="U188" s="321"/>
      <c r="V188" s="321"/>
      <c r="W188" s="321"/>
      <c r="X188" s="321"/>
      <c r="Y188" s="321"/>
      <c r="Z188" s="321"/>
      <c r="AA188" s="321"/>
      <c r="AB188" s="321"/>
      <c r="AC188" s="321"/>
      <c r="AD188" s="321"/>
      <c r="AE188" s="321"/>
      <c r="AG188" s="321"/>
      <c r="AV188" s="321"/>
      <c r="BA188" s="321"/>
      <c r="BB188" s="321"/>
      <c r="BC188" s="321"/>
      <c r="BD188" s="321"/>
      <c r="BE188" s="321"/>
      <c r="BF188" s="321"/>
      <c r="BG188" s="321"/>
    </row>
    <row r="189" spans="1:62" ht="14.25" hidden="1" customHeight="1" x14ac:dyDescent="0.2">
      <c r="A189" s="2"/>
      <c r="B189" s="2"/>
      <c r="C189" s="2"/>
      <c r="D189" s="2"/>
      <c r="E189" s="2"/>
      <c r="F189" s="2"/>
      <c r="G189" s="323">
        <f>STORICO!C32</f>
        <v>2022</v>
      </c>
      <c r="H189" s="2"/>
      <c r="I189" s="322" t="str">
        <f t="shared" si="108"/>
        <v>ANNO   2022</v>
      </c>
      <c r="J189" s="2"/>
      <c r="K189" s="322" t="s">
        <v>82</v>
      </c>
      <c r="L189" s="2"/>
      <c r="M189" s="2"/>
      <c r="N189" s="2"/>
      <c r="O189" s="2"/>
      <c r="P189" s="2"/>
      <c r="Q189" s="2"/>
      <c r="R189" s="2"/>
      <c r="S189" s="321"/>
      <c r="T189" s="321"/>
      <c r="U189" s="321"/>
      <c r="V189" s="321"/>
      <c r="W189" s="321"/>
      <c r="X189" s="321"/>
      <c r="Y189" s="321"/>
      <c r="Z189" s="321"/>
      <c r="AA189" s="321"/>
      <c r="AB189" s="321"/>
      <c r="AC189" s="321"/>
      <c r="AD189" s="321"/>
      <c r="AE189" s="321"/>
      <c r="AG189" s="321"/>
      <c r="AV189" s="321"/>
      <c r="BA189" s="321"/>
      <c r="BB189" s="321"/>
      <c r="BC189" s="321"/>
      <c r="BD189" s="321"/>
      <c r="BE189" s="321"/>
      <c r="BF189" s="321"/>
      <c r="BG189" s="321"/>
    </row>
    <row r="190" spans="1:62" ht="14.25" hidden="1" customHeight="1" x14ac:dyDescent="0.2">
      <c r="A190" s="2"/>
      <c r="B190" s="2"/>
      <c r="C190" s="2"/>
      <c r="D190" s="2"/>
      <c r="E190" s="2"/>
      <c r="F190" s="2"/>
      <c r="G190" s="323">
        <f>STORICO!C38</f>
        <v>2021</v>
      </c>
      <c r="H190" s="2"/>
      <c r="I190" s="322" t="str">
        <f t="shared" si="108"/>
        <v>ANNO   2021</v>
      </c>
      <c r="J190" s="2"/>
      <c r="K190" s="322" t="s">
        <v>83</v>
      </c>
      <c r="L190" s="2"/>
      <c r="M190" s="2"/>
      <c r="N190" s="2"/>
      <c r="O190" s="2"/>
      <c r="P190" s="2"/>
      <c r="Q190" s="2"/>
      <c r="R190" s="2"/>
      <c r="S190" s="321"/>
      <c r="T190" s="321"/>
      <c r="U190" s="321"/>
      <c r="V190" s="321"/>
      <c r="W190" s="321"/>
      <c r="X190" s="321"/>
      <c r="Y190" s="321"/>
      <c r="Z190" s="321"/>
      <c r="AA190" s="321"/>
      <c r="AB190" s="321"/>
      <c r="AC190" s="321"/>
      <c r="AD190" s="321"/>
      <c r="AE190" s="321"/>
      <c r="AG190" s="321"/>
      <c r="AV190" s="321"/>
      <c r="BA190" s="321"/>
      <c r="BB190" s="321"/>
      <c r="BC190" s="321"/>
      <c r="BD190" s="321"/>
      <c r="BE190" s="321"/>
      <c r="BF190" s="321"/>
      <c r="BG190" s="321"/>
    </row>
    <row r="191" spans="1:62" ht="14.25" hidden="1" customHeight="1" x14ac:dyDescent="0.2">
      <c r="A191" s="2"/>
      <c r="B191" s="2"/>
      <c r="C191" s="2"/>
      <c r="D191" s="2"/>
      <c r="E191" s="458" t="str">
        <f>C182</f>
        <v>INSERITO</v>
      </c>
      <c r="F191" s="2"/>
      <c r="G191" s="323" t="str">
        <f>CONCATENATE(G187," + ",G188)</f>
        <v>2024 + 2023</v>
      </c>
      <c r="H191" s="2"/>
      <c r="I191" s="322" t="str">
        <f t="shared" si="108"/>
        <v>ANNO   2024 + 2023</v>
      </c>
      <c r="J191" s="2"/>
      <c r="K191" s="322" t="str">
        <f>CONCATENATE(K187," + ",K188)</f>
        <v>ANNO IN CORSO + ANNO PRECEDENTE 1</v>
      </c>
      <c r="L191" s="2"/>
      <c r="M191" s="2"/>
      <c r="N191" s="2"/>
      <c r="O191" s="2"/>
      <c r="P191" s="2"/>
      <c r="Q191" s="2"/>
      <c r="R191" s="2"/>
      <c r="S191" s="321"/>
      <c r="T191" s="321"/>
      <c r="U191" s="321"/>
      <c r="V191" s="321"/>
      <c r="W191" s="321"/>
      <c r="X191" s="321"/>
      <c r="Y191" s="321"/>
      <c r="Z191" s="321"/>
      <c r="AA191" s="321"/>
      <c r="AB191" s="321"/>
      <c r="AC191" s="321"/>
      <c r="AD191" s="321"/>
      <c r="AE191" s="321"/>
      <c r="AG191" s="321"/>
      <c r="AV191" s="321"/>
      <c r="BA191" s="321"/>
      <c r="BB191" s="321"/>
      <c r="BC191" s="321"/>
      <c r="BD191" s="321"/>
      <c r="BE191" s="321"/>
      <c r="BF191" s="321"/>
      <c r="BG191" s="321"/>
    </row>
    <row r="192" spans="1:62" ht="14.25" hidden="1" customHeight="1" x14ac:dyDescent="0.2">
      <c r="A192" s="2"/>
      <c r="B192" s="2"/>
      <c r="C192" s="2"/>
      <c r="D192" s="2"/>
      <c r="E192" s="458" t="str">
        <f>C183</f>
        <v>a CONTO</v>
      </c>
      <c r="F192" s="2"/>
      <c r="G192" s="323" t="str">
        <f>CONCATENATE(G187," + ",G188," + ",G189)</f>
        <v>2024 + 2023 + 2022</v>
      </c>
      <c r="H192" s="2"/>
      <c r="I192" s="322" t="str">
        <f t="shared" si="108"/>
        <v>ANNO   2024 + 2023 + 2022</v>
      </c>
      <c r="J192" s="2"/>
      <c r="K192" s="322" t="str">
        <f>CONCATENATE(K187," + ",K188," + 2")</f>
        <v>ANNO IN CORSO + ANNO PRECEDENTE 1 + 2</v>
      </c>
      <c r="L192" s="2"/>
      <c r="M192" s="2"/>
      <c r="N192" s="2"/>
      <c r="O192" s="2"/>
      <c r="P192" s="2"/>
      <c r="Q192" s="2"/>
      <c r="R192" s="2"/>
      <c r="S192" s="321"/>
      <c r="T192" s="321"/>
      <c r="U192" s="321"/>
      <c r="V192" s="321"/>
      <c r="W192" s="321"/>
      <c r="X192" s="321"/>
      <c r="Y192" s="321"/>
      <c r="Z192" s="321"/>
      <c r="AA192" s="321"/>
      <c r="AB192" s="321"/>
      <c r="AC192" s="321"/>
      <c r="AD192" s="321"/>
      <c r="AE192" s="321"/>
      <c r="AG192" s="321"/>
      <c r="AV192" s="321"/>
      <c r="BA192" s="321"/>
      <c r="BB192" s="321"/>
      <c r="BC192" s="321"/>
      <c r="BD192" s="321"/>
      <c r="BE192" s="321"/>
      <c r="BF192" s="321"/>
      <c r="BG192" s="321"/>
    </row>
    <row r="193" spans="1:59" ht="14.25" hidden="1" customHeight="1" x14ac:dyDescent="0.2">
      <c r="A193" s="2"/>
      <c r="B193" s="2"/>
      <c r="C193" s="2"/>
      <c r="D193" s="2"/>
      <c r="E193" s="458" t="str">
        <f>C184</f>
        <v>Percent.</v>
      </c>
      <c r="F193" s="2"/>
      <c r="G193" s="323" t="str">
        <f>CONCATENATE(G187," + ",G188," + ",G189," + ",G190)</f>
        <v>2024 + 2023 + 2022 + 2021</v>
      </c>
      <c r="H193" s="2"/>
      <c r="I193" s="322" t="str">
        <f t="shared" si="108"/>
        <v>ANNO   2024 + 2023 + 2022 + 2021</v>
      </c>
      <c r="J193" s="2"/>
      <c r="K193" s="322" t="str">
        <f>CONCATENATE(K187," + ",K188," + 2 + 3")</f>
        <v>ANNO IN CORSO + ANNO PRECEDENTE 1 + 2 + 3</v>
      </c>
      <c r="L193" s="2"/>
      <c r="M193" s="2"/>
      <c r="N193" s="2"/>
      <c r="O193" s="2"/>
      <c r="P193" s="2"/>
      <c r="Q193" s="2"/>
      <c r="R193" s="2"/>
      <c r="S193" s="321"/>
      <c r="T193" s="321"/>
      <c r="U193" s="321"/>
      <c r="V193" s="321"/>
      <c r="W193" s="321"/>
      <c r="X193" s="321"/>
      <c r="Y193" s="321"/>
      <c r="Z193" s="321"/>
      <c r="AA193" s="321"/>
      <c r="AB193" s="321"/>
      <c r="AC193" s="321"/>
      <c r="AD193" s="321"/>
      <c r="AE193" s="321"/>
      <c r="AG193" s="321"/>
      <c r="AV193" s="321"/>
      <c r="BA193" s="321"/>
      <c r="BB193" s="321"/>
      <c r="BC193" s="321"/>
      <c r="BD193" s="321"/>
      <c r="BE193" s="321"/>
      <c r="BF193" s="321"/>
      <c r="BG193" s="321"/>
    </row>
    <row r="194" spans="1:59" ht="14.25" hidden="1" customHeight="1" x14ac:dyDescent="0.2">
      <c r="A194" s="2"/>
      <c r="B194" s="2"/>
      <c r="C194" s="2"/>
      <c r="D194" s="2"/>
      <c r="E194" s="2"/>
      <c r="F194" s="2"/>
      <c r="G194" s="323" t="str">
        <f>CONCATENATE(G188," + ",G189)</f>
        <v>2023 + 2022</v>
      </c>
      <c r="H194" s="2"/>
      <c r="I194" s="322" t="str">
        <f t="shared" si="108"/>
        <v>ANNO   2023 + 2022</v>
      </c>
      <c r="J194" s="2"/>
      <c r="K194" s="322" t="str">
        <f>CONCATENATE(K188," + 2")</f>
        <v>ANNO PRECEDENTE 1 + 2</v>
      </c>
      <c r="L194" s="2"/>
      <c r="M194" s="2"/>
      <c r="N194" s="2"/>
      <c r="O194" s="2"/>
      <c r="P194" s="2"/>
      <c r="Q194" s="2"/>
      <c r="R194" s="2"/>
      <c r="S194" s="321"/>
      <c r="T194" s="321"/>
      <c r="U194" s="321"/>
      <c r="V194" s="321"/>
      <c r="W194" s="321"/>
      <c r="X194" s="321"/>
      <c r="Y194" s="321"/>
      <c r="Z194" s="321"/>
      <c r="AA194" s="321"/>
      <c r="AB194" s="321"/>
      <c r="AC194" s="321"/>
      <c r="AD194" s="321"/>
      <c r="AE194" s="321"/>
      <c r="AG194" s="321"/>
      <c r="AV194" s="321"/>
      <c r="BA194" s="321"/>
      <c r="BB194" s="321"/>
      <c r="BC194" s="321"/>
      <c r="BD194" s="321"/>
      <c r="BE194" s="321"/>
      <c r="BF194" s="321"/>
      <c r="BG194" s="321"/>
    </row>
    <row r="195" spans="1:59" ht="14.25" hidden="1" customHeight="1" x14ac:dyDescent="0.2">
      <c r="A195" s="2"/>
      <c r="B195" s="2"/>
      <c r="C195" s="2"/>
      <c r="D195" s="2"/>
      <c r="E195" s="2"/>
      <c r="F195" s="2"/>
      <c r="G195" s="323" t="str">
        <f>CONCATENATE(G188," + ",G189," + ",G190)</f>
        <v>2023 + 2022 + 2021</v>
      </c>
      <c r="H195" s="2"/>
      <c r="I195" s="322" t="str">
        <f t="shared" si="108"/>
        <v>ANNO   2023 + 2022 + 2021</v>
      </c>
      <c r="J195" s="2"/>
      <c r="K195" s="322" t="str">
        <f>CONCATENATE(K188," + 2 + 3")</f>
        <v>ANNO PRECEDENTE 1 + 2 + 3</v>
      </c>
      <c r="L195" s="2"/>
      <c r="M195" s="2"/>
      <c r="N195" s="2"/>
      <c r="O195" s="2"/>
      <c r="P195" s="2"/>
      <c r="Q195" s="2"/>
      <c r="R195" s="2"/>
      <c r="S195" s="321"/>
      <c r="T195" s="321"/>
      <c r="U195" s="321"/>
      <c r="V195" s="321"/>
      <c r="W195" s="321"/>
      <c r="X195" s="321"/>
      <c r="Y195" s="321"/>
      <c r="Z195" s="321"/>
      <c r="AA195" s="321"/>
      <c r="AB195" s="321"/>
      <c r="AC195" s="321"/>
      <c r="AD195" s="321"/>
      <c r="AE195" s="321"/>
      <c r="AG195" s="321"/>
      <c r="AV195" s="321"/>
      <c r="BA195" s="321"/>
      <c r="BB195" s="321"/>
      <c r="BC195" s="321"/>
      <c r="BD195" s="321"/>
      <c r="BE195" s="321"/>
      <c r="BF195" s="321"/>
      <c r="BG195" s="321"/>
    </row>
    <row r="196" spans="1:59" ht="14.25" hidden="1" customHeight="1" x14ac:dyDescent="0.2">
      <c r="A196" s="2"/>
      <c r="B196" s="2"/>
      <c r="C196" s="2"/>
      <c r="D196" s="2"/>
      <c r="E196" s="2"/>
      <c r="F196" s="2"/>
      <c r="G196" s="323" t="str">
        <f>CONCATENATE(G189," + ",G190)</f>
        <v>2022 + 2021</v>
      </c>
      <c r="H196" s="2"/>
      <c r="I196" s="322" t="str">
        <f t="shared" si="108"/>
        <v>ANNO   2022 + 2021</v>
      </c>
      <c r="J196" s="2"/>
      <c r="K196" s="322" t="str">
        <f>CONCATENATE(K189," + 3")</f>
        <v>ANNO PRECEDENTE 2 + 3</v>
      </c>
      <c r="L196" s="2"/>
      <c r="M196" s="2"/>
      <c r="N196" s="2"/>
      <c r="O196" s="2"/>
      <c r="P196" s="2"/>
      <c r="Q196" s="2"/>
      <c r="R196" s="2"/>
      <c r="S196" s="321"/>
      <c r="T196" s="321"/>
      <c r="U196" s="321"/>
      <c r="V196" s="321"/>
      <c r="W196" s="321"/>
      <c r="X196" s="321"/>
      <c r="Y196" s="321"/>
      <c r="Z196" s="321"/>
      <c r="AA196" s="321"/>
      <c r="AB196" s="321"/>
      <c r="AC196" s="321"/>
      <c r="AD196" s="321"/>
      <c r="AE196" s="321"/>
      <c r="AG196" s="321"/>
      <c r="AV196" s="321"/>
      <c r="BA196" s="321"/>
      <c r="BB196" s="321"/>
      <c r="BC196" s="321"/>
      <c r="BD196" s="321"/>
      <c r="BE196" s="321"/>
      <c r="BF196" s="321"/>
      <c r="BG196" s="321"/>
    </row>
    <row r="197" spans="1:59" hidden="1" x14ac:dyDescent="0.2">
      <c r="A197" s="2"/>
      <c r="B197" s="2"/>
      <c r="C197" s="2"/>
      <c r="D197" s="2"/>
      <c r="E197" s="2"/>
      <c r="F197" s="2"/>
      <c r="G197" s="2"/>
      <c r="H197" s="2"/>
      <c r="I197" s="2"/>
      <c r="J197" s="2"/>
      <c r="K197" s="2"/>
      <c r="L197" s="2"/>
      <c r="M197" s="2"/>
      <c r="N197" s="2"/>
      <c r="O197" s="2"/>
      <c r="P197" s="2"/>
      <c r="Q197" s="2"/>
      <c r="R197" s="2"/>
      <c r="S197" s="321"/>
      <c r="T197" s="321"/>
      <c r="U197" s="321"/>
      <c r="V197" s="321"/>
      <c r="W197" s="321"/>
      <c r="X197" s="321"/>
      <c r="Y197" s="321"/>
      <c r="Z197" s="321"/>
      <c r="AA197" s="321"/>
      <c r="AB197" s="321"/>
      <c r="AC197" s="321"/>
      <c r="AD197" s="321"/>
      <c r="AE197" s="321"/>
      <c r="AG197" s="321"/>
      <c r="AV197" s="321"/>
      <c r="BA197" s="321"/>
      <c r="BB197" s="321"/>
      <c r="BC197" s="321"/>
      <c r="BD197" s="321"/>
      <c r="BE197" s="321"/>
      <c r="BF197" s="321"/>
      <c r="BG197" s="321"/>
    </row>
    <row r="198" spans="1:59" hidden="1" x14ac:dyDescent="0.2">
      <c r="A198" s="2"/>
      <c r="B198" s="2"/>
      <c r="C198" s="2"/>
      <c r="D198" s="2"/>
      <c r="E198" s="2"/>
      <c r="F198" s="2"/>
      <c r="G198" s="2"/>
      <c r="H198" s="2"/>
      <c r="I198" s="2"/>
      <c r="J198" s="2"/>
      <c r="K198" s="2"/>
      <c r="L198" s="2"/>
      <c r="M198" s="2"/>
      <c r="N198" s="2"/>
      <c r="O198" s="2"/>
      <c r="P198" s="2"/>
      <c r="Q198" s="2"/>
      <c r="R198" s="2"/>
      <c r="S198" s="321"/>
      <c r="T198" s="321"/>
      <c r="U198" s="321"/>
      <c r="V198" s="321"/>
      <c r="W198" s="321"/>
      <c r="X198" s="321"/>
      <c r="Y198" s="321"/>
      <c r="Z198" s="321"/>
      <c r="AA198" s="321"/>
      <c r="AB198" s="321"/>
      <c r="AC198" s="321"/>
      <c r="AD198" s="321"/>
      <c r="AE198" s="321"/>
      <c r="AG198" s="321"/>
      <c r="AV198" s="321"/>
      <c r="BA198" s="321"/>
      <c r="BB198" s="321"/>
      <c r="BC198" s="321"/>
      <c r="BD198" s="321"/>
      <c r="BE198" s="321"/>
      <c r="BF198" s="321"/>
      <c r="BG198" s="321"/>
    </row>
    <row r="199" spans="1:59" hidden="1" x14ac:dyDescent="0.2">
      <c r="A199" s="696"/>
      <c r="B199" s="696"/>
      <c r="C199" s="696"/>
      <c r="D199" s="696"/>
      <c r="E199" s="696"/>
      <c r="F199" s="696"/>
      <c r="G199" s="758" t="s">
        <v>325</v>
      </c>
      <c r="H199" s="805">
        <f>Presentazione!K167</f>
        <v>18</v>
      </c>
      <c r="I199" s="804">
        <f>IMPOSTAZIONI!D143</f>
        <v>0</v>
      </c>
      <c r="J199" s="759" t="s">
        <v>442</v>
      </c>
      <c r="K199" s="758" t="s">
        <v>53</v>
      </c>
      <c r="L199" s="805">
        <f>Presentazione!E167</f>
        <v>0</v>
      </c>
      <c r="M199" s="760" t="s">
        <v>395</v>
      </c>
      <c r="N199" s="761">
        <v>1</v>
      </c>
      <c r="O199" s="762">
        <f>IF(OR(COUNTIF(G68:M68,E120)&gt;0,COUNTIF(G68:M68,N120)&gt;0,COUNTIF(G68:M68,O120)&gt;0,COUNTIF(G74:M74,E120)&gt;0,COUNTIF(G74:M74,N120)&gt;0,COUNTIF(G74:M74,O120)&gt;0,COUNTIF(C70:F73,"ERROR")&gt;0,COUNTIF(E8:F38,E130)&gt;0),1,0)</f>
        <v>0</v>
      </c>
      <c r="P199" s="763" t="s">
        <v>54</v>
      </c>
      <c r="Q199" s="696"/>
      <c r="R199" s="696"/>
    </row>
  </sheetData>
  <sheetProtection algorithmName="SHA-512" hashValue="BRuQOmsEEyxclA0mhyUxk9zyiMeogqwAZm2a1dGH/1nUrGtmgrGzHtY6Cko9CW/r2ONRvnm0Hkh3oqEGdsCs/Q==" saltValue="Dz0wkuXwYVmR2WZJOCA5Hg==" spinCount="100000" sheet="1" objects="1" scenarios="1" selectLockedCells="1"/>
  <mergeCells count="133">
    <mergeCell ref="E15:F15"/>
    <mergeCell ref="E16:F16"/>
    <mergeCell ref="E17:F17"/>
    <mergeCell ref="E22:F22"/>
    <mergeCell ref="C43:D43"/>
    <mergeCell ref="H53:I53"/>
    <mergeCell ref="M50:N50"/>
    <mergeCell ref="M51:N51"/>
    <mergeCell ref="M52:N52"/>
    <mergeCell ref="M53:N53"/>
    <mergeCell ref="H50:K50"/>
    <mergeCell ref="J51:K52"/>
    <mergeCell ref="C46:D46"/>
    <mergeCell ref="C47:D47"/>
    <mergeCell ref="C48:D48"/>
    <mergeCell ref="C45:F45"/>
    <mergeCell ref="C44:F44"/>
    <mergeCell ref="E48:F48"/>
    <mergeCell ref="E46:F46"/>
    <mergeCell ref="E47:F47"/>
    <mergeCell ref="E43:F43"/>
    <mergeCell ref="AU7:AY7"/>
    <mergeCell ref="AM6:AS6"/>
    <mergeCell ref="C7:D7"/>
    <mergeCell ref="E7:F7"/>
    <mergeCell ref="C6:D6"/>
    <mergeCell ref="C4:D5"/>
    <mergeCell ref="AF7:AJ7"/>
    <mergeCell ref="E10:F10"/>
    <mergeCell ref="P7:V7"/>
    <mergeCell ref="E8:F8"/>
    <mergeCell ref="E4:F5"/>
    <mergeCell ref="J2:N2"/>
    <mergeCell ref="C62:D62"/>
    <mergeCell ref="C59:E59"/>
    <mergeCell ref="C56:D56"/>
    <mergeCell ref="C53:F53"/>
    <mergeCell ref="E29:F29"/>
    <mergeCell ref="E26:F26"/>
    <mergeCell ref="E24:F24"/>
    <mergeCell ref="E30:F30"/>
    <mergeCell ref="E31:F31"/>
    <mergeCell ref="E36:F36"/>
    <mergeCell ref="E27:F27"/>
    <mergeCell ref="E25:F25"/>
    <mergeCell ref="N5:N6"/>
    <mergeCell ref="C2:I2"/>
    <mergeCell ref="E19:F19"/>
    <mergeCell ref="E28:F28"/>
    <mergeCell ref="E20:F20"/>
    <mergeCell ref="E6:F6"/>
    <mergeCell ref="E18:F18"/>
    <mergeCell ref="E9:F9"/>
    <mergeCell ref="E11:F11"/>
    <mergeCell ref="C3:D3"/>
    <mergeCell ref="E3:H3"/>
    <mergeCell ref="C184:D184"/>
    <mergeCell ref="E184:F184"/>
    <mergeCell ref="C182:D182"/>
    <mergeCell ref="E182:F182"/>
    <mergeCell ref="C183:D183"/>
    <mergeCell ref="E183:F183"/>
    <mergeCell ref="N133:O133"/>
    <mergeCell ref="C174:J174"/>
    <mergeCell ref="C164:D165"/>
    <mergeCell ref="E164:E165"/>
    <mergeCell ref="C173:D173"/>
    <mergeCell ref="C163:D163"/>
    <mergeCell ref="C137:D137"/>
    <mergeCell ref="C151:D152"/>
    <mergeCell ref="E151:E152"/>
    <mergeCell ref="C138:D139"/>
    <mergeCell ref="E138:E139"/>
    <mergeCell ref="C149:F149"/>
    <mergeCell ref="C150:D150"/>
    <mergeCell ref="C162:H162"/>
    <mergeCell ref="N135:O135"/>
    <mergeCell ref="B129:D129"/>
    <mergeCell ref="K174:M174"/>
    <mergeCell ref="C160:D160"/>
    <mergeCell ref="E160:F160"/>
    <mergeCell ref="B130:D130"/>
    <mergeCell ref="E147:F147"/>
    <mergeCell ref="C134:D134"/>
    <mergeCell ref="E134:F134"/>
    <mergeCell ref="C136:F136"/>
    <mergeCell ref="C135:F135"/>
    <mergeCell ref="C147:D147"/>
    <mergeCell ref="E173:F173"/>
    <mergeCell ref="G119:M119"/>
    <mergeCell ref="C71:F71"/>
    <mergeCell ref="C70:F70"/>
    <mergeCell ref="N77:O77"/>
    <mergeCell ref="N78:O78"/>
    <mergeCell ref="C73:F73"/>
    <mergeCell ref="C72:F72"/>
    <mergeCell ref="C69:F69"/>
    <mergeCell ref="J53:K53"/>
    <mergeCell ref="J54:K54"/>
    <mergeCell ref="J55:K55"/>
    <mergeCell ref="J56:K56"/>
    <mergeCell ref="C65:D65"/>
    <mergeCell ref="C64:F64"/>
    <mergeCell ref="E62:F62"/>
    <mergeCell ref="C63:F63"/>
    <mergeCell ref="C54:F54"/>
    <mergeCell ref="C60:N60"/>
    <mergeCell ref="M56:N56"/>
    <mergeCell ref="E65:F65"/>
    <mergeCell ref="L3:N3"/>
    <mergeCell ref="C67:F67"/>
    <mergeCell ref="E38:F38"/>
    <mergeCell ref="E32:F32"/>
    <mergeCell ref="E35:F35"/>
    <mergeCell ref="E34:F34"/>
    <mergeCell ref="E33:F33"/>
    <mergeCell ref="C50:F50"/>
    <mergeCell ref="C51:F51"/>
    <mergeCell ref="C52:F52"/>
    <mergeCell ref="E56:F56"/>
    <mergeCell ref="C55:F55"/>
    <mergeCell ref="C57:F57"/>
    <mergeCell ref="C58:F58"/>
    <mergeCell ref="C39:D39"/>
    <mergeCell ref="C66:F66"/>
    <mergeCell ref="E37:F37"/>
    <mergeCell ref="I3:K3"/>
    <mergeCell ref="E21:F21"/>
    <mergeCell ref="E14:F14"/>
    <mergeCell ref="E12:F12"/>
    <mergeCell ref="E13:F13"/>
    <mergeCell ref="E23:F23"/>
    <mergeCell ref="E39:F39"/>
  </mergeCells>
  <phoneticPr fontId="24" type="noConversion"/>
  <conditionalFormatting sqref="C57 G57">
    <cfRule type="expression" dxfId="3384" priority="235" stopIfTrue="1">
      <formula>C58=0</formula>
    </cfRule>
  </conditionalFormatting>
  <conditionalFormatting sqref="O182:O184 O147 O160 O173">
    <cfRule type="expression" dxfId="3383" priority="354" stopIfTrue="1">
      <formula>$N$44=""</formula>
    </cfRule>
    <cfRule type="expression" dxfId="3382" priority="355" stopIfTrue="1">
      <formula>$N$44=0</formula>
    </cfRule>
  </conditionalFormatting>
  <conditionalFormatting sqref="G182:M184">
    <cfRule type="expression" dxfId="3381" priority="356" stopIfTrue="1">
      <formula>ISERROR(G182)</formula>
    </cfRule>
    <cfRule type="cellIs" dxfId="3380" priority="357" stopIfTrue="1" operator="equal">
      <formula>0</formula>
    </cfRule>
  </conditionalFormatting>
  <conditionalFormatting sqref="G58 C58 AE8:AE38 G42:M42 E6:F6">
    <cfRule type="cellIs" dxfId="3379" priority="360" stopIfTrue="1" operator="equal">
      <formula>0</formula>
    </cfRule>
  </conditionalFormatting>
  <conditionalFormatting sqref="N63">
    <cfRule type="expression" dxfId="3378" priority="365" stopIfTrue="1">
      <formula>$N$44=""</formula>
    </cfRule>
  </conditionalFormatting>
  <conditionalFormatting sqref="E47:F48">
    <cfRule type="expression" dxfId="3377" priority="369" stopIfTrue="1">
      <formula>ISERROR(E47)</formula>
    </cfRule>
  </conditionalFormatting>
  <conditionalFormatting sqref="G135:M136 E164:E165 E138:E139 E147:F147 E151:E152 E160:F160">
    <cfRule type="expression" dxfId="3376" priority="370" stopIfTrue="1">
      <formula>ISERROR(E135)</formula>
    </cfRule>
  </conditionalFormatting>
  <conditionalFormatting sqref="G43:M43 G134:M134">
    <cfRule type="cellIs" dxfId="3375" priority="371" stopIfTrue="1" operator="equal">
      <formula>0</formula>
    </cfRule>
  </conditionalFormatting>
  <conditionalFormatting sqref="G123:M123">
    <cfRule type="cellIs" dxfId="3374" priority="376" stopIfTrue="1" operator="equal">
      <formula>0</formula>
    </cfRule>
  </conditionalFormatting>
  <conditionalFormatting sqref="P8:V38 X8:AD38 AF8:AJ38 AU8:AY38 AL8:AS38">
    <cfRule type="cellIs" dxfId="3373" priority="377" stopIfTrue="1" operator="equal">
      <formula>0</formula>
    </cfRule>
  </conditionalFormatting>
  <conditionalFormatting sqref="G68:M68 G74:M74 H107:H116">
    <cfRule type="cellIs" dxfId="3372" priority="380" stopIfTrue="1" operator="equal">
      <formula>"OK"</formula>
    </cfRule>
  </conditionalFormatting>
  <conditionalFormatting sqref="I107:I116">
    <cfRule type="cellIs" dxfId="3371" priority="381" stopIfTrue="1" operator="greaterThan">
      <formula>0</formula>
    </cfRule>
  </conditionalFormatting>
  <conditionalFormatting sqref="G125:M126">
    <cfRule type="cellIs" dxfId="3370" priority="384" stopIfTrue="1" operator="equal">
      <formula>$E$125</formula>
    </cfRule>
  </conditionalFormatting>
  <conditionalFormatting sqref="C162:H162">
    <cfRule type="expression" dxfId="3369" priority="389" stopIfTrue="1">
      <formula>ISERROR($C$162)</formula>
    </cfRule>
  </conditionalFormatting>
  <conditionalFormatting sqref="E46:F46">
    <cfRule type="expression" dxfId="3368" priority="393" stopIfTrue="1">
      <formula>ISERROR($E$46)</formula>
    </cfRule>
  </conditionalFormatting>
  <conditionalFormatting sqref="C60">
    <cfRule type="expression" dxfId="3367" priority="427" stopIfTrue="1">
      <formula>SUM($G$118:$M$118)=0</formula>
    </cfRule>
  </conditionalFormatting>
  <conditionalFormatting sqref="G120:M120">
    <cfRule type="cellIs" dxfId="3366" priority="233" operator="equal">
      <formula>0</formula>
    </cfRule>
  </conditionalFormatting>
  <conditionalFormatting sqref="N65:N67 C66:F67">
    <cfRule type="expression" dxfId="3365" priority="231" stopIfTrue="1">
      <formula>SUM($G$120:$M$120)=0</formula>
    </cfRule>
  </conditionalFormatting>
  <conditionalFormatting sqref="G65:M65">
    <cfRule type="expression" dxfId="3364" priority="230">
      <formula>$D$120=0</formula>
    </cfRule>
    <cfRule type="cellIs" dxfId="3363" priority="232" operator="equal">
      <formula>0</formula>
    </cfRule>
  </conditionalFormatting>
  <conditionalFormatting sqref="G62:M62">
    <cfRule type="expression" dxfId="3362" priority="2681" stopIfTrue="1">
      <formula>AND(G$123="X",G$62&lt;&gt;"")</formula>
    </cfRule>
  </conditionalFormatting>
  <conditionalFormatting sqref="G66:M66">
    <cfRule type="expression" dxfId="3361" priority="2708">
      <formula>AND(G$66&lt;&gt;0,G$68=$O$120)</formula>
    </cfRule>
    <cfRule type="expression" dxfId="3360" priority="2709">
      <formula>$D$120=0</formula>
    </cfRule>
  </conditionalFormatting>
  <conditionalFormatting sqref="G67:M67">
    <cfRule type="expression" dxfId="3359" priority="2710">
      <formula>AND(G$67&lt;&gt;0,G$68=$O$120)</formula>
    </cfRule>
    <cfRule type="expression" dxfId="3358" priority="2711">
      <formula>$D$120=0</formula>
    </cfRule>
  </conditionalFormatting>
  <conditionalFormatting sqref="G73:M73">
    <cfRule type="expression" dxfId="3357" priority="2712">
      <formula>AND(G$73&lt;&gt;0,G$74=$O$120)</formula>
    </cfRule>
    <cfRule type="expression" dxfId="3356" priority="2713">
      <formula>$D$120=0</formula>
    </cfRule>
  </conditionalFormatting>
  <conditionalFormatting sqref="G70:M70">
    <cfRule type="expression" dxfId="3355" priority="2714">
      <formula>AND(G$70&lt;&gt;0,G$74=$O$120)</formula>
    </cfRule>
    <cfRule type="expression" dxfId="3354" priority="2715">
      <formula>$D$120=0</formula>
    </cfRule>
  </conditionalFormatting>
  <conditionalFormatting sqref="G71:M71">
    <cfRule type="expression" dxfId="3353" priority="2716">
      <formula>AND(G$71&lt;&gt;0,G$74=$O$120)</formula>
    </cfRule>
    <cfRule type="expression" dxfId="3352" priority="2717">
      <formula>$D$120=0</formula>
    </cfRule>
  </conditionalFormatting>
  <conditionalFormatting sqref="G72:M72">
    <cfRule type="expression" dxfId="3351" priority="2718">
      <formula>AND(G$72&lt;&gt;0,G$74=$O$120)</formula>
    </cfRule>
    <cfRule type="expression" dxfId="3350" priority="2719">
      <formula>$D$120=0</formula>
    </cfRule>
  </conditionalFormatting>
  <conditionalFormatting sqref="N70:N73">
    <cfRule type="expression" dxfId="3349" priority="2720" stopIfTrue="1">
      <formula>$D$120=0</formula>
    </cfRule>
    <cfRule type="expression" dxfId="3348" priority="2721" stopIfTrue="1">
      <formula>$B70=""</formula>
    </cfRule>
  </conditionalFormatting>
  <conditionalFormatting sqref="C95 P95">
    <cfRule type="expression" dxfId="3347" priority="3019" stopIfTrue="1">
      <formula>ISERROR($H$199)</formula>
    </cfRule>
  </conditionalFormatting>
  <conditionalFormatting sqref="C2:J2">
    <cfRule type="expression" dxfId="3346" priority="3020" stopIfTrue="1">
      <formula>$I$199=0</formula>
    </cfRule>
  </conditionalFormatting>
  <conditionalFormatting sqref="N136:O136">
    <cfRule type="expression" dxfId="3345" priority="3301" stopIfTrue="1">
      <formula>$N$5=#REF!</formula>
    </cfRule>
    <cfRule type="expression" dxfId="3344" priority="3302" stopIfTrue="1">
      <formula>$N$44=0</formula>
    </cfRule>
  </conditionalFormatting>
  <conditionalFormatting sqref="N5">
    <cfRule type="expression" dxfId="3343" priority="3315" stopIfTrue="1">
      <formula>#REF!=""</formula>
    </cfRule>
    <cfRule type="cellIs" dxfId="3342" priority="3316" stopIfTrue="1" operator="equal">
      <formula>0</formula>
    </cfRule>
    <cfRule type="expression" dxfId="3341" priority="3317" stopIfTrue="1">
      <formula>$N$5=#REF!</formula>
    </cfRule>
  </conditionalFormatting>
  <conditionalFormatting sqref="G44:M45">
    <cfRule type="cellIs" dxfId="3340" priority="192" operator="equal">
      <formula>0</formula>
    </cfRule>
  </conditionalFormatting>
  <conditionalFormatting sqref="E39:N39">
    <cfRule type="expression" dxfId="3339" priority="191">
      <formula>ISERROR($H$199)</formula>
    </cfRule>
  </conditionalFormatting>
  <conditionalFormatting sqref="E7:N7">
    <cfRule type="expression" dxfId="3338" priority="190">
      <formula>ISERROR($H$199)</formula>
    </cfRule>
  </conditionalFormatting>
  <conditionalFormatting sqref="G47:M47">
    <cfRule type="expression" dxfId="3337" priority="181" stopIfTrue="1">
      <formula>ISERROR(G47)</formula>
    </cfRule>
    <cfRule type="expression" dxfId="3336" priority="182" stopIfTrue="1">
      <formula>G$42=$K$102</formula>
    </cfRule>
    <cfRule type="expression" dxfId="3335" priority="183" stopIfTrue="1">
      <formula>AND(G$46&gt;0,OR(G$68=$E$120,G$68=$N$120))</formula>
    </cfRule>
    <cfRule type="cellIs" dxfId="3334" priority="184" operator="equal">
      <formula>0</formula>
    </cfRule>
  </conditionalFormatting>
  <conditionalFormatting sqref="G48:M48">
    <cfRule type="expression" dxfId="3333" priority="180" stopIfTrue="1">
      <formula>ISERROR(G48)</formula>
    </cfRule>
    <cfRule type="expression" dxfId="3332" priority="185" stopIfTrue="1">
      <formula>G$42=$K$102</formula>
    </cfRule>
    <cfRule type="expression" dxfId="3331" priority="186" stopIfTrue="1">
      <formula>AND(G$46&gt;0,OR(G$68=$E$120,G$68=$N$120,COUNTIF($C$70:$F$73,"ERROR")&gt;0,G$74=$E$120,G$74=$N$120))</formula>
    </cfRule>
    <cfRule type="cellIs" dxfId="3330" priority="187" operator="equal">
      <formula>0</formula>
    </cfRule>
  </conditionalFormatting>
  <conditionalFormatting sqref="G130:M130">
    <cfRule type="cellIs" dxfId="3329" priority="179" stopIfTrue="1" operator="equal">
      <formula>0</formula>
    </cfRule>
  </conditionalFormatting>
  <conditionalFormatting sqref="G4:M4">
    <cfRule type="cellIs" dxfId="3328" priority="178" operator="equal">
      <formula>0</formula>
    </cfRule>
  </conditionalFormatting>
  <conditionalFormatting sqref="N130">
    <cfRule type="cellIs" dxfId="3327" priority="177" stopIfTrue="1" operator="equal">
      <formula>0</formula>
    </cfRule>
  </conditionalFormatting>
  <conditionalFormatting sqref="G63">
    <cfRule type="expression" dxfId="3326" priority="174">
      <formula>ISERROR(G46)</formula>
    </cfRule>
    <cfRule type="cellIs" dxfId="3325" priority="176" operator="equal">
      <formula>0</formula>
    </cfRule>
  </conditionalFormatting>
  <conditionalFormatting sqref="G64">
    <cfRule type="expression" dxfId="3324" priority="173">
      <formula>ISERROR(G46)</formula>
    </cfRule>
    <cfRule type="cellIs" dxfId="3323" priority="175" operator="equal">
      <formula>0</formula>
    </cfRule>
  </conditionalFormatting>
  <conditionalFormatting sqref="H63:M63">
    <cfRule type="expression" dxfId="3322" priority="170">
      <formula>ISERROR(H46)</formula>
    </cfRule>
    <cfRule type="cellIs" dxfId="3321" priority="172" operator="equal">
      <formula>0</formula>
    </cfRule>
  </conditionalFormatting>
  <conditionalFormatting sqref="H64:M64">
    <cfRule type="expression" dxfId="3320" priority="169">
      <formula>ISERROR(H46)</formula>
    </cfRule>
    <cfRule type="cellIs" dxfId="3319" priority="171" operator="equal">
      <formula>0</formula>
    </cfRule>
  </conditionalFormatting>
  <conditionalFormatting sqref="C70:F73">
    <cfRule type="cellIs" dxfId="3318" priority="163" stopIfTrue="1" operator="equal">
      <formula>"ERROR"</formula>
    </cfRule>
    <cfRule type="cellIs" dxfId="3317" priority="164" stopIfTrue="1" operator="equal">
      <formula>0</formula>
    </cfRule>
    <cfRule type="expression" dxfId="3316" priority="165" stopIfTrue="1">
      <formula>SUM($G$120:$M$120)=0</formula>
    </cfRule>
  </conditionalFormatting>
  <conditionalFormatting sqref="G49">
    <cfRule type="cellIs" dxfId="3315" priority="162" operator="equal">
      <formula>$E$130</formula>
    </cfRule>
  </conditionalFormatting>
  <conditionalFormatting sqref="H49:M49">
    <cfRule type="cellIs" dxfId="3314" priority="161" operator="equal">
      <formula>$E$130</formula>
    </cfRule>
  </conditionalFormatting>
  <conditionalFormatting sqref="G90:G91">
    <cfRule type="expression" dxfId="3313" priority="159" stopIfTrue="1">
      <formula>SUM($H90:$J90)=0</formula>
    </cfRule>
  </conditionalFormatting>
  <conditionalFormatting sqref="N77:N78">
    <cfRule type="expression" dxfId="3312" priority="160" stopIfTrue="1">
      <formula>$M$77=0</formula>
    </cfRule>
  </conditionalFormatting>
  <conditionalFormatting sqref="H85:J87">
    <cfRule type="expression" dxfId="3311" priority="157">
      <formula>AND($E$103=3,$J$112=3)</formula>
    </cfRule>
    <cfRule type="cellIs" dxfId="3310" priority="158" operator="equal">
      <formula>0</formula>
    </cfRule>
  </conditionalFormatting>
  <conditionalFormatting sqref="H90:J91">
    <cfRule type="expression" dxfId="3309" priority="155">
      <formula>AND($E$103=3,$J$112=3)</formula>
    </cfRule>
    <cfRule type="cellIs" dxfId="3308" priority="156" operator="equal">
      <formula>0</formula>
    </cfRule>
  </conditionalFormatting>
  <conditionalFormatting sqref="K90:K91">
    <cfRule type="expression" dxfId="3307" priority="154">
      <formula>AND($E$103=3,$J$112=3)</formula>
    </cfRule>
  </conditionalFormatting>
  <conditionalFormatting sqref="M90:M91">
    <cfRule type="expression" dxfId="3306" priority="153">
      <formula>AND($E$103=3,$J$112=3)</formula>
    </cfRule>
  </conditionalFormatting>
  <conditionalFormatting sqref="M79:M89">
    <cfRule type="expression" dxfId="3305" priority="152">
      <formula>AND($E$103=3,$J$112=3)</formula>
    </cfRule>
  </conditionalFormatting>
  <conditionalFormatting sqref="M77:M78">
    <cfRule type="expression" dxfId="3304" priority="151">
      <formula>AND($E$103=3,$J$112=3)</formula>
    </cfRule>
  </conditionalFormatting>
  <conditionalFormatting sqref="L91">
    <cfRule type="expression" dxfId="3303" priority="150">
      <formula>AND($E$103=3,$J$112=3)</formula>
    </cfRule>
  </conditionalFormatting>
  <conditionalFormatting sqref="L77:L78">
    <cfRule type="expression" dxfId="3302" priority="149">
      <formula>AND($E$103=3,$J$112=3)</formula>
    </cfRule>
  </conditionalFormatting>
  <conditionalFormatting sqref="G76:G81">
    <cfRule type="expression" dxfId="3301" priority="148">
      <formula>AND($E$103=3,$J$112=3)</formula>
    </cfRule>
  </conditionalFormatting>
  <conditionalFormatting sqref="G46:M46">
    <cfRule type="expression" dxfId="3300" priority="5961" stopIfTrue="1">
      <formula>G$42=$K$102</formula>
    </cfRule>
    <cfRule type="expression" dxfId="3299" priority="5962" stopIfTrue="1">
      <formula>$I$199=0</formula>
    </cfRule>
  </conditionalFormatting>
  <conditionalFormatting sqref="H53:H54">
    <cfRule type="expression" dxfId="3298" priority="145" stopIfTrue="1">
      <formula>ISERROR($G$123)</formula>
    </cfRule>
    <cfRule type="expression" dxfId="3297" priority="146" stopIfTrue="1">
      <formula>ISERROR(H53)</formula>
    </cfRule>
  </conditionalFormatting>
  <conditionalFormatting sqref="H51:I52">
    <cfRule type="expression" dxfId="3296" priority="147" stopIfTrue="1">
      <formula>ISERROR(H51)</formula>
    </cfRule>
  </conditionalFormatting>
  <conditionalFormatting sqref="I54">
    <cfRule type="expression" dxfId="3295" priority="143" stopIfTrue="1">
      <formula>ISERROR($G$123)</formula>
    </cfRule>
    <cfRule type="expression" dxfId="3294" priority="144" stopIfTrue="1">
      <formula>ISERROR(I54)</formula>
    </cfRule>
  </conditionalFormatting>
  <conditionalFormatting sqref="H56:I56">
    <cfRule type="expression" dxfId="3293" priority="142" stopIfTrue="1">
      <formula>ISERROR(H56)</formula>
    </cfRule>
  </conditionalFormatting>
  <conditionalFormatting sqref="H55">
    <cfRule type="expression" dxfId="3292" priority="140" stopIfTrue="1">
      <formula>ISERROR($G$123)</formula>
    </cfRule>
    <cfRule type="expression" dxfId="3291" priority="141" stopIfTrue="1">
      <formula>ISERROR(H55)</formula>
    </cfRule>
  </conditionalFormatting>
  <conditionalFormatting sqref="I55">
    <cfRule type="expression" dxfId="3290" priority="138" stopIfTrue="1">
      <formula>ISERROR($G$123)</formula>
    </cfRule>
    <cfRule type="expression" dxfId="3289" priority="139" stopIfTrue="1">
      <formula>ISERROR(I55)</formula>
    </cfRule>
  </conditionalFormatting>
  <conditionalFormatting sqref="G147">
    <cfRule type="expression" dxfId="3288" priority="135" stopIfTrue="1">
      <formula>$E147=0</formula>
    </cfRule>
    <cfRule type="expression" dxfId="3287" priority="136" stopIfTrue="1">
      <formula>ISERROR(G147)</formula>
    </cfRule>
    <cfRule type="expression" dxfId="3286" priority="137" stopIfTrue="1">
      <formula>$E147&lt;&gt;0</formula>
    </cfRule>
  </conditionalFormatting>
  <conditionalFormatting sqref="G145">
    <cfRule type="expression" dxfId="3285" priority="132" stopIfTrue="1">
      <formula>AND(G144=0,G145=1,G146=1)</formula>
    </cfRule>
    <cfRule type="expression" dxfId="3284" priority="133" stopIfTrue="1">
      <formula>AND(G144=1,G146=1)</formula>
    </cfRule>
    <cfRule type="expression" dxfId="3283" priority="134" stopIfTrue="1">
      <formula>AND(G145=1,G144=0)</formula>
    </cfRule>
  </conditionalFormatting>
  <conditionalFormatting sqref="G146">
    <cfRule type="expression" dxfId="3282" priority="130" stopIfTrue="1">
      <formula>AND(G146=1,G145=1)</formula>
    </cfRule>
    <cfRule type="expression" dxfId="3281" priority="131" stopIfTrue="1">
      <formula>AND(G146=1,G145=0)</formula>
    </cfRule>
  </conditionalFormatting>
  <conditionalFormatting sqref="G144">
    <cfRule type="expression" dxfId="3280" priority="127" stopIfTrue="1">
      <formula>AND(G143=0,G144=1,G145=1)</formula>
    </cfRule>
    <cfRule type="expression" dxfId="3279" priority="128" stopIfTrue="1">
      <formula>AND(G143=1,G145=1)</formula>
    </cfRule>
    <cfRule type="expression" dxfId="3278" priority="129" stopIfTrue="1">
      <formula>AND(G144=1,G143=0)</formula>
    </cfRule>
  </conditionalFormatting>
  <conditionalFormatting sqref="G138:G143">
    <cfRule type="expression" dxfId="3277" priority="124" stopIfTrue="1">
      <formula>AND(G137=0,G138=1,G139=1)</formula>
    </cfRule>
    <cfRule type="expression" dxfId="3276" priority="125" stopIfTrue="1">
      <formula>AND(G137=1,G139=1)</formula>
    </cfRule>
    <cfRule type="expression" dxfId="3275" priority="126" stopIfTrue="1">
      <formula>AND(G138=1,G137=0)</formula>
    </cfRule>
  </conditionalFormatting>
  <conditionalFormatting sqref="G137">
    <cfRule type="expression" dxfId="3274" priority="122" stopIfTrue="1">
      <formula>AND(G137=1,G138=1)</formula>
    </cfRule>
    <cfRule type="expression" dxfId="3273" priority="123" stopIfTrue="1">
      <formula>AND(G137=1,G136=0)</formula>
    </cfRule>
  </conditionalFormatting>
  <conditionalFormatting sqref="G160">
    <cfRule type="expression" dxfId="3272" priority="119" stopIfTrue="1">
      <formula>$E160=0</formula>
    </cfRule>
    <cfRule type="expression" dxfId="3271" priority="120" stopIfTrue="1">
      <formula>ISERROR(G160)</formula>
    </cfRule>
    <cfRule type="expression" dxfId="3270" priority="121" stopIfTrue="1">
      <formula>$E160&lt;&gt;0</formula>
    </cfRule>
  </conditionalFormatting>
  <conditionalFormatting sqref="G158">
    <cfRule type="expression" dxfId="3269" priority="116" stopIfTrue="1">
      <formula>AND(G157=0,G158=1,G159=1)</formula>
    </cfRule>
    <cfRule type="expression" dxfId="3268" priority="117" stopIfTrue="1">
      <formula>AND(G157=1,G159=1)</formula>
    </cfRule>
    <cfRule type="expression" dxfId="3267" priority="118" stopIfTrue="1">
      <formula>AND(G158=1,G157=0)</formula>
    </cfRule>
  </conditionalFormatting>
  <conditionalFormatting sqref="G159">
    <cfRule type="expression" dxfId="3266" priority="114" stopIfTrue="1">
      <formula>AND(G159=1,G158=1)</formula>
    </cfRule>
    <cfRule type="expression" dxfId="3265" priority="115" stopIfTrue="1">
      <formula>AND(G159=1,G158=0)</formula>
    </cfRule>
  </conditionalFormatting>
  <conditionalFormatting sqref="G157">
    <cfRule type="expression" dxfId="3264" priority="111" stopIfTrue="1">
      <formula>AND(G156=0,G157=1,G158=1)</formula>
    </cfRule>
    <cfRule type="expression" dxfId="3263" priority="112" stopIfTrue="1">
      <formula>AND(G156=1,G158=1)</formula>
    </cfRule>
    <cfRule type="expression" dxfId="3262" priority="113" stopIfTrue="1">
      <formula>AND(G157=1,G156=0)</formula>
    </cfRule>
  </conditionalFormatting>
  <conditionalFormatting sqref="G151:G156">
    <cfRule type="expression" dxfId="3261" priority="108" stopIfTrue="1">
      <formula>AND(G150=0,G151=1,G152=1)</formula>
    </cfRule>
    <cfRule type="expression" dxfId="3260" priority="109" stopIfTrue="1">
      <formula>AND(G150=1,G152=1)</formula>
    </cfRule>
    <cfRule type="expression" dxfId="3259" priority="110" stopIfTrue="1">
      <formula>AND(G151=1,G150=0)</formula>
    </cfRule>
  </conditionalFormatting>
  <conditionalFormatting sqref="G150">
    <cfRule type="expression" dxfId="3258" priority="106" stopIfTrue="1">
      <formula>AND(G150=1,G151=1)</formula>
    </cfRule>
    <cfRule type="expression" dxfId="3257" priority="107" stopIfTrue="1">
      <formula>AND(G150=1,G149=0)</formula>
    </cfRule>
  </conditionalFormatting>
  <conditionalFormatting sqref="H147:M147">
    <cfRule type="expression" dxfId="3256" priority="103" stopIfTrue="1">
      <formula>$E147=0</formula>
    </cfRule>
    <cfRule type="expression" dxfId="3255" priority="104" stopIfTrue="1">
      <formula>ISERROR(H147)</formula>
    </cfRule>
    <cfRule type="expression" dxfId="3254" priority="105" stopIfTrue="1">
      <formula>$E147&lt;&gt;0</formula>
    </cfRule>
  </conditionalFormatting>
  <conditionalFormatting sqref="H145:M145">
    <cfRule type="expression" dxfId="3253" priority="100" stopIfTrue="1">
      <formula>AND(H144=0,H145=1,H146=1)</formula>
    </cfRule>
    <cfRule type="expression" dxfId="3252" priority="101" stopIfTrue="1">
      <formula>AND(H144=1,H146=1)</formula>
    </cfRule>
    <cfRule type="expression" dxfId="3251" priority="102" stopIfTrue="1">
      <formula>AND(H145=1,H144=0)</formula>
    </cfRule>
  </conditionalFormatting>
  <conditionalFormatting sqref="H146:M146">
    <cfRule type="expression" dxfId="3250" priority="98" stopIfTrue="1">
      <formula>AND(H146=1,H145=1)</formula>
    </cfRule>
    <cfRule type="expression" dxfId="3249" priority="99" stopIfTrue="1">
      <formula>AND(H146=1,H145=0)</formula>
    </cfRule>
  </conditionalFormatting>
  <conditionalFormatting sqref="H144:M144">
    <cfRule type="expression" dxfId="3248" priority="95" stopIfTrue="1">
      <formula>AND(H143=0,H144=1,H145=1)</formula>
    </cfRule>
    <cfRule type="expression" dxfId="3247" priority="96" stopIfTrue="1">
      <formula>AND(H143=1,H145=1)</formula>
    </cfRule>
    <cfRule type="expression" dxfId="3246" priority="97" stopIfTrue="1">
      <formula>AND(H144=1,H143=0)</formula>
    </cfRule>
  </conditionalFormatting>
  <conditionalFormatting sqref="H138:M143">
    <cfRule type="expression" dxfId="3245" priority="92" stopIfTrue="1">
      <formula>AND(H137=0,H138=1,H139=1)</formula>
    </cfRule>
    <cfRule type="expression" dxfId="3244" priority="93" stopIfTrue="1">
      <formula>AND(H137=1,H139=1)</formula>
    </cfRule>
    <cfRule type="expression" dxfId="3243" priority="94" stopIfTrue="1">
      <formula>AND(H138=1,H137=0)</formula>
    </cfRule>
  </conditionalFormatting>
  <conditionalFormatting sqref="H137:M137">
    <cfRule type="expression" dxfId="3242" priority="90" stopIfTrue="1">
      <formula>AND(H137=1,H138=1)</formula>
    </cfRule>
    <cfRule type="expression" dxfId="3241" priority="91" stopIfTrue="1">
      <formula>AND(H137=1,H136=0)</formula>
    </cfRule>
  </conditionalFormatting>
  <conditionalFormatting sqref="H160:M160">
    <cfRule type="expression" dxfId="3240" priority="87" stopIfTrue="1">
      <formula>$E160=0</formula>
    </cfRule>
    <cfRule type="expression" dxfId="3239" priority="88" stopIfTrue="1">
      <formula>ISERROR(H160)</formula>
    </cfRule>
    <cfRule type="expression" dxfId="3238" priority="89" stopIfTrue="1">
      <formula>$E160&lt;&gt;0</formula>
    </cfRule>
  </conditionalFormatting>
  <conditionalFormatting sqref="H158:M158">
    <cfRule type="expression" dxfId="3237" priority="84" stopIfTrue="1">
      <formula>AND(H157=0,H158=1,H159=1)</formula>
    </cfRule>
    <cfRule type="expression" dxfId="3236" priority="85" stopIfTrue="1">
      <formula>AND(H157=1,H159=1)</formula>
    </cfRule>
    <cfRule type="expression" dxfId="3235" priority="86" stopIfTrue="1">
      <formula>AND(H158=1,H157=0)</formula>
    </cfRule>
  </conditionalFormatting>
  <conditionalFormatting sqref="H159:M159">
    <cfRule type="expression" dxfId="3234" priority="82" stopIfTrue="1">
      <formula>AND(H159=1,H158=1)</formula>
    </cfRule>
    <cfRule type="expression" dxfId="3233" priority="83" stopIfTrue="1">
      <formula>AND(H159=1,H158=0)</formula>
    </cfRule>
  </conditionalFormatting>
  <conditionalFormatting sqref="H157:M157">
    <cfRule type="expression" dxfId="3232" priority="79" stopIfTrue="1">
      <formula>AND(H156=0,H157=1,H158=1)</formula>
    </cfRule>
    <cfRule type="expression" dxfId="3231" priority="80" stopIfTrue="1">
      <formula>AND(H156=1,H158=1)</formula>
    </cfRule>
    <cfRule type="expression" dxfId="3230" priority="81" stopIfTrue="1">
      <formula>AND(H157=1,H156=0)</formula>
    </cfRule>
  </conditionalFormatting>
  <conditionalFormatting sqref="H151:M156">
    <cfRule type="expression" dxfId="3229" priority="76" stopIfTrue="1">
      <formula>AND(H150=0,H151=1,H152=1)</formula>
    </cfRule>
    <cfRule type="expression" dxfId="3228" priority="77" stopIfTrue="1">
      <formula>AND(H150=1,H152=1)</formula>
    </cfRule>
    <cfRule type="expression" dxfId="3227" priority="78" stopIfTrue="1">
      <formula>AND(H151=1,H150=0)</formula>
    </cfRule>
  </conditionalFormatting>
  <conditionalFormatting sqref="H150:M150">
    <cfRule type="expression" dxfId="3226" priority="74" stopIfTrue="1">
      <formula>AND(H150=1,H151=1)</formula>
    </cfRule>
    <cfRule type="expression" dxfId="3225" priority="75" stopIfTrue="1">
      <formula>AND(H150=1,H149=0)</formula>
    </cfRule>
  </conditionalFormatting>
  <conditionalFormatting sqref="N133:O133 N135:O135">
    <cfRule type="containsBlanks" dxfId="3224" priority="73">
      <formula>LEN(TRIM(N133))=0</formula>
    </cfRule>
  </conditionalFormatting>
  <conditionalFormatting sqref="N132">
    <cfRule type="expression" dxfId="3223" priority="72">
      <formula>N133=""</formula>
    </cfRule>
  </conditionalFormatting>
  <conditionalFormatting sqref="N134">
    <cfRule type="expression" dxfId="3222" priority="71">
      <formula>N135=""</formula>
    </cfRule>
  </conditionalFormatting>
  <conditionalFormatting sqref="G173">
    <cfRule type="expression" dxfId="3221" priority="68" stopIfTrue="1">
      <formula>$E173=0</formula>
    </cfRule>
    <cfRule type="expression" dxfId="3220" priority="69" stopIfTrue="1">
      <formula>ISERROR(G173)</formula>
    </cfRule>
    <cfRule type="expression" dxfId="3219" priority="70" stopIfTrue="1">
      <formula>$E173&lt;&gt;0</formula>
    </cfRule>
  </conditionalFormatting>
  <conditionalFormatting sqref="G171">
    <cfRule type="expression" dxfId="3218" priority="62" stopIfTrue="1">
      <formula>AND(G170=0,G171=1,G172=1)</formula>
    </cfRule>
    <cfRule type="expression" dxfId="3217" priority="63" stopIfTrue="1">
      <formula>AND(G170=1,G172=1)</formula>
    </cfRule>
    <cfRule type="expression" dxfId="3216" priority="64" stopIfTrue="1">
      <formula>AND(G171=1,G170=0)</formula>
    </cfRule>
  </conditionalFormatting>
  <conditionalFormatting sqref="G170">
    <cfRule type="expression" dxfId="3215" priority="65" stopIfTrue="1">
      <formula>AND(G169=0,G170=1,G171=1)</formula>
    </cfRule>
    <cfRule type="expression" dxfId="3214" priority="66" stopIfTrue="1">
      <formula>AND(G169=1,G171=1)</formula>
    </cfRule>
    <cfRule type="expression" dxfId="3213" priority="67" stopIfTrue="1">
      <formula>AND(G170=1,G169=0)</formula>
    </cfRule>
  </conditionalFormatting>
  <conditionalFormatting sqref="G164:G169">
    <cfRule type="expression" dxfId="3212" priority="59" stopIfTrue="1">
      <formula>AND(G163=0,G164=1,G165=1)</formula>
    </cfRule>
    <cfRule type="expression" dxfId="3211" priority="60" stopIfTrue="1">
      <formula>AND(G163=1,G165=1)</formula>
    </cfRule>
    <cfRule type="expression" dxfId="3210" priority="61" stopIfTrue="1">
      <formula>AND(G164=1,G163=0)</formula>
    </cfRule>
  </conditionalFormatting>
  <conditionalFormatting sqref="G163">
    <cfRule type="expression" dxfId="3209" priority="57" stopIfTrue="1">
      <formula>AND(G163=1,G164=1)</formula>
    </cfRule>
    <cfRule type="expression" dxfId="3208" priority="58" stopIfTrue="1">
      <formula>AND(G163=1,G162=0)</formula>
    </cfRule>
  </conditionalFormatting>
  <conditionalFormatting sqref="G172">
    <cfRule type="expression" dxfId="3207" priority="55" stopIfTrue="1">
      <formula>AND(G172=1,G171=1)</formula>
    </cfRule>
    <cfRule type="expression" dxfId="3206" priority="56" stopIfTrue="1">
      <formula>AND(G172=1,G171=0)</formula>
    </cfRule>
  </conditionalFormatting>
  <conditionalFormatting sqref="H173:M173">
    <cfRule type="expression" dxfId="3205" priority="52" stopIfTrue="1">
      <formula>$E173=0</formula>
    </cfRule>
    <cfRule type="expression" dxfId="3204" priority="53" stopIfTrue="1">
      <formula>ISERROR(H173)</formula>
    </cfRule>
    <cfRule type="expression" dxfId="3203" priority="54" stopIfTrue="1">
      <formula>$E173&lt;&gt;0</formula>
    </cfRule>
  </conditionalFormatting>
  <conditionalFormatting sqref="H171:M171">
    <cfRule type="expression" dxfId="3202" priority="46" stopIfTrue="1">
      <formula>AND(H170=0,H171=1,H172=1)</formula>
    </cfRule>
    <cfRule type="expression" dxfId="3201" priority="47" stopIfTrue="1">
      <formula>AND(H170=1,H172=1)</formula>
    </cfRule>
    <cfRule type="expression" dxfId="3200" priority="48" stopIfTrue="1">
      <formula>AND(H171=1,H170=0)</formula>
    </cfRule>
  </conditionalFormatting>
  <conditionalFormatting sqref="H170:M170">
    <cfRule type="expression" dxfId="3199" priority="49" stopIfTrue="1">
      <formula>AND(H169=0,H170=1,H171=1)</formula>
    </cfRule>
    <cfRule type="expression" dxfId="3198" priority="50" stopIfTrue="1">
      <formula>AND(H169=1,H171=1)</formula>
    </cfRule>
    <cfRule type="expression" dxfId="3197" priority="51" stopIfTrue="1">
      <formula>AND(H170=1,H169=0)</formula>
    </cfRule>
  </conditionalFormatting>
  <conditionalFormatting sqref="H164:M169">
    <cfRule type="expression" dxfId="3196" priority="43" stopIfTrue="1">
      <formula>AND(H163=0,H164=1,H165=1)</formula>
    </cfRule>
    <cfRule type="expression" dxfId="3195" priority="44" stopIfTrue="1">
      <formula>AND(H163=1,H165=1)</formula>
    </cfRule>
    <cfRule type="expression" dxfId="3194" priority="45" stopIfTrue="1">
      <formula>AND(H164=1,H163=0)</formula>
    </cfRule>
  </conditionalFormatting>
  <conditionalFormatting sqref="H163:M163">
    <cfRule type="expression" dxfId="3193" priority="41" stopIfTrue="1">
      <formula>AND(H163=1,H164=1)</formula>
    </cfRule>
    <cfRule type="expression" dxfId="3192" priority="42" stopIfTrue="1">
      <formula>AND(H163=1,H162=0)</formula>
    </cfRule>
  </conditionalFormatting>
  <conditionalFormatting sqref="H172:M172">
    <cfRule type="expression" dxfId="3191" priority="39" stopIfTrue="1">
      <formula>AND(H172=1,H171=1)</formula>
    </cfRule>
    <cfRule type="expression" dxfId="3190" priority="40" stopIfTrue="1">
      <formula>AND(H172=1,H171=0)</formula>
    </cfRule>
  </conditionalFormatting>
  <conditionalFormatting sqref="E173:F173">
    <cfRule type="containsErrors" dxfId="3189" priority="38" stopIfTrue="1">
      <formula>ISERROR(E173)</formula>
    </cfRule>
  </conditionalFormatting>
  <conditionalFormatting sqref="AK8:AK38">
    <cfRule type="cellIs" dxfId="3188" priority="37" stopIfTrue="1" operator="equal">
      <formula>0</formula>
    </cfRule>
  </conditionalFormatting>
  <conditionalFormatting sqref="BA6:BG6">
    <cfRule type="cellIs" dxfId="3187" priority="35" stopIfTrue="1" operator="equal">
      <formula>$E$125</formula>
    </cfRule>
  </conditionalFormatting>
  <conditionalFormatting sqref="BA9:BG38 BB8:BG8">
    <cfRule type="cellIs" dxfId="3186" priority="34" stopIfTrue="1" operator="equal">
      <formula>0</formula>
    </cfRule>
  </conditionalFormatting>
  <conditionalFormatting sqref="BA8">
    <cfRule type="cellIs" dxfId="3185" priority="33" stopIfTrue="1" operator="equal">
      <formula>0</formula>
    </cfRule>
  </conditionalFormatting>
  <conditionalFormatting sqref="BA5:BG5">
    <cfRule type="cellIs" dxfId="3184" priority="32" stopIfTrue="1" operator="equal">
      <formula>$E$125</formula>
    </cfRule>
  </conditionalFormatting>
  <conditionalFormatting sqref="L3:N3">
    <cfRule type="cellIs" dxfId="3183" priority="31" stopIfTrue="1" operator="equal">
      <formula>0</formula>
    </cfRule>
  </conditionalFormatting>
  <conditionalFormatting sqref="BC3">
    <cfRule type="cellIs" dxfId="3182" priority="30" stopIfTrue="1" operator="equal">
      <formula>$E$125</formula>
    </cfRule>
  </conditionalFormatting>
  <conditionalFormatting sqref="BB66:BF66">
    <cfRule type="cellIs" dxfId="3181" priority="27" stopIfTrue="1" operator="equal">
      <formula>0</formula>
    </cfRule>
  </conditionalFormatting>
  <conditionalFormatting sqref="BB67:BF67">
    <cfRule type="cellIs" dxfId="3180" priority="26" stopIfTrue="1" operator="equal">
      <formula>0</formula>
    </cfRule>
  </conditionalFormatting>
  <conditionalFormatting sqref="BB64:BF64">
    <cfRule type="cellIs" dxfId="3179" priority="25" stopIfTrue="1" operator="equal">
      <formula>0</formula>
    </cfRule>
  </conditionalFormatting>
  <conditionalFormatting sqref="BB65:BF65">
    <cfRule type="cellIs" dxfId="3178" priority="24" stopIfTrue="1" operator="equal">
      <formula>0</formula>
    </cfRule>
  </conditionalFormatting>
  <conditionalFormatting sqref="BB63:BF63">
    <cfRule type="cellIs" dxfId="3177" priority="23" stopIfTrue="1" operator="equal">
      <formula>0</formula>
    </cfRule>
  </conditionalFormatting>
  <conditionalFormatting sqref="BA66">
    <cfRule type="cellIs" dxfId="3176" priority="22" stopIfTrue="1" operator="equal">
      <formula>0</formula>
    </cfRule>
  </conditionalFormatting>
  <conditionalFormatting sqref="BA67">
    <cfRule type="cellIs" dxfId="3175" priority="21" stopIfTrue="1" operator="equal">
      <formula>0</formula>
    </cfRule>
  </conditionalFormatting>
  <conditionalFormatting sqref="BA64">
    <cfRule type="cellIs" dxfId="3174" priority="20" stopIfTrue="1" operator="equal">
      <formula>0</formula>
    </cfRule>
  </conditionalFormatting>
  <conditionalFormatting sqref="BA65">
    <cfRule type="cellIs" dxfId="3173" priority="19" stopIfTrue="1" operator="equal">
      <formula>0</formula>
    </cfRule>
  </conditionalFormatting>
  <conditionalFormatting sqref="BA63">
    <cfRule type="cellIs" dxfId="3172" priority="18" stopIfTrue="1" operator="equal">
      <formula>0</formula>
    </cfRule>
  </conditionalFormatting>
  <conditionalFormatting sqref="BG66">
    <cfRule type="cellIs" dxfId="3171" priority="17" stopIfTrue="1" operator="equal">
      <formula>0</formula>
    </cfRule>
  </conditionalFormatting>
  <conditionalFormatting sqref="BG67">
    <cfRule type="cellIs" dxfId="3170" priority="16" stopIfTrue="1" operator="equal">
      <formula>0</formula>
    </cfRule>
  </conditionalFormatting>
  <conditionalFormatting sqref="BG64">
    <cfRule type="cellIs" dxfId="3169" priority="15" stopIfTrue="1" operator="equal">
      <formula>0</formula>
    </cfRule>
  </conditionalFormatting>
  <conditionalFormatting sqref="BG65">
    <cfRule type="cellIs" dxfId="3168" priority="14" stopIfTrue="1" operator="equal">
      <formula>0</formula>
    </cfRule>
  </conditionalFormatting>
  <conditionalFormatting sqref="BG63">
    <cfRule type="cellIs" dxfId="3167" priority="13" stopIfTrue="1" operator="equal">
      <formula>0</formula>
    </cfRule>
  </conditionalFormatting>
  <conditionalFormatting sqref="BB4:BG4">
    <cfRule type="cellIs" dxfId="3166" priority="12" stopIfTrue="1" operator="equal">
      <formula>0</formula>
    </cfRule>
  </conditionalFormatting>
  <conditionalFormatting sqref="BA4">
    <cfRule type="cellIs" dxfId="3165" priority="11" stopIfTrue="1" operator="equal">
      <formula>0</formula>
    </cfRule>
  </conditionalFormatting>
  <conditionalFormatting sqref="E8:F38">
    <cfRule type="expression" dxfId="3164" priority="3" stopIfTrue="1">
      <formula>$AE8=$AC$6</formula>
    </cfRule>
    <cfRule type="expression" dxfId="3163" priority="4" stopIfTrue="1">
      <formula>AND($AE8=0,$E8=0)</formula>
    </cfRule>
    <cfRule type="expression" dxfId="3162" priority="5" stopIfTrue="1">
      <formula>$AE8=0</formula>
    </cfRule>
  </conditionalFormatting>
  <conditionalFormatting sqref="G8:M38">
    <cfRule type="expression" dxfId="3161" priority="6" stopIfTrue="1">
      <formula>$AE8=$AC$6</formula>
    </cfRule>
    <cfRule type="expression" dxfId="3160" priority="7" stopIfTrue="1">
      <formula>OR($AE8=0,$E8=$E$129)</formula>
    </cfRule>
  </conditionalFormatting>
  <conditionalFormatting sqref="C8:D38">
    <cfRule type="expression" dxfId="3159" priority="2" stopIfTrue="1">
      <formula>$AE8=$AC$6</formula>
    </cfRule>
    <cfRule type="expression" dxfId="3158" priority="8" stopIfTrue="1">
      <formula>AND($L$199=0,OR($W8&lt;$B$129,$W8&gt;$B$130))</formula>
    </cfRule>
    <cfRule type="expression" dxfId="3157" priority="9" stopIfTrue="1">
      <formula>AND($AE8=0,$E8=0)</formula>
    </cfRule>
    <cfRule type="expression" dxfId="3156" priority="10" stopIfTrue="1">
      <formula>$AE8=0</formula>
    </cfRule>
  </conditionalFormatting>
  <conditionalFormatting sqref="N64">
    <cfRule type="expression" dxfId="3155" priority="1" stopIfTrue="1">
      <formula>SUM($G$120:$M$120)=0</formula>
    </cfRule>
  </conditionalFormatting>
  <dataValidations count="4">
    <dataValidation type="list" allowBlank="1" showInputMessage="1" showErrorMessage="1" sqref="N135">
      <formula1>$E$185:$E$187</formula1>
    </dataValidation>
    <dataValidation type="list" allowBlank="1" showInputMessage="1" showErrorMessage="1" sqref="N133">
      <formula1>$E$190:$E$193</formula1>
    </dataValidation>
    <dataValidation type="list" allowBlank="1" showInputMessage="1" showErrorMessage="1" sqref="K174:M174">
      <formula1>$I$186:$I$196</formula1>
    </dataValidation>
    <dataValidation type="decimal" operator="greaterThan" allowBlank="1" showInputMessage="1" showErrorMessage="1" errorTitle="ATTENZIONE !!!" error="E' ammesso solo un valore POSITIVO" sqref="H54:H56">
      <formula1>0</formula1>
    </dataValidation>
  </dataValidations>
  <printOptions horizontalCentered="1"/>
  <pageMargins left="0"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18</vt:i4>
      </vt:variant>
      <vt:variant>
        <vt:lpstr>Intervalli denominati</vt:lpstr>
      </vt:variant>
      <vt:variant>
        <vt:i4>20</vt:i4>
      </vt:variant>
    </vt:vector>
  </HeadingPairs>
  <TitlesOfParts>
    <vt:vector size="38"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VERIFICA</vt:lpstr>
      <vt:lpstr>RIEPILOGO</vt:lpstr>
      <vt:lpstr>STORICO</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MarcoPiccoli</dc:creator>
  <cp:lastModifiedBy>MarcoPiccoli</cp:lastModifiedBy>
  <cp:lastPrinted>2021-02-09T14:43:28Z</cp:lastPrinted>
  <dcterms:created xsi:type="dcterms:W3CDTF">2009-06-17T21:33:33Z</dcterms:created>
  <dcterms:modified xsi:type="dcterms:W3CDTF">2023-12-28T09:44:34Z</dcterms:modified>
</cp:coreProperties>
</file>